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ccompton\Desktop\Vendors\"/>
    </mc:Choice>
  </mc:AlternateContent>
  <bookViews>
    <workbookView xWindow="0" yWindow="0" windowWidth="21570" windowHeight="8145"/>
  </bookViews>
  <sheets>
    <sheet name="ps" sheetId="1" r:id="rId1"/>
  </sheets>
  <calcPr calcId="152511"/>
</workbook>
</file>

<file path=xl/calcChain.xml><?xml version="1.0" encoding="utf-8"?>
<calcChain xmlns="http://schemas.openxmlformats.org/spreadsheetml/2006/main">
  <c r="F10386" i="1" l="1"/>
  <c r="F10385" i="1"/>
  <c r="C10385" i="1"/>
  <c r="F10384" i="1"/>
  <c r="C10384" i="1"/>
  <c r="F10383" i="1"/>
  <c r="C10383" i="1"/>
  <c r="F10382" i="1"/>
  <c r="C10382" i="1"/>
  <c r="F10381" i="1"/>
  <c r="F10380" i="1"/>
  <c r="F10379" i="1"/>
  <c r="C10379" i="1"/>
  <c r="F10378" i="1"/>
  <c r="C10378" i="1"/>
  <c r="F10377" i="1"/>
  <c r="C10377" i="1"/>
  <c r="F10376" i="1"/>
  <c r="C10376" i="1"/>
  <c r="C10375" i="1"/>
  <c r="F10374" i="1"/>
  <c r="C10374" i="1"/>
  <c r="F10373" i="1"/>
  <c r="C10372" i="1"/>
  <c r="F10371" i="1"/>
  <c r="F10370" i="1"/>
  <c r="C10370" i="1"/>
  <c r="F10369" i="1"/>
  <c r="C10369" i="1"/>
  <c r="F10368" i="1"/>
  <c r="C10368" i="1"/>
  <c r="F10367" i="1"/>
  <c r="C10367" i="1"/>
  <c r="C10366" i="1"/>
  <c r="F10365" i="1"/>
  <c r="C10365" i="1"/>
  <c r="F10364" i="1"/>
  <c r="F10363" i="1"/>
  <c r="C10363" i="1"/>
  <c r="F10362" i="1"/>
  <c r="C10361" i="1"/>
  <c r="F10360" i="1"/>
  <c r="F10359" i="1"/>
  <c r="C10359" i="1"/>
  <c r="F10358" i="1"/>
  <c r="F10357" i="1"/>
  <c r="C10357" i="1"/>
  <c r="F10356" i="1"/>
  <c r="C10356" i="1"/>
  <c r="F10355" i="1"/>
  <c r="F10354" i="1"/>
  <c r="C10354" i="1"/>
  <c r="F10353" i="1"/>
  <c r="C10353" i="1"/>
  <c r="F10352" i="1"/>
  <c r="C10352" i="1"/>
  <c r="C10351" i="1"/>
  <c r="F10350" i="1"/>
  <c r="C10350" i="1"/>
  <c r="F10349" i="1"/>
  <c r="C10349" i="1"/>
  <c r="F10348" i="1"/>
  <c r="C10348" i="1"/>
  <c r="F10347" i="1"/>
  <c r="C10347" i="1"/>
  <c r="F10346" i="1"/>
  <c r="F10345" i="1"/>
  <c r="F10344" i="1"/>
  <c r="F10343" i="1"/>
  <c r="C10343" i="1"/>
  <c r="F10342" i="1"/>
  <c r="C10342" i="1"/>
  <c r="F10341" i="1"/>
  <c r="C10341" i="1"/>
  <c r="F10340" i="1"/>
  <c r="C10340" i="1"/>
  <c r="F10339" i="1"/>
  <c r="C10339" i="1"/>
  <c r="F10338" i="1"/>
  <c r="C10338" i="1"/>
  <c r="F10337" i="1"/>
  <c r="C10337" i="1"/>
  <c r="C10336" i="1"/>
  <c r="F10335" i="1"/>
  <c r="C10335" i="1"/>
  <c r="F10334" i="1"/>
  <c r="C10334" i="1"/>
  <c r="F10333" i="1"/>
  <c r="C10332" i="1"/>
  <c r="F10331" i="1"/>
  <c r="C10331" i="1"/>
  <c r="F10330" i="1"/>
  <c r="C10330" i="1"/>
  <c r="F10329" i="1"/>
  <c r="C10329" i="1"/>
  <c r="F10328" i="1"/>
  <c r="C10328" i="1"/>
  <c r="F10327" i="1"/>
  <c r="F10326" i="1"/>
  <c r="C10326" i="1"/>
  <c r="F10325" i="1"/>
  <c r="F10324" i="1"/>
  <c r="C10324" i="1"/>
  <c r="F10323" i="1"/>
  <c r="F10322" i="1"/>
  <c r="C10322" i="1"/>
  <c r="F10321" i="1"/>
  <c r="F10320" i="1"/>
  <c r="C10320" i="1"/>
  <c r="F10319" i="1"/>
  <c r="C10319" i="1"/>
  <c r="F10318" i="1"/>
  <c r="C10318" i="1"/>
  <c r="F10317" i="1"/>
  <c r="C10317" i="1"/>
  <c r="F10316" i="1"/>
  <c r="C10316" i="1"/>
  <c r="F10315" i="1"/>
  <c r="F10314" i="1"/>
  <c r="F10313" i="1"/>
  <c r="F10311" i="1"/>
  <c r="F10310" i="1"/>
  <c r="C10310" i="1"/>
  <c r="F10309" i="1"/>
  <c r="F10308" i="1"/>
  <c r="C10308" i="1"/>
  <c r="F10307" i="1"/>
  <c r="C10307" i="1"/>
  <c r="F10306" i="1"/>
  <c r="C10306" i="1"/>
  <c r="F10305" i="1"/>
  <c r="C10305" i="1"/>
  <c r="F10304" i="1"/>
  <c r="C10304" i="1"/>
  <c r="F10303" i="1"/>
  <c r="F10302" i="1"/>
  <c r="F10301" i="1"/>
  <c r="F10300" i="1"/>
  <c r="C10300" i="1"/>
  <c r="F10299" i="1"/>
  <c r="C10299" i="1"/>
  <c r="F10298" i="1"/>
  <c r="C10298" i="1"/>
  <c r="F10297" i="1"/>
  <c r="F10296" i="1"/>
  <c r="C10296" i="1"/>
  <c r="F10295" i="1"/>
  <c r="C10295" i="1"/>
  <c r="F10294" i="1"/>
  <c r="C10294" i="1"/>
  <c r="F10293" i="1"/>
  <c r="C10293" i="1"/>
  <c r="C10292" i="1"/>
  <c r="C10291" i="1"/>
  <c r="F10290" i="1"/>
  <c r="F10289" i="1"/>
  <c r="C10289" i="1"/>
  <c r="F10288" i="1"/>
  <c r="C10288" i="1"/>
  <c r="F10287" i="1"/>
  <c r="C10287" i="1"/>
  <c r="F10286" i="1"/>
  <c r="C10286" i="1"/>
  <c r="F10285" i="1"/>
  <c r="F10284" i="1"/>
  <c r="C10284" i="1"/>
  <c r="F10283" i="1"/>
  <c r="C10283" i="1"/>
  <c r="F10282" i="1"/>
  <c r="F10281" i="1"/>
  <c r="F10280" i="1"/>
  <c r="C10280" i="1"/>
  <c r="F10279" i="1"/>
  <c r="C10279" i="1"/>
  <c r="F10278" i="1"/>
  <c r="C10278" i="1"/>
  <c r="F10277" i="1"/>
  <c r="C10277" i="1"/>
  <c r="F10276" i="1"/>
  <c r="F10275" i="1"/>
  <c r="F10274" i="1"/>
  <c r="F10273" i="1"/>
  <c r="C10273" i="1"/>
  <c r="F10272" i="1"/>
  <c r="C10272" i="1"/>
  <c r="C10271" i="1"/>
  <c r="F10270" i="1"/>
  <c r="F10269" i="1"/>
  <c r="C10269" i="1"/>
  <c r="F10268" i="1"/>
  <c r="F10267" i="1"/>
  <c r="C10267" i="1"/>
  <c r="F10266" i="1"/>
  <c r="C10266" i="1"/>
  <c r="C10265" i="1"/>
  <c r="C10264" i="1"/>
  <c r="F10263" i="1"/>
  <c r="F10262" i="1"/>
  <c r="F10261" i="1"/>
  <c r="F10260" i="1"/>
  <c r="C10260" i="1"/>
  <c r="F10259" i="1"/>
  <c r="F10258" i="1"/>
  <c r="F10257" i="1"/>
  <c r="F10256" i="1"/>
  <c r="C10256" i="1"/>
  <c r="F10255" i="1"/>
  <c r="C10255" i="1"/>
  <c r="F10254" i="1"/>
  <c r="F10253" i="1"/>
  <c r="F10252" i="1"/>
  <c r="C10252" i="1"/>
  <c r="F10251" i="1"/>
  <c r="F10250" i="1"/>
  <c r="F10249" i="1"/>
  <c r="C10249" i="1"/>
  <c r="F10248" i="1"/>
  <c r="C10248" i="1"/>
  <c r="F10247" i="1"/>
  <c r="F10246" i="1"/>
  <c r="C10246" i="1"/>
  <c r="F10245" i="1"/>
  <c r="F10244" i="1"/>
  <c r="C10244" i="1"/>
  <c r="F10243" i="1"/>
  <c r="C10243" i="1"/>
  <c r="F10242" i="1"/>
  <c r="C10242" i="1"/>
  <c r="F10240" i="1"/>
  <c r="F10239" i="1"/>
  <c r="C10239" i="1"/>
  <c r="F10238" i="1"/>
  <c r="C10238" i="1"/>
  <c r="F10237" i="1"/>
  <c r="C10237" i="1"/>
  <c r="F10236" i="1"/>
  <c r="C10236" i="1"/>
  <c r="F10234" i="1"/>
  <c r="F10233" i="1"/>
  <c r="F10232" i="1"/>
  <c r="C10232" i="1"/>
  <c r="F10231" i="1"/>
  <c r="C10231" i="1"/>
  <c r="C10230" i="1"/>
  <c r="F10229" i="1"/>
  <c r="C10229" i="1"/>
  <c r="F10228" i="1"/>
  <c r="C10228" i="1"/>
  <c r="F10227" i="1"/>
  <c r="C10227" i="1"/>
  <c r="F10226" i="1"/>
  <c r="C10226" i="1"/>
  <c r="F10225" i="1"/>
  <c r="C10224" i="1"/>
  <c r="F10223" i="1"/>
  <c r="F10222" i="1"/>
  <c r="C10222" i="1"/>
  <c r="F10221" i="1"/>
  <c r="C10221" i="1"/>
  <c r="F10220" i="1"/>
  <c r="C10220" i="1"/>
  <c r="F10219" i="1"/>
  <c r="F10218" i="1"/>
  <c r="C10218" i="1"/>
  <c r="F10217" i="1"/>
  <c r="C10217" i="1"/>
  <c r="C10216" i="1"/>
  <c r="F10215" i="1"/>
  <c r="C10215" i="1"/>
  <c r="F10214" i="1"/>
  <c r="C10214" i="1"/>
  <c r="F10213" i="1"/>
  <c r="C10213" i="1"/>
  <c r="F10212" i="1"/>
  <c r="C10212" i="1"/>
  <c r="F10211" i="1"/>
  <c r="C10211" i="1"/>
  <c r="F10210" i="1"/>
  <c r="C10210" i="1"/>
  <c r="F10209" i="1"/>
  <c r="F10208" i="1"/>
  <c r="C10208" i="1"/>
  <c r="C10207" i="1"/>
  <c r="F10206" i="1"/>
  <c r="F10205" i="1"/>
  <c r="C10205" i="1"/>
  <c r="F10204" i="1"/>
  <c r="F10203" i="1"/>
  <c r="C10203" i="1"/>
  <c r="F10202" i="1"/>
  <c r="F10201" i="1"/>
  <c r="C10201" i="1"/>
  <c r="F10200" i="1"/>
  <c r="F10199" i="1"/>
  <c r="F10198" i="1"/>
  <c r="F10197" i="1"/>
  <c r="C10197" i="1"/>
  <c r="F10196" i="1"/>
  <c r="F10195" i="1"/>
  <c r="C10195" i="1"/>
  <c r="F10194" i="1"/>
  <c r="C10194" i="1"/>
  <c r="F10193" i="1"/>
  <c r="C10193" i="1"/>
  <c r="F10192" i="1"/>
  <c r="C10192" i="1"/>
  <c r="C10191" i="1"/>
  <c r="F10190" i="1"/>
  <c r="C10190" i="1"/>
  <c r="F10189" i="1"/>
  <c r="C10189" i="1"/>
  <c r="F10188" i="1"/>
  <c r="F10187" i="1"/>
  <c r="C10187" i="1"/>
  <c r="F10186" i="1"/>
  <c r="C10186" i="1"/>
  <c r="F10185" i="1"/>
  <c r="C10185" i="1"/>
  <c r="F10184" i="1"/>
  <c r="C10183" i="1"/>
  <c r="F10182" i="1"/>
  <c r="C10182" i="1"/>
  <c r="C10181" i="1"/>
  <c r="F10180" i="1"/>
  <c r="F10179" i="1"/>
  <c r="C10179" i="1"/>
  <c r="F10178" i="1"/>
  <c r="F10177" i="1"/>
  <c r="F10176" i="1"/>
  <c r="F10175" i="1"/>
  <c r="C10175" i="1"/>
  <c r="F10174" i="1"/>
  <c r="F10173" i="1"/>
  <c r="F10172" i="1"/>
  <c r="C10172" i="1"/>
  <c r="F10171" i="1"/>
  <c r="F10170" i="1"/>
  <c r="F10168" i="1"/>
  <c r="F10167" i="1"/>
  <c r="C10167" i="1"/>
  <c r="F10166" i="1"/>
  <c r="F10165" i="1"/>
  <c r="F10164" i="1"/>
  <c r="C10164" i="1"/>
  <c r="F10163" i="1"/>
  <c r="C10163" i="1"/>
  <c r="C10162" i="1"/>
  <c r="F10161" i="1"/>
  <c r="C10161" i="1"/>
  <c r="F10160" i="1"/>
  <c r="C10160" i="1"/>
  <c r="F10159" i="1"/>
  <c r="C10159" i="1"/>
  <c r="F10158" i="1"/>
  <c r="F10157" i="1"/>
  <c r="C10157" i="1"/>
  <c r="F10156" i="1"/>
  <c r="C10156" i="1"/>
  <c r="F10155" i="1"/>
  <c r="F10154" i="1"/>
  <c r="F10153" i="1"/>
  <c r="C10153" i="1"/>
  <c r="F10152" i="1"/>
  <c r="F10151" i="1"/>
  <c r="C10151" i="1"/>
  <c r="F10150" i="1"/>
  <c r="F10149" i="1"/>
  <c r="F10148" i="1"/>
  <c r="F10147" i="1"/>
  <c r="C10147" i="1"/>
  <c r="F10146" i="1"/>
  <c r="F10145" i="1"/>
  <c r="C10145" i="1"/>
  <c r="F10144" i="1"/>
  <c r="C10144" i="1"/>
  <c r="F10143" i="1"/>
  <c r="F10142" i="1"/>
  <c r="F10141" i="1"/>
  <c r="C10141" i="1"/>
  <c r="F10140" i="1"/>
  <c r="C10140" i="1"/>
  <c r="F10139" i="1"/>
  <c r="F10138" i="1"/>
  <c r="C10138" i="1"/>
  <c r="F10137" i="1"/>
  <c r="F10136" i="1"/>
  <c r="C10136" i="1"/>
  <c r="F10135" i="1"/>
  <c r="C10135" i="1"/>
  <c r="F10134" i="1"/>
  <c r="C10134" i="1"/>
  <c r="F10133" i="1"/>
  <c r="F10131" i="1"/>
  <c r="F10130" i="1"/>
  <c r="C10130" i="1"/>
  <c r="F10129" i="1"/>
  <c r="F10128" i="1"/>
  <c r="C10128" i="1"/>
  <c r="F10127" i="1"/>
  <c r="C10127" i="1"/>
  <c r="F10126" i="1"/>
  <c r="C10126" i="1"/>
  <c r="F10125" i="1"/>
  <c r="C10125" i="1"/>
  <c r="F10124" i="1"/>
  <c r="F10123" i="1"/>
  <c r="F10122" i="1"/>
  <c r="C10122" i="1"/>
  <c r="F10121" i="1"/>
  <c r="C10121" i="1"/>
  <c r="F10120" i="1"/>
  <c r="F10119" i="1"/>
  <c r="C10119" i="1"/>
  <c r="F10118" i="1"/>
  <c r="C10118" i="1"/>
  <c r="F10117" i="1"/>
  <c r="C10117" i="1"/>
  <c r="F10116" i="1"/>
  <c r="C10116" i="1"/>
  <c r="F10115" i="1"/>
  <c r="C10115" i="1"/>
  <c r="F10114" i="1"/>
  <c r="C10114" i="1"/>
  <c r="F10113" i="1"/>
  <c r="C10113" i="1"/>
  <c r="F10112" i="1"/>
  <c r="C10112" i="1"/>
  <c r="F10111" i="1"/>
  <c r="C10111" i="1"/>
  <c r="F10110" i="1"/>
  <c r="C10110" i="1"/>
  <c r="F10109" i="1"/>
  <c r="F10108" i="1"/>
  <c r="F10107" i="1"/>
  <c r="C10107" i="1"/>
  <c r="F10106" i="1"/>
  <c r="C10106" i="1"/>
  <c r="F10105" i="1"/>
  <c r="C10105" i="1"/>
  <c r="F10104" i="1"/>
  <c r="F10103" i="1"/>
  <c r="C10103" i="1"/>
  <c r="F10100" i="1"/>
  <c r="C10100" i="1"/>
  <c r="F10099" i="1"/>
  <c r="F10098" i="1"/>
  <c r="F10097" i="1"/>
  <c r="F10096" i="1"/>
  <c r="C10096" i="1"/>
  <c r="F10095" i="1"/>
  <c r="C10095" i="1"/>
  <c r="F10094" i="1"/>
  <c r="C10094" i="1"/>
  <c r="F10093" i="1"/>
  <c r="C10093" i="1"/>
  <c r="F10092" i="1"/>
  <c r="F10091" i="1"/>
  <c r="C10091" i="1"/>
  <c r="F10090" i="1"/>
  <c r="F10089" i="1"/>
  <c r="C10089" i="1"/>
  <c r="F10088" i="1"/>
  <c r="C10088" i="1"/>
  <c r="F10087" i="1"/>
  <c r="F10086" i="1"/>
  <c r="F10085" i="1"/>
  <c r="F10084" i="1"/>
  <c r="C10084" i="1"/>
  <c r="F10083" i="1"/>
  <c r="C10083" i="1"/>
  <c r="F10082" i="1"/>
  <c r="C10082" i="1"/>
  <c r="F10081" i="1"/>
  <c r="C10081" i="1"/>
  <c r="F10080" i="1"/>
  <c r="C10080" i="1"/>
  <c r="F10079" i="1"/>
  <c r="C10079" i="1"/>
  <c r="C10078" i="1"/>
  <c r="F10077" i="1"/>
  <c r="C10077" i="1"/>
  <c r="F10076" i="1"/>
  <c r="C10076" i="1"/>
  <c r="F10075" i="1"/>
  <c r="C10075" i="1"/>
  <c r="F10074" i="1"/>
  <c r="F10073" i="1"/>
  <c r="C10073" i="1"/>
  <c r="F10072" i="1"/>
  <c r="C10072" i="1"/>
  <c r="F10071" i="1"/>
  <c r="C10071" i="1"/>
  <c r="F10070" i="1"/>
  <c r="F10069" i="1"/>
  <c r="F10068" i="1"/>
  <c r="F10067" i="1"/>
  <c r="C10067" i="1"/>
  <c r="F10066" i="1"/>
  <c r="C10066" i="1"/>
  <c r="F10065" i="1"/>
  <c r="F10064" i="1"/>
  <c r="F10063" i="1"/>
  <c r="C10063" i="1"/>
  <c r="F10062" i="1"/>
  <c r="F10061" i="1"/>
  <c r="F10060" i="1"/>
  <c r="C10060" i="1"/>
  <c r="F10059" i="1"/>
  <c r="F10058" i="1"/>
  <c r="F10057" i="1"/>
  <c r="F10056" i="1"/>
  <c r="C10056" i="1"/>
  <c r="F10055" i="1"/>
  <c r="C10055" i="1"/>
  <c r="F10053" i="1"/>
  <c r="C10053" i="1"/>
  <c r="F10052" i="1"/>
  <c r="C10052" i="1"/>
  <c r="F10051" i="1"/>
  <c r="C10051" i="1"/>
  <c r="F10050" i="1"/>
  <c r="C10050" i="1"/>
  <c r="F10049" i="1"/>
  <c r="C10049" i="1"/>
  <c r="F10048" i="1"/>
  <c r="C10048" i="1"/>
  <c r="F10047" i="1"/>
  <c r="C10047" i="1"/>
  <c r="F10046" i="1"/>
  <c r="C10046" i="1"/>
  <c r="F10045" i="1"/>
  <c r="F10044" i="1"/>
  <c r="C10044" i="1"/>
  <c r="F10043" i="1"/>
  <c r="F10042" i="1"/>
  <c r="F10041" i="1"/>
  <c r="C10041" i="1"/>
  <c r="F10040" i="1"/>
  <c r="C10040" i="1"/>
  <c r="F10039" i="1"/>
  <c r="F10038" i="1"/>
  <c r="C10038" i="1"/>
  <c r="F10037" i="1"/>
  <c r="C10037" i="1"/>
  <c r="F10036" i="1"/>
  <c r="C10036" i="1"/>
  <c r="F10035" i="1"/>
  <c r="F10034" i="1"/>
  <c r="F10033" i="1"/>
  <c r="F10032" i="1"/>
  <c r="C10032" i="1"/>
  <c r="C10031" i="1"/>
  <c r="F10030" i="1"/>
  <c r="C10030" i="1"/>
  <c r="F10029" i="1"/>
  <c r="F10028" i="1"/>
  <c r="F10027" i="1"/>
  <c r="F10026" i="1"/>
  <c r="C10026" i="1"/>
  <c r="F10025" i="1"/>
  <c r="C10025" i="1"/>
  <c r="F10024" i="1"/>
  <c r="C10024" i="1"/>
  <c r="F10023" i="1"/>
  <c r="C10022" i="1"/>
  <c r="F10021" i="1"/>
  <c r="C10021" i="1"/>
  <c r="F10020" i="1"/>
  <c r="C10020" i="1"/>
  <c r="F10019" i="1"/>
  <c r="C10019" i="1"/>
  <c r="F10018" i="1"/>
  <c r="C10018" i="1"/>
  <c r="F10017" i="1"/>
  <c r="F10016" i="1"/>
  <c r="C10016" i="1"/>
  <c r="F10015" i="1"/>
  <c r="F10014" i="1"/>
  <c r="C10014" i="1"/>
  <c r="F10013" i="1"/>
  <c r="C10013" i="1"/>
  <c r="F10012" i="1"/>
  <c r="C10012" i="1"/>
  <c r="F10011" i="1"/>
  <c r="C10011" i="1"/>
  <c r="F10010" i="1"/>
  <c r="C10010" i="1"/>
  <c r="F10009" i="1"/>
  <c r="C10009" i="1"/>
  <c r="F10008" i="1"/>
  <c r="C10008" i="1"/>
  <c r="F10007" i="1"/>
  <c r="F10006" i="1"/>
  <c r="C10006" i="1"/>
  <c r="F10005" i="1"/>
  <c r="F10004" i="1"/>
  <c r="C10004" i="1"/>
  <c r="F10003" i="1"/>
  <c r="C10003" i="1"/>
  <c r="F10002" i="1"/>
  <c r="C10002" i="1"/>
  <c r="C10001" i="1"/>
  <c r="F10000" i="1"/>
  <c r="F9999" i="1"/>
  <c r="C9999" i="1"/>
  <c r="F9998" i="1"/>
  <c r="C9998" i="1"/>
  <c r="F9997" i="1"/>
  <c r="C9997" i="1"/>
  <c r="F9996" i="1"/>
  <c r="C9996" i="1"/>
  <c r="F9995" i="1"/>
  <c r="F9994" i="1"/>
  <c r="F9993" i="1"/>
  <c r="F9992" i="1"/>
  <c r="C9992" i="1"/>
  <c r="C9991" i="1"/>
  <c r="F9990" i="1"/>
  <c r="F9989" i="1"/>
  <c r="C9989" i="1"/>
  <c r="C9987" i="1"/>
  <c r="F9986" i="1"/>
  <c r="F9985" i="1"/>
  <c r="C9985" i="1"/>
  <c r="F9984" i="1"/>
  <c r="C9984" i="1"/>
  <c r="F9983" i="1"/>
  <c r="F9982" i="1"/>
  <c r="C9982" i="1"/>
  <c r="F9981" i="1"/>
  <c r="C9981" i="1"/>
  <c r="F9980" i="1"/>
  <c r="C9980" i="1"/>
  <c r="F9979" i="1"/>
  <c r="C9979" i="1"/>
  <c r="F9977" i="1"/>
  <c r="C9977" i="1"/>
  <c r="F9976" i="1"/>
  <c r="C9975" i="1"/>
  <c r="F9974" i="1"/>
  <c r="F9973" i="1"/>
  <c r="F9972" i="1"/>
  <c r="C9972" i="1"/>
  <c r="F9971" i="1"/>
  <c r="C9971" i="1"/>
  <c r="F9970" i="1"/>
  <c r="C9970" i="1"/>
  <c r="F9969" i="1"/>
  <c r="F9968" i="1"/>
  <c r="F9967" i="1"/>
  <c r="F9966" i="1"/>
  <c r="C9966" i="1"/>
  <c r="F9964" i="1"/>
  <c r="F9963" i="1"/>
  <c r="F9962" i="1"/>
  <c r="C9962" i="1"/>
  <c r="F9961" i="1"/>
  <c r="F9960" i="1"/>
  <c r="C9960" i="1"/>
  <c r="F9958" i="1"/>
  <c r="C9958" i="1"/>
  <c r="F9957" i="1"/>
  <c r="F9956" i="1"/>
  <c r="C9956" i="1"/>
  <c r="F9954" i="1"/>
  <c r="F9953" i="1"/>
  <c r="F9952" i="1"/>
  <c r="C9952" i="1"/>
  <c r="F9951" i="1"/>
  <c r="F9950" i="1"/>
  <c r="F9949" i="1"/>
  <c r="C9949" i="1"/>
  <c r="F9948" i="1"/>
  <c r="C9948" i="1"/>
  <c r="F9947" i="1"/>
  <c r="F9946" i="1"/>
  <c r="C9946" i="1"/>
  <c r="F9945" i="1"/>
  <c r="F9944" i="1"/>
  <c r="F9943" i="1"/>
  <c r="C9943" i="1"/>
  <c r="F9942" i="1"/>
  <c r="C9942" i="1"/>
  <c r="F9941" i="1"/>
  <c r="C9941" i="1"/>
  <c r="F9940" i="1"/>
  <c r="F9939" i="1"/>
  <c r="C9939" i="1"/>
  <c r="C9938" i="1"/>
  <c r="F9937" i="1"/>
  <c r="C9937" i="1"/>
  <c r="C9936" i="1"/>
  <c r="F9935" i="1"/>
  <c r="C9935" i="1"/>
  <c r="F9934" i="1"/>
  <c r="F9933" i="1"/>
  <c r="F9932" i="1"/>
  <c r="C9931" i="1"/>
  <c r="F9930" i="1"/>
  <c r="C9930" i="1"/>
  <c r="F9929" i="1"/>
  <c r="C9929" i="1"/>
  <c r="F9928" i="1"/>
  <c r="C9928" i="1"/>
  <c r="F9927" i="1"/>
  <c r="C9927" i="1"/>
  <c r="F9926" i="1"/>
  <c r="C9926" i="1"/>
  <c r="C9925" i="1"/>
  <c r="F9924" i="1"/>
  <c r="F9923" i="1"/>
  <c r="C9923" i="1"/>
  <c r="F9922" i="1"/>
  <c r="C9921" i="1"/>
  <c r="F9920" i="1"/>
  <c r="F9919" i="1"/>
  <c r="C9919" i="1"/>
  <c r="F9918" i="1"/>
  <c r="C9918" i="1"/>
  <c r="F9917" i="1"/>
  <c r="C9917" i="1"/>
  <c r="F9916" i="1"/>
  <c r="C9916" i="1"/>
  <c r="C9915" i="1"/>
  <c r="F9914" i="1"/>
  <c r="C9914" i="1"/>
  <c r="F9913" i="1"/>
  <c r="C9913" i="1"/>
  <c r="F9912" i="1"/>
  <c r="F9911" i="1"/>
  <c r="C9911" i="1"/>
  <c r="F9910" i="1"/>
  <c r="C9910" i="1"/>
  <c r="F9909" i="1"/>
  <c r="C9909" i="1"/>
  <c r="F9908" i="1"/>
  <c r="F9907" i="1"/>
  <c r="C9907" i="1"/>
  <c r="F9906" i="1"/>
  <c r="C9906" i="1"/>
  <c r="F9905" i="1"/>
  <c r="C9905" i="1"/>
  <c r="F9904" i="1"/>
  <c r="F9903" i="1"/>
  <c r="C9903" i="1"/>
  <c r="F9902" i="1"/>
  <c r="F9900" i="1"/>
  <c r="C9900" i="1"/>
  <c r="F9898" i="1"/>
  <c r="F9897" i="1"/>
  <c r="C9897" i="1"/>
  <c r="F9896" i="1"/>
  <c r="C9896" i="1"/>
  <c r="F9895" i="1"/>
  <c r="F9894" i="1"/>
  <c r="C9894" i="1"/>
  <c r="F9893" i="1"/>
  <c r="C9893" i="1"/>
  <c r="F9892" i="1"/>
  <c r="C9892" i="1"/>
  <c r="F9891" i="1"/>
  <c r="C9891" i="1"/>
  <c r="F9890" i="1"/>
  <c r="C9890" i="1"/>
  <c r="F9889" i="1"/>
  <c r="C9889" i="1"/>
  <c r="F9888" i="1"/>
  <c r="F9887" i="1"/>
  <c r="C9887" i="1"/>
  <c r="F9886" i="1"/>
  <c r="F9885" i="1"/>
  <c r="F9884" i="1"/>
  <c r="C9884" i="1"/>
  <c r="F9883" i="1"/>
  <c r="C9883" i="1"/>
  <c r="F9882" i="1"/>
  <c r="C9882" i="1"/>
  <c r="F9881" i="1"/>
  <c r="F9880" i="1"/>
  <c r="F9879" i="1"/>
  <c r="C9879" i="1"/>
  <c r="F9878" i="1"/>
  <c r="C9878" i="1"/>
  <c r="F9877" i="1"/>
  <c r="C9877" i="1"/>
  <c r="F9876" i="1"/>
  <c r="C9876" i="1"/>
  <c r="F9875" i="1"/>
  <c r="C9875" i="1"/>
  <c r="F9874" i="1"/>
  <c r="C9874" i="1"/>
  <c r="F9873" i="1"/>
  <c r="C9873" i="1"/>
  <c r="F9872" i="1"/>
  <c r="C9872" i="1"/>
  <c r="F9871" i="1"/>
  <c r="F9869" i="1"/>
  <c r="F9868" i="1"/>
  <c r="F9867" i="1"/>
  <c r="C9867" i="1"/>
  <c r="F9866" i="1"/>
  <c r="C9866" i="1"/>
  <c r="F9865" i="1"/>
  <c r="C9865" i="1"/>
  <c r="F9864" i="1"/>
  <c r="C9864" i="1"/>
  <c r="F9863" i="1"/>
  <c r="C9863" i="1"/>
  <c r="F9862" i="1"/>
  <c r="C9862" i="1"/>
  <c r="F9861" i="1"/>
  <c r="F9860" i="1"/>
  <c r="F9859" i="1"/>
  <c r="C9859" i="1"/>
  <c r="F9858" i="1"/>
  <c r="C9858" i="1"/>
  <c r="F9857" i="1"/>
  <c r="C9857" i="1"/>
  <c r="F9856" i="1"/>
  <c r="C9856" i="1"/>
  <c r="F9855" i="1"/>
  <c r="C9855" i="1"/>
  <c r="F9854" i="1"/>
  <c r="C9854" i="1"/>
  <c r="F9853" i="1"/>
  <c r="C9853" i="1"/>
  <c r="F9852" i="1"/>
  <c r="F9851" i="1"/>
  <c r="F9850" i="1"/>
  <c r="F9849" i="1"/>
  <c r="C9849" i="1"/>
  <c r="F9848" i="1"/>
  <c r="C9848" i="1"/>
  <c r="F9847" i="1"/>
  <c r="F9846" i="1"/>
  <c r="C9846" i="1"/>
  <c r="F9845" i="1"/>
  <c r="F9844" i="1"/>
  <c r="F9843" i="1"/>
  <c r="C9843" i="1"/>
  <c r="F9842" i="1"/>
  <c r="F9841" i="1"/>
  <c r="C9841" i="1"/>
  <c r="F9840" i="1"/>
  <c r="F9839" i="1"/>
  <c r="F9838" i="1"/>
  <c r="C9838" i="1"/>
  <c r="F9837" i="1"/>
  <c r="C9837" i="1"/>
  <c r="F9836" i="1"/>
  <c r="C9836" i="1"/>
  <c r="F9835" i="1"/>
  <c r="C9835" i="1"/>
  <c r="F9834" i="1"/>
  <c r="C9834" i="1"/>
  <c r="F9833" i="1"/>
  <c r="F9832" i="1"/>
  <c r="C9832" i="1"/>
  <c r="F9831" i="1"/>
  <c r="F9830" i="1"/>
  <c r="C9830" i="1"/>
  <c r="C9829" i="1"/>
  <c r="F9828" i="1"/>
  <c r="F9827" i="1"/>
  <c r="F9826" i="1"/>
  <c r="F9825" i="1"/>
  <c r="C9825" i="1"/>
  <c r="F9824" i="1"/>
  <c r="F9823" i="1"/>
  <c r="C9823" i="1"/>
  <c r="F9822" i="1"/>
  <c r="F9821" i="1"/>
  <c r="F9820" i="1"/>
  <c r="F9819" i="1"/>
  <c r="C9819" i="1"/>
  <c r="F9818" i="1"/>
  <c r="F9817" i="1"/>
  <c r="F9816" i="1"/>
  <c r="F9814" i="1"/>
  <c r="C9814" i="1"/>
  <c r="F9813" i="1"/>
  <c r="F9812" i="1"/>
  <c r="F9811" i="1"/>
  <c r="C9811" i="1"/>
  <c r="C9810" i="1"/>
  <c r="C9809" i="1"/>
  <c r="F9808" i="1"/>
  <c r="C9808" i="1"/>
  <c r="F9807" i="1"/>
  <c r="C9807" i="1"/>
  <c r="F9806" i="1"/>
  <c r="F9805" i="1"/>
  <c r="C9805" i="1"/>
  <c r="F9804" i="1"/>
  <c r="C9804" i="1"/>
  <c r="F9803" i="1"/>
  <c r="F9802" i="1"/>
  <c r="F9801" i="1"/>
  <c r="C9801" i="1"/>
  <c r="F9800" i="1"/>
  <c r="F9799" i="1"/>
  <c r="C9799" i="1"/>
  <c r="C9798" i="1"/>
  <c r="F9797" i="1"/>
  <c r="C9797" i="1"/>
  <c r="F9796" i="1"/>
  <c r="C9796" i="1"/>
  <c r="F9795" i="1"/>
  <c r="C9795" i="1"/>
  <c r="F9794" i="1"/>
  <c r="F9793" i="1"/>
  <c r="F9792" i="1"/>
  <c r="C9792" i="1"/>
  <c r="F9791" i="1"/>
  <c r="C9791" i="1"/>
  <c r="F9790" i="1"/>
  <c r="C9790" i="1"/>
  <c r="F9789" i="1"/>
  <c r="C9789" i="1"/>
  <c r="F9788" i="1"/>
  <c r="F9787" i="1"/>
  <c r="C9787" i="1"/>
  <c r="F9786" i="1"/>
  <c r="C9786" i="1"/>
  <c r="F9785" i="1"/>
  <c r="C9784" i="1"/>
  <c r="F9783" i="1"/>
  <c r="C9783" i="1"/>
  <c r="F9782" i="1"/>
  <c r="C9782" i="1"/>
  <c r="F9781" i="1"/>
  <c r="F9780" i="1"/>
  <c r="F9779" i="1"/>
  <c r="C9779" i="1"/>
  <c r="F9778" i="1"/>
  <c r="C9778" i="1"/>
  <c r="F9777" i="1"/>
  <c r="F9776" i="1"/>
  <c r="C9776" i="1"/>
  <c r="C9775" i="1"/>
  <c r="F9774" i="1"/>
  <c r="C9774" i="1"/>
  <c r="F9773" i="1"/>
  <c r="F9772" i="1"/>
  <c r="C9772" i="1"/>
  <c r="F9771" i="1"/>
  <c r="C9771" i="1"/>
  <c r="F9770" i="1"/>
  <c r="F9769" i="1"/>
  <c r="F9768" i="1"/>
  <c r="C9768" i="1"/>
  <c r="F9767" i="1"/>
  <c r="F9766" i="1"/>
  <c r="F9765" i="1"/>
  <c r="C9765" i="1"/>
  <c r="F9764" i="1"/>
  <c r="C9764" i="1"/>
  <c r="F9763" i="1"/>
  <c r="C9763" i="1"/>
  <c r="F9761" i="1"/>
  <c r="F9760" i="1"/>
  <c r="C9760" i="1"/>
  <c r="F9759" i="1"/>
  <c r="C9759" i="1"/>
  <c r="F9758" i="1"/>
  <c r="C9758" i="1"/>
  <c r="F9757" i="1"/>
  <c r="F9756" i="1"/>
  <c r="C9756" i="1"/>
  <c r="F9755" i="1"/>
  <c r="F9754" i="1"/>
  <c r="C9754" i="1"/>
  <c r="F9752" i="1"/>
  <c r="F9751" i="1"/>
  <c r="C9751" i="1"/>
  <c r="F9750" i="1"/>
  <c r="C9750" i="1"/>
  <c r="F9749" i="1"/>
  <c r="F9748" i="1"/>
  <c r="C9748" i="1"/>
  <c r="F9747" i="1"/>
  <c r="C9747" i="1"/>
  <c r="F9746" i="1"/>
  <c r="C9746" i="1"/>
  <c r="F9745" i="1"/>
  <c r="C9745" i="1"/>
  <c r="F9744" i="1"/>
  <c r="C9744" i="1"/>
  <c r="F9743" i="1"/>
  <c r="C9743" i="1"/>
  <c r="F9742" i="1"/>
  <c r="C9742" i="1"/>
  <c r="F9741" i="1"/>
  <c r="F9740" i="1"/>
  <c r="F9739" i="1"/>
  <c r="C9739" i="1"/>
  <c r="F9738" i="1"/>
  <c r="C9738" i="1"/>
  <c r="F9737" i="1"/>
  <c r="C9737" i="1"/>
  <c r="F9736" i="1"/>
  <c r="F9735" i="1"/>
  <c r="C9735" i="1"/>
  <c r="F9734" i="1"/>
  <c r="F9733" i="1"/>
  <c r="F9732" i="1"/>
  <c r="C9732" i="1"/>
  <c r="F9731" i="1"/>
  <c r="F9730" i="1"/>
  <c r="F9729" i="1"/>
  <c r="C9729" i="1"/>
  <c r="F9728" i="1"/>
  <c r="C9728" i="1"/>
  <c r="F9727" i="1"/>
  <c r="C9727" i="1"/>
  <c r="F9726" i="1"/>
  <c r="F9725" i="1"/>
  <c r="C9725" i="1"/>
  <c r="C9724" i="1"/>
  <c r="F9723" i="1"/>
  <c r="F9722" i="1"/>
  <c r="F9721" i="1"/>
  <c r="C9721" i="1"/>
  <c r="C9719" i="1"/>
  <c r="F9718" i="1"/>
  <c r="F9717" i="1"/>
  <c r="C9717" i="1"/>
  <c r="F9716" i="1"/>
  <c r="C9716" i="1"/>
  <c r="F9715" i="1"/>
  <c r="C9715" i="1"/>
  <c r="F9714" i="1"/>
  <c r="C9714" i="1"/>
  <c r="F9713" i="1"/>
  <c r="C9713" i="1"/>
  <c r="F9712" i="1"/>
  <c r="F9711" i="1"/>
  <c r="C9711" i="1"/>
  <c r="F9710" i="1"/>
  <c r="F9709" i="1"/>
  <c r="F9708" i="1"/>
  <c r="C9708" i="1"/>
  <c r="C9707" i="1"/>
  <c r="F9706" i="1"/>
  <c r="C9706" i="1"/>
  <c r="F9705" i="1"/>
  <c r="F9704" i="1"/>
  <c r="C9704" i="1"/>
  <c r="F9703" i="1"/>
  <c r="C9703" i="1"/>
  <c r="F9702" i="1"/>
  <c r="C9702" i="1"/>
  <c r="F9701" i="1"/>
  <c r="F9700" i="1"/>
  <c r="F9699" i="1"/>
  <c r="C9699" i="1"/>
  <c r="F9698" i="1"/>
  <c r="C9698" i="1"/>
  <c r="F9697" i="1"/>
  <c r="F9696" i="1"/>
  <c r="C9696" i="1"/>
  <c r="F9695" i="1"/>
  <c r="C9695" i="1"/>
  <c r="F9694" i="1"/>
  <c r="C9694" i="1"/>
  <c r="F9693" i="1"/>
  <c r="F9692" i="1"/>
  <c r="F9691" i="1"/>
  <c r="C9691" i="1"/>
  <c r="F9690" i="1"/>
  <c r="C9690" i="1"/>
  <c r="F9689" i="1"/>
  <c r="F9688" i="1"/>
  <c r="C9688" i="1"/>
  <c r="F9687" i="1"/>
  <c r="C9687" i="1"/>
  <c r="F9686" i="1"/>
  <c r="F9685" i="1"/>
  <c r="C9685" i="1"/>
  <c r="F9684" i="1"/>
  <c r="C9684" i="1"/>
  <c r="F9683" i="1"/>
  <c r="F9682" i="1"/>
  <c r="F9681" i="1"/>
  <c r="C9681" i="1"/>
  <c r="F9680" i="1"/>
  <c r="F9679" i="1"/>
  <c r="F9678" i="1"/>
  <c r="C9678" i="1"/>
  <c r="F9677" i="1"/>
  <c r="F9676" i="1"/>
  <c r="F9675" i="1"/>
  <c r="C9675" i="1"/>
  <c r="F9674" i="1"/>
  <c r="C9674" i="1"/>
  <c r="F9673" i="1"/>
  <c r="F9672" i="1"/>
  <c r="C9672" i="1"/>
  <c r="F9671" i="1"/>
  <c r="C9671" i="1"/>
  <c r="F9670" i="1"/>
  <c r="C9670" i="1"/>
  <c r="F9669" i="1"/>
  <c r="C9669" i="1"/>
  <c r="F9668" i="1"/>
  <c r="F9667" i="1"/>
  <c r="C9667" i="1"/>
  <c r="C9666" i="1"/>
  <c r="F9665" i="1"/>
  <c r="F9664" i="1"/>
  <c r="C9664" i="1"/>
  <c r="F9663" i="1"/>
  <c r="F9662" i="1"/>
  <c r="C9662" i="1"/>
  <c r="F9661" i="1"/>
  <c r="C9661" i="1"/>
  <c r="F9660" i="1"/>
  <c r="C9660" i="1"/>
  <c r="F9659" i="1"/>
  <c r="C9659" i="1"/>
  <c r="F9658" i="1"/>
  <c r="F9657" i="1"/>
  <c r="F9656" i="1"/>
  <c r="C9656" i="1"/>
  <c r="F9655" i="1"/>
  <c r="C9655" i="1"/>
  <c r="C9654" i="1"/>
  <c r="F9653" i="1"/>
  <c r="C9653" i="1"/>
  <c r="F9651" i="1"/>
  <c r="C9651" i="1"/>
  <c r="F9650" i="1"/>
  <c r="F9649" i="1"/>
  <c r="C9649" i="1"/>
  <c r="F9648" i="1"/>
  <c r="F9647" i="1"/>
  <c r="F9646" i="1"/>
  <c r="F9645" i="1"/>
  <c r="C9645" i="1"/>
  <c r="F9644" i="1"/>
  <c r="C9644" i="1"/>
  <c r="F9643" i="1"/>
  <c r="C9643" i="1"/>
  <c r="F9642" i="1"/>
  <c r="C9642" i="1"/>
  <c r="C9641" i="1"/>
  <c r="F9640" i="1"/>
  <c r="C9640" i="1"/>
  <c r="F9639" i="1"/>
  <c r="C9639" i="1"/>
  <c r="F9638" i="1"/>
  <c r="C9638" i="1"/>
  <c r="F9637" i="1"/>
  <c r="C9637" i="1"/>
  <c r="F9636" i="1"/>
  <c r="C9636" i="1"/>
  <c r="F9635" i="1"/>
  <c r="C9634" i="1"/>
  <c r="F9633" i="1"/>
  <c r="F9632" i="1"/>
  <c r="C9632" i="1"/>
  <c r="F9631" i="1"/>
  <c r="C9631" i="1"/>
  <c r="C9630" i="1"/>
  <c r="F9629" i="1"/>
  <c r="F9628" i="1"/>
  <c r="C9628" i="1"/>
  <c r="F9627" i="1"/>
  <c r="C9627" i="1"/>
  <c r="F9625" i="1"/>
  <c r="F9624" i="1"/>
  <c r="C9623" i="1"/>
  <c r="F9622" i="1"/>
  <c r="C9622" i="1"/>
  <c r="F9621" i="1"/>
  <c r="F9620" i="1"/>
  <c r="F9619" i="1"/>
  <c r="C9619" i="1"/>
  <c r="F9618" i="1"/>
  <c r="F9617" i="1"/>
  <c r="C9617" i="1"/>
  <c r="F9616" i="1"/>
  <c r="C9616" i="1"/>
  <c r="F9615" i="1"/>
  <c r="C9615" i="1"/>
  <c r="F9614" i="1"/>
  <c r="C9614" i="1"/>
  <c r="F9613" i="1"/>
  <c r="C9613" i="1"/>
  <c r="F9612" i="1"/>
  <c r="C9612" i="1"/>
  <c r="F9611" i="1"/>
  <c r="F9610" i="1"/>
  <c r="C9610" i="1"/>
  <c r="F9608" i="1"/>
  <c r="C9608" i="1"/>
  <c r="F9607" i="1"/>
  <c r="F9606" i="1"/>
  <c r="F9605" i="1"/>
  <c r="F9604" i="1"/>
  <c r="C9604" i="1"/>
  <c r="F9603" i="1"/>
  <c r="F9602" i="1"/>
  <c r="C9602" i="1"/>
  <c r="F9601" i="1"/>
  <c r="F9600" i="1"/>
  <c r="F9599" i="1"/>
  <c r="C9599" i="1"/>
  <c r="F9598" i="1"/>
  <c r="C9598" i="1"/>
  <c r="F9597" i="1"/>
  <c r="C9597" i="1"/>
  <c r="F9596" i="1"/>
  <c r="C9596" i="1"/>
  <c r="F9595" i="1"/>
  <c r="C9595" i="1"/>
  <c r="F9594" i="1"/>
  <c r="C9594" i="1"/>
  <c r="F9593" i="1"/>
  <c r="F9592" i="1"/>
  <c r="C9592" i="1"/>
  <c r="F9591" i="1"/>
  <c r="F9590" i="1"/>
  <c r="F9589" i="1"/>
  <c r="C9589" i="1"/>
  <c r="F9588" i="1"/>
  <c r="F9587" i="1"/>
  <c r="F9586" i="1"/>
  <c r="C9586" i="1"/>
  <c r="F9585" i="1"/>
  <c r="C9585" i="1"/>
  <c r="F9584" i="1"/>
  <c r="C9584" i="1"/>
  <c r="F9583" i="1"/>
  <c r="F9582" i="1"/>
  <c r="F9581" i="1"/>
  <c r="C9581" i="1"/>
  <c r="F9580" i="1"/>
  <c r="C9580" i="1"/>
  <c r="F9578" i="1"/>
  <c r="C9578" i="1"/>
  <c r="F9577" i="1"/>
  <c r="C9577" i="1"/>
  <c r="F9576" i="1"/>
  <c r="C9576" i="1"/>
  <c r="C9575" i="1"/>
  <c r="F9574" i="1"/>
  <c r="F9573" i="1"/>
  <c r="C9573" i="1"/>
  <c r="F9572" i="1"/>
  <c r="C9572" i="1"/>
  <c r="C9571" i="1"/>
  <c r="F9570" i="1"/>
  <c r="C9570" i="1"/>
  <c r="F9569" i="1"/>
  <c r="F9568" i="1"/>
  <c r="C9568" i="1"/>
  <c r="F9567" i="1"/>
  <c r="C9567" i="1"/>
  <c r="F9566" i="1"/>
  <c r="C9566" i="1"/>
  <c r="F9565" i="1"/>
  <c r="C9565" i="1"/>
  <c r="F9564" i="1"/>
  <c r="C9564" i="1"/>
  <c r="F9563" i="1"/>
  <c r="F9562" i="1"/>
  <c r="C9562" i="1"/>
  <c r="C9561" i="1"/>
  <c r="F9560" i="1"/>
  <c r="C9560" i="1"/>
  <c r="F9559" i="1"/>
  <c r="C9559" i="1"/>
  <c r="F9558" i="1"/>
  <c r="C9558" i="1"/>
  <c r="C9557" i="1"/>
  <c r="F9555" i="1"/>
  <c r="C9555" i="1"/>
  <c r="F9554" i="1"/>
  <c r="F9553" i="1"/>
  <c r="F9552" i="1"/>
  <c r="C9552" i="1"/>
  <c r="F9551" i="1"/>
  <c r="C9551" i="1"/>
  <c r="F9550" i="1"/>
  <c r="F9549" i="1"/>
  <c r="C9549" i="1"/>
  <c r="F9548" i="1"/>
  <c r="C9548" i="1"/>
  <c r="F9547" i="1"/>
  <c r="F9546" i="1"/>
  <c r="C9546" i="1"/>
  <c r="F9545" i="1"/>
  <c r="F9544" i="1"/>
  <c r="C9544" i="1"/>
  <c r="F9543" i="1"/>
  <c r="C9543" i="1"/>
  <c r="F9542" i="1"/>
  <c r="C9542" i="1"/>
  <c r="F9541" i="1"/>
  <c r="F9540" i="1"/>
  <c r="F9539" i="1"/>
  <c r="F9538" i="1"/>
  <c r="C9538" i="1"/>
  <c r="F9537" i="1"/>
  <c r="C9537" i="1"/>
  <c r="F9536" i="1"/>
  <c r="F9535" i="1"/>
  <c r="F9534" i="1"/>
  <c r="C9533" i="1"/>
  <c r="F9532" i="1"/>
  <c r="C9532" i="1"/>
  <c r="F9531" i="1"/>
  <c r="C9531" i="1"/>
  <c r="F9530" i="1"/>
  <c r="C9530" i="1"/>
  <c r="F9529" i="1"/>
  <c r="F9528" i="1"/>
  <c r="C9528" i="1"/>
  <c r="F9527" i="1"/>
  <c r="C9527" i="1"/>
  <c r="F9526" i="1"/>
  <c r="C9526" i="1"/>
  <c r="F9525" i="1"/>
  <c r="F9524" i="1"/>
  <c r="C9524" i="1"/>
  <c r="F9523" i="1"/>
  <c r="F9522" i="1"/>
  <c r="C9522" i="1"/>
  <c r="F9521" i="1"/>
  <c r="C9521" i="1"/>
  <c r="F9520" i="1"/>
  <c r="C9520" i="1"/>
  <c r="F9519" i="1"/>
  <c r="F9518" i="1"/>
  <c r="F9517" i="1"/>
  <c r="C9517" i="1"/>
  <c r="F9516" i="1"/>
  <c r="C9516" i="1"/>
  <c r="F9515" i="1"/>
  <c r="C9515" i="1"/>
  <c r="F9514" i="1"/>
  <c r="F9513" i="1"/>
  <c r="F9512" i="1"/>
  <c r="F9511" i="1"/>
  <c r="C9511" i="1"/>
  <c r="F9510" i="1"/>
  <c r="C9510" i="1"/>
  <c r="F9509" i="1"/>
  <c r="C9509" i="1"/>
  <c r="F9508" i="1"/>
  <c r="C9508" i="1"/>
  <c r="F9507" i="1"/>
  <c r="C9507" i="1"/>
  <c r="F9506" i="1"/>
  <c r="F9505" i="1"/>
  <c r="C9505" i="1"/>
  <c r="F9504" i="1"/>
  <c r="C9504" i="1"/>
  <c r="F9503" i="1"/>
  <c r="C9503" i="1"/>
  <c r="F9502" i="1"/>
  <c r="F9501" i="1"/>
  <c r="F9500" i="1"/>
  <c r="C9500" i="1"/>
  <c r="F9499" i="1"/>
  <c r="C9499" i="1"/>
  <c r="F9498" i="1"/>
  <c r="C9498" i="1"/>
  <c r="F9497" i="1"/>
  <c r="F9496" i="1"/>
  <c r="F9495" i="1"/>
  <c r="F9494" i="1"/>
  <c r="C9494" i="1"/>
  <c r="F9493" i="1"/>
  <c r="F9492" i="1"/>
  <c r="F9491" i="1"/>
  <c r="C9491" i="1"/>
  <c r="F9490" i="1"/>
  <c r="F9489" i="1"/>
  <c r="C9489" i="1"/>
  <c r="F9488" i="1"/>
  <c r="C9488" i="1"/>
  <c r="F9487" i="1"/>
  <c r="C9487" i="1"/>
  <c r="F9486" i="1"/>
  <c r="F9485" i="1"/>
  <c r="F9484" i="1"/>
  <c r="C9484" i="1"/>
  <c r="F9483" i="1"/>
  <c r="C9483" i="1"/>
  <c r="F9482" i="1"/>
  <c r="C9482" i="1"/>
  <c r="F9481" i="1"/>
  <c r="C9481" i="1"/>
  <c r="F9480" i="1"/>
  <c r="F9479" i="1"/>
  <c r="F9478" i="1"/>
  <c r="F9477" i="1"/>
  <c r="C9477" i="1"/>
  <c r="F9476" i="1"/>
  <c r="C9476" i="1"/>
  <c r="F9475" i="1"/>
  <c r="C9475" i="1"/>
  <c r="F9474" i="1"/>
  <c r="F9473" i="1"/>
  <c r="F9472" i="1"/>
  <c r="F9471" i="1"/>
  <c r="F9470" i="1"/>
  <c r="F9469" i="1"/>
  <c r="C9469" i="1"/>
  <c r="F9468" i="1"/>
  <c r="C9468" i="1"/>
  <c r="F9467" i="1"/>
  <c r="C9467" i="1"/>
  <c r="F9466" i="1"/>
  <c r="C9466" i="1"/>
  <c r="F9465" i="1"/>
  <c r="C9465" i="1"/>
  <c r="F9464" i="1"/>
  <c r="F9463" i="1"/>
  <c r="C9463" i="1"/>
  <c r="F9462" i="1"/>
  <c r="F9461" i="1"/>
  <c r="F9460" i="1"/>
  <c r="C9460" i="1"/>
  <c r="F9459" i="1"/>
  <c r="C9459" i="1"/>
  <c r="F9458" i="1"/>
  <c r="C9458" i="1"/>
  <c r="C9457" i="1"/>
  <c r="C9456" i="1"/>
  <c r="C9455" i="1"/>
  <c r="C9454" i="1"/>
  <c r="F9453" i="1"/>
  <c r="C9453" i="1"/>
  <c r="F9452" i="1"/>
  <c r="C9452" i="1"/>
  <c r="F9451" i="1"/>
  <c r="F9450" i="1"/>
  <c r="C9450" i="1"/>
  <c r="F9449" i="1"/>
  <c r="C9449" i="1"/>
  <c r="F9448" i="1"/>
  <c r="F9447" i="1"/>
  <c r="C9447" i="1"/>
  <c r="F9446" i="1"/>
  <c r="F9445" i="1"/>
  <c r="C9445" i="1"/>
  <c r="F9444" i="1"/>
  <c r="F9443" i="1"/>
  <c r="C9443" i="1"/>
  <c r="F9442" i="1"/>
  <c r="F9441" i="1"/>
  <c r="F9440" i="1"/>
  <c r="C9440" i="1"/>
  <c r="F9439" i="1"/>
  <c r="C9439" i="1"/>
  <c r="F9438" i="1"/>
  <c r="C9438" i="1"/>
  <c r="F9437" i="1"/>
  <c r="C9437" i="1"/>
  <c r="F9436" i="1"/>
  <c r="C9436" i="1"/>
  <c r="F9435" i="1"/>
  <c r="C9435" i="1"/>
  <c r="F9434" i="1"/>
  <c r="C9434" i="1"/>
  <c r="F9433" i="1"/>
  <c r="C9433" i="1"/>
  <c r="F9432" i="1"/>
  <c r="F9431" i="1"/>
  <c r="C9431" i="1"/>
  <c r="F9430" i="1"/>
  <c r="C9430" i="1"/>
  <c r="F9429" i="1"/>
  <c r="C9429" i="1"/>
  <c r="F9428" i="1"/>
  <c r="F9427" i="1"/>
  <c r="F9426" i="1"/>
  <c r="F9425" i="1"/>
  <c r="C9425" i="1"/>
  <c r="F9424" i="1"/>
  <c r="C9423" i="1"/>
  <c r="F9422" i="1"/>
  <c r="F9420" i="1"/>
  <c r="C9420" i="1"/>
  <c r="F9419" i="1"/>
  <c r="F9418" i="1"/>
  <c r="F9417" i="1"/>
  <c r="C9417" i="1"/>
  <c r="F9416" i="1"/>
  <c r="C9416" i="1"/>
  <c r="F9415" i="1"/>
  <c r="C9415" i="1"/>
  <c r="F9414" i="1"/>
  <c r="C9414" i="1"/>
  <c r="F9413" i="1"/>
  <c r="C9413" i="1"/>
  <c r="F9412" i="1"/>
  <c r="C9412" i="1"/>
  <c r="F9411" i="1"/>
  <c r="C9411" i="1"/>
  <c r="F9410" i="1"/>
  <c r="C9410" i="1"/>
  <c r="F9409" i="1"/>
  <c r="F9408" i="1"/>
  <c r="C9408" i="1"/>
  <c r="F9407" i="1"/>
  <c r="C9407" i="1"/>
  <c r="F9406" i="1"/>
  <c r="C9406" i="1"/>
  <c r="F9405" i="1"/>
  <c r="C9405" i="1"/>
  <c r="F9404" i="1"/>
  <c r="F9403" i="1"/>
  <c r="C9403" i="1"/>
  <c r="F9402" i="1"/>
  <c r="C9402" i="1"/>
  <c r="C9401" i="1"/>
  <c r="F9400" i="1"/>
  <c r="C9400" i="1"/>
  <c r="F9399" i="1"/>
  <c r="F9398" i="1"/>
  <c r="F9397" i="1"/>
  <c r="F9396" i="1"/>
  <c r="C9396" i="1"/>
  <c r="F9395" i="1"/>
  <c r="C9395" i="1"/>
  <c r="F9394" i="1"/>
  <c r="C9394" i="1"/>
  <c r="F9393" i="1"/>
  <c r="C9393" i="1"/>
  <c r="F9392" i="1"/>
  <c r="F9391" i="1"/>
  <c r="C9391" i="1"/>
  <c r="F9390" i="1"/>
  <c r="C9390" i="1"/>
  <c r="F9389" i="1"/>
  <c r="C9389" i="1"/>
  <c r="F9388" i="1"/>
  <c r="C9387" i="1"/>
  <c r="F9386" i="1"/>
  <c r="C9386" i="1"/>
  <c r="F9385" i="1"/>
  <c r="C9385" i="1"/>
  <c r="F9384" i="1"/>
  <c r="C9384" i="1"/>
  <c r="F9383" i="1"/>
  <c r="C9383" i="1"/>
  <c r="F9381" i="1"/>
  <c r="F9380" i="1"/>
  <c r="C9380" i="1"/>
  <c r="F9379" i="1"/>
  <c r="C9379" i="1"/>
  <c r="F9378" i="1"/>
  <c r="F9377" i="1"/>
  <c r="C9377" i="1"/>
  <c r="F9376" i="1"/>
  <c r="C9376" i="1"/>
  <c r="F9375" i="1"/>
  <c r="C9375" i="1"/>
  <c r="F9374" i="1"/>
  <c r="C9374" i="1"/>
  <c r="F9373" i="1"/>
  <c r="C9373" i="1"/>
  <c r="F9372" i="1"/>
  <c r="C9372" i="1"/>
  <c r="F9371" i="1"/>
  <c r="C9371" i="1"/>
  <c r="F9370" i="1"/>
  <c r="C9370" i="1"/>
  <c r="F9369" i="1"/>
  <c r="C9369" i="1"/>
  <c r="F9368" i="1"/>
  <c r="F9367" i="1"/>
  <c r="F9366" i="1"/>
  <c r="F9365" i="1"/>
  <c r="F9364" i="1"/>
  <c r="C9364" i="1"/>
  <c r="F9363" i="1"/>
  <c r="F9362" i="1"/>
  <c r="C9362" i="1"/>
  <c r="F9361" i="1"/>
  <c r="C9361" i="1"/>
  <c r="F9360" i="1"/>
  <c r="C9360" i="1"/>
  <c r="F9359" i="1"/>
  <c r="C9359" i="1"/>
  <c r="F9358" i="1"/>
  <c r="C9358" i="1"/>
  <c r="F9357" i="1"/>
  <c r="F9355" i="1"/>
  <c r="C9355" i="1"/>
  <c r="F9354" i="1"/>
  <c r="F9353" i="1"/>
  <c r="F9352" i="1"/>
  <c r="C9352" i="1"/>
  <c r="F9351" i="1"/>
  <c r="F9350" i="1"/>
  <c r="C9349" i="1"/>
  <c r="F9348" i="1"/>
  <c r="C9348" i="1"/>
  <c r="F9347" i="1"/>
  <c r="C9347" i="1"/>
  <c r="F9346" i="1"/>
  <c r="F9345" i="1"/>
  <c r="F9344" i="1"/>
  <c r="F9343" i="1"/>
  <c r="F9342" i="1"/>
  <c r="F9341" i="1"/>
  <c r="C9341" i="1"/>
  <c r="F9340" i="1"/>
  <c r="F9339" i="1"/>
  <c r="C9339" i="1"/>
  <c r="F9338" i="1"/>
  <c r="F9337" i="1"/>
  <c r="C9337" i="1"/>
  <c r="F9336" i="1"/>
  <c r="C9336" i="1"/>
  <c r="F9335" i="1"/>
  <c r="F9334" i="1"/>
  <c r="C9334" i="1"/>
  <c r="F9333" i="1"/>
  <c r="F9332" i="1"/>
  <c r="F9331" i="1"/>
  <c r="C9331" i="1"/>
  <c r="F9330" i="1"/>
  <c r="C9330" i="1"/>
  <c r="F9329" i="1"/>
  <c r="F9328" i="1"/>
  <c r="C9328" i="1"/>
  <c r="F9327" i="1"/>
  <c r="C9327" i="1"/>
  <c r="F9326" i="1"/>
  <c r="C9326" i="1"/>
  <c r="F9325" i="1"/>
  <c r="C9325" i="1"/>
  <c r="F9324" i="1"/>
  <c r="F9323" i="1"/>
  <c r="C9323" i="1"/>
  <c r="F9322" i="1"/>
  <c r="C9322" i="1"/>
  <c r="F9321" i="1"/>
  <c r="C9321" i="1"/>
  <c r="F9320" i="1"/>
  <c r="C9320" i="1"/>
  <c r="F9319" i="1"/>
  <c r="F9318" i="1"/>
  <c r="F9317" i="1"/>
  <c r="F9316" i="1"/>
  <c r="F9315" i="1"/>
  <c r="F9314" i="1"/>
  <c r="F9313" i="1"/>
  <c r="C9313" i="1"/>
  <c r="F9312" i="1"/>
  <c r="C9312" i="1"/>
  <c r="F9311" i="1"/>
  <c r="C9311" i="1"/>
  <c r="F9310" i="1"/>
  <c r="F9309" i="1"/>
  <c r="C9309" i="1"/>
  <c r="F9308" i="1"/>
  <c r="F9307" i="1"/>
  <c r="F9306" i="1"/>
  <c r="C9306" i="1"/>
  <c r="F9305" i="1"/>
  <c r="F9304" i="1"/>
  <c r="F9303" i="1"/>
  <c r="F9302" i="1"/>
  <c r="F9301" i="1"/>
  <c r="C9301" i="1"/>
  <c r="F9300" i="1"/>
  <c r="C9300" i="1"/>
  <c r="F9299" i="1"/>
  <c r="C9299" i="1"/>
  <c r="F9298" i="1"/>
  <c r="C9298" i="1"/>
  <c r="F9297" i="1"/>
  <c r="C9297" i="1"/>
  <c r="F9296" i="1"/>
  <c r="F9294" i="1"/>
  <c r="C9294" i="1"/>
  <c r="F9293" i="1"/>
  <c r="C9293" i="1"/>
  <c r="F9292" i="1"/>
  <c r="F9291" i="1"/>
  <c r="C9291" i="1"/>
  <c r="F9290" i="1"/>
  <c r="C9290" i="1"/>
  <c r="F9289" i="1"/>
  <c r="C9289" i="1"/>
  <c r="F9287" i="1"/>
  <c r="C9287" i="1"/>
  <c r="F9286" i="1"/>
  <c r="F9285" i="1"/>
  <c r="C9285" i="1"/>
  <c r="F9284" i="1"/>
  <c r="F9283" i="1"/>
  <c r="C9283" i="1"/>
  <c r="F9282" i="1"/>
  <c r="F9281" i="1"/>
  <c r="C9281" i="1"/>
  <c r="F9280" i="1"/>
  <c r="C9280" i="1"/>
  <c r="F9279" i="1"/>
  <c r="F9278" i="1"/>
  <c r="C9278" i="1"/>
  <c r="F9277" i="1"/>
  <c r="F9276" i="1"/>
  <c r="C9276" i="1"/>
  <c r="F9274" i="1"/>
  <c r="C9274" i="1"/>
  <c r="F9273" i="1"/>
  <c r="C9273" i="1"/>
  <c r="F9272" i="1"/>
  <c r="C9272" i="1"/>
  <c r="F9271" i="1"/>
  <c r="C9271" i="1"/>
  <c r="F9270" i="1"/>
  <c r="F9269" i="1"/>
  <c r="C9269" i="1"/>
  <c r="F9268" i="1"/>
  <c r="F9267" i="1"/>
  <c r="F9266" i="1"/>
  <c r="F9265" i="1"/>
  <c r="F9264" i="1"/>
  <c r="F9263" i="1"/>
  <c r="C9263" i="1"/>
  <c r="F9262" i="1"/>
  <c r="C9262" i="1"/>
  <c r="F9261" i="1"/>
  <c r="F9260" i="1"/>
  <c r="C9260" i="1"/>
  <c r="F9259" i="1"/>
  <c r="C9259" i="1"/>
  <c r="F9258" i="1"/>
  <c r="C9258" i="1"/>
  <c r="F9257" i="1"/>
  <c r="F9256" i="1"/>
  <c r="F9255" i="1"/>
  <c r="F9254" i="1"/>
  <c r="F9253" i="1"/>
  <c r="F9252" i="1"/>
  <c r="F9251" i="1"/>
  <c r="C9251" i="1"/>
  <c r="F9250" i="1"/>
  <c r="F9249" i="1"/>
  <c r="F9248" i="1"/>
  <c r="F9247" i="1"/>
  <c r="F9246" i="1"/>
  <c r="C9246" i="1"/>
  <c r="F9245" i="1"/>
  <c r="F9244" i="1"/>
  <c r="F9243" i="1"/>
  <c r="F9242" i="1"/>
  <c r="F9241" i="1"/>
  <c r="C9241" i="1"/>
  <c r="F9240" i="1"/>
  <c r="F9239" i="1"/>
  <c r="C9239" i="1"/>
  <c r="F9238" i="1"/>
  <c r="C9238" i="1"/>
  <c r="F9237" i="1"/>
  <c r="C9236" i="1"/>
  <c r="F9235" i="1"/>
  <c r="C9235" i="1"/>
  <c r="F9234" i="1"/>
  <c r="C9234" i="1"/>
  <c r="F9233" i="1"/>
  <c r="F9231" i="1"/>
  <c r="C9231" i="1"/>
  <c r="F9230" i="1"/>
  <c r="C9230" i="1"/>
  <c r="F9229" i="1"/>
  <c r="C9227" i="1"/>
  <c r="C9226" i="1"/>
  <c r="F9225" i="1"/>
  <c r="F9224" i="1"/>
  <c r="C9224" i="1"/>
  <c r="F9223" i="1"/>
  <c r="F9222" i="1"/>
  <c r="C9222" i="1"/>
  <c r="F9221" i="1"/>
  <c r="F9220" i="1"/>
  <c r="C9220" i="1"/>
  <c r="F9219" i="1"/>
  <c r="C9219" i="1"/>
  <c r="F9218" i="1"/>
  <c r="F9217" i="1"/>
  <c r="C9217" i="1"/>
  <c r="F9216" i="1"/>
  <c r="C9216" i="1"/>
  <c r="F9215" i="1"/>
  <c r="C9215" i="1"/>
  <c r="F9214" i="1"/>
  <c r="F9213" i="1"/>
  <c r="F9212" i="1"/>
  <c r="F9211" i="1"/>
  <c r="F9210" i="1"/>
  <c r="F9209" i="1"/>
  <c r="C9209" i="1"/>
  <c r="C9208" i="1"/>
  <c r="F9207" i="1"/>
  <c r="F9206" i="1"/>
  <c r="C9206" i="1"/>
  <c r="F9205" i="1"/>
  <c r="F9204" i="1"/>
  <c r="F9202" i="1"/>
  <c r="F9201" i="1"/>
  <c r="C9201" i="1"/>
  <c r="F9200" i="1"/>
  <c r="C9200" i="1"/>
  <c r="F9199" i="1"/>
  <c r="F9198" i="1"/>
  <c r="C9197" i="1"/>
  <c r="F9196" i="1"/>
  <c r="C9196" i="1"/>
  <c r="F9195" i="1"/>
  <c r="C9195" i="1"/>
  <c r="F9194" i="1"/>
  <c r="F9193" i="1"/>
  <c r="F9192" i="1"/>
  <c r="C9191" i="1"/>
  <c r="F9190" i="1"/>
  <c r="C9190" i="1"/>
  <c r="C9189" i="1"/>
  <c r="F9188" i="1"/>
  <c r="C9188" i="1"/>
  <c r="F9187" i="1"/>
  <c r="F9186" i="1"/>
  <c r="F9185" i="1"/>
  <c r="F9184" i="1"/>
  <c r="C9184" i="1"/>
  <c r="F9183" i="1"/>
  <c r="C9183" i="1"/>
  <c r="F9182" i="1"/>
  <c r="F9181" i="1"/>
  <c r="C9180" i="1"/>
  <c r="F9179" i="1"/>
  <c r="C9179" i="1"/>
  <c r="F9178" i="1"/>
  <c r="C9178" i="1"/>
  <c r="C9177" i="1"/>
  <c r="F9176" i="1"/>
  <c r="C9176" i="1"/>
  <c r="F9175" i="1"/>
  <c r="C9175" i="1"/>
  <c r="F9174" i="1"/>
  <c r="C9174" i="1"/>
  <c r="F9173" i="1"/>
  <c r="C9173" i="1"/>
  <c r="F9172" i="1"/>
  <c r="C9172" i="1"/>
  <c r="F9171" i="1"/>
  <c r="F9170" i="1"/>
  <c r="C9170" i="1"/>
  <c r="F9169" i="1"/>
  <c r="C9169" i="1"/>
  <c r="F9168" i="1"/>
  <c r="C9168" i="1"/>
  <c r="F9167" i="1"/>
  <c r="C9167" i="1"/>
  <c r="F9166" i="1"/>
  <c r="C9166" i="1"/>
  <c r="F9165" i="1"/>
  <c r="C9165" i="1"/>
  <c r="F9164" i="1"/>
  <c r="C9164" i="1"/>
  <c r="F9163" i="1"/>
  <c r="C9163" i="1"/>
  <c r="F9162" i="1"/>
  <c r="C9162" i="1"/>
  <c r="F9161" i="1"/>
  <c r="C9161" i="1"/>
  <c r="F9160" i="1"/>
  <c r="F9159" i="1"/>
  <c r="C9159" i="1"/>
  <c r="F9158" i="1"/>
  <c r="C9158" i="1"/>
  <c r="F9157" i="1"/>
  <c r="C9157" i="1"/>
  <c r="F9156" i="1"/>
  <c r="C9156" i="1"/>
  <c r="F9155" i="1"/>
  <c r="C9155" i="1"/>
  <c r="F9154" i="1"/>
  <c r="F9153" i="1"/>
  <c r="C9153" i="1"/>
  <c r="C9152" i="1"/>
  <c r="C9151" i="1"/>
  <c r="F9150" i="1"/>
  <c r="C9150" i="1"/>
  <c r="F9149" i="1"/>
  <c r="F9148" i="1"/>
  <c r="F9147" i="1"/>
  <c r="F9146" i="1"/>
  <c r="C9146" i="1"/>
  <c r="F9145" i="1"/>
  <c r="F9144" i="1"/>
  <c r="F9143" i="1"/>
  <c r="F9142" i="1"/>
  <c r="C9141" i="1"/>
  <c r="F9140" i="1"/>
  <c r="C9140" i="1"/>
  <c r="F9139" i="1"/>
  <c r="F9138" i="1"/>
  <c r="C9138" i="1"/>
  <c r="F9137" i="1"/>
  <c r="F9136" i="1"/>
  <c r="F9135" i="1"/>
  <c r="C9135" i="1"/>
  <c r="F9134" i="1"/>
  <c r="C9134" i="1"/>
  <c r="F9133" i="1"/>
  <c r="F9132" i="1"/>
  <c r="C9132" i="1"/>
  <c r="C9131" i="1"/>
  <c r="F9130" i="1"/>
  <c r="C9130" i="1"/>
  <c r="F9129" i="1"/>
  <c r="C9129" i="1"/>
  <c r="F9127" i="1"/>
  <c r="C9127" i="1"/>
  <c r="F9126" i="1"/>
  <c r="C9126" i="1"/>
  <c r="F9125" i="1"/>
  <c r="C9125" i="1"/>
  <c r="C9124" i="1"/>
  <c r="F9123" i="1"/>
  <c r="C9123" i="1"/>
  <c r="F9122" i="1"/>
  <c r="F9121" i="1"/>
  <c r="C9121" i="1"/>
  <c r="F9120" i="1"/>
  <c r="F9119" i="1"/>
  <c r="C9119" i="1"/>
  <c r="F9118" i="1"/>
  <c r="F9117" i="1"/>
  <c r="C9117" i="1"/>
  <c r="F9116" i="1"/>
  <c r="C9116" i="1"/>
  <c r="F9115" i="1"/>
  <c r="C9115" i="1"/>
  <c r="F9114" i="1"/>
  <c r="C9114" i="1"/>
  <c r="F9113" i="1"/>
  <c r="C9113" i="1"/>
  <c r="F9112" i="1"/>
  <c r="F9111" i="1"/>
  <c r="F9110" i="1"/>
  <c r="C9110" i="1"/>
  <c r="F9109" i="1"/>
  <c r="C9109" i="1"/>
  <c r="F9108" i="1"/>
  <c r="C9108" i="1"/>
  <c r="C9107" i="1"/>
  <c r="F9106" i="1"/>
  <c r="F9105" i="1"/>
  <c r="F9104" i="1"/>
  <c r="F9103" i="1"/>
  <c r="F9102" i="1"/>
  <c r="F9101" i="1"/>
  <c r="C9101" i="1"/>
  <c r="F9100" i="1"/>
  <c r="F9099" i="1"/>
  <c r="F9098" i="1"/>
  <c r="F9097" i="1"/>
  <c r="F9096" i="1"/>
  <c r="F9095" i="1"/>
  <c r="F9093" i="1"/>
  <c r="C9093" i="1"/>
  <c r="F9092" i="1"/>
  <c r="C9092" i="1"/>
  <c r="F9091" i="1"/>
  <c r="C9091" i="1"/>
  <c r="F9090" i="1"/>
  <c r="C9090" i="1"/>
  <c r="F9089" i="1"/>
  <c r="C9089" i="1"/>
  <c r="F9088" i="1"/>
  <c r="F9087" i="1"/>
  <c r="F9086" i="1"/>
  <c r="F9085" i="1"/>
  <c r="F9084" i="1"/>
  <c r="F9083" i="1"/>
  <c r="F9082" i="1"/>
  <c r="F9081" i="1"/>
  <c r="C9081" i="1"/>
  <c r="F9080" i="1"/>
  <c r="F9079" i="1"/>
  <c r="C9079" i="1"/>
  <c r="F9078" i="1"/>
  <c r="C9078" i="1"/>
  <c r="F9077" i="1"/>
  <c r="F9076" i="1"/>
  <c r="C9076" i="1"/>
  <c r="F9075" i="1"/>
  <c r="F9074" i="1"/>
  <c r="C9074" i="1"/>
  <c r="F9073" i="1"/>
  <c r="F9072" i="1"/>
  <c r="C9072" i="1"/>
  <c r="F9070" i="1"/>
  <c r="C9070" i="1"/>
  <c r="F9069" i="1"/>
  <c r="F9068" i="1"/>
  <c r="C9068" i="1"/>
  <c r="F9067" i="1"/>
  <c r="F9066" i="1"/>
  <c r="F9065" i="1"/>
  <c r="F9064" i="1"/>
  <c r="F9063" i="1"/>
  <c r="C9063" i="1"/>
  <c r="F9062" i="1"/>
  <c r="C9061" i="1"/>
  <c r="F9060" i="1"/>
  <c r="C9060" i="1"/>
  <c r="F9059" i="1"/>
  <c r="C9059" i="1"/>
  <c r="F9058" i="1"/>
  <c r="F9057" i="1"/>
  <c r="F9056" i="1"/>
  <c r="F9055" i="1"/>
  <c r="F9054" i="1"/>
  <c r="C9054" i="1"/>
  <c r="F9053" i="1"/>
  <c r="C9053" i="1"/>
  <c r="F9052" i="1"/>
  <c r="F9051" i="1"/>
  <c r="C9051" i="1"/>
  <c r="F9050" i="1"/>
  <c r="F9049" i="1"/>
  <c r="F9048" i="1"/>
  <c r="F9047" i="1"/>
  <c r="C9047" i="1"/>
  <c r="F9046" i="1"/>
  <c r="F9045" i="1"/>
  <c r="C9045" i="1"/>
  <c r="F9044" i="1"/>
  <c r="F9043" i="1"/>
  <c r="C9043" i="1"/>
  <c r="F9042" i="1"/>
  <c r="F9041" i="1"/>
  <c r="C9041" i="1"/>
  <c r="F9040" i="1"/>
  <c r="C9040" i="1"/>
  <c r="F9039" i="1"/>
  <c r="F9038" i="1"/>
  <c r="F9037" i="1"/>
  <c r="C9037" i="1"/>
  <c r="F9036" i="1"/>
  <c r="C9036" i="1"/>
  <c r="F9035" i="1"/>
  <c r="F9034" i="1"/>
  <c r="C9034" i="1"/>
  <c r="F9033" i="1"/>
  <c r="F9032" i="1"/>
  <c r="F9031" i="1"/>
  <c r="C9031" i="1"/>
  <c r="F9030" i="1"/>
  <c r="C9030" i="1"/>
  <c r="F9029" i="1"/>
  <c r="C9029" i="1"/>
  <c r="F9028" i="1"/>
  <c r="F9027" i="1"/>
  <c r="C9027" i="1"/>
  <c r="F9026" i="1"/>
  <c r="F9025" i="1"/>
  <c r="C9025" i="1"/>
  <c r="F9024" i="1"/>
  <c r="C9024" i="1"/>
  <c r="F9023" i="1"/>
  <c r="F9022" i="1"/>
  <c r="C9022" i="1"/>
  <c r="F9021" i="1"/>
  <c r="C9021" i="1"/>
  <c r="F9020" i="1"/>
  <c r="C9020" i="1"/>
  <c r="F9019" i="1"/>
  <c r="C9019" i="1"/>
  <c r="F9018" i="1"/>
  <c r="C9018" i="1"/>
  <c r="F9017" i="1"/>
  <c r="C9017" i="1"/>
  <c r="F9016" i="1"/>
  <c r="C9016" i="1"/>
  <c r="F9015" i="1"/>
  <c r="C9015" i="1"/>
  <c r="F9014" i="1"/>
  <c r="C9014" i="1"/>
  <c r="F9013" i="1"/>
  <c r="F9012" i="1"/>
  <c r="C9012" i="1"/>
  <c r="F9011" i="1"/>
  <c r="C9011" i="1"/>
  <c r="F9010" i="1"/>
  <c r="C9010" i="1"/>
  <c r="F9009" i="1"/>
  <c r="F9008" i="1"/>
  <c r="F9007" i="1"/>
  <c r="C9007" i="1"/>
  <c r="F9006" i="1"/>
  <c r="F9005" i="1"/>
  <c r="F9004" i="1"/>
  <c r="C9004" i="1"/>
  <c r="F9003" i="1"/>
  <c r="F9002" i="1"/>
  <c r="C9002" i="1"/>
  <c r="F9001" i="1"/>
  <c r="F9000" i="1"/>
  <c r="C9000" i="1"/>
  <c r="F8999" i="1"/>
  <c r="C8999" i="1"/>
  <c r="F8998" i="1"/>
  <c r="C8998" i="1"/>
  <c r="F8997" i="1"/>
  <c r="F8996" i="1"/>
  <c r="C8996" i="1"/>
  <c r="F8995" i="1"/>
  <c r="C8995" i="1"/>
  <c r="F8994" i="1"/>
  <c r="C8994" i="1"/>
  <c r="F8993" i="1"/>
  <c r="C8992" i="1"/>
  <c r="F8991" i="1"/>
  <c r="C8991" i="1"/>
  <c r="F8990" i="1"/>
  <c r="C8990" i="1"/>
  <c r="F8989" i="1"/>
  <c r="C8989" i="1"/>
  <c r="F8988" i="1"/>
  <c r="C8988" i="1"/>
  <c r="F8987" i="1"/>
  <c r="C8987" i="1"/>
  <c r="F8986" i="1"/>
  <c r="C8986" i="1"/>
  <c r="F8985" i="1"/>
  <c r="F8984" i="1"/>
  <c r="F8983" i="1"/>
  <c r="C8983" i="1"/>
  <c r="F8982" i="1"/>
  <c r="C8982" i="1"/>
  <c r="F8981" i="1"/>
  <c r="F8980" i="1"/>
  <c r="F8979" i="1"/>
  <c r="C8979" i="1"/>
  <c r="F8977" i="1"/>
  <c r="C8977" i="1"/>
  <c r="F8976" i="1"/>
  <c r="F8975" i="1"/>
  <c r="C8975" i="1"/>
  <c r="F8974" i="1"/>
  <c r="C8974" i="1"/>
  <c r="F8973" i="1"/>
  <c r="C8973" i="1"/>
  <c r="F8972" i="1"/>
  <c r="C8972" i="1"/>
  <c r="F8971" i="1"/>
  <c r="C8971" i="1"/>
  <c r="F8970" i="1"/>
  <c r="C8970" i="1"/>
  <c r="F8969" i="1"/>
  <c r="C8969" i="1"/>
  <c r="F8968" i="1"/>
  <c r="C8968" i="1"/>
  <c r="F8967" i="1"/>
  <c r="F8966" i="1"/>
  <c r="C8966" i="1"/>
  <c r="F8965" i="1"/>
  <c r="F8964" i="1"/>
  <c r="C8964" i="1"/>
  <c r="F8963" i="1"/>
  <c r="C8963" i="1"/>
  <c r="F8962" i="1"/>
  <c r="C8962" i="1"/>
  <c r="F8961" i="1"/>
  <c r="C8961" i="1"/>
  <c r="F8960" i="1"/>
  <c r="C8960" i="1"/>
  <c r="C8959" i="1"/>
  <c r="F8958" i="1"/>
  <c r="C8958" i="1"/>
  <c r="F8957" i="1"/>
  <c r="C8957" i="1"/>
  <c r="F8956" i="1"/>
  <c r="C8956" i="1"/>
  <c r="C8955" i="1"/>
  <c r="F8954" i="1"/>
  <c r="C8954" i="1"/>
  <c r="F8953" i="1"/>
  <c r="F8952" i="1"/>
  <c r="F8951" i="1"/>
  <c r="F8950" i="1"/>
  <c r="C8950" i="1"/>
  <c r="F8949" i="1"/>
  <c r="C8949" i="1"/>
  <c r="F8948" i="1"/>
  <c r="C8948" i="1"/>
  <c r="F8947" i="1"/>
  <c r="F8946" i="1"/>
  <c r="F8945" i="1"/>
  <c r="C8945" i="1"/>
  <c r="F8944" i="1"/>
  <c r="F8943" i="1"/>
  <c r="C8943" i="1"/>
  <c r="F8942" i="1"/>
  <c r="C8942" i="1"/>
  <c r="F8941" i="1"/>
  <c r="C8941" i="1"/>
  <c r="F8940" i="1"/>
  <c r="C8940" i="1"/>
  <c r="F8939" i="1"/>
  <c r="C8939" i="1"/>
  <c r="F8938" i="1"/>
  <c r="F8937" i="1"/>
  <c r="F8936" i="1"/>
  <c r="C8936" i="1"/>
  <c r="F8935" i="1"/>
  <c r="C8935" i="1"/>
  <c r="F8934" i="1"/>
  <c r="C8934" i="1"/>
  <c r="F8933" i="1"/>
  <c r="C8933" i="1"/>
  <c r="F8932" i="1"/>
  <c r="C8932" i="1"/>
  <c r="F8931" i="1"/>
  <c r="C8930" i="1"/>
  <c r="F8929" i="1"/>
  <c r="C8929" i="1"/>
  <c r="F8928" i="1"/>
  <c r="C8928" i="1"/>
  <c r="F8927" i="1"/>
  <c r="C8927" i="1"/>
  <c r="F8926" i="1"/>
  <c r="C8926" i="1"/>
  <c r="F8925" i="1"/>
  <c r="C8925" i="1"/>
  <c r="F8924" i="1"/>
  <c r="C8924" i="1"/>
  <c r="F8923" i="1"/>
  <c r="C8923" i="1"/>
  <c r="F8921" i="1"/>
  <c r="C8921" i="1"/>
  <c r="F8920" i="1"/>
  <c r="C8920" i="1"/>
  <c r="F8919" i="1"/>
  <c r="C8919" i="1"/>
  <c r="F8918" i="1"/>
  <c r="C8918" i="1"/>
  <c r="F8917" i="1"/>
  <c r="C8917" i="1"/>
  <c r="F8916" i="1"/>
  <c r="C8916" i="1"/>
  <c r="F8915" i="1"/>
  <c r="F8914" i="1"/>
  <c r="F8913" i="1"/>
  <c r="F8912" i="1"/>
  <c r="C8912" i="1"/>
  <c r="F8911" i="1"/>
  <c r="F8910" i="1"/>
  <c r="C8910" i="1"/>
  <c r="F8909" i="1"/>
  <c r="C8909" i="1"/>
  <c r="F8908" i="1"/>
  <c r="F8907" i="1"/>
  <c r="F8906" i="1"/>
  <c r="C8906" i="1"/>
  <c r="C8905" i="1"/>
  <c r="F8904" i="1"/>
  <c r="F8903" i="1"/>
  <c r="C8903" i="1"/>
  <c r="F8902" i="1"/>
  <c r="C8902" i="1"/>
  <c r="F8901" i="1"/>
  <c r="C8901" i="1"/>
  <c r="F8900" i="1"/>
  <c r="C8900" i="1"/>
  <c r="F8899" i="1"/>
  <c r="C8899" i="1"/>
  <c r="F8898" i="1"/>
  <c r="F8897" i="1"/>
  <c r="F8896" i="1"/>
  <c r="C8896" i="1"/>
  <c r="C8895" i="1"/>
  <c r="F8894" i="1"/>
  <c r="C8894" i="1"/>
  <c r="F8893" i="1"/>
  <c r="C8893" i="1"/>
  <c r="C8892" i="1"/>
  <c r="F8891" i="1"/>
  <c r="F8890" i="1"/>
  <c r="C8890" i="1"/>
  <c r="C8889" i="1"/>
  <c r="F8888" i="1"/>
  <c r="C8888" i="1"/>
  <c r="F8887" i="1"/>
  <c r="C8887" i="1"/>
  <c r="F8886" i="1"/>
  <c r="C8886" i="1"/>
  <c r="F8885" i="1"/>
  <c r="C8885" i="1"/>
  <c r="F8884" i="1"/>
  <c r="C8884" i="1"/>
  <c r="F8883" i="1"/>
  <c r="C8883" i="1"/>
  <c r="F8882" i="1"/>
  <c r="F8881" i="1"/>
  <c r="F8880" i="1"/>
  <c r="C8880" i="1"/>
  <c r="F8879" i="1"/>
  <c r="F8878" i="1"/>
  <c r="F8877" i="1"/>
  <c r="F8875" i="1"/>
  <c r="C8875" i="1"/>
  <c r="F8874" i="1"/>
  <c r="C8874" i="1"/>
  <c r="F8873" i="1"/>
  <c r="C8873" i="1"/>
  <c r="F8872" i="1"/>
  <c r="C8871" i="1"/>
  <c r="F8870" i="1"/>
  <c r="F8869" i="1"/>
  <c r="C8869" i="1"/>
  <c r="F8868" i="1"/>
  <c r="F8867" i="1"/>
  <c r="C8867" i="1"/>
  <c r="F8866" i="1"/>
  <c r="C8866" i="1"/>
  <c r="F8865" i="1"/>
  <c r="F8864" i="1"/>
  <c r="F8863" i="1"/>
  <c r="F8862" i="1"/>
  <c r="C8862" i="1"/>
  <c r="F8861" i="1"/>
  <c r="F8860" i="1"/>
  <c r="C8860" i="1"/>
  <c r="F8859" i="1"/>
  <c r="C8858" i="1"/>
  <c r="F8857" i="1"/>
  <c r="F8856" i="1"/>
  <c r="C8856" i="1"/>
  <c r="F8855" i="1"/>
  <c r="F8854" i="1"/>
  <c r="F8853" i="1"/>
  <c r="C8852" i="1"/>
  <c r="F8851" i="1"/>
  <c r="F8850" i="1"/>
  <c r="F8849" i="1"/>
  <c r="F8848" i="1"/>
  <c r="F8847" i="1"/>
  <c r="C8847" i="1"/>
  <c r="F8846" i="1"/>
  <c r="F8845" i="1"/>
  <c r="C8845" i="1"/>
  <c r="F8844" i="1"/>
  <c r="C8844" i="1"/>
  <c r="C8843" i="1"/>
  <c r="F8842" i="1"/>
  <c r="F8841" i="1"/>
  <c r="F8840" i="1"/>
  <c r="C8840" i="1"/>
  <c r="F8839" i="1"/>
  <c r="C8839" i="1"/>
  <c r="F8838" i="1"/>
  <c r="C8838" i="1"/>
  <c r="F8837" i="1"/>
  <c r="C8837" i="1"/>
  <c r="F8836" i="1"/>
  <c r="C8836" i="1"/>
  <c r="F8835" i="1"/>
  <c r="C8835" i="1"/>
  <c r="F8834" i="1"/>
  <c r="C8834" i="1"/>
  <c r="F8833" i="1"/>
  <c r="C8833" i="1"/>
  <c r="F8832" i="1"/>
  <c r="F8831" i="1"/>
  <c r="F8830" i="1"/>
  <c r="C8830" i="1"/>
  <c r="F8829" i="1"/>
  <c r="C8829" i="1"/>
  <c r="F8828" i="1"/>
  <c r="C8828" i="1"/>
  <c r="F8827" i="1"/>
  <c r="C8827" i="1"/>
  <c r="F8826" i="1"/>
  <c r="C8826" i="1"/>
  <c r="F8825" i="1"/>
  <c r="C8824" i="1"/>
  <c r="F8823" i="1"/>
  <c r="C8823" i="1"/>
  <c r="F8822" i="1"/>
  <c r="C8822" i="1"/>
  <c r="F8821" i="1"/>
  <c r="C8821" i="1"/>
  <c r="F8820" i="1"/>
  <c r="C8820" i="1"/>
  <c r="F8819" i="1"/>
  <c r="C8819" i="1"/>
  <c r="F8818" i="1"/>
  <c r="F8817" i="1"/>
  <c r="C8817" i="1"/>
  <c r="F8816" i="1"/>
  <c r="F8815" i="1"/>
  <c r="C8815" i="1"/>
  <c r="F8814" i="1"/>
  <c r="C8814" i="1"/>
  <c r="F8813" i="1"/>
  <c r="F8812" i="1"/>
  <c r="C8812" i="1"/>
  <c r="F8811" i="1"/>
  <c r="C8811" i="1"/>
  <c r="F8810" i="1"/>
  <c r="C8810" i="1"/>
  <c r="F8809" i="1"/>
  <c r="C8809" i="1"/>
  <c r="F8808" i="1"/>
  <c r="C8808" i="1"/>
  <c r="F8807" i="1"/>
  <c r="C8807" i="1"/>
  <c r="F8806" i="1"/>
  <c r="F8805" i="1"/>
  <c r="C8805" i="1"/>
  <c r="F8804" i="1"/>
  <c r="F8803" i="1"/>
  <c r="F8801" i="1"/>
  <c r="F8800" i="1"/>
  <c r="F8799" i="1"/>
  <c r="F8798" i="1"/>
  <c r="F8797" i="1"/>
  <c r="C8797" i="1"/>
  <c r="F8796" i="1"/>
  <c r="C8796" i="1"/>
  <c r="C8795" i="1"/>
  <c r="F8794" i="1"/>
  <c r="F8793" i="1"/>
  <c r="C8793" i="1"/>
  <c r="F8792" i="1"/>
  <c r="C8792" i="1"/>
  <c r="F8791" i="1"/>
  <c r="C8791" i="1"/>
  <c r="F8790" i="1"/>
  <c r="C8790" i="1"/>
  <c r="F8789" i="1"/>
  <c r="C8789" i="1"/>
  <c r="F8788" i="1"/>
  <c r="F8787" i="1"/>
  <c r="C8787" i="1"/>
  <c r="F8786" i="1"/>
  <c r="C8786" i="1"/>
  <c r="F8785" i="1"/>
  <c r="C8785" i="1"/>
  <c r="F8784" i="1"/>
  <c r="F8783" i="1"/>
  <c r="F8782" i="1"/>
  <c r="C8782" i="1"/>
  <c r="F8781" i="1"/>
  <c r="C8781" i="1"/>
  <c r="F8780" i="1"/>
  <c r="F8779" i="1"/>
  <c r="F8778" i="1"/>
  <c r="F8777" i="1"/>
  <c r="C8777" i="1"/>
  <c r="F8776" i="1"/>
  <c r="C8776" i="1"/>
  <c r="F8775" i="1"/>
  <c r="C8775" i="1"/>
  <c r="F8774" i="1"/>
  <c r="F8773" i="1"/>
  <c r="C8773" i="1"/>
  <c r="F8772" i="1"/>
  <c r="F8771" i="1"/>
  <c r="C8771" i="1"/>
  <c r="F8770" i="1"/>
  <c r="C8769" i="1"/>
  <c r="F8768" i="1"/>
  <c r="C8768" i="1"/>
  <c r="F8767" i="1"/>
  <c r="C8767" i="1"/>
  <c r="F8766" i="1"/>
  <c r="F8765" i="1"/>
  <c r="C8765" i="1"/>
  <c r="F8764" i="1"/>
  <c r="F8763" i="1"/>
  <c r="C8763" i="1"/>
  <c r="F8762" i="1"/>
  <c r="F8761" i="1"/>
  <c r="C8761" i="1"/>
  <c r="F8760" i="1"/>
  <c r="C8760" i="1"/>
  <c r="F8759" i="1"/>
  <c r="F8758" i="1"/>
  <c r="C8758" i="1"/>
  <c r="F8757" i="1"/>
  <c r="F8756" i="1"/>
  <c r="C8756" i="1"/>
  <c r="F8755" i="1"/>
  <c r="F8754" i="1"/>
  <c r="F8753" i="1"/>
  <c r="F8752" i="1"/>
  <c r="C8752" i="1"/>
  <c r="F8751" i="1"/>
  <c r="F8750" i="1"/>
  <c r="C8750" i="1"/>
  <c r="F8749" i="1"/>
  <c r="F8748" i="1"/>
  <c r="F8747" i="1"/>
  <c r="F8746" i="1"/>
  <c r="F8745" i="1"/>
  <c r="F8744" i="1"/>
  <c r="C8744" i="1"/>
  <c r="F8743" i="1"/>
  <c r="F8742" i="1"/>
  <c r="F8741" i="1"/>
  <c r="F8740" i="1"/>
  <c r="C8740" i="1"/>
  <c r="F8739" i="1"/>
  <c r="C8739" i="1"/>
  <c r="F8738" i="1"/>
  <c r="C8738" i="1"/>
  <c r="F8737" i="1"/>
  <c r="F8736" i="1"/>
  <c r="C8736" i="1"/>
  <c r="F8735" i="1"/>
  <c r="C8735" i="1"/>
  <c r="F8734" i="1"/>
  <c r="C8734" i="1"/>
  <c r="F8733" i="1"/>
  <c r="F8732" i="1"/>
  <c r="C8732" i="1"/>
  <c r="C8731" i="1"/>
  <c r="F8730" i="1"/>
  <c r="C8730" i="1"/>
  <c r="F8729" i="1"/>
  <c r="F8728" i="1"/>
  <c r="F8727" i="1"/>
  <c r="C8727" i="1"/>
  <c r="F8726" i="1"/>
  <c r="C8726" i="1"/>
  <c r="C8725" i="1"/>
  <c r="F8724" i="1"/>
  <c r="C8724" i="1"/>
  <c r="F8723" i="1"/>
  <c r="C8723" i="1"/>
  <c r="F8722" i="1"/>
  <c r="C8722" i="1"/>
  <c r="F8721" i="1"/>
  <c r="C8721" i="1"/>
  <c r="F8720" i="1"/>
  <c r="C8720" i="1"/>
  <c r="F8719" i="1"/>
  <c r="C8719" i="1"/>
  <c r="F8718" i="1"/>
  <c r="F8717" i="1"/>
  <c r="F8716" i="1"/>
  <c r="C8715" i="1"/>
  <c r="F8714" i="1"/>
  <c r="F8713" i="1"/>
  <c r="C8713" i="1"/>
  <c r="F8712" i="1"/>
  <c r="C8712" i="1"/>
  <c r="C8711" i="1"/>
  <c r="F8710" i="1"/>
  <c r="C8710" i="1"/>
  <c r="F8709" i="1"/>
  <c r="C8709" i="1"/>
  <c r="F8708" i="1"/>
  <c r="C8708" i="1"/>
  <c r="F8707" i="1"/>
  <c r="C8707" i="1"/>
  <c r="F8706" i="1"/>
  <c r="C8706" i="1"/>
  <c r="F8705" i="1"/>
  <c r="C8705" i="1"/>
  <c r="F8704" i="1"/>
  <c r="F8703" i="1"/>
  <c r="F8702" i="1"/>
  <c r="F8701" i="1"/>
  <c r="C8701" i="1"/>
  <c r="F8700" i="1"/>
  <c r="C8700" i="1"/>
  <c r="F8699" i="1"/>
  <c r="C8699" i="1"/>
  <c r="F8698" i="1"/>
  <c r="C8698" i="1"/>
  <c r="F8697" i="1"/>
  <c r="F8696" i="1"/>
  <c r="C8696" i="1"/>
  <c r="F8695" i="1"/>
  <c r="C8695" i="1"/>
  <c r="F8694" i="1"/>
  <c r="C8694" i="1"/>
  <c r="F8693" i="1"/>
  <c r="C8693" i="1"/>
  <c r="F8692" i="1"/>
  <c r="C8692" i="1"/>
  <c r="F8691" i="1"/>
  <c r="C8691" i="1"/>
  <c r="F8690" i="1"/>
  <c r="C8690" i="1"/>
  <c r="F8689" i="1"/>
  <c r="C8689" i="1"/>
  <c r="F8688" i="1"/>
  <c r="F8687" i="1"/>
  <c r="C8686" i="1"/>
  <c r="F8685" i="1"/>
  <c r="C8685" i="1"/>
  <c r="F8684" i="1"/>
  <c r="F8683" i="1"/>
  <c r="C8683" i="1"/>
  <c r="F8682" i="1"/>
  <c r="F8681" i="1"/>
  <c r="F8680" i="1"/>
  <c r="C8680" i="1"/>
  <c r="F8679" i="1"/>
  <c r="F8678" i="1"/>
  <c r="C8678" i="1"/>
  <c r="F8677" i="1"/>
  <c r="F8676" i="1"/>
  <c r="C8676" i="1"/>
  <c r="F8675" i="1"/>
  <c r="F8674" i="1"/>
  <c r="F8673" i="1"/>
  <c r="C8673" i="1"/>
  <c r="C8672" i="1"/>
  <c r="F8671" i="1"/>
  <c r="C8671" i="1"/>
  <c r="F8670" i="1"/>
  <c r="C8670" i="1"/>
  <c r="F8669" i="1"/>
  <c r="C8669" i="1"/>
  <c r="F8668" i="1"/>
  <c r="C8668" i="1"/>
  <c r="F8667" i="1"/>
  <c r="C8667" i="1"/>
  <c r="C8666" i="1"/>
  <c r="F8665" i="1"/>
  <c r="F8664" i="1"/>
  <c r="F8663" i="1"/>
  <c r="C8663" i="1"/>
  <c r="C8662" i="1"/>
  <c r="F8661" i="1"/>
  <c r="C8661" i="1"/>
  <c r="F8660" i="1"/>
  <c r="C8660" i="1"/>
  <c r="F8659" i="1"/>
  <c r="C8659" i="1"/>
  <c r="F8658" i="1"/>
  <c r="F8657" i="1"/>
  <c r="C8657" i="1"/>
  <c r="F8656" i="1"/>
  <c r="F8655" i="1"/>
  <c r="F8654" i="1"/>
  <c r="C8654" i="1"/>
  <c r="F8653" i="1"/>
  <c r="C8653" i="1"/>
  <c r="F8652" i="1"/>
  <c r="C8651" i="1"/>
  <c r="F8650" i="1"/>
  <c r="F8649" i="1"/>
  <c r="C8649" i="1"/>
  <c r="F8648" i="1"/>
  <c r="C8648" i="1"/>
  <c r="F8647" i="1"/>
  <c r="F8646" i="1"/>
  <c r="F8645" i="1"/>
  <c r="F8644" i="1"/>
  <c r="F8643" i="1"/>
  <c r="F8642" i="1"/>
  <c r="C8642" i="1"/>
  <c r="F8641" i="1"/>
  <c r="F8640" i="1"/>
  <c r="C8640" i="1"/>
  <c r="F8639" i="1"/>
  <c r="C8639" i="1"/>
  <c r="F8638" i="1"/>
  <c r="C8638" i="1"/>
  <c r="F8637" i="1"/>
  <c r="C8637" i="1"/>
  <c r="F8636" i="1"/>
  <c r="C8636" i="1"/>
  <c r="F8635" i="1"/>
  <c r="F8634" i="1"/>
  <c r="F8633" i="1"/>
  <c r="C8633" i="1"/>
  <c r="F8632" i="1"/>
  <c r="C8632" i="1"/>
  <c r="F8631" i="1"/>
  <c r="C8631" i="1"/>
  <c r="F8630" i="1"/>
  <c r="C8630" i="1"/>
  <c r="F8629" i="1"/>
  <c r="F8628" i="1"/>
  <c r="F8626" i="1"/>
  <c r="C8626" i="1"/>
  <c r="F8625" i="1"/>
  <c r="F8624" i="1"/>
  <c r="C8624" i="1"/>
  <c r="F8623" i="1"/>
  <c r="C8623" i="1"/>
  <c r="F8622" i="1"/>
  <c r="C8622" i="1"/>
  <c r="F8621" i="1"/>
  <c r="C8621" i="1"/>
  <c r="F8620" i="1"/>
  <c r="C8619" i="1"/>
  <c r="F8618" i="1"/>
  <c r="F8617" i="1"/>
  <c r="C8617" i="1"/>
  <c r="F8616" i="1"/>
  <c r="C8616" i="1"/>
  <c r="F8615" i="1"/>
  <c r="F8614" i="1"/>
  <c r="C8614" i="1"/>
  <c r="F8613" i="1"/>
  <c r="C8613" i="1"/>
  <c r="F8612" i="1"/>
  <c r="C8611" i="1"/>
  <c r="F8610" i="1"/>
  <c r="F8609" i="1"/>
  <c r="C8609" i="1"/>
  <c r="F8608" i="1"/>
  <c r="C8608" i="1"/>
  <c r="F8607" i="1"/>
  <c r="C8607" i="1"/>
  <c r="F8606" i="1"/>
  <c r="C8606" i="1"/>
  <c r="C8605" i="1"/>
  <c r="F8604" i="1"/>
  <c r="C8604" i="1"/>
  <c r="F8603" i="1"/>
  <c r="C8603" i="1"/>
  <c r="F8602" i="1"/>
  <c r="C8602" i="1"/>
  <c r="F8601" i="1"/>
  <c r="F8600" i="1"/>
  <c r="C8600" i="1"/>
  <c r="C8599" i="1"/>
  <c r="F8598" i="1"/>
  <c r="C8598" i="1"/>
  <c r="F8597" i="1"/>
  <c r="C8597" i="1"/>
  <c r="F8596" i="1"/>
  <c r="C8596" i="1"/>
  <c r="C8595" i="1"/>
  <c r="F8594" i="1"/>
  <c r="C8594" i="1"/>
  <c r="F8593" i="1"/>
  <c r="F8592" i="1"/>
  <c r="C8592" i="1"/>
  <c r="F8591" i="1"/>
  <c r="C8591" i="1"/>
  <c r="F8590" i="1"/>
  <c r="C8590" i="1"/>
  <c r="F8589" i="1"/>
  <c r="C8589" i="1"/>
  <c r="F8588" i="1"/>
  <c r="C8588" i="1"/>
  <c r="F8587" i="1"/>
  <c r="F8586" i="1"/>
  <c r="C8586" i="1"/>
  <c r="F8585" i="1"/>
  <c r="C8585" i="1"/>
  <c r="F8584" i="1"/>
  <c r="C8584" i="1"/>
  <c r="F8583" i="1"/>
  <c r="C8583" i="1"/>
  <c r="F8582" i="1"/>
  <c r="C8582" i="1"/>
  <c r="F8581" i="1"/>
  <c r="F8580" i="1"/>
  <c r="C8580" i="1"/>
  <c r="F8579" i="1"/>
  <c r="F8578" i="1"/>
  <c r="C8578" i="1"/>
  <c r="C8577" i="1"/>
  <c r="F8576" i="1"/>
  <c r="C8576" i="1"/>
  <c r="F8575" i="1"/>
  <c r="F8574" i="1"/>
  <c r="C8574" i="1"/>
  <c r="F8573" i="1"/>
  <c r="C8573" i="1"/>
  <c r="F8572" i="1"/>
  <c r="C8572" i="1"/>
  <c r="F8571" i="1"/>
  <c r="C8571" i="1"/>
  <c r="F8570" i="1"/>
  <c r="C8570" i="1"/>
  <c r="F8569" i="1"/>
  <c r="F8568" i="1"/>
  <c r="C8568" i="1"/>
  <c r="F8566" i="1"/>
  <c r="C8566" i="1"/>
  <c r="F8565" i="1"/>
  <c r="C8565" i="1"/>
  <c r="C8564" i="1"/>
  <c r="F8563" i="1"/>
  <c r="C8563" i="1"/>
  <c r="F8562" i="1"/>
  <c r="F8561" i="1"/>
  <c r="C8561" i="1"/>
  <c r="F8560" i="1"/>
  <c r="F8559" i="1"/>
  <c r="C8559" i="1"/>
  <c r="F8558" i="1"/>
  <c r="F8557" i="1"/>
  <c r="F8556" i="1"/>
  <c r="C8556" i="1"/>
  <c r="F8555" i="1"/>
  <c r="C8554" i="1"/>
  <c r="F8553" i="1"/>
  <c r="C8553" i="1"/>
  <c r="F8552" i="1"/>
  <c r="C8552" i="1"/>
  <c r="F8551" i="1"/>
  <c r="C8551" i="1"/>
  <c r="F8550" i="1"/>
  <c r="C8550" i="1"/>
  <c r="F8549" i="1"/>
  <c r="C8549" i="1"/>
  <c r="F8548" i="1"/>
  <c r="F8547" i="1"/>
  <c r="F8546" i="1"/>
  <c r="F8545" i="1"/>
  <c r="C8545" i="1"/>
  <c r="F8544" i="1"/>
  <c r="C8544" i="1"/>
  <c r="F8543" i="1"/>
  <c r="C8543" i="1"/>
  <c r="F8542" i="1"/>
  <c r="C8542" i="1"/>
  <c r="F8541" i="1"/>
  <c r="F8540" i="1"/>
  <c r="C8540" i="1"/>
  <c r="F8539" i="1"/>
  <c r="C8539" i="1"/>
  <c r="F8538" i="1"/>
  <c r="C8538" i="1"/>
  <c r="F8537" i="1"/>
  <c r="C8537" i="1"/>
  <c r="F8536" i="1"/>
  <c r="C8536" i="1"/>
  <c r="F8535" i="1"/>
  <c r="C8535" i="1"/>
  <c r="F8534" i="1"/>
  <c r="C8534" i="1"/>
  <c r="F8533" i="1"/>
  <c r="F8532" i="1"/>
  <c r="C8532" i="1"/>
  <c r="F8531" i="1"/>
  <c r="C8531" i="1"/>
  <c r="F8530" i="1"/>
  <c r="C8530" i="1"/>
  <c r="F8529" i="1"/>
  <c r="C8529" i="1"/>
  <c r="F8527" i="1"/>
  <c r="C8527" i="1"/>
  <c r="F8526" i="1"/>
  <c r="C8526" i="1"/>
  <c r="F8525" i="1"/>
  <c r="C8525" i="1"/>
  <c r="F8524" i="1"/>
  <c r="C8524" i="1"/>
  <c r="F8523" i="1"/>
  <c r="F8522" i="1"/>
  <c r="C8522" i="1"/>
  <c r="F8521" i="1"/>
  <c r="F8520" i="1"/>
  <c r="C8520" i="1"/>
  <c r="F8519" i="1"/>
  <c r="C8519" i="1"/>
  <c r="F8518" i="1"/>
  <c r="F8517" i="1"/>
  <c r="C8517" i="1"/>
  <c r="F8516" i="1"/>
  <c r="F8515" i="1"/>
  <c r="C8515" i="1"/>
  <c r="F8514" i="1"/>
  <c r="C8514" i="1"/>
  <c r="F8513" i="1"/>
  <c r="C8513" i="1"/>
  <c r="F8512" i="1"/>
  <c r="F8511" i="1"/>
  <c r="C8511" i="1"/>
  <c r="F8510" i="1"/>
  <c r="F8509" i="1"/>
  <c r="C8508" i="1"/>
  <c r="F8507" i="1"/>
  <c r="F8506" i="1"/>
  <c r="F8505" i="1"/>
  <c r="C8505" i="1"/>
  <c r="F8504" i="1"/>
  <c r="C8504" i="1"/>
  <c r="F8503" i="1"/>
  <c r="F8502" i="1"/>
  <c r="C8502" i="1"/>
  <c r="F8501" i="1"/>
  <c r="C8501" i="1"/>
  <c r="F8500" i="1"/>
  <c r="C8500" i="1"/>
  <c r="F8499" i="1"/>
  <c r="F8498" i="1"/>
  <c r="C8498" i="1"/>
  <c r="F8497" i="1"/>
  <c r="C8497" i="1"/>
  <c r="F8496" i="1"/>
  <c r="C8496" i="1"/>
  <c r="F8495" i="1"/>
  <c r="F8494" i="1"/>
  <c r="F8493" i="1"/>
  <c r="F8492" i="1"/>
  <c r="F8491" i="1"/>
  <c r="C8491" i="1"/>
  <c r="F8490" i="1"/>
  <c r="F8489" i="1"/>
  <c r="F8488" i="1"/>
  <c r="C8488" i="1"/>
  <c r="F8487" i="1"/>
  <c r="C8487" i="1"/>
  <c r="F8486" i="1"/>
  <c r="C8485" i="1"/>
  <c r="F8484" i="1"/>
  <c r="C8484" i="1"/>
  <c r="F8483" i="1"/>
  <c r="F8482" i="1"/>
  <c r="F8481" i="1"/>
  <c r="F8480" i="1"/>
  <c r="C8480" i="1"/>
  <c r="C8479" i="1"/>
  <c r="F8478" i="1"/>
  <c r="F8477" i="1"/>
  <c r="F8476" i="1"/>
  <c r="C8476" i="1"/>
  <c r="F8475" i="1"/>
  <c r="C8475" i="1"/>
  <c r="F8474" i="1"/>
  <c r="C8474" i="1"/>
  <c r="F8473" i="1"/>
  <c r="F8472" i="1"/>
  <c r="C8472" i="1"/>
  <c r="F8471" i="1"/>
  <c r="C8471" i="1"/>
  <c r="F8470" i="1"/>
  <c r="C8470" i="1"/>
  <c r="F8469" i="1"/>
  <c r="F8468" i="1"/>
  <c r="F8467" i="1"/>
  <c r="C8467" i="1"/>
  <c r="F8466" i="1"/>
  <c r="C8466" i="1"/>
  <c r="C8465" i="1"/>
  <c r="F8464" i="1"/>
  <c r="F8463" i="1"/>
  <c r="F8462" i="1"/>
  <c r="F8461" i="1"/>
  <c r="C8461" i="1"/>
  <c r="F8460" i="1"/>
  <c r="C8460" i="1"/>
  <c r="F8459" i="1"/>
  <c r="C8459" i="1"/>
  <c r="F8458" i="1"/>
  <c r="C8458" i="1"/>
  <c r="F8457" i="1"/>
  <c r="F8456" i="1"/>
  <c r="C8456" i="1"/>
  <c r="F8455" i="1"/>
  <c r="F8454" i="1"/>
  <c r="C8454" i="1"/>
  <c r="F8453" i="1"/>
  <c r="C8453" i="1"/>
  <c r="F8452" i="1"/>
  <c r="F8451" i="1"/>
  <c r="C8451" i="1"/>
  <c r="F8450" i="1"/>
  <c r="F8449" i="1"/>
  <c r="C8449" i="1"/>
  <c r="F8448" i="1"/>
  <c r="C8448" i="1"/>
  <c r="F8447" i="1"/>
  <c r="C8447" i="1"/>
  <c r="F8446" i="1"/>
  <c r="C8446" i="1"/>
  <c r="F8445" i="1"/>
  <c r="C8445" i="1"/>
  <c r="F8444" i="1"/>
  <c r="F8443" i="1"/>
  <c r="C8442" i="1"/>
  <c r="F8441" i="1"/>
  <c r="F8440" i="1"/>
  <c r="F8439" i="1"/>
  <c r="F8438" i="1"/>
  <c r="F8437" i="1"/>
  <c r="C8436" i="1"/>
  <c r="F8435" i="1"/>
  <c r="C8435" i="1"/>
  <c r="F8434" i="1"/>
  <c r="F8433" i="1"/>
  <c r="C8433" i="1"/>
  <c r="F8432" i="1"/>
  <c r="C8432" i="1"/>
  <c r="F8431" i="1"/>
  <c r="F8430" i="1"/>
  <c r="C8430" i="1"/>
  <c r="F8429" i="1"/>
  <c r="C8429" i="1"/>
  <c r="F8428" i="1"/>
  <c r="F8427" i="1"/>
  <c r="F8426" i="1"/>
  <c r="C8426" i="1"/>
  <c r="F8425" i="1"/>
  <c r="F8424" i="1"/>
  <c r="C8424" i="1"/>
  <c r="F8423" i="1"/>
  <c r="C8423" i="1"/>
  <c r="F8422" i="1"/>
  <c r="C8422" i="1"/>
  <c r="F8421" i="1"/>
  <c r="C8421" i="1"/>
  <c r="F8420" i="1"/>
  <c r="C8420" i="1"/>
  <c r="F8418" i="1"/>
  <c r="C8418" i="1"/>
  <c r="F8417" i="1"/>
  <c r="C8417" i="1"/>
  <c r="F8416" i="1"/>
  <c r="C8416" i="1"/>
  <c r="F8415" i="1"/>
  <c r="C8415" i="1"/>
  <c r="F8414" i="1"/>
  <c r="F8412" i="1"/>
  <c r="C8412" i="1"/>
  <c r="F8411" i="1"/>
  <c r="C8411" i="1"/>
  <c r="F8410" i="1"/>
  <c r="C8410" i="1"/>
  <c r="F8409" i="1"/>
  <c r="F8408" i="1"/>
  <c r="F8407" i="1"/>
  <c r="C8407" i="1"/>
  <c r="F8406" i="1"/>
  <c r="C8406" i="1"/>
  <c r="F8405" i="1"/>
  <c r="F8404" i="1"/>
  <c r="C8404" i="1"/>
  <c r="F8403" i="1"/>
  <c r="C8403" i="1"/>
  <c r="F8402" i="1"/>
  <c r="C8402" i="1"/>
  <c r="F8401" i="1"/>
  <c r="F8400" i="1"/>
  <c r="C8400" i="1"/>
  <c r="F8399" i="1"/>
  <c r="F8398" i="1"/>
  <c r="C8398" i="1"/>
  <c r="F8397" i="1"/>
  <c r="C8397" i="1"/>
  <c r="F8396" i="1"/>
  <c r="C8396" i="1"/>
  <c r="F8395" i="1"/>
  <c r="C8395" i="1"/>
  <c r="F8394" i="1"/>
  <c r="F8393" i="1"/>
  <c r="C8393" i="1"/>
  <c r="F8392" i="1"/>
  <c r="F8391" i="1"/>
  <c r="C8391" i="1"/>
  <c r="C8390" i="1"/>
  <c r="C8389" i="1"/>
  <c r="F8388" i="1"/>
  <c r="F8387" i="1"/>
  <c r="C8387" i="1"/>
  <c r="F8386" i="1"/>
  <c r="C8386" i="1"/>
  <c r="F8385" i="1"/>
  <c r="F8384" i="1"/>
  <c r="C8384" i="1"/>
  <c r="F8383" i="1"/>
  <c r="C8383" i="1"/>
  <c r="F8382" i="1"/>
  <c r="C8382" i="1"/>
  <c r="F8381" i="1"/>
  <c r="F8380" i="1"/>
  <c r="C8380" i="1"/>
  <c r="F8379" i="1"/>
  <c r="C8379" i="1"/>
  <c r="F8378" i="1"/>
  <c r="C8378" i="1"/>
  <c r="F8377" i="1"/>
  <c r="C8377" i="1"/>
  <c r="F8376" i="1"/>
  <c r="F8375" i="1"/>
  <c r="C8375" i="1"/>
  <c r="F8374" i="1"/>
  <c r="C8374" i="1"/>
  <c r="F8372" i="1"/>
  <c r="C8372" i="1"/>
  <c r="F8371" i="1"/>
  <c r="F8370" i="1"/>
  <c r="F8369" i="1"/>
  <c r="C8369" i="1"/>
  <c r="F8368" i="1"/>
  <c r="C8368" i="1"/>
  <c r="F8367" i="1"/>
  <c r="C8367" i="1"/>
  <c r="F8366" i="1"/>
  <c r="F8365" i="1"/>
  <c r="C8365" i="1"/>
  <c r="F8364" i="1"/>
  <c r="F8363" i="1"/>
  <c r="C8363" i="1"/>
  <c r="F8362" i="1"/>
  <c r="C8362" i="1"/>
  <c r="F8361" i="1"/>
  <c r="F8360" i="1"/>
  <c r="C8360" i="1"/>
  <c r="F8359" i="1"/>
  <c r="C8359" i="1"/>
  <c r="F8358" i="1"/>
  <c r="F8357" i="1"/>
  <c r="C8357" i="1"/>
  <c r="F8356" i="1"/>
  <c r="C8356" i="1"/>
  <c r="F8355" i="1"/>
  <c r="C8355" i="1"/>
  <c r="F8354" i="1"/>
  <c r="C8354" i="1"/>
  <c r="F8353" i="1"/>
  <c r="F8351" i="1"/>
  <c r="C8351" i="1"/>
  <c r="F8350" i="1"/>
  <c r="F8349" i="1"/>
  <c r="C8349" i="1"/>
  <c r="F8348" i="1"/>
  <c r="C8348" i="1"/>
  <c r="F8347" i="1"/>
  <c r="F8346" i="1"/>
  <c r="F8345" i="1"/>
  <c r="F8344" i="1"/>
  <c r="F8343" i="1"/>
  <c r="C8343" i="1"/>
  <c r="F8342" i="1"/>
  <c r="F8341" i="1"/>
  <c r="F8340" i="1"/>
  <c r="C8340" i="1"/>
  <c r="F8339" i="1"/>
  <c r="C8339" i="1"/>
  <c r="F8338" i="1"/>
  <c r="C8338" i="1"/>
  <c r="F8337" i="1"/>
  <c r="C8337" i="1"/>
  <c r="F8336" i="1"/>
  <c r="C8336" i="1"/>
  <c r="F8335" i="1"/>
  <c r="F8334" i="1"/>
  <c r="C8334" i="1"/>
  <c r="F8333" i="1"/>
  <c r="F8332" i="1"/>
  <c r="F8331" i="1"/>
  <c r="C8331" i="1"/>
  <c r="F8330" i="1"/>
  <c r="C8330" i="1"/>
  <c r="F8329" i="1"/>
  <c r="C8329" i="1"/>
  <c r="F8328" i="1"/>
  <c r="C8328" i="1"/>
  <c r="F8327" i="1"/>
  <c r="C8327" i="1"/>
  <c r="F8326" i="1"/>
  <c r="C8326" i="1"/>
  <c r="F8325" i="1"/>
  <c r="C8325" i="1"/>
  <c r="F8324" i="1"/>
  <c r="F8323" i="1"/>
  <c r="C8323" i="1"/>
  <c r="F8322" i="1"/>
  <c r="C8322" i="1"/>
  <c r="F8321" i="1"/>
  <c r="C8321" i="1"/>
  <c r="F8320" i="1"/>
  <c r="F8319" i="1"/>
  <c r="C8319" i="1"/>
  <c r="F8318" i="1"/>
  <c r="C8318" i="1"/>
  <c r="F8317" i="1"/>
  <c r="C8317" i="1"/>
  <c r="F8316" i="1"/>
  <c r="C8316" i="1"/>
  <c r="F8315" i="1"/>
  <c r="C8315" i="1"/>
  <c r="F8314" i="1"/>
  <c r="F8313" i="1"/>
  <c r="C8313" i="1"/>
  <c r="F8312" i="1"/>
  <c r="F8311" i="1"/>
  <c r="C8311" i="1"/>
  <c r="F8310" i="1"/>
  <c r="F8309" i="1"/>
  <c r="C8309" i="1"/>
  <c r="F8308" i="1"/>
  <c r="F8307" i="1"/>
  <c r="F8306" i="1"/>
  <c r="C8306" i="1"/>
  <c r="F8305" i="1"/>
  <c r="C8305" i="1"/>
  <c r="C8304" i="1"/>
  <c r="F8303" i="1"/>
  <c r="C8303" i="1"/>
  <c r="F8302" i="1"/>
  <c r="C8302" i="1"/>
  <c r="F8301" i="1"/>
  <c r="F8300" i="1"/>
  <c r="C8300" i="1"/>
  <c r="F8299" i="1"/>
  <c r="F8298" i="1"/>
  <c r="F8297" i="1"/>
  <c r="F8296" i="1"/>
  <c r="C8296" i="1"/>
  <c r="F8295" i="1"/>
  <c r="F8294" i="1"/>
  <c r="C8294" i="1"/>
  <c r="F8293" i="1"/>
  <c r="F8292" i="1"/>
  <c r="C8292" i="1"/>
  <c r="F8291" i="1"/>
  <c r="C8291" i="1"/>
  <c r="F8290" i="1"/>
  <c r="C8290" i="1"/>
  <c r="F8289" i="1"/>
  <c r="C8289" i="1"/>
  <c r="F8288" i="1"/>
  <c r="C8288" i="1"/>
  <c r="F8287" i="1"/>
  <c r="F8286" i="1"/>
  <c r="C8286" i="1"/>
  <c r="F8285" i="1"/>
  <c r="C8285" i="1"/>
  <c r="F8284" i="1"/>
  <c r="C8284" i="1"/>
  <c r="F8283" i="1"/>
  <c r="F8282" i="1"/>
  <c r="C8282" i="1"/>
  <c r="F8281" i="1"/>
  <c r="C8281" i="1"/>
  <c r="F8280" i="1"/>
  <c r="C8280" i="1"/>
  <c r="F8279" i="1"/>
  <c r="C8279" i="1"/>
  <c r="F8278" i="1"/>
  <c r="C8278" i="1"/>
  <c r="F8277" i="1"/>
  <c r="C8277" i="1"/>
  <c r="F8276" i="1"/>
  <c r="F8275" i="1"/>
  <c r="F8274" i="1"/>
  <c r="C8274" i="1"/>
  <c r="F8273" i="1"/>
  <c r="F8272" i="1"/>
  <c r="C8272" i="1"/>
  <c r="F8271" i="1"/>
  <c r="C8271" i="1"/>
  <c r="F8270" i="1"/>
  <c r="C8270" i="1"/>
  <c r="F8269" i="1"/>
  <c r="F8268" i="1"/>
  <c r="C8268" i="1"/>
  <c r="F8267" i="1"/>
  <c r="C8267" i="1"/>
  <c r="C8266" i="1"/>
  <c r="F8265" i="1"/>
  <c r="C8265" i="1"/>
  <c r="F8264" i="1"/>
  <c r="C8264" i="1"/>
  <c r="F8263" i="1"/>
  <c r="C8263" i="1"/>
  <c r="F8262" i="1"/>
  <c r="C8262" i="1"/>
  <c r="F8261" i="1"/>
  <c r="C8261" i="1"/>
  <c r="F8260" i="1"/>
  <c r="F8259" i="1"/>
  <c r="C8259" i="1"/>
  <c r="F8258" i="1"/>
  <c r="F8257" i="1"/>
  <c r="F8256" i="1"/>
  <c r="F8255" i="1"/>
  <c r="F8254" i="1"/>
  <c r="C8254" i="1"/>
  <c r="F8253" i="1"/>
  <c r="C8253" i="1"/>
  <c r="F8252" i="1"/>
  <c r="C8252" i="1"/>
  <c r="F8251" i="1"/>
  <c r="C8251" i="1"/>
  <c r="F8250" i="1"/>
  <c r="F8249" i="1"/>
  <c r="F8248" i="1"/>
  <c r="F8247" i="1"/>
  <c r="C8247" i="1"/>
  <c r="F8246" i="1"/>
  <c r="C8246" i="1"/>
  <c r="F8245" i="1"/>
  <c r="C8245" i="1"/>
  <c r="F8244" i="1"/>
  <c r="F8243" i="1"/>
  <c r="C8243" i="1"/>
  <c r="F8242" i="1"/>
  <c r="C8242" i="1"/>
  <c r="F8241" i="1"/>
  <c r="C8241" i="1"/>
  <c r="F8240" i="1"/>
  <c r="C8240" i="1"/>
  <c r="F8239" i="1"/>
  <c r="F8238" i="1"/>
  <c r="C8238" i="1"/>
  <c r="F8237" i="1"/>
  <c r="C8237" i="1"/>
  <c r="F8236" i="1"/>
  <c r="C8236" i="1"/>
  <c r="F8235" i="1"/>
  <c r="C8235" i="1"/>
  <c r="F8234" i="1"/>
  <c r="F8233" i="1"/>
  <c r="C8233" i="1"/>
  <c r="F8232" i="1"/>
  <c r="C8232" i="1"/>
  <c r="F8231" i="1"/>
  <c r="C8231" i="1"/>
  <c r="F8230" i="1"/>
  <c r="C8230" i="1"/>
  <c r="F8229" i="1"/>
  <c r="F8228" i="1"/>
  <c r="F8227" i="1"/>
  <c r="C8227" i="1"/>
  <c r="F8226" i="1"/>
  <c r="F8225" i="1"/>
  <c r="C8225" i="1"/>
  <c r="F8224" i="1"/>
  <c r="F8223" i="1"/>
  <c r="C8223" i="1"/>
  <c r="F8222" i="1"/>
  <c r="C8222" i="1"/>
  <c r="F8220" i="1"/>
  <c r="F8219" i="1"/>
  <c r="C8218" i="1"/>
  <c r="C8217" i="1"/>
  <c r="C8216" i="1"/>
  <c r="F8214" i="1"/>
  <c r="C8214" i="1"/>
  <c r="F8213" i="1"/>
  <c r="F8212" i="1"/>
  <c r="F8211" i="1"/>
  <c r="C8211" i="1"/>
  <c r="F8210" i="1"/>
  <c r="C8210" i="1"/>
  <c r="F8209" i="1"/>
  <c r="C8209" i="1"/>
  <c r="F8208" i="1"/>
  <c r="F8207" i="1"/>
  <c r="C8207" i="1"/>
  <c r="F8206" i="1"/>
  <c r="F8205" i="1"/>
  <c r="C8205" i="1"/>
  <c r="F8204" i="1"/>
  <c r="C8204" i="1"/>
  <c r="F8203" i="1"/>
  <c r="F8202" i="1"/>
  <c r="C8202" i="1"/>
  <c r="F8201" i="1"/>
  <c r="C8201" i="1"/>
  <c r="F8200" i="1"/>
  <c r="C8200" i="1"/>
  <c r="F8199" i="1"/>
  <c r="C8199" i="1"/>
  <c r="C8198" i="1"/>
  <c r="F8197" i="1"/>
  <c r="C8197" i="1"/>
  <c r="F8196" i="1"/>
  <c r="F8195" i="1"/>
  <c r="F8194" i="1"/>
  <c r="F8193" i="1"/>
  <c r="F8192" i="1"/>
  <c r="F8191" i="1"/>
  <c r="C8191" i="1"/>
  <c r="F8190" i="1"/>
  <c r="C8190" i="1"/>
  <c r="F8189" i="1"/>
  <c r="C8189" i="1"/>
  <c r="F8188" i="1"/>
  <c r="C8188" i="1"/>
  <c r="F8187" i="1"/>
  <c r="F8186" i="1"/>
  <c r="F8185" i="1"/>
  <c r="F8184" i="1"/>
  <c r="C8184" i="1"/>
  <c r="F8183" i="1"/>
  <c r="F8182" i="1"/>
  <c r="C8182" i="1"/>
  <c r="F8181" i="1"/>
  <c r="C8181" i="1"/>
  <c r="F8180" i="1"/>
  <c r="F8179" i="1"/>
  <c r="C8179" i="1"/>
  <c r="F8178" i="1"/>
  <c r="C8178" i="1"/>
  <c r="F8177" i="1"/>
  <c r="F8176" i="1"/>
  <c r="C8176" i="1"/>
  <c r="C8175" i="1"/>
  <c r="F8174" i="1"/>
  <c r="C8174" i="1"/>
  <c r="F8173" i="1"/>
  <c r="C8173" i="1"/>
  <c r="F8172" i="1"/>
  <c r="C8172" i="1"/>
  <c r="F8171" i="1"/>
  <c r="F8170" i="1"/>
  <c r="F8169" i="1"/>
  <c r="F8168" i="1"/>
  <c r="C8168" i="1"/>
  <c r="F8167" i="1"/>
  <c r="F8166" i="1"/>
  <c r="F8165" i="1"/>
  <c r="C8165" i="1"/>
  <c r="F8164" i="1"/>
  <c r="C8164" i="1"/>
  <c r="F8163" i="1"/>
  <c r="C8163" i="1"/>
  <c r="F8162" i="1"/>
  <c r="C8162" i="1"/>
  <c r="F8159" i="1"/>
  <c r="C8159" i="1"/>
  <c r="F8158" i="1"/>
  <c r="C8158" i="1"/>
  <c r="F8157" i="1"/>
  <c r="F8156" i="1"/>
  <c r="C8156" i="1"/>
  <c r="F8155" i="1"/>
  <c r="F8154" i="1"/>
  <c r="F8153" i="1"/>
  <c r="C8153" i="1"/>
  <c r="F8152" i="1"/>
  <c r="C8152" i="1"/>
  <c r="F8151" i="1"/>
  <c r="F8150" i="1"/>
  <c r="C8150" i="1"/>
  <c r="C8149" i="1"/>
  <c r="F8148" i="1"/>
  <c r="F8147" i="1"/>
  <c r="C8147" i="1"/>
  <c r="F8146" i="1"/>
  <c r="C8146" i="1"/>
  <c r="F8145" i="1"/>
  <c r="C8145" i="1"/>
  <c r="F8144" i="1"/>
  <c r="C8144" i="1"/>
  <c r="C8143" i="1"/>
  <c r="F8142" i="1"/>
  <c r="C8142" i="1"/>
  <c r="C8141" i="1"/>
  <c r="F8140" i="1"/>
  <c r="C8140" i="1"/>
  <c r="F8139" i="1"/>
  <c r="F8137" i="1"/>
  <c r="F8136" i="1"/>
  <c r="C8136" i="1"/>
  <c r="F8135" i="1"/>
  <c r="C8135" i="1"/>
  <c r="F8134" i="1"/>
  <c r="F8133" i="1"/>
  <c r="C8133" i="1"/>
  <c r="F8132" i="1"/>
  <c r="C8132" i="1"/>
  <c r="F8131" i="1"/>
  <c r="C8131" i="1"/>
  <c r="F8130" i="1"/>
  <c r="C8130" i="1"/>
  <c r="F8129" i="1"/>
  <c r="C8129" i="1"/>
  <c r="C8128" i="1"/>
  <c r="F8127" i="1"/>
  <c r="C8127" i="1"/>
  <c r="F8126" i="1"/>
  <c r="C8126" i="1"/>
  <c r="F8125" i="1"/>
  <c r="F8124" i="1"/>
  <c r="F8123" i="1"/>
  <c r="F8122" i="1"/>
  <c r="C8122" i="1"/>
  <c r="F8121" i="1"/>
  <c r="C8121" i="1"/>
  <c r="F8120" i="1"/>
  <c r="C8120" i="1"/>
  <c r="F8119" i="1"/>
  <c r="C8119" i="1"/>
  <c r="F8118" i="1"/>
  <c r="F8117" i="1"/>
  <c r="F8116" i="1"/>
  <c r="C8116" i="1"/>
  <c r="F8115" i="1"/>
  <c r="F8114" i="1"/>
  <c r="F8113" i="1"/>
  <c r="F8112" i="1"/>
  <c r="F8111" i="1"/>
  <c r="F8110" i="1"/>
  <c r="C8110" i="1"/>
  <c r="F8109" i="1"/>
  <c r="C8109" i="1"/>
  <c r="F8108" i="1"/>
  <c r="F8107" i="1"/>
  <c r="F8106" i="1"/>
  <c r="C8106" i="1"/>
  <c r="F8105" i="1"/>
  <c r="F8104" i="1"/>
  <c r="C8104" i="1"/>
  <c r="F8103" i="1"/>
  <c r="C8103" i="1"/>
  <c r="F8101" i="1"/>
  <c r="C8101" i="1"/>
  <c r="C8100" i="1"/>
  <c r="F8099" i="1"/>
  <c r="F8098" i="1"/>
  <c r="C8098" i="1"/>
  <c r="F8097" i="1"/>
  <c r="C8097" i="1"/>
  <c r="F8096" i="1"/>
  <c r="F8095" i="1"/>
  <c r="F8094" i="1"/>
  <c r="F8093" i="1"/>
  <c r="C8093" i="1"/>
  <c r="F8092" i="1"/>
  <c r="C8092" i="1"/>
  <c r="F8091" i="1"/>
  <c r="F8090" i="1"/>
  <c r="C8090" i="1"/>
  <c r="F8089" i="1"/>
  <c r="C8089" i="1"/>
  <c r="F8088" i="1"/>
  <c r="C8088" i="1"/>
  <c r="C8087" i="1"/>
  <c r="F8086" i="1"/>
  <c r="C8086" i="1"/>
  <c r="F8085" i="1"/>
  <c r="F8084" i="1"/>
  <c r="F8083" i="1"/>
  <c r="C8082" i="1"/>
  <c r="F8081" i="1"/>
  <c r="F8080" i="1"/>
  <c r="C8080" i="1"/>
  <c r="F8079" i="1"/>
  <c r="F8078" i="1"/>
  <c r="C8078" i="1"/>
  <c r="F8077" i="1"/>
  <c r="F8076" i="1"/>
  <c r="C8076" i="1"/>
  <c r="F8075" i="1"/>
  <c r="C8075" i="1"/>
  <c r="F8074" i="1"/>
  <c r="C8073" i="1"/>
  <c r="F8072" i="1"/>
  <c r="F8071" i="1"/>
  <c r="C8071" i="1"/>
  <c r="F8070" i="1"/>
  <c r="F8069" i="1"/>
  <c r="C8069" i="1"/>
  <c r="F8068" i="1"/>
  <c r="C8068" i="1"/>
  <c r="F8067" i="1"/>
  <c r="C8067" i="1"/>
  <c r="F8066" i="1"/>
  <c r="C8066" i="1"/>
  <c r="F8065" i="1"/>
  <c r="C8065" i="1"/>
  <c r="F8064" i="1"/>
  <c r="F8063" i="1"/>
  <c r="F8062" i="1"/>
  <c r="F8061" i="1"/>
  <c r="C8061" i="1"/>
  <c r="F8060" i="1"/>
  <c r="C8060" i="1"/>
  <c r="F8059" i="1"/>
  <c r="F8058" i="1"/>
  <c r="F8057" i="1"/>
  <c r="F8056" i="1"/>
  <c r="C8056" i="1"/>
  <c r="F8055" i="1"/>
  <c r="C8055" i="1"/>
  <c r="F8054" i="1"/>
  <c r="C8053" i="1"/>
  <c r="F8052" i="1"/>
  <c r="F8051" i="1"/>
  <c r="C8051" i="1"/>
  <c r="F8050" i="1"/>
  <c r="C8050" i="1"/>
  <c r="F8049" i="1"/>
  <c r="C8049" i="1"/>
  <c r="F8048" i="1"/>
  <c r="C8048" i="1"/>
  <c r="F8047" i="1"/>
  <c r="F8046" i="1"/>
  <c r="F8045" i="1"/>
  <c r="C8045" i="1"/>
  <c r="F8044" i="1"/>
  <c r="C8044" i="1"/>
  <c r="F8043" i="1"/>
  <c r="C8043" i="1"/>
  <c r="F8042" i="1"/>
  <c r="C8042" i="1"/>
  <c r="F8041" i="1"/>
  <c r="C8041" i="1"/>
  <c r="C8040" i="1"/>
  <c r="F8039" i="1"/>
  <c r="C8039" i="1"/>
  <c r="F8038" i="1"/>
  <c r="C8038" i="1"/>
  <c r="F8037" i="1"/>
  <c r="C8037" i="1"/>
  <c r="F8036" i="1"/>
  <c r="C8036" i="1"/>
  <c r="F8035" i="1"/>
  <c r="C8035" i="1"/>
  <c r="F8034" i="1"/>
  <c r="F8033" i="1"/>
  <c r="C8033" i="1"/>
  <c r="F8032" i="1"/>
  <c r="C8032" i="1"/>
  <c r="F8031" i="1"/>
  <c r="C8031" i="1"/>
  <c r="F8030" i="1"/>
  <c r="C8030" i="1"/>
  <c r="F8029" i="1"/>
  <c r="F8028" i="1"/>
  <c r="C8027" i="1"/>
  <c r="F8026" i="1"/>
  <c r="C8026" i="1"/>
  <c r="F8025" i="1"/>
  <c r="F8024" i="1"/>
  <c r="C8024" i="1"/>
  <c r="F8023" i="1"/>
  <c r="C8023" i="1"/>
  <c r="F8022" i="1"/>
  <c r="F8021" i="1"/>
  <c r="F8020" i="1"/>
  <c r="C8020" i="1"/>
  <c r="F8019" i="1"/>
  <c r="F8018" i="1"/>
  <c r="C8018" i="1"/>
  <c r="F8017" i="1"/>
  <c r="C8017" i="1"/>
  <c r="F8016" i="1"/>
  <c r="C8016" i="1"/>
  <c r="F8015" i="1"/>
  <c r="C8015" i="1"/>
  <c r="F8014" i="1"/>
  <c r="C8013" i="1"/>
  <c r="F8012" i="1"/>
  <c r="F8011" i="1"/>
  <c r="F8010" i="1"/>
  <c r="C8010" i="1"/>
  <c r="F8009" i="1"/>
  <c r="C8009" i="1"/>
  <c r="F8008" i="1"/>
  <c r="C8008" i="1"/>
  <c r="F8007" i="1"/>
  <c r="C8007" i="1"/>
  <c r="F8006" i="1"/>
  <c r="C8006" i="1"/>
  <c r="C8005" i="1"/>
  <c r="F8004" i="1"/>
  <c r="C8004" i="1"/>
  <c r="F8003" i="1"/>
  <c r="C8003" i="1"/>
  <c r="F8002" i="1"/>
  <c r="F8001" i="1"/>
  <c r="C8001" i="1"/>
  <c r="F8000" i="1"/>
  <c r="C8000" i="1"/>
  <c r="F7999" i="1"/>
  <c r="C7999" i="1"/>
  <c r="F7998" i="1"/>
  <c r="C7998" i="1"/>
  <c r="F7997" i="1"/>
  <c r="F7996" i="1"/>
  <c r="F7995" i="1"/>
  <c r="C7994" i="1"/>
  <c r="F7993" i="1"/>
  <c r="C7993" i="1"/>
  <c r="F7992" i="1"/>
  <c r="C7992" i="1"/>
  <c r="C7991" i="1"/>
  <c r="F7990" i="1"/>
  <c r="C7990" i="1"/>
  <c r="F7989" i="1"/>
  <c r="C7989" i="1"/>
  <c r="F7988" i="1"/>
  <c r="C7988" i="1"/>
  <c r="F7987" i="1"/>
  <c r="C7987" i="1"/>
  <c r="F7986" i="1"/>
  <c r="F7985" i="1"/>
  <c r="C7985" i="1"/>
  <c r="F7984" i="1"/>
  <c r="C7984" i="1"/>
  <c r="F7983" i="1"/>
  <c r="C7983" i="1"/>
  <c r="F7982" i="1"/>
  <c r="F7981" i="1"/>
  <c r="C7981" i="1"/>
  <c r="F7980" i="1"/>
  <c r="F7979" i="1"/>
  <c r="F7978" i="1"/>
  <c r="F7977" i="1"/>
  <c r="C7977" i="1"/>
  <c r="F7976" i="1"/>
  <c r="C7976" i="1"/>
  <c r="F7975" i="1"/>
  <c r="C7975" i="1"/>
  <c r="F7974" i="1"/>
  <c r="F7973" i="1"/>
  <c r="C7973" i="1"/>
  <c r="F7972" i="1"/>
  <c r="F7971" i="1"/>
  <c r="C7971" i="1"/>
  <c r="F7970" i="1"/>
  <c r="F7969" i="1"/>
  <c r="C7969" i="1"/>
  <c r="C7968" i="1"/>
  <c r="F7967" i="1"/>
  <c r="C7967" i="1"/>
  <c r="F7966" i="1"/>
  <c r="F7965" i="1"/>
  <c r="F7964" i="1"/>
  <c r="C7964" i="1"/>
  <c r="F7963" i="1"/>
  <c r="C7963" i="1"/>
  <c r="F7962" i="1"/>
  <c r="C7962" i="1"/>
  <c r="C7961" i="1"/>
  <c r="F7960" i="1"/>
  <c r="C7960" i="1"/>
  <c r="F7959" i="1"/>
  <c r="C7958" i="1"/>
  <c r="F7957" i="1"/>
  <c r="C7957" i="1"/>
  <c r="F7956" i="1"/>
  <c r="C7956" i="1"/>
  <c r="C7955" i="1"/>
  <c r="F7954" i="1"/>
  <c r="C7954" i="1"/>
  <c r="F7953" i="1"/>
  <c r="C7953" i="1"/>
  <c r="F7952" i="1"/>
  <c r="F7951" i="1"/>
  <c r="C7951" i="1"/>
  <c r="F7950" i="1"/>
  <c r="C7950" i="1"/>
  <c r="F7949" i="1"/>
  <c r="C7949" i="1"/>
  <c r="F7948" i="1"/>
  <c r="C7948" i="1"/>
  <c r="F7947" i="1"/>
  <c r="C7947" i="1"/>
  <c r="F7946" i="1"/>
  <c r="C7946" i="1"/>
  <c r="C7945" i="1"/>
  <c r="F7944" i="1"/>
  <c r="C7944" i="1"/>
  <c r="F7943" i="1"/>
  <c r="C7943" i="1"/>
  <c r="F7942" i="1"/>
  <c r="C7942" i="1"/>
  <c r="F7941" i="1"/>
  <c r="F7940" i="1"/>
  <c r="C7940" i="1"/>
  <c r="F7939" i="1"/>
  <c r="C7939" i="1"/>
  <c r="F7938" i="1"/>
  <c r="C7938" i="1"/>
  <c r="F7937" i="1"/>
  <c r="C7937" i="1"/>
  <c r="F7936" i="1"/>
  <c r="C7936" i="1"/>
  <c r="F7934" i="1"/>
  <c r="C7934" i="1"/>
  <c r="F7933" i="1"/>
  <c r="F7932" i="1"/>
  <c r="F7931" i="1"/>
  <c r="C7931" i="1"/>
  <c r="F7930" i="1"/>
  <c r="F7929" i="1"/>
  <c r="C7929" i="1"/>
  <c r="F7928" i="1"/>
  <c r="C7928" i="1"/>
  <c r="F7927" i="1"/>
  <c r="C7927" i="1"/>
  <c r="F7926" i="1"/>
  <c r="F7925" i="1"/>
  <c r="F7924" i="1"/>
  <c r="C7924" i="1"/>
  <c r="F7923" i="1"/>
  <c r="F7922" i="1"/>
  <c r="C7922" i="1"/>
  <c r="F7921" i="1"/>
  <c r="C7921" i="1"/>
  <c r="F7920" i="1"/>
  <c r="C7920" i="1"/>
  <c r="F7919" i="1"/>
  <c r="F7918" i="1"/>
  <c r="C7918" i="1"/>
  <c r="F7917" i="1"/>
  <c r="C7916" i="1"/>
  <c r="F7915" i="1"/>
  <c r="C7915" i="1"/>
  <c r="C7914" i="1"/>
  <c r="F7913" i="1"/>
  <c r="C7913" i="1"/>
  <c r="F7912" i="1"/>
  <c r="C7912" i="1"/>
  <c r="F7911" i="1"/>
  <c r="C7911" i="1"/>
  <c r="F7910" i="1"/>
  <c r="C7910" i="1"/>
  <c r="C7909" i="1"/>
  <c r="C7908" i="1"/>
  <c r="F7907" i="1"/>
  <c r="C7907" i="1"/>
  <c r="F7906" i="1"/>
  <c r="C7906" i="1"/>
  <c r="F7905" i="1"/>
  <c r="C7905" i="1"/>
  <c r="F7904" i="1"/>
  <c r="F7903" i="1"/>
  <c r="C7902" i="1"/>
  <c r="F7901" i="1"/>
  <c r="C7901" i="1"/>
  <c r="F7900" i="1"/>
  <c r="C7900" i="1"/>
  <c r="F7899" i="1"/>
  <c r="C7899" i="1"/>
  <c r="F7898" i="1"/>
  <c r="F7897" i="1"/>
  <c r="C7897" i="1"/>
  <c r="F7896" i="1"/>
  <c r="C7896" i="1"/>
  <c r="F7894" i="1"/>
  <c r="C7894" i="1"/>
  <c r="F7893" i="1"/>
  <c r="C7893" i="1"/>
  <c r="F7892" i="1"/>
  <c r="C7892" i="1"/>
  <c r="F7891" i="1"/>
  <c r="F7890" i="1"/>
  <c r="C7890" i="1"/>
  <c r="F7889" i="1"/>
  <c r="C7889" i="1"/>
  <c r="F7888" i="1"/>
  <c r="F7887" i="1"/>
  <c r="C7887" i="1"/>
  <c r="F7886" i="1"/>
  <c r="F7885" i="1"/>
  <c r="C7885" i="1"/>
  <c r="F7884" i="1"/>
  <c r="F7883" i="1"/>
  <c r="C7883" i="1"/>
  <c r="F7882" i="1"/>
  <c r="F7881" i="1"/>
  <c r="C7881" i="1"/>
  <c r="F7880" i="1"/>
  <c r="F7879" i="1"/>
  <c r="F7878" i="1"/>
  <c r="F7877" i="1"/>
  <c r="F7876" i="1"/>
  <c r="F7875" i="1"/>
  <c r="C7875" i="1"/>
  <c r="F7874" i="1"/>
  <c r="C7874" i="1"/>
  <c r="F7873" i="1"/>
  <c r="C7873" i="1"/>
  <c r="F7872" i="1"/>
  <c r="F7871" i="1"/>
  <c r="C7871" i="1"/>
  <c r="F7870" i="1"/>
  <c r="C7870" i="1"/>
  <c r="F7869" i="1"/>
  <c r="C7869" i="1"/>
  <c r="F7868" i="1"/>
  <c r="C7868" i="1"/>
  <c r="F7867" i="1"/>
  <c r="C7867" i="1"/>
  <c r="F7866" i="1"/>
  <c r="C7866" i="1"/>
  <c r="F7865" i="1"/>
  <c r="C7865" i="1"/>
  <c r="F7864" i="1"/>
  <c r="F7863" i="1"/>
  <c r="C7863" i="1"/>
  <c r="F7862" i="1"/>
  <c r="C7862" i="1"/>
  <c r="F7861" i="1"/>
  <c r="C7861" i="1"/>
  <c r="F7860" i="1"/>
  <c r="C7860" i="1"/>
  <c r="F7859" i="1"/>
  <c r="F7858" i="1"/>
  <c r="F7857" i="1"/>
  <c r="C7857" i="1"/>
  <c r="F7856" i="1"/>
  <c r="C7856" i="1"/>
  <c r="F7855" i="1"/>
  <c r="C7855" i="1"/>
  <c r="F7854" i="1"/>
  <c r="C7854" i="1"/>
  <c r="F7853" i="1"/>
  <c r="C7853" i="1"/>
  <c r="F7852" i="1"/>
  <c r="C7852" i="1"/>
  <c r="F7851" i="1"/>
  <c r="C7851" i="1"/>
  <c r="F7850" i="1"/>
  <c r="C7850" i="1"/>
  <c r="F7849" i="1"/>
  <c r="C7849" i="1"/>
  <c r="F7848" i="1"/>
  <c r="C7848" i="1"/>
  <c r="F7847" i="1"/>
  <c r="C7847" i="1"/>
  <c r="F7846" i="1"/>
  <c r="C7846" i="1"/>
  <c r="F7845" i="1"/>
  <c r="C7845" i="1"/>
  <c r="F7844" i="1"/>
  <c r="F7843" i="1"/>
  <c r="C7843" i="1"/>
  <c r="F7842" i="1"/>
  <c r="C7842" i="1"/>
  <c r="F7840" i="1"/>
  <c r="C7840" i="1"/>
  <c r="F7839" i="1"/>
  <c r="C7839" i="1"/>
  <c r="F7838" i="1"/>
  <c r="F7837" i="1"/>
  <c r="C7837" i="1"/>
  <c r="F7836" i="1"/>
  <c r="C7836" i="1"/>
  <c r="F7835" i="1"/>
  <c r="F7834" i="1"/>
  <c r="C7834" i="1"/>
  <c r="F7833" i="1"/>
  <c r="C7833" i="1"/>
  <c r="C7832" i="1"/>
  <c r="C7831" i="1"/>
  <c r="F7830" i="1"/>
  <c r="F7829" i="1"/>
  <c r="C7829" i="1"/>
  <c r="F7828" i="1"/>
  <c r="C7828" i="1"/>
  <c r="F7827" i="1"/>
  <c r="F7826" i="1"/>
  <c r="F7825" i="1"/>
  <c r="F7824" i="1"/>
  <c r="C7824" i="1"/>
  <c r="F7823" i="1"/>
  <c r="C7822" i="1"/>
  <c r="F7821" i="1"/>
  <c r="F7820" i="1"/>
  <c r="C7820" i="1"/>
  <c r="F7819" i="1"/>
  <c r="C7819" i="1"/>
  <c r="F7818" i="1"/>
  <c r="C7818" i="1"/>
  <c r="F7817" i="1"/>
  <c r="F7816" i="1"/>
  <c r="C7816" i="1"/>
  <c r="F7815" i="1"/>
  <c r="C7815" i="1"/>
  <c r="F7813" i="1"/>
  <c r="F7812" i="1"/>
  <c r="C7812" i="1"/>
  <c r="F7811" i="1"/>
  <c r="C7811" i="1"/>
  <c r="F7810" i="1"/>
  <c r="C7810" i="1"/>
  <c r="F7809" i="1"/>
  <c r="C7809" i="1"/>
  <c r="F7808" i="1"/>
  <c r="C7808" i="1"/>
  <c r="F7807" i="1"/>
  <c r="C7807" i="1"/>
  <c r="F7806" i="1"/>
  <c r="F7805" i="1"/>
  <c r="F7804" i="1"/>
  <c r="F7803" i="1"/>
  <c r="C7803" i="1"/>
  <c r="F7802" i="1"/>
  <c r="F7801" i="1"/>
  <c r="F7800" i="1"/>
  <c r="C7800" i="1"/>
  <c r="F7799" i="1"/>
  <c r="C7799" i="1"/>
  <c r="F7798" i="1"/>
  <c r="F7797" i="1"/>
  <c r="F7796" i="1"/>
  <c r="F7795" i="1"/>
  <c r="C7795" i="1"/>
  <c r="F7794" i="1"/>
  <c r="C7794" i="1"/>
  <c r="F7793" i="1"/>
  <c r="F7792" i="1"/>
  <c r="F7791" i="1"/>
  <c r="F7790" i="1"/>
  <c r="C7790" i="1"/>
  <c r="F7789" i="1"/>
  <c r="C7789" i="1"/>
  <c r="F7788" i="1"/>
  <c r="C7788" i="1"/>
  <c r="F7787" i="1"/>
  <c r="F7785" i="1"/>
  <c r="F7784" i="1"/>
  <c r="C7784" i="1"/>
  <c r="F7783" i="1"/>
  <c r="C7783" i="1"/>
  <c r="F7782" i="1"/>
  <c r="C7782" i="1"/>
  <c r="F7781" i="1"/>
  <c r="C7780" i="1"/>
  <c r="F7779" i="1"/>
  <c r="C7779" i="1"/>
  <c r="F7778" i="1"/>
  <c r="C7778" i="1"/>
  <c r="F7777" i="1"/>
  <c r="C7777" i="1"/>
  <c r="F7776" i="1"/>
  <c r="C7776" i="1"/>
  <c r="F7775" i="1"/>
  <c r="F7774" i="1"/>
  <c r="C7774" i="1"/>
  <c r="F7773" i="1"/>
  <c r="C7773" i="1"/>
  <c r="F7772" i="1"/>
  <c r="C7772" i="1"/>
  <c r="C7771" i="1"/>
  <c r="F7770" i="1"/>
  <c r="C7770" i="1"/>
  <c r="F7769" i="1"/>
  <c r="F7768" i="1"/>
  <c r="C7768" i="1"/>
  <c r="F7766" i="1"/>
  <c r="C7766" i="1"/>
  <c r="F7765" i="1"/>
  <c r="C7765" i="1"/>
  <c r="F7764" i="1"/>
  <c r="C7764" i="1"/>
  <c r="F7763" i="1"/>
  <c r="C7763" i="1"/>
  <c r="F7762" i="1"/>
  <c r="C7762" i="1"/>
  <c r="F7761" i="1"/>
  <c r="C7761" i="1"/>
  <c r="F7760" i="1"/>
  <c r="C7760" i="1"/>
  <c r="F7759" i="1"/>
  <c r="F7758" i="1"/>
  <c r="C7758" i="1"/>
  <c r="F7757" i="1"/>
  <c r="F7756" i="1"/>
  <c r="C7756" i="1"/>
  <c r="F7755" i="1"/>
  <c r="F7754" i="1"/>
  <c r="C7754" i="1"/>
  <c r="F7753" i="1"/>
  <c r="C7753" i="1"/>
  <c r="F7752" i="1"/>
  <c r="F7751" i="1"/>
  <c r="C7751" i="1"/>
  <c r="F7750" i="1"/>
  <c r="C7750" i="1"/>
  <c r="F7749" i="1"/>
  <c r="F7748" i="1"/>
  <c r="F7747" i="1"/>
  <c r="C7747" i="1"/>
  <c r="F7746" i="1"/>
  <c r="C7746" i="1"/>
  <c r="C7745" i="1"/>
  <c r="F7744" i="1"/>
  <c r="F7743" i="1"/>
  <c r="F7742" i="1"/>
  <c r="C7742" i="1"/>
  <c r="F7741" i="1"/>
  <c r="C7741" i="1"/>
  <c r="C7740" i="1"/>
  <c r="F7739" i="1"/>
  <c r="C7739" i="1"/>
  <c r="F7738" i="1"/>
  <c r="F7737" i="1"/>
  <c r="F7736" i="1"/>
  <c r="C7736" i="1"/>
  <c r="F7735" i="1"/>
  <c r="C7735" i="1"/>
  <c r="F7734" i="1"/>
  <c r="C7734" i="1"/>
  <c r="F7733" i="1"/>
  <c r="C7733" i="1"/>
  <c r="F7732" i="1"/>
  <c r="F7731" i="1"/>
  <c r="C7731" i="1"/>
  <c r="F7730" i="1"/>
  <c r="C7730" i="1"/>
  <c r="F7729" i="1"/>
  <c r="C7729" i="1"/>
  <c r="F7728" i="1"/>
  <c r="C7728" i="1"/>
  <c r="F7727" i="1"/>
  <c r="F7726" i="1"/>
  <c r="C7726" i="1"/>
  <c r="F7725" i="1"/>
  <c r="C7725" i="1"/>
  <c r="F7724" i="1"/>
  <c r="F7723" i="1"/>
  <c r="C7723" i="1"/>
  <c r="F7722" i="1"/>
  <c r="C7722" i="1"/>
  <c r="F7721" i="1"/>
  <c r="C7721" i="1"/>
  <c r="F7720" i="1"/>
  <c r="F7719" i="1"/>
  <c r="C7719" i="1"/>
  <c r="C7718" i="1"/>
  <c r="F7717" i="1"/>
  <c r="C7717" i="1"/>
  <c r="F7716" i="1"/>
  <c r="C7716" i="1"/>
  <c r="F7715" i="1"/>
  <c r="C7715" i="1"/>
  <c r="F7714" i="1"/>
  <c r="C7714" i="1"/>
  <c r="F7713" i="1"/>
  <c r="C7713" i="1"/>
  <c r="F7712" i="1"/>
  <c r="C7712" i="1"/>
  <c r="F7711" i="1"/>
  <c r="C7711" i="1"/>
  <c r="F7710" i="1"/>
  <c r="C7710" i="1"/>
  <c r="F7709" i="1"/>
  <c r="C7709" i="1"/>
  <c r="F7708" i="1"/>
  <c r="F7707" i="1"/>
  <c r="C7707" i="1"/>
  <c r="F7706" i="1"/>
  <c r="F7705" i="1"/>
  <c r="F7704" i="1"/>
  <c r="C7704" i="1"/>
  <c r="F7703" i="1"/>
  <c r="C7703" i="1"/>
  <c r="F7702" i="1"/>
  <c r="C7702" i="1"/>
  <c r="F7701" i="1"/>
  <c r="F7700" i="1"/>
  <c r="C7700" i="1"/>
  <c r="F7699" i="1"/>
  <c r="C7699" i="1"/>
  <c r="F7698" i="1"/>
  <c r="F7697" i="1"/>
  <c r="C7697" i="1"/>
  <c r="F7696" i="1"/>
  <c r="F7695" i="1"/>
  <c r="C7695" i="1"/>
  <c r="F7694" i="1"/>
  <c r="C7694" i="1"/>
  <c r="F7693" i="1"/>
  <c r="F7692" i="1"/>
  <c r="C7692" i="1"/>
  <c r="F7691" i="1"/>
  <c r="C7691" i="1"/>
  <c r="F7690" i="1"/>
  <c r="C7690" i="1"/>
  <c r="F7689" i="1"/>
  <c r="F7688" i="1"/>
  <c r="C7688" i="1"/>
  <c r="F7687" i="1"/>
  <c r="C7687" i="1"/>
  <c r="F7686" i="1"/>
  <c r="C7686" i="1"/>
  <c r="F7685" i="1"/>
  <c r="C7685" i="1"/>
  <c r="F7684" i="1"/>
  <c r="C7684" i="1"/>
  <c r="F7683" i="1"/>
  <c r="F7682" i="1"/>
  <c r="C7682" i="1"/>
  <c r="F7681" i="1"/>
  <c r="C7681" i="1"/>
  <c r="F7680" i="1"/>
  <c r="C7680" i="1"/>
  <c r="C7679" i="1"/>
  <c r="F7678" i="1"/>
  <c r="C7678" i="1"/>
  <c r="F7677" i="1"/>
  <c r="C7677" i="1"/>
  <c r="F7676" i="1"/>
  <c r="F7675" i="1"/>
  <c r="C7675" i="1"/>
  <c r="F7674" i="1"/>
  <c r="F7673" i="1"/>
  <c r="F7672" i="1"/>
  <c r="F7671" i="1"/>
  <c r="C7671" i="1"/>
  <c r="F7670" i="1"/>
  <c r="C7669" i="1"/>
  <c r="F7668" i="1"/>
  <c r="C7668" i="1"/>
  <c r="F7667" i="1"/>
  <c r="C7667" i="1"/>
  <c r="F7666" i="1"/>
  <c r="C7666" i="1"/>
  <c r="F7665" i="1"/>
  <c r="C7665" i="1"/>
  <c r="F7664" i="1"/>
  <c r="C7664" i="1"/>
  <c r="F7663" i="1"/>
  <c r="F7662" i="1"/>
  <c r="F7661" i="1"/>
  <c r="C7661" i="1"/>
  <c r="F7660" i="1"/>
  <c r="C7660" i="1"/>
  <c r="F7659" i="1"/>
  <c r="F7658" i="1"/>
  <c r="F7657" i="1"/>
  <c r="C7657" i="1"/>
  <c r="F7656" i="1"/>
  <c r="C7656" i="1"/>
  <c r="F7655" i="1"/>
  <c r="F7654" i="1"/>
  <c r="C7654" i="1"/>
  <c r="F7653" i="1"/>
  <c r="C7653" i="1"/>
  <c r="F7652" i="1"/>
  <c r="F7650" i="1"/>
  <c r="C7650" i="1"/>
  <c r="F7649" i="1"/>
  <c r="C7649" i="1"/>
  <c r="F7648" i="1"/>
  <c r="C7648" i="1"/>
  <c r="F7647" i="1"/>
  <c r="F7646" i="1"/>
  <c r="C7645" i="1"/>
  <c r="F7644" i="1"/>
  <c r="C7644" i="1"/>
  <c r="F7643" i="1"/>
  <c r="F7642" i="1"/>
  <c r="F7641" i="1"/>
  <c r="C7641" i="1"/>
  <c r="F7640" i="1"/>
  <c r="F7639" i="1"/>
  <c r="C7639" i="1"/>
  <c r="F7638" i="1"/>
  <c r="C7638" i="1"/>
  <c r="C7637" i="1"/>
  <c r="F7636" i="1"/>
  <c r="C7636" i="1"/>
  <c r="F7635" i="1"/>
  <c r="C7635" i="1"/>
  <c r="F7634" i="1"/>
  <c r="C7634" i="1"/>
  <c r="F7633" i="1"/>
  <c r="C7633" i="1"/>
  <c r="F7632" i="1"/>
  <c r="F7631" i="1"/>
  <c r="F7630" i="1"/>
  <c r="F7629" i="1"/>
  <c r="C7629" i="1"/>
  <c r="F7628" i="1"/>
  <c r="F7627" i="1"/>
  <c r="C7627" i="1"/>
  <c r="F7626" i="1"/>
  <c r="C7626" i="1"/>
  <c r="F7625" i="1"/>
  <c r="F7624" i="1"/>
  <c r="C7624" i="1"/>
  <c r="F7623" i="1"/>
  <c r="F7622" i="1"/>
  <c r="C7622" i="1"/>
  <c r="F7621" i="1"/>
  <c r="C7621" i="1"/>
  <c r="F7620" i="1"/>
  <c r="F7619" i="1"/>
  <c r="F7618" i="1"/>
  <c r="C7618" i="1"/>
  <c r="F7617" i="1"/>
  <c r="C7617" i="1"/>
  <c r="F7616" i="1"/>
  <c r="C7616" i="1"/>
  <c r="F7615" i="1"/>
  <c r="C7615" i="1"/>
  <c r="C7614" i="1"/>
  <c r="F7613" i="1"/>
  <c r="C7613" i="1"/>
  <c r="F7612" i="1"/>
  <c r="F7611" i="1"/>
  <c r="F7610" i="1"/>
  <c r="C7610" i="1"/>
  <c r="F7609" i="1"/>
  <c r="C7609" i="1"/>
  <c r="F7608" i="1"/>
  <c r="F7607" i="1"/>
  <c r="C7607" i="1"/>
  <c r="F7606" i="1"/>
  <c r="C7606" i="1"/>
  <c r="F7605" i="1"/>
  <c r="C7605" i="1"/>
  <c r="F7604" i="1"/>
  <c r="C7604" i="1"/>
  <c r="F7603" i="1"/>
  <c r="C7603" i="1"/>
  <c r="C7602" i="1"/>
  <c r="F7601" i="1"/>
  <c r="C7601" i="1"/>
  <c r="F7600" i="1"/>
  <c r="F7599" i="1"/>
  <c r="C7599" i="1"/>
  <c r="F7598" i="1"/>
  <c r="F7597" i="1"/>
  <c r="C7597" i="1"/>
  <c r="F7596" i="1"/>
  <c r="C7596" i="1"/>
  <c r="F7595" i="1"/>
  <c r="C7595" i="1"/>
  <c r="F7594" i="1"/>
  <c r="C7594" i="1"/>
  <c r="F7593" i="1"/>
  <c r="C7593" i="1"/>
  <c r="F7592" i="1"/>
  <c r="C7592" i="1"/>
  <c r="F7591" i="1"/>
  <c r="C7591" i="1"/>
  <c r="F7590" i="1"/>
  <c r="F7589" i="1"/>
  <c r="F7588" i="1"/>
  <c r="F7587" i="1"/>
  <c r="C7587" i="1"/>
  <c r="C7585" i="1"/>
  <c r="F7584" i="1"/>
  <c r="C7584" i="1"/>
  <c r="F7583" i="1"/>
  <c r="C7583" i="1"/>
  <c r="C7582" i="1"/>
  <c r="F7581" i="1"/>
  <c r="C7581" i="1"/>
  <c r="F7580" i="1"/>
  <c r="C7580" i="1"/>
  <c r="F7579" i="1"/>
  <c r="F7578" i="1"/>
  <c r="C7578" i="1"/>
  <c r="F7577" i="1"/>
  <c r="C7577" i="1"/>
  <c r="F7576" i="1"/>
  <c r="C7576" i="1"/>
  <c r="F7575" i="1"/>
  <c r="C7574" i="1"/>
  <c r="F7573" i="1"/>
  <c r="C7573" i="1"/>
  <c r="F7572" i="1"/>
  <c r="C7572" i="1"/>
  <c r="F7571" i="1"/>
  <c r="F7570" i="1"/>
  <c r="C7570" i="1"/>
  <c r="F7569" i="1"/>
  <c r="C7569" i="1"/>
  <c r="F7568" i="1"/>
  <c r="C7568" i="1"/>
  <c r="F7567" i="1"/>
  <c r="C7567" i="1"/>
  <c r="F7566" i="1"/>
  <c r="C7566" i="1"/>
  <c r="F7565" i="1"/>
  <c r="F7564" i="1"/>
  <c r="F7563" i="1"/>
  <c r="C7563" i="1"/>
  <c r="F7562" i="1"/>
  <c r="C7562" i="1"/>
  <c r="F7561" i="1"/>
  <c r="C7561" i="1"/>
  <c r="F7560" i="1"/>
  <c r="C7560" i="1"/>
  <c r="F7559" i="1"/>
  <c r="C7559" i="1"/>
  <c r="F7558" i="1"/>
  <c r="C7558" i="1"/>
  <c r="F7557" i="1"/>
  <c r="C7557" i="1"/>
  <c r="C7556" i="1"/>
  <c r="F7555" i="1"/>
  <c r="F7554" i="1"/>
  <c r="F7553" i="1"/>
  <c r="F7552" i="1"/>
  <c r="C7552" i="1"/>
  <c r="F7551" i="1"/>
  <c r="F7550" i="1"/>
  <c r="F7549" i="1"/>
  <c r="F7548" i="1"/>
  <c r="F7547" i="1"/>
  <c r="F7546" i="1"/>
  <c r="C7546" i="1"/>
  <c r="F7545" i="1"/>
  <c r="C7545" i="1"/>
  <c r="F7544" i="1"/>
  <c r="C7544" i="1"/>
  <c r="F7543" i="1"/>
  <c r="F7542" i="1"/>
  <c r="C7542" i="1"/>
  <c r="C7541" i="1"/>
  <c r="F7540" i="1"/>
  <c r="C7540" i="1"/>
  <c r="F7539" i="1"/>
  <c r="C7539" i="1"/>
  <c r="F7538" i="1"/>
  <c r="C7538" i="1"/>
  <c r="F7537" i="1"/>
  <c r="F7536" i="1"/>
  <c r="F7535" i="1"/>
  <c r="C7535" i="1"/>
  <c r="F7534" i="1"/>
  <c r="C7534" i="1"/>
  <c r="F7533" i="1"/>
  <c r="F7532" i="1"/>
  <c r="C7532" i="1"/>
  <c r="F7531" i="1"/>
  <c r="C7531" i="1"/>
  <c r="F7530" i="1"/>
  <c r="C7530" i="1"/>
  <c r="F7529" i="1"/>
  <c r="C7529" i="1"/>
  <c r="F7528" i="1"/>
  <c r="C7528" i="1"/>
  <c r="C7527" i="1"/>
  <c r="C7526" i="1"/>
  <c r="F7525" i="1"/>
  <c r="C7525" i="1"/>
  <c r="F7524" i="1"/>
  <c r="C7524" i="1"/>
  <c r="F7523" i="1"/>
  <c r="F7522" i="1"/>
  <c r="C7522" i="1"/>
  <c r="F7521" i="1"/>
  <c r="F7520" i="1"/>
  <c r="C7520" i="1"/>
  <c r="C7519" i="1"/>
  <c r="F7518" i="1"/>
  <c r="F7517" i="1"/>
  <c r="F7516" i="1"/>
  <c r="F7515" i="1"/>
  <c r="F7514" i="1"/>
  <c r="C7514" i="1"/>
  <c r="F7513" i="1"/>
  <c r="C7513" i="1"/>
  <c r="C7512" i="1"/>
  <c r="F7511" i="1"/>
  <c r="F7510" i="1"/>
  <c r="C7510" i="1"/>
  <c r="F7509" i="1"/>
  <c r="C7509" i="1"/>
  <c r="F7508" i="1"/>
  <c r="C7508" i="1"/>
  <c r="F7507" i="1"/>
  <c r="F7506" i="1"/>
  <c r="C7506" i="1"/>
  <c r="F7504" i="1"/>
  <c r="F7503" i="1"/>
  <c r="F7502" i="1"/>
  <c r="C7502" i="1"/>
  <c r="F7501" i="1"/>
  <c r="F7500" i="1"/>
  <c r="C7500" i="1"/>
  <c r="F7499" i="1"/>
  <c r="C7499" i="1"/>
  <c r="F7498" i="1"/>
  <c r="F7497" i="1"/>
  <c r="C7497" i="1"/>
  <c r="F7496" i="1"/>
  <c r="F7495" i="1"/>
  <c r="F7494" i="1"/>
  <c r="C7494" i="1"/>
  <c r="F7493" i="1"/>
  <c r="C7493" i="1"/>
  <c r="F7492" i="1"/>
  <c r="C7492" i="1"/>
  <c r="F7491" i="1"/>
  <c r="C7491" i="1"/>
  <c r="F7490" i="1"/>
  <c r="C7490" i="1"/>
  <c r="F7489" i="1"/>
  <c r="C7489" i="1"/>
  <c r="F7488" i="1"/>
  <c r="F7487" i="1"/>
  <c r="F7486" i="1"/>
  <c r="F7485" i="1"/>
  <c r="C7485" i="1"/>
  <c r="F7484" i="1"/>
  <c r="F7483" i="1"/>
  <c r="C7483" i="1"/>
  <c r="F7482" i="1"/>
  <c r="F7481" i="1"/>
  <c r="F7480" i="1"/>
  <c r="F7479" i="1"/>
  <c r="C7479" i="1"/>
  <c r="F7478" i="1"/>
  <c r="F7477" i="1"/>
  <c r="C7477" i="1"/>
  <c r="F7476" i="1"/>
  <c r="F7475" i="1"/>
  <c r="F7474" i="1"/>
  <c r="F7473" i="1"/>
  <c r="C7473" i="1"/>
  <c r="F7472" i="1"/>
  <c r="C7472" i="1"/>
  <c r="F7471" i="1"/>
  <c r="C7471" i="1"/>
  <c r="F7470" i="1"/>
  <c r="C7470" i="1"/>
  <c r="F7469" i="1"/>
  <c r="C7469" i="1"/>
  <c r="F7468" i="1"/>
  <c r="C7468" i="1"/>
  <c r="F7466" i="1"/>
  <c r="C7466" i="1"/>
  <c r="F7465" i="1"/>
  <c r="C7465" i="1"/>
  <c r="F7464" i="1"/>
  <c r="C7464" i="1"/>
  <c r="F7463" i="1"/>
  <c r="C7463" i="1"/>
  <c r="C7462" i="1"/>
  <c r="F7461" i="1"/>
  <c r="C7461" i="1"/>
  <c r="F7460" i="1"/>
  <c r="F7459" i="1"/>
  <c r="F7458" i="1"/>
  <c r="F7457" i="1"/>
  <c r="C7457" i="1"/>
  <c r="F7456" i="1"/>
  <c r="F7455" i="1"/>
  <c r="F7454" i="1"/>
  <c r="F7453" i="1"/>
  <c r="C7453" i="1"/>
  <c r="F7452" i="1"/>
  <c r="C7452" i="1"/>
  <c r="F7451" i="1"/>
  <c r="C7450" i="1"/>
  <c r="C7449" i="1"/>
  <c r="F7448" i="1"/>
  <c r="C7447" i="1"/>
  <c r="C7446" i="1"/>
  <c r="F7445" i="1"/>
  <c r="F7444" i="1"/>
  <c r="C7444" i="1"/>
  <c r="F7443" i="1"/>
  <c r="C7443" i="1"/>
  <c r="F7442" i="1"/>
  <c r="F7441" i="1"/>
  <c r="F7440" i="1"/>
  <c r="F7439" i="1"/>
  <c r="C7439" i="1"/>
  <c r="F7438" i="1"/>
  <c r="F7437" i="1"/>
  <c r="C7437" i="1"/>
  <c r="F7436" i="1"/>
  <c r="F7435" i="1"/>
  <c r="C7435" i="1"/>
  <c r="F7434" i="1"/>
  <c r="F7433" i="1"/>
  <c r="C7433" i="1"/>
  <c r="F7432" i="1"/>
  <c r="F7431" i="1"/>
  <c r="C7431" i="1"/>
  <c r="F7430" i="1"/>
  <c r="C7430" i="1"/>
  <c r="F7429" i="1"/>
  <c r="F7428" i="1"/>
  <c r="F7427" i="1"/>
  <c r="C7427" i="1"/>
  <c r="F7426" i="1"/>
  <c r="F7425" i="1"/>
  <c r="C7425" i="1"/>
  <c r="F7424" i="1"/>
  <c r="F7423" i="1"/>
  <c r="C7423" i="1"/>
  <c r="F7422" i="1"/>
  <c r="F7421" i="1"/>
  <c r="C7421" i="1"/>
  <c r="F7420" i="1"/>
  <c r="C7420" i="1"/>
  <c r="F7419" i="1"/>
  <c r="C7419" i="1"/>
  <c r="F7417" i="1"/>
  <c r="C7417" i="1"/>
  <c r="F7416" i="1"/>
  <c r="C7416" i="1"/>
  <c r="F7415" i="1"/>
  <c r="C7415" i="1"/>
  <c r="F7414" i="1"/>
  <c r="C7414" i="1"/>
  <c r="F7413" i="1"/>
  <c r="C7413" i="1"/>
  <c r="F7412" i="1"/>
  <c r="C7412" i="1"/>
  <c r="F7411" i="1"/>
  <c r="C7411" i="1"/>
  <c r="F7410" i="1"/>
  <c r="C7410" i="1"/>
  <c r="F7409" i="1"/>
  <c r="C7409" i="1"/>
  <c r="F7408" i="1"/>
  <c r="F7407" i="1"/>
  <c r="F7406" i="1"/>
  <c r="C7406" i="1"/>
  <c r="F7405" i="1"/>
  <c r="F7404" i="1"/>
  <c r="C7404" i="1"/>
  <c r="F7403" i="1"/>
  <c r="C7403" i="1"/>
  <c r="F7402" i="1"/>
  <c r="F7401" i="1"/>
  <c r="C7401" i="1"/>
  <c r="F7400" i="1"/>
  <c r="F7399" i="1"/>
  <c r="C7399" i="1"/>
  <c r="F7397" i="1"/>
  <c r="F7396" i="1"/>
  <c r="C7396" i="1"/>
  <c r="F7395" i="1"/>
  <c r="C7395" i="1"/>
  <c r="F7394" i="1"/>
  <c r="F7393" i="1"/>
  <c r="C7393" i="1"/>
  <c r="F7392" i="1"/>
  <c r="C7392" i="1"/>
  <c r="F7391" i="1"/>
  <c r="F7390" i="1"/>
  <c r="C7390" i="1"/>
  <c r="F7389" i="1"/>
  <c r="C7389" i="1"/>
  <c r="F7388" i="1"/>
  <c r="F7387" i="1"/>
  <c r="F7386" i="1"/>
  <c r="C7386" i="1"/>
  <c r="F7385" i="1"/>
  <c r="C7385" i="1"/>
  <c r="F7384" i="1"/>
  <c r="F7383" i="1"/>
  <c r="C7383" i="1"/>
  <c r="F7382" i="1"/>
  <c r="C7382" i="1"/>
  <c r="F7381" i="1"/>
  <c r="F7380" i="1"/>
  <c r="C7380" i="1"/>
  <c r="C7379" i="1"/>
  <c r="F7378" i="1"/>
  <c r="F7377" i="1"/>
  <c r="F7376" i="1"/>
  <c r="F7375" i="1"/>
  <c r="C7375" i="1"/>
  <c r="F7374" i="1"/>
  <c r="C7374" i="1"/>
  <c r="F7373" i="1"/>
  <c r="C7373" i="1"/>
  <c r="F7372" i="1"/>
  <c r="C7372" i="1"/>
  <c r="F7371" i="1"/>
  <c r="F7370" i="1"/>
  <c r="F7369" i="1"/>
  <c r="C7369" i="1"/>
  <c r="F7368" i="1"/>
  <c r="F7367" i="1"/>
  <c r="F7366" i="1"/>
  <c r="F7365" i="1"/>
  <c r="C7365" i="1"/>
  <c r="F7364" i="1"/>
  <c r="C7364" i="1"/>
  <c r="F7363" i="1"/>
  <c r="C7363" i="1"/>
  <c r="F7362" i="1"/>
  <c r="F7361" i="1"/>
  <c r="C7361" i="1"/>
  <c r="F7360" i="1"/>
  <c r="F7359" i="1"/>
  <c r="C7359" i="1"/>
  <c r="F7358" i="1"/>
  <c r="C7358" i="1"/>
  <c r="F7357" i="1"/>
  <c r="F7356" i="1"/>
  <c r="C7356" i="1"/>
  <c r="F7355" i="1"/>
  <c r="C7355" i="1"/>
  <c r="F7354" i="1"/>
  <c r="C7354" i="1"/>
  <c r="F7353" i="1"/>
  <c r="C7353" i="1"/>
  <c r="F7352" i="1"/>
  <c r="C7352" i="1"/>
  <c r="F7351" i="1"/>
  <c r="C7351" i="1"/>
  <c r="F7350" i="1"/>
  <c r="F7349" i="1"/>
  <c r="F7348" i="1"/>
  <c r="C7348" i="1"/>
  <c r="F7347" i="1"/>
  <c r="F7346" i="1"/>
  <c r="C7346" i="1"/>
  <c r="F7345" i="1"/>
  <c r="F7344" i="1"/>
  <c r="C7344" i="1"/>
  <c r="F7343" i="1"/>
  <c r="F7342" i="1"/>
  <c r="C7342" i="1"/>
  <c r="F7341" i="1"/>
  <c r="F7340" i="1"/>
  <c r="C7340" i="1"/>
  <c r="C7339" i="1"/>
  <c r="F7337" i="1"/>
  <c r="F7336" i="1"/>
  <c r="F7335" i="1"/>
  <c r="C7335" i="1"/>
  <c r="F7334" i="1"/>
  <c r="C7334" i="1"/>
  <c r="F7333" i="1"/>
  <c r="F7332" i="1"/>
  <c r="C7332" i="1"/>
  <c r="F7331" i="1"/>
  <c r="C7331" i="1"/>
  <c r="F7330" i="1"/>
  <c r="F7329" i="1"/>
  <c r="F7328" i="1"/>
  <c r="C7328" i="1"/>
  <c r="F7327" i="1"/>
  <c r="C7327" i="1"/>
  <c r="F7326" i="1"/>
  <c r="F7325" i="1"/>
  <c r="C7325" i="1"/>
  <c r="F7324" i="1"/>
  <c r="F7323" i="1"/>
  <c r="C7323" i="1"/>
  <c r="F7322" i="1"/>
  <c r="C7322" i="1"/>
  <c r="C7321" i="1"/>
  <c r="F7320" i="1"/>
  <c r="C7320" i="1"/>
  <c r="F7319" i="1"/>
  <c r="F7318" i="1"/>
  <c r="F7317" i="1"/>
  <c r="C7317" i="1"/>
  <c r="F7316" i="1"/>
  <c r="C7316" i="1"/>
  <c r="F7315" i="1"/>
  <c r="C7315" i="1"/>
  <c r="F7314" i="1"/>
  <c r="F7313" i="1"/>
  <c r="C7313" i="1"/>
  <c r="F7312" i="1"/>
  <c r="C7312" i="1"/>
  <c r="F7311" i="1"/>
  <c r="F7309" i="1"/>
  <c r="C7309" i="1"/>
  <c r="F7308" i="1"/>
  <c r="C7308" i="1"/>
  <c r="F7307" i="1"/>
  <c r="C7307" i="1"/>
  <c r="F7306" i="1"/>
  <c r="C7305" i="1"/>
  <c r="F7304" i="1"/>
  <c r="C7304" i="1"/>
  <c r="F7303" i="1"/>
  <c r="C7303" i="1"/>
  <c r="F7302" i="1"/>
  <c r="C7302" i="1"/>
  <c r="F7301" i="1"/>
  <c r="F7300" i="1"/>
  <c r="C7300" i="1"/>
  <c r="F7299" i="1"/>
  <c r="C7299" i="1"/>
  <c r="F7298" i="1"/>
  <c r="F7297" i="1"/>
  <c r="C7297" i="1"/>
  <c r="F7296" i="1"/>
  <c r="F7295" i="1"/>
  <c r="F7294" i="1"/>
  <c r="F7293" i="1"/>
  <c r="C7293" i="1"/>
  <c r="F7292" i="1"/>
  <c r="C7292" i="1"/>
  <c r="F7291" i="1"/>
  <c r="F7290" i="1"/>
  <c r="C7290" i="1"/>
  <c r="F7289" i="1"/>
  <c r="C7289" i="1"/>
  <c r="F7288" i="1"/>
  <c r="C7288" i="1"/>
  <c r="F7287" i="1"/>
  <c r="C7287" i="1"/>
  <c r="F7286" i="1"/>
  <c r="C7286" i="1"/>
  <c r="F7285" i="1"/>
  <c r="F7284" i="1"/>
  <c r="C7284" i="1"/>
  <c r="F7283" i="1"/>
  <c r="C7283" i="1"/>
  <c r="F7282" i="1"/>
  <c r="C7282" i="1"/>
  <c r="F7281" i="1"/>
  <c r="F7280" i="1"/>
  <c r="C7280" i="1"/>
  <c r="F7279" i="1"/>
  <c r="C7279" i="1"/>
  <c r="F7278" i="1"/>
  <c r="F7277" i="1"/>
  <c r="F7276" i="1"/>
  <c r="F7275" i="1"/>
  <c r="F7274" i="1"/>
  <c r="F7273" i="1"/>
  <c r="C7273" i="1"/>
  <c r="F7272" i="1"/>
  <c r="C7272" i="1"/>
  <c r="F7271" i="1"/>
  <c r="C7271" i="1"/>
  <c r="F7270" i="1"/>
  <c r="C7270" i="1"/>
  <c r="F7269" i="1"/>
  <c r="F7268" i="1"/>
  <c r="F7267" i="1"/>
  <c r="C7267" i="1"/>
  <c r="F7266" i="1"/>
  <c r="F7265" i="1"/>
  <c r="C7265" i="1"/>
  <c r="F7264" i="1"/>
  <c r="F7262" i="1"/>
  <c r="C7262" i="1"/>
  <c r="F7261" i="1"/>
  <c r="C7261" i="1"/>
  <c r="F7260" i="1"/>
  <c r="C7260" i="1"/>
  <c r="F7259" i="1"/>
  <c r="C7259" i="1"/>
  <c r="F7258" i="1"/>
  <c r="C7258" i="1"/>
  <c r="F7257" i="1"/>
  <c r="F7256" i="1"/>
  <c r="C7256" i="1"/>
  <c r="F7255" i="1"/>
  <c r="F7254" i="1"/>
  <c r="F7253" i="1"/>
  <c r="C7253" i="1"/>
  <c r="F7252" i="1"/>
  <c r="F7251" i="1"/>
  <c r="F7250" i="1"/>
  <c r="C7250" i="1"/>
  <c r="F7249" i="1"/>
  <c r="C7249" i="1"/>
  <c r="F7248" i="1"/>
  <c r="C7248" i="1"/>
  <c r="F7247" i="1"/>
  <c r="F7246" i="1"/>
  <c r="C7246" i="1"/>
  <c r="F7245" i="1"/>
  <c r="C7245" i="1"/>
  <c r="F7244" i="1"/>
  <c r="F7243" i="1"/>
  <c r="F7242" i="1"/>
  <c r="F7241" i="1"/>
  <c r="C7241" i="1"/>
  <c r="F7240" i="1"/>
  <c r="C7240" i="1"/>
  <c r="F7239" i="1"/>
  <c r="F7238" i="1"/>
  <c r="F7237" i="1"/>
  <c r="C7237" i="1"/>
  <c r="F7236" i="1"/>
  <c r="C7236" i="1"/>
  <c r="F7235" i="1"/>
  <c r="C7235" i="1"/>
  <c r="F7234" i="1"/>
  <c r="C7234" i="1"/>
  <c r="F7233" i="1"/>
  <c r="F7232" i="1"/>
  <c r="C7232" i="1"/>
  <c r="F7231" i="1"/>
  <c r="C7231" i="1"/>
  <c r="F7230" i="1"/>
  <c r="F7229" i="1"/>
  <c r="F7228" i="1"/>
  <c r="C7228" i="1"/>
  <c r="F7227" i="1"/>
  <c r="C7227" i="1"/>
  <c r="F7226" i="1"/>
  <c r="C7226" i="1"/>
  <c r="F7225" i="1"/>
  <c r="C7225" i="1"/>
  <c r="F7224" i="1"/>
  <c r="C7224" i="1"/>
  <c r="F7223" i="1"/>
  <c r="F7222" i="1"/>
  <c r="F7221" i="1"/>
  <c r="C7221" i="1"/>
  <c r="F7219" i="1"/>
  <c r="C7219" i="1"/>
  <c r="F7218" i="1"/>
  <c r="C7218" i="1"/>
  <c r="F7217" i="1"/>
  <c r="F7216" i="1"/>
  <c r="F7215" i="1"/>
  <c r="C7215" i="1"/>
  <c r="F7214" i="1"/>
  <c r="F7213" i="1"/>
  <c r="C7213" i="1"/>
  <c r="F7212" i="1"/>
  <c r="C7212" i="1"/>
  <c r="F7211" i="1"/>
  <c r="F7210" i="1"/>
  <c r="C7210" i="1"/>
  <c r="F7209" i="1"/>
  <c r="F7208" i="1"/>
  <c r="C7208" i="1"/>
  <c r="F7207" i="1"/>
  <c r="C7207" i="1"/>
  <c r="F7206" i="1"/>
  <c r="C7206" i="1"/>
  <c r="C7205" i="1"/>
  <c r="F7204" i="1"/>
  <c r="C7204" i="1"/>
  <c r="F7203" i="1"/>
  <c r="F7202" i="1"/>
  <c r="F7201" i="1"/>
  <c r="C7200" i="1"/>
  <c r="F7199" i="1"/>
  <c r="C7199" i="1"/>
  <c r="C7198" i="1"/>
  <c r="F7197" i="1"/>
  <c r="C7197" i="1"/>
  <c r="F7196" i="1"/>
  <c r="F7195" i="1"/>
  <c r="C7195" i="1"/>
  <c r="F7194" i="1"/>
  <c r="C7194" i="1"/>
  <c r="F7193" i="1"/>
  <c r="F7192" i="1"/>
  <c r="C7192" i="1"/>
  <c r="F7191" i="1"/>
  <c r="C7191" i="1"/>
  <c r="F7190" i="1"/>
  <c r="C7190" i="1"/>
  <c r="F7189" i="1"/>
  <c r="C7189" i="1"/>
  <c r="F7188" i="1"/>
  <c r="F7187" i="1"/>
  <c r="F7186" i="1"/>
  <c r="C7186" i="1"/>
  <c r="F7185" i="1"/>
  <c r="F7184" i="1"/>
  <c r="F7183" i="1"/>
  <c r="C7183" i="1"/>
  <c r="F7182" i="1"/>
  <c r="C7182" i="1"/>
  <c r="C7181" i="1"/>
  <c r="F7180" i="1"/>
  <c r="F7179" i="1"/>
  <c r="F7178" i="1"/>
  <c r="C7178" i="1"/>
  <c r="F7177" i="1"/>
  <c r="C7177" i="1"/>
  <c r="F7176" i="1"/>
  <c r="C7176" i="1"/>
  <c r="F7175" i="1"/>
  <c r="F7174" i="1"/>
  <c r="F7173" i="1"/>
  <c r="C7173" i="1"/>
  <c r="F7172" i="1"/>
  <c r="C7172" i="1"/>
  <c r="F7171" i="1"/>
  <c r="F7170" i="1"/>
  <c r="C7170" i="1"/>
  <c r="F7169" i="1"/>
  <c r="C7169" i="1"/>
  <c r="F7168" i="1"/>
  <c r="C7168" i="1"/>
  <c r="F7167" i="1"/>
  <c r="C7167" i="1"/>
  <c r="F7166" i="1"/>
  <c r="C7166" i="1"/>
  <c r="F7165" i="1"/>
  <c r="C7165" i="1"/>
  <c r="F7164" i="1"/>
  <c r="C7164" i="1"/>
  <c r="F7163" i="1"/>
  <c r="F7162" i="1"/>
  <c r="C7162" i="1"/>
  <c r="F7161" i="1"/>
  <c r="F7160" i="1"/>
  <c r="F7159" i="1"/>
  <c r="C7159" i="1"/>
  <c r="F7158" i="1"/>
  <c r="C7158" i="1"/>
  <c r="F7157" i="1"/>
  <c r="C7157" i="1"/>
  <c r="F7156" i="1"/>
  <c r="C7156" i="1"/>
  <c r="F7154" i="1"/>
  <c r="C7154" i="1"/>
  <c r="F7153" i="1"/>
  <c r="C7153" i="1"/>
  <c r="F7152" i="1"/>
  <c r="C7152" i="1"/>
  <c r="F7151" i="1"/>
  <c r="C7150" i="1"/>
  <c r="F7149" i="1"/>
  <c r="F7148" i="1"/>
  <c r="C7148" i="1"/>
  <c r="F7147" i="1"/>
  <c r="C7147" i="1"/>
  <c r="F7146" i="1"/>
  <c r="C7146" i="1"/>
  <c r="F7145" i="1"/>
  <c r="C7145" i="1"/>
  <c r="F7144" i="1"/>
  <c r="F7143" i="1"/>
  <c r="C7142" i="1"/>
  <c r="F7141" i="1"/>
  <c r="C7141" i="1"/>
  <c r="F7140" i="1"/>
  <c r="F7139" i="1"/>
  <c r="C7139" i="1"/>
  <c r="F7138" i="1"/>
  <c r="F7137" i="1"/>
  <c r="F7136" i="1"/>
  <c r="C7136" i="1"/>
  <c r="F7135" i="1"/>
  <c r="F7134" i="1"/>
  <c r="C7134" i="1"/>
  <c r="F7133" i="1"/>
  <c r="C7133" i="1"/>
  <c r="F7132" i="1"/>
  <c r="C7132" i="1"/>
  <c r="F7131" i="1"/>
  <c r="C7131" i="1"/>
  <c r="F7130" i="1"/>
  <c r="F7129" i="1"/>
  <c r="F7128" i="1"/>
  <c r="F7127" i="1"/>
  <c r="F7126" i="1"/>
  <c r="F7125" i="1"/>
  <c r="C7125" i="1"/>
  <c r="F7124" i="1"/>
  <c r="C7124" i="1"/>
  <c r="F7123" i="1"/>
  <c r="F7122" i="1"/>
  <c r="F7121" i="1"/>
  <c r="C7121" i="1"/>
  <c r="F7120" i="1"/>
  <c r="C7120" i="1"/>
  <c r="F7119" i="1"/>
  <c r="C7119" i="1"/>
  <c r="F7118" i="1"/>
  <c r="F7117" i="1"/>
  <c r="F7116" i="1"/>
  <c r="C7116" i="1"/>
  <c r="F7115" i="1"/>
  <c r="F7114" i="1"/>
  <c r="C7114" i="1"/>
  <c r="F7113" i="1"/>
  <c r="C7113" i="1"/>
  <c r="F7112" i="1"/>
  <c r="F7111" i="1"/>
  <c r="C7111" i="1"/>
  <c r="F7110" i="1"/>
  <c r="C7110" i="1"/>
  <c r="F7109" i="1"/>
  <c r="C7109" i="1"/>
  <c r="F7108" i="1"/>
  <c r="C7108" i="1"/>
  <c r="F7107" i="1"/>
  <c r="F7106" i="1"/>
  <c r="C7106" i="1"/>
  <c r="F7105" i="1"/>
  <c r="F7104" i="1"/>
  <c r="C7104" i="1"/>
  <c r="F7103" i="1"/>
  <c r="C7103" i="1"/>
  <c r="F7102" i="1"/>
  <c r="C7102" i="1"/>
  <c r="C7101" i="1"/>
  <c r="F7100" i="1"/>
  <c r="C7100" i="1"/>
  <c r="F7099" i="1"/>
  <c r="C7099" i="1"/>
  <c r="F7098" i="1"/>
  <c r="C7098" i="1"/>
  <c r="C7097" i="1"/>
  <c r="F7096" i="1"/>
  <c r="F7095" i="1"/>
  <c r="F7094" i="1"/>
  <c r="F7093" i="1"/>
  <c r="C7093" i="1"/>
  <c r="F7092" i="1"/>
  <c r="C7092" i="1"/>
  <c r="F7091" i="1"/>
  <c r="F7090" i="1"/>
  <c r="C7090" i="1"/>
  <c r="F7089" i="1"/>
  <c r="C7089" i="1"/>
  <c r="F7088" i="1"/>
  <c r="F7087" i="1"/>
  <c r="F7086" i="1"/>
  <c r="C7086" i="1"/>
  <c r="C7085" i="1"/>
  <c r="F7084" i="1"/>
  <c r="C7084" i="1"/>
  <c r="F7083" i="1"/>
  <c r="C7083" i="1"/>
  <c r="F7082" i="1"/>
  <c r="F7081" i="1"/>
  <c r="C7081" i="1"/>
  <c r="F7080" i="1"/>
  <c r="F7079" i="1"/>
  <c r="F7078" i="1"/>
  <c r="C7078" i="1"/>
  <c r="F7077" i="1"/>
  <c r="C7077" i="1"/>
  <c r="F7076" i="1"/>
  <c r="C7076" i="1"/>
  <c r="F7075" i="1"/>
  <c r="F7074" i="1"/>
  <c r="C7074" i="1"/>
  <c r="F7073" i="1"/>
  <c r="F7072" i="1"/>
  <c r="F7071" i="1"/>
  <c r="C7071" i="1"/>
  <c r="F7070" i="1"/>
  <c r="F7069" i="1"/>
  <c r="C7069" i="1"/>
  <c r="F7068" i="1"/>
  <c r="F7067" i="1"/>
  <c r="F7066" i="1"/>
  <c r="F7065" i="1"/>
  <c r="F7064" i="1"/>
  <c r="F7063" i="1"/>
  <c r="C7063" i="1"/>
  <c r="F7062" i="1"/>
  <c r="C7062" i="1"/>
  <c r="F7061" i="1"/>
  <c r="C7061" i="1"/>
  <c r="F7060" i="1"/>
  <c r="C7059" i="1"/>
  <c r="F7058" i="1"/>
  <c r="C7058" i="1"/>
  <c r="F7057" i="1"/>
  <c r="C7057" i="1"/>
  <c r="F7056" i="1"/>
  <c r="C7056" i="1"/>
  <c r="C7055" i="1"/>
  <c r="F7054" i="1"/>
  <c r="C7054" i="1"/>
  <c r="F7053" i="1"/>
  <c r="C7053" i="1"/>
  <c r="F7052" i="1"/>
  <c r="F7051" i="1"/>
  <c r="C7051" i="1"/>
  <c r="F7050" i="1"/>
  <c r="C7050" i="1"/>
  <c r="F7049" i="1"/>
  <c r="F7048" i="1"/>
  <c r="C7048" i="1"/>
  <c r="F7047" i="1"/>
  <c r="C7047" i="1"/>
  <c r="F7046" i="1"/>
  <c r="C7046" i="1"/>
  <c r="F7045" i="1"/>
  <c r="F7044" i="1"/>
  <c r="C7044" i="1"/>
  <c r="F7043" i="1"/>
  <c r="F7042" i="1"/>
  <c r="C7042" i="1"/>
  <c r="F7041" i="1"/>
  <c r="C7041" i="1"/>
  <c r="F7040" i="1"/>
  <c r="F7039" i="1"/>
  <c r="C7039" i="1"/>
  <c r="F7038" i="1"/>
  <c r="F7037" i="1"/>
  <c r="C7037" i="1"/>
  <c r="F7036" i="1"/>
  <c r="F7035" i="1"/>
  <c r="C7035" i="1"/>
  <c r="F7034" i="1"/>
  <c r="C7034" i="1"/>
  <c r="F7033" i="1"/>
  <c r="C7033" i="1"/>
  <c r="F7032" i="1"/>
  <c r="F7031" i="1"/>
  <c r="C7031" i="1"/>
  <c r="F7030" i="1"/>
  <c r="F7029" i="1"/>
  <c r="C7029" i="1"/>
  <c r="F7028" i="1"/>
  <c r="C7028" i="1"/>
  <c r="F7027" i="1"/>
  <c r="C7027" i="1"/>
  <c r="F7026" i="1"/>
  <c r="F7025" i="1"/>
  <c r="F7024" i="1"/>
  <c r="C7024" i="1"/>
  <c r="F7023" i="1"/>
  <c r="F7022" i="1"/>
  <c r="C7022" i="1"/>
  <c r="F7021" i="1"/>
  <c r="F7020" i="1"/>
  <c r="F7019" i="1"/>
  <c r="C7019" i="1"/>
  <c r="F7018" i="1"/>
  <c r="C7018" i="1"/>
  <c r="F7017" i="1"/>
  <c r="C7017" i="1"/>
  <c r="F7016" i="1"/>
  <c r="F7015" i="1"/>
  <c r="F7014" i="1"/>
  <c r="F7013" i="1"/>
  <c r="F7012" i="1"/>
  <c r="F7011" i="1"/>
  <c r="C7011" i="1"/>
  <c r="F7010" i="1"/>
  <c r="C7010" i="1"/>
  <c r="F7009" i="1"/>
  <c r="C7009" i="1"/>
  <c r="F7008" i="1"/>
  <c r="C7008" i="1"/>
  <c r="F7007" i="1"/>
  <c r="C7007" i="1"/>
  <c r="F7006" i="1"/>
  <c r="C7006" i="1"/>
  <c r="F7005" i="1"/>
  <c r="C7005" i="1"/>
  <c r="F7004" i="1"/>
  <c r="C7004" i="1"/>
  <c r="F7003" i="1"/>
  <c r="C7003" i="1"/>
  <c r="F7002" i="1"/>
  <c r="C7002" i="1"/>
  <c r="F7001" i="1"/>
  <c r="C7001" i="1"/>
  <c r="C7000" i="1"/>
  <c r="F6999" i="1"/>
  <c r="C6999" i="1"/>
  <c r="F6997" i="1"/>
  <c r="F6996" i="1"/>
  <c r="C6996" i="1"/>
  <c r="F6995" i="1"/>
  <c r="F6994" i="1"/>
  <c r="C6994" i="1"/>
  <c r="F6993" i="1"/>
  <c r="C6993" i="1"/>
  <c r="F6992" i="1"/>
  <c r="C6992" i="1"/>
  <c r="F6991" i="1"/>
  <c r="F6990" i="1"/>
  <c r="C6990" i="1"/>
  <c r="F6989" i="1"/>
  <c r="F6988" i="1"/>
  <c r="F6987" i="1"/>
  <c r="C6987" i="1"/>
  <c r="F6986" i="1"/>
  <c r="C6986" i="1"/>
  <c r="F6985" i="1"/>
  <c r="C6985" i="1"/>
  <c r="F6984" i="1"/>
  <c r="F6983" i="1"/>
  <c r="C6983" i="1"/>
  <c r="F6982" i="1"/>
  <c r="C6982" i="1"/>
  <c r="F6981" i="1"/>
  <c r="C6981" i="1"/>
  <c r="F6980" i="1"/>
  <c r="C6980" i="1"/>
  <c r="F6979" i="1"/>
  <c r="F6978" i="1"/>
  <c r="F6976" i="1"/>
  <c r="F6975" i="1"/>
  <c r="F6974" i="1"/>
  <c r="C6974" i="1"/>
  <c r="F6973" i="1"/>
  <c r="C6973" i="1"/>
  <c r="F6972" i="1"/>
  <c r="C6972" i="1"/>
  <c r="C6971" i="1"/>
  <c r="F6970" i="1"/>
  <c r="F6969" i="1"/>
  <c r="F6968" i="1"/>
  <c r="C6968" i="1"/>
  <c r="F6967" i="1"/>
  <c r="F6966" i="1"/>
  <c r="F6965" i="1"/>
  <c r="C6965" i="1"/>
  <c r="F6964" i="1"/>
  <c r="C6964" i="1"/>
  <c r="F6963" i="1"/>
  <c r="C6963" i="1"/>
  <c r="F6962" i="1"/>
  <c r="F6961" i="1"/>
  <c r="C6960" i="1"/>
  <c r="F6959" i="1"/>
  <c r="C6958" i="1"/>
  <c r="F6957" i="1"/>
  <c r="C6957" i="1"/>
  <c r="C6956" i="1"/>
  <c r="F6955" i="1"/>
  <c r="F6954" i="1"/>
  <c r="F6953" i="1"/>
  <c r="C6953" i="1"/>
  <c r="F6952" i="1"/>
  <c r="C6952" i="1"/>
  <c r="F6951" i="1"/>
  <c r="C6951" i="1"/>
  <c r="F6950" i="1"/>
  <c r="C6950" i="1"/>
  <c r="F6949" i="1"/>
  <c r="F6948" i="1"/>
  <c r="F6947" i="1"/>
  <c r="C6947" i="1"/>
  <c r="F6946" i="1"/>
  <c r="F6945" i="1"/>
  <c r="F6944" i="1"/>
  <c r="F6943" i="1"/>
  <c r="C6943" i="1"/>
  <c r="F6942" i="1"/>
  <c r="C6942" i="1"/>
  <c r="F6941" i="1"/>
  <c r="F6940" i="1"/>
  <c r="F6939" i="1"/>
  <c r="F6938" i="1"/>
  <c r="C6938" i="1"/>
  <c r="F6937" i="1"/>
  <c r="F6936" i="1"/>
  <c r="F6935" i="1"/>
  <c r="C6935" i="1"/>
  <c r="C6934" i="1"/>
  <c r="F6933" i="1"/>
  <c r="F6932" i="1"/>
  <c r="C6932" i="1"/>
  <c r="F6931" i="1"/>
  <c r="C6931" i="1"/>
  <c r="F6930" i="1"/>
  <c r="C6930" i="1"/>
  <c r="F6929" i="1"/>
  <c r="C6929" i="1"/>
  <c r="F6928" i="1"/>
  <c r="C6928" i="1"/>
  <c r="F6927" i="1"/>
  <c r="C6927" i="1"/>
  <c r="F6926" i="1"/>
  <c r="F6925" i="1"/>
  <c r="C6925" i="1"/>
  <c r="F6924" i="1"/>
  <c r="F6923" i="1"/>
  <c r="C6923" i="1"/>
  <c r="F6922" i="1"/>
  <c r="F6921" i="1"/>
  <c r="C6921" i="1"/>
  <c r="F6920" i="1"/>
  <c r="C6919" i="1"/>
  <c r="F6918" i="1"/>
  <c r="C6918" i="1"/>
  <c r="F6917" i="1"/>
  <c r="C6917" i="1"/>
  <c r="F6916" i="1"/>
  <c r="C6916" i="1"/>
  <c r="F6915" i="1"/>
  <c r="F6914" i="1"/>
  <c r="C6914" i="1"/>
  <c r="F6913" i="1"/>
  <c r="C6913" i="1"/>
  <c r="F6912" i="1"/>
  <c r="F6911" i="1"/>
  <c r="C6911" i="1"/>
  <c r="F6910" i="1"/>
  <c r="C6910" i="1"/>
  <c r="F6909" i="1"/>
  <c r="F6908" i="1"/>
  <c r="C6908" i="1"/>
  <c r="F6907" i="1"/>
  <c r="C6907" i="1"/>
  <c r="F6906" i="1"/>
  <c r="F6905" i="1"/>
  <c r="F6904" i="1"/>
  <c r="F6903" i="1"/>
  <c r="F6902" i="1"/>
  <c r="C6902" i="1"/>
  <c r="F6901" i="1"/>
  <c r="C6901" i="1"/>
  <c r="F6900" i="1"/>
  <c r="C6900" i="1"/>
  <c r="F6899" i="1"/>
  <c r="C6899" i="1"/>
  <c r="F6898" i="1"/>
  <c r="C6898" i="1"/>
  <c r="F6897" i="1"/>
  <c r="C6897" i="1"/>
  <c r="F6896" i="1"/>
  <c r="C6896" i="1"/>
  <c r="F6895" i="1"/>
  <c r="C6895" i="1"/>
  <c r="F6894" i="1"/>
  <c r="C6894" i="1"/>
  <c r="F6893" i="1"/>
  <c r="C6893" i="1"/>
  <c r="C6892" i="1"/>
  <c r="F6891" i="1"/>
  <c r="F6890" i="1"/>
  <c r="F6889" i="1"/>
  <c r="C6889" i="1"/>
  <c r="F6888" i="1"/>
  <c r="C6888" i="1"/>
  <c r="F6887" i="1"/>
  <c r="C6887" i="1"/>
  <c r="F6886" i="1"/>
  <c r="F6885" i="1"/>
  <c r="F6884" i="1"/>
  <c r="F6883" i="1"/>
  <c r="C6883" i="1"/>
  <c r="C6882" i="1"/>
  <c r="F6881" i="1"/>
  <c r="C6881" i="1"/>
  <c r="F6880" i="1"/>
  <c r="C6880" i="1"/>
  <c r="F6879" i="1"/>
  <c r="C6879" i="1"/>
  <c r="F6878" i="1"/>
  <c r="F6877" i="1"/>
  <c r="F6876" i="1"/>
  <c r="C6876" i="1"/>
  <c r="F6875" i="1"/>
  <c r="C6875" i="1"/>
  <c r="F6874" i="1"/>
  <c r="F6873" i="1"/>
  <c r="C6873" i="1"/>
  <c r="F6872" i="1"/>
  <c r="C6872" i="1"/>
  <c r="F6871" i="1"/>
  <c r="C6871" i="1"/>
  <c r="F6870" i="1"/>
  <c r="C6870" i="1"/>
  <c r="F6869" i="1"/>
  <c r="C6869" i="1"/>
  <c r="F6868" i="1"/>
  <c r="C6868" i="1"/>
  <c r="F6867" i="1"/>
  <c r="F6866" i="1"/>
  <c r="F6865" i="1"/>
  <c r="C6865" i="1"/>
  <c r="F6864" i="1"/>
  <c r="C6864" i="1"/>
  <c r="F6863" i="1"/>
  <c r="F6862" i="1"/>
  <c r="C6862" i="1"/>
  <c r="F6861" i="1"/>
  <c r="F6860" i="1"/>
  <c r="F6859" i="1"/>
  <c r="C6859" i="1"/>
  <c r="F6858" i="1"/>
  <c r="C6858" i="1"/>
  <c r="F6857" i="1"/>
  <c r="F6856" i="1"/>
  <c r="F6855" i="1"/>
  <c r="C6855" i="1"/>
  <c r="F6854" i="1"/>
  <c r="C6854" i="1"/>
  <c r="F6853" i="1"/>
  <c r="C6853" i="1"/>
  <c r="F6852" i="1"/>
  <c r="F6851" i="1"/>
  <c r="F6850" i="1"/>
  <c r="F6849" i="1"/>
  <c r="F6848" i="1"/>
  <c r="C6848" i="1"/>
  <c r="F6847" i="1"/>
  <c r="C6847" i="1"/>
  <c r="F6846" i="1"/>
  <c r="C6846" i="1"/>
  <c r="F6845" i="1"/>
  <c r="F6844" i="1"/>
  <c r="C6844" i="1"/>
  <c r="F6843" i="1"/>
  <c r="C6843" i="1"/>
  <c r="F6842" i="1"/>
  <c r="C6842" i="1"/>
  <c r="F6841" i="1"/>
  <c r="F6840" i="1"/>
  <c r="C6840" i="1"/>
  <c r="F6839" i="1"/>
  <c r="C6839" i="1"/>
  <c r="F6838" i="1"/>
  <c r="C6838" i="1"/>
  <c r="F6837" i="1"/>
  <c r="C6837" i="1"/>
  <c r="F6836" i="1"/>
  <c r="C6836" i="1"/>
  <c r="F6835" i="1"/>
  <c r="C6835" i="1"/>
  <c r="F6834" i="1"/>
  <c r="F6833" i="1"/>
  <c r="C6833" i="1"/>
  <c r="F6832" i="1"/>
  <c r="C6832" i="1"/>
  <c r="F6831" i="1"/>
  <c r="C6831" i="1"/>
  <c r="F6830" i="1"/>
  <c r="F6829" i="1"/>
  <c r="C6829" i="1"/>
  <c r="F6828" i="1"/>
  <c r="C6828" i="1"/>
  <c r="F6827" i="1"/>
  <c r="F6826" i="1"/>
  <c r="C6826" i="1"/>
  <c r="F6825" i="1"/>
  <c r="C6825" i="1"/>
  <c r="F6824" i="1"/>
  <c r="C6824" i="1"/>
  <c r="C6823" i="1"/>
  <c r="C6822" i="1"/>
  <c r="F6821" i="1"/>
  <c r="F6820" i="1"/>
  <c r="F6819" i="1"/>
  <c r="F6818" i="1"/>
  <c r="C6818" i="1"/>
  <c r="F6817" i="1"/>
  <c r="C6817" i="1"/>
  <c r="F6816" i="1"/>
  <c r="C6816" i="1"/>
  <c r="F6815" i="1"/>
  <c r="F6814" i="1"/>
  <c r="C6814" i="1"/>
  <c r="F6813" i="1"/>
  <c r="C6813" i="1"/>
  <c r="F6812" i="1"/>
  <c r="F6811" i="1"/>
  <c r="C6811" i="1"/>
  <c r="F6810" i="1"/>
  <c r="C6810" i="1"/>
  <c r="F6809" i="1"/>
  <c r="F6808" i="1"/>
  <c r="F6807" i="1"/>
  <c r="C6807" i="1"/>
  <c r="F6806" i="1"/>
  <c r="F6805" i="1"/>
  <c r="C6805" i="1"/>
  <c r="F6804" i="1"/>
  <c r="C6804" i="1"/>
  <c r="F6803" i="1"/>
  <c r="C6803" i="1"/>
  <c r="F6802" i="1"/>
  <c r="C6802" i="1"/>
  <c r="F6801" i="1"/>
  <c r="C6801" i="1"/>
  <c r="F6800" i="1"/>
  <c r="F6799" i="1"/>
  <c r="F6798" i="1"/>
  <c r="C6798" i="1"/>
  <c r="F6797" i="1"/>
  <c r="C6797" i="1"/>
  <c r="F6796" i="1"/>
  <c r="C6796" i="1"/>
  <c r="F6795" i="1"/>
  <c r="C6795" i="1"/>
  <c r="F6794" i="1"/>
  <c r="C6794" i="1"/>
  <c r="F6793" i="1"/>
  <c r="C6793" i="1"/>
  <c r="F6792" i="1"/>
  <c r="F6791" i="1"/>
  <c r="C6791" i="1"/>
  <c r="F6790" i="1"/>
  <c r="C6790" i="1"/>
  <c r="F6789" i="1"/>
  <c r="F6788" i="1"/>
  <c r="C6788" i="1"/>
  <c r="F6787" i="1"/>
  <c r="F6786" i="1"/>
  <c r="F6784" i="1"/>
  <c r="F6783" i="1"/>
  <c r="C6783" i="1"/>
  <c r="F6782" i="1"/>
  <c r="F6781" i="1"/>
  <c r="C6781" i="1"/>
  <c r="F6780" i="1"/>
  <c r="C6780" i="1"/>
  <c r="F6779" i="1"/>
  <c r="C6779" i="1"/>
  <c r="F6778" i="1"/>
  <c r="C6778" i="1"/>
  <c r="F6777" i="1"/>
  <c r="F6776" i="1"/>
  <c r="F6774" i="1"/>
  <c r="C6774" i="1"/>
  <c r="F6773" i="1"/>
  <c r="F6772" i="1"/>
  <c r="C6772" i="1"/>
  <c r="F6771" i="1"/>
  <c r="C6771" i="1"/>
  <c r="F6770" i="1"/>
  <c r="C6770" i="1"/>
  <c r="C6769" i="1"/>
  <c r="F6768" i="1"/>
  <c r="F6767" i="1"/>
  <c r="F6766" i="1"/>
  <c r="C6766" i="1"/>
  <c r="F6765" i="1"/>
  <c r="C6765" i="1"/>
  <c r="F6764" i="1"/>
  <c r="C6764" i="1"/>
  <c r="F6763" i="1"/>
  <c r="C6763" i="1"/>
  <c r="F6762" i="1"/>
  <c r="F6761" i="1"/>
  <c r="C6761" i="1"/>
  <c r="F6760" i="1"/>
  <c r="F6759" i="1"/>
  <c r="C6758" i="1"/>
  <c r="F6757" i="1"/>
  <c r="F6756" i="1"/>
  <c r="F6755" i="1"/>
  <c r="F6754" i="1"/>
  <c r="C6754" i="1"/>
  <c r="F6753" i="1"/>
  <c r="C6753" i="1"/>
  <c r="F6752" i="1"/>
  <c r="C6752" i="1"/>
  <c r="F6751" i="1"/>
  <c r="C6751" i="1"/>
  <c r="F6750" i="1"/>
  <c r="C6750" i="1"/>
  <c r="F6749" i="1"/>
  <c r="F6748" i="1"/>
  <c r="C6748" i="1"/>
  <c r="F6747" i="1"/>
  <c r="F6746" i="1"/>
  <c r="C6746" i="1"/>
  <c r="F6745" i="1"/>
  <c r="C6745" i="1"/>
  <c r="F6744" i="1"/>
  <c r="C6744" i="1"/>
  <c r="F6743" i="1"/>
  <c r="C6743" i="1"/>
  <c r="F6742" i="1"/>
  <c r="F6741" i="1"/>
  <c r="C6741" i="1"/>
  <c r="F6740" i="1"/>
  <c r="C6740" i="1"/>
  <c r="F6739" i="1"/>
  <c r="C6739" i="1"/>
  <c r="F6738" i="1"/>
  <c r="C6738" i="1"/>
  <c r="F6737" i="1"/>
  <c r="C6737" i="1"/>
  <c r="F6736" i="1"/>
  <c r="C6736" i="1"/>
  <c r="F6735" i="1"/>
  <c r="F6734" i="1"/>
  <c r="F6733" i="1"/>
  <c r="F6732" i="1"/>
  <c r="C6732" i="1"/>
  <c r="F6731" i="1"/>
  <c r="C6731" i="1"/>
  <c r="F6730" i="1"/>
  <c r="C6730" i="1"/>
  <c r="F6729" i="1"/>
  <c r="C6729" i="1"/>
  <c r="F6728" i="1"/>
  <c r="F6727" i="1"/>
  <c r="F6726" i="1"/>
  <c r="C6726" i="1"/>
  <c r="F6725" i="1"/>
  <c r="C6725" i="1"/>
  <c r="F6724" i="1"/>
  <c r="F6723" i="1"/>
  <c r="C6723" i="1"/>
  <c r="F6722" i="1"/>
  <c r="C6722" i="1"/>
  <c r="F6721" i="1"/>
  <c r="C6721" i="1"/>
  <c r="F6720" i="1"/>
  <c r="C6720" i="1"/>
  <c r="F6719" i="1"/>
  <c r="C6719" i="1"/>
  <c r="F6718" i="1"/>
  <c r="C6718" i="1"/>
  <c r="F6717" i="1"/>
  <c r="C6717" i="1"/>
  <c r="F6716" i="1"/>
  <c r="F6715" i="1"/>
  <c r="C6715" i="1"/>
  <c r="F6714" i="1"/>
  <c r="C6714" i="1"/>
  <c r="F6713" i="1"/>
  <c r="F6712" i="1"/>
  <c r="F6711" i="1"/>
  <c r="C6711" i="1"/>
  <c r="F6710" i="1"/>
  <c r="C6710" i="1"/>
  <c r="C6709" i="1"/>
  <c r="F6708" i="1"/>
  <c r="F6707" i="1"/>
  <c r="C6707" i="1"/>
  <c r="F6706" i="1"/>
  <c r="C6706" i="1"/>
  <c r="F6705" i="1"/>
  <c r="C6705" i="1"/>
  <c r="F6704" i="1"/>
  <c r="F6703" i="1"/>
  <c r="C6703" i="1"/>
  <c r="F6702" i="1"/>
  <c r="C6702" i="1"/>
  <c r="F6701" i="1"/>
  <c r="F6700" i="1"/>
  <c r="C6700" i="1"/>
  <c r="F6699" i="1"/>
  <c r="C6699" i="1"/>
  <c r="F6697" i="1"/>
  <c r="C6697" i="1"/>
  <c r="F6696" i="1"/>
  <c r="C6696" i="1"/>
  <c r="F6695" i="1"/>
  <c r="C6695" i="1"/>
  <c r="F6694" i="1"/>
  <c r="F6693" i="1"/>
  <c r="C6693" i="1"/>
  <c r="F6692" i="1"/>
  <c r="C6692" i="1"/>
  <c r="F6691" i="1"/>
  <c r="F6690" i="1"/>
  <c r="C6690" i="1"/>
  <c r="F6689" i="1"/>
  <c r="C6689" i="1"/>
  <c r="F6688" i="1"/>
  <c r="F6687" i="1"/>
  <c r="C6687" i="1"/>
  <c r="F6686" i="1"/>
  <c r="C6686" i="1"/>
  <c r="F6685" i="1"/>
  <c r="C6685" i="1"/>
  <c r="F6684" i="1"/>
  <c r="F6683" i="1"/>
  <c r="C6683" i="1"/>
  <c r="F6682" i="1"/>
  <c r="C6682" i="1"/>
  <c r="F6681" i="1"/>
  <c r="F6680" i="1"/>
  <c r="C6680" i="1"/>
  <c r="F6679" i="1"/>
  <c r="F6678" i="1"/>
  <c r="F6677" i="1"/>
  <c r="F6676" i="1"/>
  <c r="C6676" i="1"/>
  <c r="F6675" i="1"/>
  <c r="C6675" i="1"/>
  <c r="F6674" i="1"/>
  <c r="C6674" i="1"/>
  <c r="F6673" i="1"/>
  <c r="C6673" i="1"/>
  <c r="F6672" i="1"/>
  <c r="C6672" i="1"/>
  <c r="F6671" i="1"/>
  <c r="C6671" i="1"/>
  <c r="F6670" i="1"/>
  <c r="C6670" i="1"/>
  <c r="F6669" i="1"/>
  <c r="C6668" i="1"/>
  <c r="F6667" i="1"/>
  <c r="C6667" i="1"/>
  <c r="F6666" i="1"/>
  <c r="F6665" i="1"/>
  <c r="C6664" i="1"/>
  <c r="F6663" i="1"/>
  <c r="C6663" i="1"/>
  <c r="F6662" i="1"/>
  <c r="C6662" i="1"/>
  <c r="F6661" i="1"/>
  <c r="C6661" i="1"/>
  <c r="F6660" i="1"/>
  <c r="F6659" i="1"/>
  <c r="C6659" i="1"/>
  <c r="C6658" i="1"/>
  <c r="F6657" i="1"/>
  <c r="C6657" i="1"/>
  <c r="F6656" i="1"/>
  <c r="C6656" i="1"/>
  <c r="F6655" i="1"/>
  <c r="C6655" i="1"/>
  <c r="F6654" i="1"/>
  <c r="C6654" i="1"/>
  <c r="F6653" i="1"/>
  <c r="F6652" i="1"/>
  <c r="C6652" i="1"/>
  <c r="F6651" i="1"/>
  <c r="F6650" i="1"/>
  <c r="C6650" i="1"/>
  <c r="F6649" i="1"/>
  <c r="C6649" i="1"/>
  <c r="F6648" i="1"/>
  <c r="C6648" i="1"/>
  <c r="F6647" i="1"/>
  <c r="C6647" i="1"/>
  <c r="F6646" i="1"/>
  <c r="C6646" i="1"/>
  <c r="F6645" i="1"/>
  <c r="C6645" i="1"/>
  <c r="F6644" i="1"/>
  <c r="F6643" i="1"/>
  <c r="C6643" i="1"/>
  <c r="F6642" i="1"/>
  <c r="C6642" i="1"/>
  <c r="F6641" i="1"/>
  <c r="C6640" i="1"/>
  <c r="F6639" i="1"/>
  <c r="C6638" i="1"/>
  <c r="F6637" i="1"/>
  <c r="F6636" i="1"/>
  <c r="F6635" i="1"/>
  <c r="C6635" i="1"/>
  <c r="F6634" i="1"/>
  <c r="F6633" i="1"/>
  <c r="C6633" i="1"/>
  <c r="F6632" i="1"/>
  <c r="F6631" i="1"/>
  <c r="F6630" i="1"/>
  <c r="F6629" i="1"/>
  <c r="F6628" i="1"/>
  <c r="C6628" i="1"/>
  <c r="F6627" i="1"/>
  <c r="C6627" i="1"/>
  <c r="F6626" i="1"/>
  <c r="C6626" i="1"/>
  <c r="F6625" i="1"/>
  <c r="F6624" i="1"/>
  <c r="F6623" i="1"/>
  <c r="F6622" i="1"/>
  <c r="C6622" i="1"/>
  <c r="F6621" i="1"/>
  <c r="C6621" i="1"/>
  <c r="F6620" i="1"/>
  <c r="C6620" i="1"/>
  <c r="F6619" i="1"/>
  <c r="F6618" i="1"/>
  <c r="C6618" i="1"/>
  <c r="F6617" i="1"/>
  <c r="F6616" i="1"/>
  <c r="F6615" i="1"/>
  <c r="C6615" i="1"/>
  <c r="F6614" i="1"/>
  <c r="F6613" i="1"/>
  <c r="C6612" i="1"/>
  <c r="F6611" i="1"/>
  <c r="F6610" i="1"/>
  <c r="C6610" i="1"/>
  <c r="F6607" i="1"/>
  <c r="C6607" i="1"/>
  <c r="F6606" i="1"/>
  <c r="F6605" i="1"/>
  <c r="C6605" i="1"/>
  <c r="F6604" i="1"/>
  <c r="F6603" i="1"/>
  <c r="F6602" i="1"/>
  <c r="C6602" i="1"/>
  <c r="F6601" i="1"/>
  <c r="F6600" i="1"/>
  <c r="F6599" i="1"/>
  <c r="C6599" i="1"/>
  <c r="F6598" i="1"/>
  <c r="C6598" i="1"/>
  <c r="F6597" i="1"/>
  <c r="C6597" i="1"/>
  <c r="F6596" i="1"/>
  <c r="F6595" i="1"/>
  <c r="F6594" i="1"/>
  <c r="C6594" i="1"/>
  <c r="F6593" i="1"/>
  <c r="F6592" i="1"/>
  <c r="F6591" i="1"/>
  <c r="C6591" i="1"/>
  <c r="F6590" i="1"/>
  <c r="F6589" i="1"/>
  <c r="C6589" i="1"/>
  <c r="F6588" i="1"/>
  <c r="F6587" i="1"/>
  <c r="F6586" i="1"/>
  <c r="F6585" i="1"/>
  <c r="C6585" i="1"/>
  <c r="F6584" i="1"/>
  <c r="C6584" i="1"/>
  <c r="C6583" i="1"/>
  <c r="F6582" i="1"/>
  <c r="C6582" i="1"/>
  <c r="F6581" i="1"/>
  <c r="F6580" i="1"/>
  <c r="C6580" i="1"/>
  <c r="F6579" i="1"/>
  <c r="C6579" i="1"/>
  <c r="F6578" i="1"/>
  <c r="C6578" i="1"/>
  <c r="F6577" i="1"/>
  <c r="C6577" i="1"/>
  <c r="F6576" i="1"/>
  <c r="F6575" i="1"/>
  <c r="F6574" i="1"/>
  <c r="F6573" i="1"/>
  <c r="C6573" i="1"/>
  <c r="F6572" i="1"/>
  <c r="F6571" i="1"/>
  <c r="C6571" i="1"/>
  <c r="F6570" i="1"/>
  <c r="C6570" i="1"/>
  <c r="F6569" i="1"/>
  <c r="F6568" i="1"/>
  <c r="F6567" i="1"/>
  <c r="C6567" i="1"/>
  <c r="F6566" i="1"/>
  <c r="F6565" i="1"/>
  <c r="C6565" i="1"/>
  <c r="F6564" i="1"/>
  <c r="F6563" i="1"/>
  <c r="F6562" i="1"/>
  <c r="F6561" i="1"/>
  <c r="C6561" i="1"/>
  <c r="F6560" i="1"/>
  <c r="F6559" i="1"/>
  <c r="C6558" i="1"/>
  <c r="F6557" i="1"/>
  <c r="C6557" i="1"/>
  <c r="F6556" i="1"/>
  <c r="C6556" i="1"/>
  <c r="F6555" i="1"/>
  <c r="C6555" i="1"/>
  <c r="F6554" i="1"/>
  <c r="C6554" i="1"/>
  <c r="F6553" i="1"/>
  <c r="C6553" i="1"/>
  <c r="F6552" i="1"/>
  <c r="C6552" i="1"/>
  <c r="F6551" i="1"/>
  <c r="C6551" i="1"/>
  <c r="F6550" i="1"/>
  <c r="C6550" i="1"/>
  <c r="F6549" i="1"/>
  <c r="F6548" i="1"/>
  <c r="C6548" i="1"/>
  <c r="F6547" i="1"/>
  <c r="F6546" i="1"/>
  <c r="C6545" i="1"/>
  <c r="F6544" i="1"/>
  <c r="C6544" i="1"/>
  <c r="F6543" i="1"/>
  <c r="C6543" i="1"/>
  <c r="F6542" i="1"/>
  <c r="C6542" i="1"/>
  <c r="F6541" i="1"/>
  <c r="C6541" i="1"/>
  <c r="F6540" i="1"/>
  <c r="C6540" i="1"/>
  <c r="F6539" i="1"/>
  <c r="C6539" i="1"/>
  <c r="F6538" i="1"/>
  <c r="C6538" i="1"/>
  <c r="F6537" i="1"/>
  <c r="C6537" i="1"/>
  <c r="F6536" i="1"/>
  <c r="C6536" i="1"/>
  <c r="F6535" i="1"/>
  <c r="F6534" i="1"/>
  <c r="F6533" i="1"/>
  <c r="C6533" i="1"/>
  <c r="F6532" i="1"/>
  <c r="C6532" i="1"/>
  <c r="F6531" i="1"/>
  <c r="F6530" i="1"/>
  <c r="C6530" i="1"/>
  <c r="F6529" i="1"/>
  <c r="F6528" i="1"/>
  <c r="F6527" i="1"/>
  <c r="C6527" i="1"/>
  <c r="C6526" i="1"/>
  <c r="F6525" i="1"/>
  <c r="C6525" i="1"/>
  <c r="C6524" i="1"/>
  <c r="F6523" i="1"/>
  <c r="C6523" i="1"/>
  <c r="F6522" i="1"/>
  <c r="C6522" i="1"/>
  <c r="F6521" i="1"/>
  <c r="F6520" i="1"/>
  <c r="C6520" i="1"/>
  <c r="F6519" i="1"/>
  <c r="F6518" i="1"/>
  <c r="C6518" i="1"/>
  <c r="F6517" i="1"/>
  <c r="F6516" i="1"/>
  <c r="C6516" i="1"/>
  <c r="F6515" i="1"/>
  <c r="F6514" i="1"/>
  <c r="C6514" i="1"/>
  <c r="F6513" i="1"/>
  <c r="C6513" i="1"/>
  <c r="F6512" i="1"/>
  <c r="F6511" i="1"/>
  <c r="C6511" i="1"/>
  <c r="F6510" i="1"/>
  <c r="C6510" i="1"/>
  <c r="F6509" i="1"/>
  <c r="F6508" i="1"/>
  <c r="F6507" i="1"/>
  <c r="F6506" i="1"/>
  <c r="F6505" i="1"/>
  <c r="C6505" i="1"/>
  <c r="F6504" i="1"/>
  <c r="C6504" i="1"/>
  <c r="F6503" i="1"/>
  <c r="F6502" i="1"/>
  <c r="C6502" i="1"/>
  <c r="F6501" i="1"/>
  <c r="C6501" i="1"/>
  <c r="F6500" i="1"/>
  <c r="C6500" i="1"/>
  <c r="F6499" i="1"/>
  <c r="C6499" i="1"/>
  <c r="F6498" i="1"/>
  <c r="F6496" i="1"/>
  <c r="C6496" i="1"/>
  <c r="F6495" i="1"/>
  <c r="C6495" i="1"/>
  <c r="F6494" i="1"/>
  <c r="C6494" i="1"/>
  <c r="F6493" i="1"/>
  <c r="F6492" i="1"/>
  <c r="C6492" i="1"/>
  <c r="F6491" i="1"/>
  <c r="F6490" i="1"/>
  <c r="C6490" i="1"/>
  <c r="F6489" i="1"/>
  <c r="C6489" i="1"/>
  <c r="F6488" i="1"/>
  <c r="C6488" i="1"/>
  <c r="F6487" i="1"/>
  <c r="C6487" i="1"/>
  <c r="F6486" i="1"/>
  <c r="F6485" i="1"/>
  <c r="C6485" i="1"/>
  <c r="F6484" i="1"/>
  <c r="C6484" i="1"/>
  <c r="F6483" i="1"/>
  <c r="C6483" i="1"/>
  <c r="F6482" i="1"/>
  <c r="C6482" i="1"/>
  <c r="F6481" i="1"/>
  <c r="F6480" i="1"/>
  <c r="C6480" i="1"/>
  <c r="F6479" i="1"/>
  <c r="F6478" i="1"/>
  <c r="F6477" i="1"/>
  <c r="C6477" i="1"/>
  <c r="F6476" i="1"/>
  <c r="C6476" i="1"/>
  <c r="F6475" i="1"/>
  <c r="C6475" i="1"/>
  <c r="F6474" i="1"/>
  <c r="C6474" i="1"/>
  <c r="F6473" i="1"/>
  <c r="C6473" i="1"/>
  <c r="F6472" i="1"/>
  <c r="F6471" i="1"/>
  <c r="F6470" i="1"/>
  <c r="F6469" i="1"/>
  <c r="C6469" i="1"/>
  <c r="F6468" i="1"/>
  <c r="C6468" i="1"/>
  <c r="F6467" i="1"/>
  <c r="F6466" i="1"/>
  <c r="C6466" i="1"/>
  <c r="F6465" i="1"/>
  <c r="C6465" i="1"/>
  <c r="F6464" i="1"/>
  <c r="C6464" i="1"/>
  <c r="F6463" i="1"/>
  <c r="F6462" i="1"/>
  <c r="C6462" i="1"/>
  <c r="F6461" i="1"/>
  <c r="C6461" i="1"/>
  <c r="F6460" i="1"/>
  <c r="C6460" i="1"/>
  <c r="F6459" i="1"/>
  <c r="C6459" i="1"/>
  <c r="C6458" i="1"/>
  <c r="F6457" i="1"/>
  <c r="C6457" i="1"/>
  <c r="F6456" i="1"/>
  <c r="C6456" i="1"/>
  <c r="F6455" i="1"/>
  <c r="C6455" i="1"/>
  <c r="F6454" i="1"/>
  <c r="C6454" i="1"/>
  <c r="F6453" i="1"/>
  <c r="F6452" i="1"/>
  <c r="F6451" i="1"/>
  <c r="C6451" i="1"/>
  <c r="F6450" i="1"/>
  <c r="C6450" i="1"/>
  <c r="F6449" i="1"/>
  <c r="C6449" i="1"/>
  <c r="F6448" i="1"/>
  <c r="C6448" i="1"/>
  <c r="F6447" i="1"/>
  <c r="F6446" i="1"/>
  <c r="F6445" i="1"/>
  <c r="F6444" i="1"/>
  <c r="C6444" i="1"/>
  <c r="F6443" i="1"/>
  <c r="F6442" i="1"/>
  <c r="C6442" i="1"/>
  <c r="C6441" i="1"/>
  <c r="F6440" i="1"/>
  <c r="F6439" i="1"/>
  <c r="C6439" i="1"/>
  <c r="F6438" i="1"/>
  <c r="C6438" i="1"/>
  <c r="F6437" i="1"/>
  <c r="C6437" i="1"/>
  <c r="F6436" i="1"/>
  <c r="C6436" i="1"/>
  <c r="F6435" i="1"/>
  <c r="C6435" i="1"/>
  <c r="F6434" i="1"/>
  <c r="C6434" i="1"/>
  <c r="F6433" i="1"/>
  <c r="C6433" i="1"/>
  <c r="F6432" i="1"/>
  <c r="C6432" i="1"/>
  <c r="C6431" i="1"/>
  <c r="F6430" i="1"/>
  <c r="C6430" i="1"/>
  <c r="F6429" i="1"/>
  <c r="C6429" i="1"/>
  <c r="F6428" i="1"/>
  <c r="C6428" i="1"/>
  <c r="F6427" i="1"/>
  <c r="C6427" i="1"/>
  <c r="F6426" i="1"/>
  <c r="C6426" i="1"/>
  <c r="F6425" i="1"/>
  <c r="C6425" i="1"/>
  <c r="F6424" i="1"/>
  <c r="C6424" i="1"/>
  <c r="F6423" i="1"/>
  <c r="F6422" i="1"/>
  <c r="F6421" i="1"/>
  <c r="C6421" i="1"/>
  <c r="F6420" i="1"/>
  <c r="F6419" i="1"/>
  <c r="C6419" i="1"/>
  <c r="F6418" i="1"/>
  <c r="C6418" i="1"/>
  <c r="C6417" i="1"/>
  <c r="F6416" i="1"/>
  <c r="C6416" i="1"/>
  <c r="F6414" i="1"/>
  <c r="C6414" i="1"/>
  <c r="F6413" i="1"/>
  <c r="C6413" i="1"/>
  <c r="F6412" i="1"/>
  <c r="C6412" i="1"/>
  <c r="F6411" i="1"/>
  <c r="F6410" i="1"/>
  <c r="C6410" i="1"/>
  <c r="F6409" i="1"/>
  <c r="C6409" i="1"/>
  <c r="F6408" i="1"/>
  <c r="C6408" i="1"/>
  <c r="F6407" i="1"/>
  <c r="C6407" i="1"/>
  <c r="F6406" i="1"/>
  <c r="F6405" i="1"/>
  <c r="F6404" i="1"/>
  <c r="F6403" i="1"/>
  <c r="C6403" i="1"/>
  <c r="F6402" i="1"/>
  <c r="F6401" i="1"/>
  <c r="C6401" i="1"/>
  <c r="F6400" i="1"/>
  <c r="C6400" i="1"/>
  <c r="F6399" i="1"/>
  <c r="F6398" i="1"/>
  <c r="F6397" i="1"/>
  <c r="F6396" i="1"/>
  <c r="F6395" i="1"/>
  <c r="F6394" i="1"/>
  <c r="F6393" i="1"/>
  <c r="F6392" i="1"/>
  <c r="F6391" i="1"/>
  <c r="C6391" i="1"/>
  <c r="F6389" i="1"/>
  <c r="C6389" i="1"/>
  <c r="F6388" i="1"/>
  <c r="C6388" i="1"/>
  <c r="F6387" i="1"/>
  <c r="F6386" i="1"/>
  <c r="C6386" i="1"/>
  <c r="F6385" i="1"/>
  <c r="F6384" i="1"/>
  <c r="C6384" i="1"/>
  <c r="F6383" i="1"/>
  <c r="F6381" i="1"/>
  <c r="F6380" i="1"/>
  <c r="C6380" i="1"/>
  <c r="F6379" i="1"/>
  <c r="C6379" i="1"/>
  <c r="F6378" i="1"/>
  <c r="C6378" i="1"/>
  <c r="F6377" i="1"/>
  <c r="C6377" i="1"/>
  <c r="F6376" i="1"/>
  <c r="C6376" i="1"/>
  <c r="F6375" i="1"/>
  <c r="C6375" i="1"/>
  <c r="F6374" i="1"/>
  <c r="C6374" i="1"/>
  <c r="F6373" i="1"/>
  <c r="C6373" i="1"/>
  <c r="F6372" i="1"/>
  <c r="C6372" i="1"/>
  <c r="F6371" i="1"/>
  <c r="F6370" i="1"/>
  <c r="C6370" i="1"/>
  <c r="F6369" i="1"/>
  <c r="C6369" i="1"/>
  <c r="F6368" i="1"/>
  <c r="C6368" i="1"/>
  <c r="F6367" i="1"/>
  <c r="C6367" i="1"/>
  <c r="F6366" i="1"/>
  <c r="F6365" i="1"/>
  <c r="C6365" i="1"/>
  <c r="F6364" i="1"/>
  <c r="F6363" i="1"/>
  <c r="C6363" i="1"/>
  <c r="F6362" i="1"/>
  <c r="C6362" i="1"/>
  <c r="F6360" i="1"/>
  <c r="C6360" i="1"/>
  <c r="C6359" i="1"/>
  <c r="F6358" i="1"/>
  <c r="C6358" i="1"/>
  <c r="F6357" i="1"/>
  <c r="C6357" i="1"/>
  <c r="F6356" i="1"/>
  <c r="F6355" i="1"/>
  <c r="C6355" i="1"/>
  <c r="F6354" i="1"/>
  <c r="C6354" i="1"/>
  <c r="F6353" i="1"/>
  <c r="C6353" i="1"/>
  <c r="F6351" i="1"/>
  <c r="C6351" i="1"/>
  <c r="F6350" i="1"/>
  <c r="C6350" i="1"/>
  <c r="F6349" i="1"/>
  <c r="C6349" i="1"/>
  <c r="F6348" i="1"/>
  <c r="F6347" i="1"/>
  <c r="C6347" i="1"/>
  <c r="F6346" i="1"/>
  <c r="C6346" i="1"/>
  <c r="F6345" i="1"/>
  <c r="C6345" i="1"/>
  <c r="F6344" i="1"/>
  <c r="C6344" i="1"/>
  <c r="F6343" i="1"/>
  <c r="C6343" i="1"/>
  <c r="F6342" i="1"/>
  <c r="C6342" i="1"/>
  <c r="F6341" i="1"/>
  <c r="C6341" i="1"/>
  <c r="C6340" i="1"/>
  <c r="F6339" i="1"/>
  <c r="F6338" i="1"/>
  <c r="F6337" i="1"/>
  <c r="F6336" i="1"/>
  <c r="F6335" i="1"/>
  <c r="C6335" i="1"/>
  <c r="F6334" i="1"/>
  <c r="C6334" i="1"/>
  <c r="F6333" i="1"/>
  <c r="C6332" i="1"/>
  <c r="F6331" i="1"/>
  <c r="C6331" i="1"/>
  <c r="F6330" i="1"/>
  <c r="F6329" i="1"/>
  <c r="C6329" i="1"/>
  <c r="F6328" i="1"/>
  <c r="F6327" i="1"/>
  <c r="C6327" i="1"/>
  <c r="F6326" i="1"/>
  <c r="C6326" i="1"/>
  <c r="F6325" i="1"/>
  <c r="F6324" i="1"/>
  <c r="C6324" i="1"/>
  <c r="F6323" i="1"/>
  <c r="F6322" i="1"/>
  <c r="F6321" i="1"/>
  <c r="F6320" i="1"/>
  <c r="F6319" i="1"/>
  <c r="C6319" i="1"/>
  <c r="F6318" i="1"/>
  <c r="C6318" i="1"/>
  <c r="F6317" i="1"/>
  <c r="F6316" i="1"/>
  <c r="F6315" i="1"/>
  <c r="F6314" i="1"/>
  <c r="C6314" i="1"/>
  <c r="F6313" i="1"/>
  <c r="C6313" i="1"/>
  <c r="F6312" i="1"/>
  <c r="C6312" i="1"/>
  <c r="F6311" i="1"/>
  <c r="F6310" i="1"/>
  <c r="C6310" i="1"/>
  <c r="F6309" i="1"/>
  <c r="F6308" i="1"/>
  <c r="C6308" i="1"/>
  <c r="F6307" i="1"/>
  <c r="C6307" i="1"/>
  <c r="F6306" i="1"/>
  <c r="F6305" i="1"/>
  <c r="C6305" i="1"/>
  <c r="F6304" i="1"/>
  <c r="F6303" i="1"/>
  <c r="C6303" i="1"/>
  <c r="F6302" i="1"/>
  <c r="C6302" i="1"/>
  <c r="F6301" i="1"/>
  <c r="C6301" i="1"/>
  <c r="F6300" i="1"/>
  <c r="C6300" i="1"/>
  <c r="F6299" i="1"/>
  <c r="C6299" i="1"/>
  <c r="F6298" i="1"/>
  <c r="C6298" i="1"/>
  <c r="F6297" i="1"/>
  <c r="C6297" i="1"/>
  <c r="F6296" i="1"/>
  <c r="C6296" i="1"/>
  <c r="F6295" i="1"/>
  <c r="C6295" i="1"/>
  <c r="F6294" i="1"/>
  <c r="C6294" i="1"/>
  <c r="F6293" i="1"/>
  <c r="C6293" i="1"/>
  <c r="F6292" i="1"/>
  <c r="C6292" i="1"/>
  <c r="F6291" i="1"/>
  <c r="C6291" i="1"/>
  <c r="F6290" i="1"/>
  <c r="C6290" i="1"/>
  <c r="F6289" i="1"/>
  <c r="C6289" i="1"/>
  <c r="F6288" i="1"/>
  <c r="C6288" i="1"/>
  <c r="F6287" i="1"/>
  <c r="F6286" i="1"/>
  <c r="F6285" i="1"/>
  <c r="F6284" i="1"/>
  <c r="C6284" i="1"/>
  <c r="F6283" i="1"/>
  <c r="F6282" i="1"/>
  <c r="F6281" i="1"/>
  <c r="C6281" i="1"/>
  <c r="F6280" i="1"/>
  <c r="F6279" i="1"/>
  <c r="C6279" i="1"/>
  <c r="F6278" i="1"/>
  <c r="C6278" i="1"/>
  <c r="F6277" i="1"/>
  <c r="C6277" i="1"/>
  <c r="F6276" i="1"/>
  <c r="F6275" i="1"/>
  <c r="F6274" i="1"/>
  <c r="C6274" i="1"/>
  <c r="F6273" i="1"/>
  <c r="C6273" i="1"/>
  <c r="F6272" i="1"/>
  <c r="F6271" i="1"/>
  <c r="C6271" i="1"/>
  <c r="F6270" i="1"/>
  <c r="C6270" i="1"/>
  <c r="C6269" i="1"/>
  <c r="F6268" i="1"/>
  <c r="C6268" i="1"/>
  <c r="F6267" i="1"/>
  <c r="C6267" i="1"/>
  <c r="F6266" i="1"/>
  <c r="F6265" i="1"/>
  <c r="C6265" i="1"/>
  <c r="F6264" i="1"/>
  <c r="F6263" i="1"/>
  <c r="C6263" i="1"/>
  <c r="F6262" i="1"/>
  <c r="F6261" i="1"/>
  <c r="F6260" i="1"/>
  <c r="F6259" i="1"/>
  <c r="C6259" i="1"/>
  <c r="F6258" i="1"/>
  <c r="C6258" i="1"/>
  <c r="F6257" i="1"/>
  <c r="F6256" i="1"/>
  <c r="F6255" i="1"/>
  <c r="F6254" i="1"/>
  <c r="F6253" i="1"/>
  <c r="C6253" i="1"/>
  <c r="F6252" i="1"/>
  <c r="F6251" i="1"/>
  <c r="C6251" i="1"/>
  <c r="C6250" i="1"/>
  <c r="F6249" i="1"/>
  <c r="C6249" i="1"/>
  <c r="F6248" i="1"/>
  <c r="C6248" i="1"/>
  <c r="C6247" i="1"/>
  <c r="F6246" i="1"/>
  <c r="F6245" i="1"/>
  <c r="F6244" i="1"/>
  <c r="F6243" i="1"/>
  <c r="C6243" i="1"/>
  <c r="F6242" i="1"/>
  <c r="F6241" i="1"/>
  <c r="C6241" i="1"/>
  <c r="F6240" i="1"/>
  <c r="C6240" i="1"/>
  <c r="F6239" i="1"/>
  <c r="C6239" i="1"/>
  <c r="F6238" i="1"/>
  <c r="C6238" i="1"/>
  <c r="F6237" i="1"/>
  <c r="C6237" i="1"/>
  <c r="F6236" i="1"/>
  <c r="F6235" i="1"/>
  <c r="C6235" i="1"/>
  <c r="F6234" i="1"/>
  <c r="C6234" i="1"/>
  <c r="F6233" i="1"/>
  <c r="C6233" i="1"/>
  <c r="F6232" i="1"/>
  <c r="F6231" i="1"/>
  <c r="C6231" i="1"/>
  <c r="C6229" i="1"/>
  <c r="C6228" i="1"/>
  <c r="F6227" i="1"/>
  <c r="C6227" i="1"/>
  <c r="F6226" i="1"/>
  <c r="C6226" i="1"/>
  <c r="F6225" i="1"/>
  <c r="F6224" i="1"/>
  <c r="F6223" i="1"/>
  <c r="C6223" i="1"/>
  <c r="F6222" i="1"/>
  <c r="C6222" i="1"/>
  <c r="F6221" i="1"/>
  <c r="C6221" i="1"/>
  <c r="F6220" i="1"/>
  <c r="C6220" i="1"/>
  <c r="F6219" i="1"/>
  <c r="F6218" i="1"/>
  <c r="F6217" i="1"/>
  <c r="F6216" i="1"/>
  <c r="F6215" i="1"/>
  <c r="C6215" i="1"/>
  <c r="F6214" i="1"/>
  <c r="F6213" i="1"/>
  <c r="C6213" i="1"/>
  <c r="C6212" i="1"/>
  <c r="F6211" i="1"/>
  <c r="C6210" i="1"/>
  <c r="F6209" i="1"/>
  <c r="F6208" i="1"/>
  <c r="C6208" i="1"/>
  <c r="F6207" i="1"/>
  <c r="F6206" i="1"/>
  <c r="C6206" i="1"/>
  <c r="F6205" i="1"/>
  <c r="F6204" i="1"/>
  <c r="C6204" i="1"/>
  <c r="F6203" i="1"/>
  <c r="C6203" i="1"/>
  <c r="F6202" i="1"/>
  <c r="F6201" i="1"/>
  <c r="F6200" i="1"/>
  <c r="C6200" i="1"/>
  <c r="F6199" i="1"/>
  <c r="F6198" i="1"/>
  <c r="C6198" i="1"/>
  <c r="F6197" i="1"/>
  <c r="C6197" i="1"/>
  <c r="F6196" i="1"/>
  <c r="C6196" i="1"/>
  <c r="F6195" i="1"/>
  <c r="C6195" i="1"/>
  <c r="F6194" i="1"/>
  <c r="F6193" i="1"/>
  <c r="F6192" i="1"/>
  <c r="F6191" i="1"/>
  <c r="F6190" i="1"/>
  <c r="F6189" i="1"/>
  <c r="C6189" i="1"/>
  <c r="F6188" i="1"/>
  <c r="F6187" i="1"/>
  <c r="C6187" i="1"/>
  <c r="F6186" i="1"/>
  <c r="F6185" i="1"/>
  <c r="C6185" i="1"/>
  <c r="F6184" i="1"/>
  <c r="C6184" i="1"/>
  <c r="F6183" i="1"/>
  <c r="F6182" i="1"/>
  <c r="C6182" i="1"/>
  <c r="F6181" i="1"/>
  <c r="C6181" i="1"/>
  <c r="C6180" i="1"/>
  <c r="C6179" i="1"/>
  <c r="F6178" i="1"/>
  <c r="F6177" i="1"/>
  <c r="F6176" i="1"/>
  <c r="C6176" i="1"/>
  <c r="F6175" i="1"/>
  <c r="F6174" i="1"/>
  <c r="C6174" i="1"/>
  <c r="F6173" i="1"/>
  <c r="F6172" i="1"/>
  <c r="F6171" i="1"/>
  <c r="C6171" i="1"/>
  <c r="F6170" i="1"/>
  <c r="C6170" i="1"/>
  <c r="F6169" i="1"/>
  <c r="C6169" i="1"/>
  <c r="F6168" i="1"/>
  <c r="C6168" i="1"/>
  <c r="F6167" i="1"/>
  <c r="C6167" i="1"/>
  <c r="F6166" i="1"/>
  <c r="C6166" i="1"/>
  <c r="F6165" i="1"/>
  <c r="F6164" i="1"/>
  <c r="C6164" i="1"/>
  <c r="F6163" i="1"/>
  <c r="F6162" i="1"/>
  <c r="F6161" i="1"/>
  <c r="C6161" i="1"/>
  <c r="F6160" i="1"/>
  <c r="C6160" i="1"/>
  <c r="F6159" i="1"/>
  <c r="F6158" i="1"/>
  <c r="F6157" i="1"/>
  <c r="C6157" i="1"/>
  <c r="F6156" i="1"/>
  <c r="C6156" i="1"/>
  <c r="F6155" i="1"/>
  <c r="C6155" i="1"/>
  <c r="F6154" i="1"/>
  <c r="C6154" i="1"/>
  <c r="C6153" i="1"/>
  <c r="F6152" i="1"/>
  <c r="C6152" i="1"/>
  <c r="F6150" i="1"/>
  <c r="F6149" i="1"/>
  <c r="F6148" i="1"/>
  <c r="F6147" i="1"/>
  <c r="C6147" i="1"/>
  <c r="F6146" i="1"/>
  <c r="F6145" i="1"/>
  <c r="C6145" i="1"/>
  <c r="F6144" i="1"/>
  <c r="C6144" i="1"/>
  <c r="F6143" i="1"/>
  <c r="C6143" i="1"/>
  <c r="F6142" i="1"/>
  <c r="C6142" i="1"/>
  <c r="F6141" i="1"/>
  <c r="C6141" i="1"/>
  <c r="F6140" i="1"/>
  <c r="C6140" i="1"/>
  <c r="F6139" i="1"/>
  <c r="C6139" i="1"/>
  <c r="C6138" i="1"/>
  <c r="F6137" i="1"/>
  <c r="C6137" i="1"/>
  <c r="F6136" i="1"/>
  <c r="F6135" i="1"/>
  <c r="C6135" i="1"/>
  <c r="F6134" i="1"/>
  <c r="C6134" i="1"/>
  <c r="F6132" i="1"/>
  <c r="C6132" i="1"/>
  <c r="F6131" i="1"/>
  <c r="F6130" i="1"/>
  <c r="F6129" i="1"/>
  <c r="C6129" i="1"/>
  <c r="F6128" i="1"/>
  <c r="C6128" i="1"/>
  <c r="F6127" i="1"/>
  <c r="F6126" i="1"/>
  <c r="C6126" i="1"/>
  <c r="F6125" i="1"/>
  <c r="C6125" i="1"/>
  <c r="F6124" i="1"/>
  <c r="C6124" i="1"/>
  <c r="F6123" i="1"/>
  <c r="F6122" i="1"/>
  <c r="C6122" i="1"/>
  <c r="F6121" i="1"/>
  <c r="F6120" i="1"/>
  <c r="F6118" i="1"/>
  <c r="C6118" i="1"/>
  <c r="F6117" i="1"/>
  <c r="F6116" i="1"/>
  <c r="F6115" i="1"/>
  <c r="F6114" i="1"/>
  <c r="C6114" i="1"/>
  <c r="F6112" i="1"/>
  <c r="C6111" i="1"/>
  <c r="F6110" i="1"/>
  <c r="F6109" i="1"/>
  <c r="C6109" i="1"/>
  <c r="C6108" i="1"/>
  <c r="F6107" i="1"/>
  <c r="C6107" i="1"/>
  <c r="F6106" i="1"/>
  <c r="C6106" i="1"/>
  <c r="F6105" i="1"/>
  <c r="C6105" i="1"/>
  <c r="F6104" i="1"/>
  <c r="F6103" i="1"/>
  <c r="C6103" i="1"/>
  <c r="F6102" i="1"/>
  <c r="F6101" i="1"/>
  <c r="C6101" i="1"/>
  <c r="F6100" i="1"/>
  <c r="F6099" i="1"/>
  <c r="C6099" i="1"/>
  <c r="F6098" i="1"/>
  <c r="C6098" i="1"/>
  <c r="F6097" i="1"/>
  <c r="C6097" i="1"/>
  <c r="F6096" i="1"/>
  <c r="C6096" i="1"/>
  <c r="F6095" i="1"/>
  <c r="C6095" i="1"/>
  <c r="F6094" i="1"/>
  <c r="C6094" i="1"/>
  <c r="F6093" i="1"/>
  <c r="C6093" i="1"/>
  <c r="F6092" i="1"/>
  <c r="C6092" i="1"/>
  <c r="F6091" i="1"/>
  <c r="C6091" i="1"/>
  <c r="F6090" i="1"/>
  <c r="C6090" i="1"/>
  <c r="F6089" i="1"/>
  <c r="F6088" i="1"/>
  <c r="F6087" i="1"/>
  <c r="F6086" i="1"/>
  <c r="C6086" i="1"/>
  <c r="F6085" i="1"/>
  <c r="F6084" i="1"/>
  <c r="C6084" i="1"/>
  <c r="F6083" i="1"/>
  <c r="C6083" i="1"/>
  <c r="F6082" i="1"/>
  <c r="F6081" i="1"/>
  <c r="C6081" i="1"/>
  <c r="F6080" i="1"/>
  <c r="C6080" i="1"/>
  <c r="F6079" i="1"/>
  <c r="C6079" i="1"/>
  <c r="F6078" i="1"/>
  <c r="F6077" i="1"/>
  <c r="C6077" i="1"/>
  <c r="F6076" i="1"/>
  <c r="F6074" i="1"/>
  <c r="C6074" i="1"/>
  <c r="F6073" i="1"/>
  <c r="F6072" i="1"/>
  <c r="F6071" i="1"/>
  <c r="F6070" i="1"/>
  <c r="F6069" i="1"/>
  <c r="C6069" i="1"/>
  <c r="F6068" i="1"/>
  <c r="C6068" i="1"/>
  <c r="F6067" i="1"/>
  <c r="F6066" i="1"/>
  <c r="F6065" i="1"/>
  <c r="C6065" i="1"/>
  <c r="F6064" i="1"/>
  <c r="C6064" i="1"/>
  <c r="F6063" i="1"/>
  <c r="F6062" i="1"/>
  <c r="C6062" i="1"/>
  <c r="F6061" i="1"/>
  <c r="C6061" i="1"/>
  <c r="F6060" i="1"/>
  <c r="F6059" i="1"/>
  <c r="C6059" i="1"/>
  <c r="F6058" i="1"/>
  <c r="C6058" i="1"/>
  <c r="F6057" i="1"/>
  <c r="C6057" i="1"/>
  <c r="F6056" i="1"/>
  <c r="C6056" i="1"/>
  <c r="F6055" i="1"/>
  <c r="C6055" i="1"/>
  <c r="F6054" i="1"/>
  <c r="C6054" i="1"/>
  <c r="F6053" i="1"/>
  <c r="C6053" i="1"/>
  <c r="F6052" i="1"/>
  <c r="F6051" i="1"/>
  <c r="C6051" i="1"/>
  <c r="F6050" i="1"/>
  <c r="C6050" i="1"/>
  <c r="F6049" i="1"/>
  <c r="C6049" i="1"/>
  <c r="F6048" i="1"/>
  <c r="C6048" i="1"/>
  <c r="F6047" i="1"/>
  <c r="F6046" i="1"/>
  <c r="F6045" i="1"/>
  <c r="C6045" i="1"/>
  <c r="F6044" i="1"/>
  <c r="F6043" i="1"/>
  <c r="C6043" i="1"/>
  <c r="F6042" i="1"/>
  <c r="F6041" i="1"/>
  <c r="C6041" i="1"/>
  <c r="F6040" i="1"/>
  <c r="F6039" i="1"/>
  <c r="C6039" i="1"/>
  <c r="F6038" i="1"/>
  <c r="C6038" i="1"/>
  <c r="F6037" i="1"/>
  <c r="C6037" i="1"/>
  <c r="C6036" i="1"/>
  <c r="F6035" i="1"/>
  <c r="C6035" i="1"/>
  <c r="F6034" i="1"/>
  <c r="C6034" i="1"/>
  <c r="F6033" i="1"/>
  <c r="C6033" i="1"/>
  <c r="F6032" i="1"/>
  <c r="C6032" i="1"/>
  <c r="F6031" i="1"/>
  <c r="C6031" i="1"/>
  <c r="F6030" i="1"/>
  <c r="C6030" i="1"/>
  <c r="F6029" i="1"/>
  <c r="C6029" i="1"/>
  <c r="C6028" i="1"/>
  <c r="F6027" i="1"/>
  <c r="C6027" i="1"/>
  <c r="F6026" i="1"/>
  <c r="C6026" i="1"/>
  <c r="F6025" i="1"/>
  <c r="F6024" i="1"/>
  <c r="F6023" i="1"/>
  <c r="C6023" i="1"/>
  <c r="F6022" i="1"/>
  <c r="C6022" i="1"/>
  <c r="F6021" i="1"/>
  <c r="C6021" i="1"/>
  <c r="F6020" i="1"/>
  <c r="C6019" i="1"/>
  <c r="F6018" i="1"/>
  <c r="F6017" i="1"/>
  <c r="C6017" i="1"/>
  <c r="F6016" i="1"/>
  <c r="C6015" i="1"/>
  <c r="F6014" i="1"/>
  <c r="F6013" i="1"/>
  <c r="C6013" i="1"/>
  <c r="F6012" i="1"/>
  <c r="F6011" i="1"/>
  <c r="C6011" i="1"/>
  <c r="F6010" i="1"/>
  <c r="C6010" i="1"/>
  <c r="F6009" i="1"/>
  <c r="C6009" i="1"/>
  <c r="F6008" i="1"/>
  <c r="F6007" i="1"/>
  <c r="F6006" i="1"/>
  <c r="C6006" i="1"/>
  <c r="C6005" i="1"/>
  <c r="F6003" i="1"/>
  <c r="F6002" i="1"/>
  <c r="C6002" i="1"/>
  <c r="F6001" i="1"/>
  <c r="F6000" i="1"/>
  <c r="C6000" i="1"/>
  <c r="F5999" i="1"/>
  <c r="F5998" i="1"/>
  <c r="F5997" i="1"/>
  <c r="C5996" i="1"/>
  <c r="F5995" i="1"/>
  <c r="F5994" i="1"/>
  <c r="F5993" i="1"/>
  <c r="C5993" i="1"/>
  <c r="F5992" i="1"/>
  <c r="C5992" i="1"/>
  <c r="F5991" i="1"/>
  <c r="C5991" i="1"/>
  <c r="F5990" i="1"/>
  <c r="C5990" i="1"/>
  <c r="F5989" i="1"/>
  <c r="C5989" i="1"/>
  <c r="F5988" i="1"/>
  <c r="C5988" i="1"/>
  <c r="F5987" i="1"/>
  <c r="C5987" i="1"/>
  <c r="F5986" i="1"/>
  <c r="C5986" i="1"/>
  <c r="F5985" i="1"/>
  <c r="C5985" i="1"/>
  <c r="F5984" i="1"/>
  <c r="C5984" i="1"/>
  <c r="F5983" i="1"/>
  <c r="F5982" i="1"/>
  <c r="C5982" i="1"/>
  <c r="F5981" i="1"/>
  <c r="C5981" i="1"/>
  <c r="F5980" i="1"/>
  <c r="F5979" i="1"/>
  <c r="F5978" i="1"/>
  <c r="F5977" i="1"/>
  <c r="F5976" i="1"/>
  <c r="C5976" i="1"/>
  <c r="F5975" i="1"/>
  <c r="F5974" i="1"/>
  <c r="C5974" i="1"/>
  <c r="F5973" i="1"/>
  <c r="F5972" i="1"/>
  <c r="C5972" i="1"/>
  <c r="F5971" i="1"/>
  <c r="C5971" i="1"/>
  <c r="F5970" i="1"/>
  <c r="C5970" i="1"/>
  <c r="F5969" i="1"/>
  <c r="F5968" i="1"/>
  <c r="C5968" i="1"/>
  <c r="F5967" i="1"/>
  <c r="C5966" i="1"/>
  <c r="C5965" i="1"/>
  <c r="C5964" i="1"/>
  <c r="F5963" i="1"/>
  <c r="C5963" i="1"/>
  <c r="F5962" i="1"/>
  <c r="F5961" i="1"/>
  <c r="C5961" i="1"/>
  <c r="F5960" i="1"/>
  <c r="F5959" i="1"/>
  <c r="F5958" i="1"/>
  <c r="F5957" i="1"/>
  <c r="C5956" i="1"/>
  <c r="F5955" i="1"/>
  <c r="F5954" i="1"/>
  <c r="F5953" i="1"/>
  <c r="F5952" i="1"/>
  <c r="C5952" i="1"/>
  <c r="C5951" i="1"/>
  <c r="F5950" i="1"/>
  <c r="F5949" i="1"/>
  <c r="C5949" i="1"/>
  <c r="F5948" i="1"/>
  <c r="C5948" i="1"/>
  <c r="F5947" i="1"/>
  <c r="C5947" i="1"/>
  <c r="F5946" i="1"/>
  <c r="C5946" i="1"/>
  <c r="F5945" i="1"/>
  <c r="C5945" i="1"/>
  <c r="F5944" i="1"/>
  <c r="C5944" i="1"/>
  <c r="F5943" i="1"/>
  <c r="C5943" i="1"/>
  <c r="F5942" i="1"/>
  <c r="F5941" i="1"/>
  <c r="C5941" i="1"/>
  <c r="F5940" i="1"/>
  <c r="C5940" i="1"/>
  <c r="F5939" i="1"/>
  <c r="C5939" i="1"/>
  <c r="F5938" i="1"/>
  <c r="F5937" i="1"/>
  <c r="C5937" i="1"/>
  <c r="F5936" i="1"/>
  <c r="F5935" i="1"/>
  <c r="C5935" i="1"/>
  <c r="F5934" i="1"/>
  <c r="F5933" i="1"/>
  <c r="C5933" i="1"/>
  <c r="F5932" i="1"/>
  <c r="C5932" i="1"/>
  <c r="F5931" i="1"/>
  <c r="C5931" i="1"/>
  <c r="F5930" i="1"/>
  <c r="C5930" i="1"/>
  <c r="F5929" i="1"/>
  <c r="C5929" i="1"/>
  <c r="F5928" i="1"/>
  <c r="C5928" i="1"/>
  <c r="C5927" i="1"/>
  <c r="F5926" i="1"/>
  <c r="F5925" i="1"/>
  <c r="F5924" i="1"/>
  <c r="C5924" i="1"/>
  <c r="C5923" i="1"/>
  <c r="C5922" i="1"/>
  <c r="F5921" i="1"/>
  <c r="C5921" i="1"/>
  <c r="F5920" i="1"/>
  <c r="C5920" i="1"/>
  <c r="F5919" i="1"/>
  <c r="F5918" i="1"/>
  <c r="C5918" i="1"/>
  <c r="F5917" i="1"/>
  <c r="C5917" i="1"/>
  <c r="F5916" i="1"/>
  <c r="C5916" i="1"/>
  <c r="F5915" i="1"/>
  <c r="C5915" i="1"/>
  <c r="F5914" i="1"/>
  <c r="C5914" i="1"/>
  <c r="F5913" i="1"/>
  <c r="C5913" i="1"/>
  <c r="F5912" i="1"/>
  <c r="F5911" i="1"/>
  <c r="F5910" i="1"/>
  <c r="C5910" i="1"/>
  <c r="F5909" i="1"/>
  <c r="F5908" i="1"/>
  <c r="C5908" i="1"/>
  <c r="F5907" i="1"/>
  <c r="C5907" i="1"/>
  <c r="F5906" i="1"/>
  <c r="F5905" i="1"/>
  <c r="C5905" i="1"/>
  <c r="F5904" i="1"/>
  <c r="F5903" i="1"/>
  <c r="F5902" i="1"/>
  <c r="C5902" i="1"/>
  <c r="F5901" i="1"/>
  <c r="C5901" i="1"/>
  <c r="F5900" i="1"/>
  <c r="F5899" i="1"/>
  <c r="C5899" i="1"/>
  <c r="F5898" i="1"/>
  <c r="C5898" i="1"/>
  <c r="F5897" i="1"/>
  <c r="C5897" i="1"/>
  <c r="F5896" i="1"/>
  <c r="F5895" i="1"/>
  <c r="C5895" i="1"/>
  <c r="F5894" i="1"/>
  <c r="C5894" i="1"/>
  <c r="F5893" i="1"/>
  <c r="F5892" i="1"/>
  <c r="C5892" i="1"/>
  <c r="F5891" i="1"/>
  <c r="F5890" i="1"/>
  <c r="C5890" i="1"/>
  <c r="F5889" i="1"/>
  <c r="C5889" i="1"/>
  <c r="F5888" i="1"/>
  <c r="F5887" i="1"/>
  <c r="C5887" i="1"/>
  <c r="F5886" i="1"/>
  <c r="C5886" i="1"/>
  <c r="F5885" i="1"/>
  <c r="C5885" i="1"/>
  <c r="F5884" i="1"/>
  <c r="F5883" i="1"/>
  <c r="C5883" i="1"/>
  <c r="F5882" i="1"/>
  <c r="F5881" i="1"/>
  <c r="C5881" i="1"/>
  <c r="F5880" i="1"/>
  <c r="C5880" i="1"/>
  <c r="F5879" i="1"/>
  <c r="F5878" i="1"/>
  <c r="F5877" i="1"/>
  <c r="F5876" i="1"/>
  <c r="F5875" i="1"/>
  <c r="F5874" i="1"/>
  <c r="C5874" i="1"/>
  <c r="F5873" i="1"/>
  <c r="F5872" i="1"/>
  <c r="F5871" i="1"/>
  <c r="C5871" i="1"/>
  <c r="F5870" i="1"/>
  <c r="C5870" i="1"/>
  <c r="F5869" i="1"/>
  <c r="C5869" i="1"/>
  <c r="F5868" i="1"/>
  <c r="C5868" i="1"/>
  <c r="F5867" i="1"/>
  <c r="F5866" i="1"/>
  <c r="F5865" i="1"/>
  <c r="F5864" i="1"/>
  <c r="C5864" i="1"/>
  <c r="F5863" i="1"/>
  <c r="C5863" i="1"/>
  <c r="F5862" i="1"/>
  <c r="F5861" i="1"/>
  <c r="C5861" i="1"/>
  <c r="F5860" i="1"/>
  <c r="C5860" i="1"/>
  <c r="F5859" i="1"/>
  <c r="F5858" i="1"/>
  <c r="C5858" i="1"/>
  <c r="F5857" i="1"/>
  <c r="F5856" i="1"/>
  <c r="F5855" i="1"/>
  <c r="F5854" i="1"/>
  <c r="C5854" i="1"/>
  <c r="F5853" i="1"/>
  <c r="C5852" i="1"/>
  <c r="F5851" i="1"/>
  <c r="F5850" i="1"/>
  <c r="C5850" i="1"/>
  <c r="F5849" i="1"/>
  <c r="C5849" i="1"/>
  <c r="F5848" i="1"/>
  <c r="C5848" i="1"/>
  <c r="C5847" i="1"/>
  <c r="F5846" i="1"/>
  <c r="C5846" i="1"/>
  <c r="F5845" i="1"/>
  <c r="C5845" i="1"/>
  <c r="F5844" i="1"/>
  <c r="C5844" i="1"/>
  <c r="F5843" i="1"/>
  <c r="F5842" i="1"/>
  <c r="C5842" i="1"/>
  <c r="F5841" i="1"/>
  <c r="F5840" i="1"/>
  <c r="C5840" i="1"/>
  <c r="F5839" i="1"/>
  <c r="F5838" i="1"/>
  <c r="C5838" i="1"/>
  <c r="F5837" i="1"/>
  <c r="C5837" i="1"/>
  <c r="C5836" i="1"/>
  <c r="F5835" i="1"/>
  <c r="C5835" i="1"/>
  <c r="F5834" i="1"/>
  <c r="C5834" i="1"/>
  <c r="F5833" i="1"/>
  <c r="F5832" i="1"/>
  <c r="C5832" i="1"/>
  <c r="F5831" i="1"/>
  <c r="C5831" i="1"/>
  <c r="F5830" i="1"/>
  <c r="C5830" i="1"/>
  <c r="F5829" i="1"/>
  <c r="C5829" i="1"/>
  <c r="F5828" i="1"/>
  <c r="F5827" i="1"/>
  <c r="C5827" i="1"/>
  <c r="C5826" i="1"/>
  <c r="F5825" i="1"/>
  <c r="F5824" i="1"/>
  <c r="C5824" i="1"/>
  <c r="F5823" i="1"/>
  <c r="C5823" i="1"/>
  <c r="F5822" i="1"/>
  <c r="F5821" i="1"/>
  <c r="F5819" i="1"/>
  <c r="F5818" i="1"/>
  <c r="C5818" i="1"/>
  <c r="F5817" i="1"/>
  <c r="F5816" i="1"/>
  <c r="F5815" i="1"/>
  <c r="F5814" i="1"/>
  <c r="C5814" i="1"/>
  <c r="F5813" i="1"/>
  <c r="C5813" i="1"/>
  <c r="F5811" i="1"/>
  <c r="C5811" i="1"/>
  <c r="F5810" i="1"/>
  <c r="C5810" i="1"/>
  <c r="F5809" i="1"/>
  <c r="C5809" i="1"/>
  <c r="F5808" i="1"/>
  <c r="C5808" i="1"/>
  <c r="F5807" i="1"/>
  <c r="F5806" i="1"/>
  <c r="C5806" i="1"/>
  <c r="F5805" i="1"/>
  <c r="C5805" i="1"/>
  <c r="F5804" i="1"/>
  <c r="C5804" i="1"/>
  <c r="F5803" i="1"/>
  <c r="C5803" i="1"/>
  <c r="F5802" i="1"/>
  <c r="F5801" i="1"/>
  <c r="C5801" i="1"/>
  <c r="F5800" i="1"/>
  <c r="C5800" i="1"/>
  <c r="F5799" i="1"/>
  <c r="C5799" i="1"/>
  <c r="F5798" i="1"/>
  <c r="C5798" i="1"/>
  <c r="C5797" i="1"/>
  <c r="F5796" i="1"/>
  <c r="C5796" i="1"/>
  <c r="F5795" i="1"/>
  <c r="F5794" i="1"/>
  <c r="F5793" i="1"/>
  <c r="F5792" i="1"/>
  <c r="C5792" i="1"/>
  <c r="F5791" i="1"/>
  <c r="F5790" i="1"/>
  <c r="F5789" i="1"/>
  <c r="F5788" i="1"/>
  <c r="F5787" i="1"/>
  <c r="C5787" i="1"/>
  <c r="F5786" i="1"/>
  <c r="C5786" i="1"/>
  <c r="F5785" i="1"/>
  <c r="F5784" i="1"/>
  <c r="F5783" i="1"/>
  <c r="F5782" i="1"/>
  <c r="C5782" i="1"/>
  <c r="F5781" i="1"/>
  <c r="C5781" i="1"/>
  <c r="F5780" i="1"/>
  <c r="C5780" i="1"/>
  <c r="F5779" i="1"/>
  <c r="F5778" i="1"/>
  <c r="C5778" i="1"/>
  <c r="F5777" i="1"/>
  <c r="C5777" i="1"/>
  <c r="F5776" i="1"/>
  <c r="F5775" i="1"/>
  <c r="C5775" i="1"/>
  <c r="C5774" i="1"/>
  <c r="F5773" i="1"/>
  <c r="C5773" i="1"/>
  <c r="F5772" i="1"/>
  <c r="F5771" i="1"/>
  <c r="C5771" i="1"/>
  <c r="F5770" i="1"/>
  <c r="C5770" i="1"/>
  <c r="F5769" i="1"/>
  <c r="F5768" i="1"/>
  <c r="C5768" i="1"/>
  <c r="F5767" i="1"/>
  <c r="C5767" i="1"/>
  <c r="C5766" i="1"/>
  <c r="F5765" i="1"/>
  <c r="C5765" i="1"/>
  <c r="F5764" i="1"/>
  <c r="C5764" i="1"/>
  <c r="F5763" i="1"/>
  <c r="C5763" i="1"/>
  <c r="F5762" i="1"/>
  <c r="F5761" i="1"/>
  <c r="C5761" i="1"/>
  <c r="F5760" i="1"/>
  <c r="F5759" i="1"/>
  <c r="F5758" i="1"/>
  <c r="C5758" i="1"/>
  <c r="F5757" i="1"/>
  <c r="C5757" i="1"/>
  <c r="F5756" i="1"/>
  <c r="C5756" i="1"/>
  <c r="F5755" i="1"/>
  <c r="F5754" i="1"/>
  <c r="F5753" i="1"/>
  <c r="C5753" i="1"/>
  <c r="F5752" i="1"/>
  <c r="F5751" i="1"/>
  <c r="F5750" i="1"/>
  <c r="C5750" i="1"/>
  <c r="F5749" i="1"/>
  <c r="F5748" i="1"/>
  <c r="C5748" i="1"/>
  <c r="F5747" i="1"/>
  <c r="C5747" i="1"/>
  <c r="F5746" i="1"/>
  <c r="C5746" i="1"/>
  <c r="F5745" i="1"/>
  <c r="C5745" i="1"/>
  <c r="F5744" i="1"/>
  <c r="C5744" i="1"/>
  <c r="F5743" i="1"/>
  <c r="C5743" i="1"/>
  <c r="F5742" i="1"/>
  <c r="C5742" i="1"/>
  <c r="F5741" i="1"/>
  <c r="F5740" i="1"/>
  <c r="C5740" i="1"/>
  <c r="F5739" i="1"/>
  <c r="C5739" i="1"/>
  <c r="F5738" i="1"/>
  <c r="F5737" i="1"/>
  <c r="F5736" i="1"/>
  <c r="F5735" i="1"/>
  <c r="C5735" i="1"/>
  <c r="F5734" i="1"/>
  <c r="C5734" i="1"/>
  <c r="F5733" i="1"/>
  <c r="C5733" i="1"/>
  <c r="F5732" i="1"/>
  <c r="C5732" i="1"/>
  <c r="F5731" i="1"/>
  <c r="C5731" i="1"/>
  <c r="F5730" i="1"/>
  <c r="F5729" i="1"/>
  <c r="F5728" i="1"/>
  <c r="C5728" i="1"/>
  <c r="F5727" i="1"/>
  <c r="C5727" i="1"/>
  <c r="C5726" i="1"/>
  <c r="F5725" i="1"/>
  <c r="C5724" i="1"/>
  <c r="F5723" i="1"/>
  <c r="F5722" i="1"/>
  <c r="C5722" i="1"/>
  <c r="F5721" i="1"/>
  <c r="C5721" i="1"/>
  <c r="F5720" i="1"/>
  <c r="F5719" i="1"/>
  <c r="C5719" i="1"/>
  <c r="F5718" i="1"/>
  <c r="F5717" i="1"/>
  <c r="F5716" i="1"/>
  <c r="F5715" i="1"/>
  <c r="C5715" i="1"/>
  <c r="F5714" i="1"/>
  <c r="C5714" i="1"/>
  <c r="F5713" i="1"/>
  <c r="C5713" i="1"/>
  <c r="F5712" i="1"/>
  <c r="C5712" i="1"/>
  <c r="F5711" i="1"/>
  <c r="C5711" i="1"/>
  <c r="F5710" i="1"/>
  <c r="C5710" i="1"/>
  <c r="F5709" i="1"/>
  <c r="F5708" i="1"/>
  <c r="F5707" i="1"/>
  <c r="C5707" i="1"/>
  <c r="F5705" i="1"/>
  <c r="F5704" i="1"/>
  <c r="C5704" i="1"/>
  <c r="F5703" i="1"/>
  <c r="C5703" i="1"/>
  <c r="F5702" i="1"/>
  <c r="C5702" i="1"/>
  <c r="F5701" i="1"/>
  <c r="C5701" i="1"/>
  <c r="F5700" i="1"/>
  <c r="F5699" i="1"/>
  <c r="C5699" i="1"/>
  <c r="F5698" i="1"/>
  <c r="C5698" i="1"/>
  <c r="F5697" i="1"/>
  <c r="F5696" i="1"/>
  <c r="C5696" i="1"/>
  <c r="F5695" i="1"/>
  <c r="F5694" i="1"/>
  <c r="C5694" i="1"/>
  <c r="F5693" i="1"/>
  <c r="C5693" i="1"/>
  <c r="F5692" i="1"/>
  <c r="F5691" i="1"/>
  <c r="C5691" i="1"/>
  <c r="F5690" i="1"/>
  <c r="C5690" i="1"/>
  <c r="F5689" i="1"/>
  <c r="C5689" i="1"/>
  <c r="F5688" i="1"/>
  <c r="F5687" i="1"/>
  <c r="C5687" i="1"/>
  <c r="F5686" i="1"/>
  <c r="F5685" i="1"/>
  <c r="C5685" i="1"/>
  <c r="F5684" i="1"/>
  <c r="C5684" i="1"/>
  <c r="F5683" i="1"/>
  <c r="C5683" i="1"/>
  <c r="F5682" i="1"/>
  <c r="C5682" i="1"/>
  <c r="F5681" i="1"/>
  <c r="C5680" i="1"/>
  <c r="F5678" i="1"/>
  <c r="C5678" i="1"/>
  <c r="F5677" i="1"/>
  <c r="F5676" i="1"/>
  <c r="C5676" i="1"/>
  <c r="F5675" i="1"/>
  <c r="C5675" i="1"/>
  <c r="F5674" i="1"/>
  <c r="C5674" i="1"/>
  <c r="F5673" i="1"/>
  <c r="C5673" i="1"/>
  <c r="F5672" i="1"/>
  <c r="F5671" i="1"/>
  <c r="F5670" i="1"/>
  <c r="C5670" i="1"/>
  <c r="F5669" i="1"/>
  <c r="F5668" i="1"/>
  <c r="F5667" i="1"/>
  <c r="C5667" i="1"/>
  <c r="F5666" i="1"/>
  <c r="C5666" i="1"/>
  <c r="C5665" i="1"/>
  <c r="F5664" i="1"/>
  <c r="C5664" i="1"/>
  <c r="F5663" i="1"/>
  <c r="C5663" i="1"/>
  <c r="F5662" i="1"/>
  <c r="C5662" i="1"/>
  <c r="F5661" i="1"/>
  <c r="F5660" i="1"/>
  <c r="C5660" i="1"/>
  <c r="F5659" i="1"/>
  <c r="F5658" i="1"/>
  <c r="F5657" i="1"/>
  <c r="C5657" i="1"/>
  <c r="F5656" i="1"/>
  <c r="F5655" i="1"/>
  <c r="F5654" i="1"/>
  <c r="C5653" i="1"/>
  <c r="F5652" i="1"/>
  <c r="F5651" i="1"/>
  <c r="C5651" i="1"/>
  <c r="C5650" i="1"/>
  <c r="F5649" i="1"/>
  <c r="C5649" i="1"/>
  <c r="F5648" i="1"/>
  <c r="C5648" i="1"/>
  <c r="F5647" i="1"/>
  <c r="C5647" i="1"/>
  <c r="F5646" i="1"/>
  <c r="C5646" i="1"/>
  <c r="F5645" i="1"/>
  <c r="F5644" i="1"/>
  <c r="C5644" i="1"/>
  <c r="F5643" i="1"/>
  <c r="C5643" i="1"/>
  <c r="F5642" i="1"/>
  <c r="C5642" i="1"/>
  <c r="F5641" i="1"/>
  <c r="C5641" i="1"/>
  <c r="F5640" i="1"/>
  <c r="C5640" i="1"/>
  <c r="F5639" i="1"/>
  <c r="C5639" i="1"/>
  <c r="F5638" i="1"/>
  <c r="F5637" i="1"/>
  <c r="F5636" i="1"/>
  <c r="F5635" i="1"/>
  <c r="C5635" i="1"/>
  <c r="F5634" i="1"/>
  <c r="C5634" i="1"/>
  <c r="F5633" i="1"/>
  <c r="F5632" i="1"/>
  <c r="C5632" i="1"/>
  <c r="F5631" i="1"/>
  <c r="C5631" i="1"/>
  <c r="F5630" i="1"/>
  <c r="C5629" i="1"/>
  <c r="F5628" i="1"/>
  <c r="F5627" i="1"/>
  <c r="C5627" i="1"/>
  <c r="F5626" i="1"/>
  <c r="F5625" i="1"/>
  <c r="C5625" i="1"/>
  <c r="F5624" i="1"/>
  <c r="C5624" i="1"/>
  <c r="F5623" i="1"/>
  <c r="F5622" i="1"/>
  <c r="C5622" i="1"/>
  <c r="F5621" i="1"/>
  <c r="C5621" i="1"/>
  <c r="F5620" i="1"/>
  <c r="F5619" i="1"/>
  <c r="C5619" i="1"/>
  <c r="F5618" i="1"/>
  <c r="C5618" i="1"/>
  <c r="F5617" i="1"/>
  <c r="F5616" i="1"/>
  <c r="C5616" i="1"/>
  <c r="F5615" i="1"/>
  <c r="C5615" i="1"/>
  <c r="F5614" i="1"/>
  <c r="C5614" i="1"/>
  <c r="F5613" i="1"/>
  <c r="F5612" i="1"/>
  <c r="C5612" i="1"/>
  <c r="F5611" i="1"/>
  <c r="C5611" i="1"/>
  <c r="F5610" i="1"/>
  <c r="C5610" i="1"/>
  <c r="F5609" i="1"/>
  <c r="C5609" i="1"/>
  <c r="F5608" i="1"/>
  <c r="C5607" i="1"/>
  <c r="F5606" i="1"/>
  <c r="C5606" i="1"/>
  <c r="F5605" i="1"/>
  <c r="C5605" i="1"/>
  <c r="F5604" i="1"/>
  <c r="C5604" i="1"/>
  <c r="F5603" i="1"/>
  <c r="C5603" i="1"/>
  <c r="F5602" i="1"/>
  <c r="C5602" i="1"/>
  <c r="F5601" i="1"/>
  <c r="C5601" i="1"/>
  <c r="F5600" i="1"/>
  <c r="F5598" i="1"/>
  <c r="C5598" i="1"/>
  <c r="F5597" i="1"/>
  <c r="F5596" i="1"/>
  <c r="F5595" i="1"/>
  <c r="C5595" i="1"/>
  <c r="C5594" i="1"/>
  <c r="F5593" i="1"/>
  <c r="C5593" i="1"/>
  <c r="F5592" i="1"/>
  <c r="F5591" i="1"/>
  <c r="C5591" i="1"/>
  <c r="F5590" i="1"/>
  <c r="C5590" i="1"/>
  <c r="F5589" i="1"/>
  <c r="F5588" i="1"/>
  <c r="C5588" i="1"/>
  <c r="F5587" i="1"/>
  <c r="C5587" i="1"/>
  <c r="F5586" i="1"/>
  <c r="F5585" i="1"/>
  <c r="F5584" i="1"/>
  <c r="F5583" i="1"/>
  <c r="C5583" i="1"/>
  <c r="C5582" i="1"/>
  <c r="F5581" i="1"/>
  <c r="C5581" i="1"/>
  <c r="F5580" i="1"/>
  <c r="C5580" i="1"/>
  <c r="F5577" i="1"/>
  <c r="F5576" i="1"/>
  <c r="F5575" i="1"/>
  <c r="F5574" i="1"/>
  <c r="C5574" i="1"/>
  <c r="F5573" i="1"/>
  <c r="C5573" i="1"/>
  <c r="F5572" i="1"/>
  <c r="C5572" i="1"/>
  <c r="F5571" i="1"/>
  <c r="F5570" i="1"/>
  <c r="F5569" i="1"/>
  <c r="F5568" i="1"/>
  <c r="F5567" i="1"/>
  <c r="F5566" i="1"/>
  <c r="C5566" i="1"/>
  <c r="F5565" i="1"/>
  <c r="F5564" i="1"/>
  <c r="F5563" i="1"/>
  <c r="C5563" i="1"/>
  <c r="F5562" i="1"/>
  <c r="F5561" i="1"/>
  <c r="C5561" i="1"/>
  <c r="F5560" i="1"/>
  <c r="F5559" i="1"/>
  <c r="C5559" i="1"/>
  <c r="F5558" i="1"/>
  <c r="C5558" i="1"/>
  <c r="F5557" i="1"/>
  <c r="C5557" i="1"/>
  <c r="F5556" i="1"/>
  <c r="F5555" i="1"/>
  <c r="F5554" i="1"/>
  <c r="C5554" i="1"/>
  <c r="F5553" i="1"/>
  <c r="F5552" i="1"/>
  <c r="F5551" i="1"/>
  <c r="F5550" i="1"/>
  <c r="C5550" i="1"/>
  <c r="F5549" i="1"/>
  <c r="F5548" i="1"/>
  <c r="C5548" i="1"/>
  <c r="F5547" i="1"/>
  <c r="C5546" i="1"/>
  <c r="F5545" i="1"/>
  <c r="F5544" i="1"/>
  <c r="F5543" i="1"/>
  <c r="F5542" i="1"/>
  <c r="F5540" i="1"/>
  <c r="C5540" i="1"/>
  <c r="F5539" i="1"/>
  <c r="F5538" i="1"/>
  <c r="C5538" i="1"/>
  <c r="F5537" i="1"/>
  <c r="F5536" i="1"/>
  <c r="C5536" i="1"/>
  <c r="F5535" i="1"/>
  <c r="F5534" i="1"/>
  <c r="F5532" i="1"/>
  <c r="F5531" i="1"/>
  <c r="C5531" i="1"/>
  <c r="F5530" i="1"/>
  <c r="C5530" i="1"/>
  <c r="F5529" i="1"/>
  <c r="F5528" i="1"/>
  <c r="C5528" i="1"/>
  <c r="F5527" i="1"/>
  <c r="C5527" i="1"/>
  <c r="F5526" i="1"/>
  <c r="C5526" i="1"/>
  <c r="F5525" i="1"/>
  <c r="F5524" i="1"/>
  <c r="C5524" i="1"/>
  <c r="F5523" i="1"/>
  <c r="C5523" i="1"/>
  <c r="F5522" i="1"/>
  <c r="C5522" i="1"/>
  <c r="F5521" i="1"/>
  <c r="C5521" i="1"/>
  <c r="F5520" i="1"/>
  <c r="F5519" i="1"/>
  <c r="C5519" i="1"/>
  <c r="F5518" i="1"/>
  <c r="C5518" i="1"/>
  <c r="C5517" i="1"/>
  <c r="F5516" i="1"/>
  <c r="C5516" i="1"/>
  <c r="F5515" i="1"/>
  <c r="C5515" i="1"/>
  <c r="F5514" i="1"/>
  <c r="F5513" i="1"/>
  <c r="C5513" i="1"/>
  <c r="C5511" i="1"/>
  <c r="F5510" i="1"/>
  <c r="C5510" i="1"/>
  <c r="F5509" i="1"/>
  <c r="C5509" i="1"/>
  <c r="F5508" i="1"/>
  <c r="C5508" i="1"/>
  <c r="F5507" i="1"/>
  <c r="C5507" i="1"/>
  <c r="F5506" i="1"/>
  <c r="F5505" i="1"/>
  <c r="C5505" i="1"/>
  <c r="F5504" i="1"/>
  <c r="F5503" i="1"/>
  <c r="C5503" i="1"/>
  <c r="F5502" i="1"/>
  <c r="F5501" i="1"/>
  <c r="C5501" i="1"/>
  <c r="F5500" i="1"/>
  <c r="C5500" i="1"/>
  <c r="F5499" i="1"/>
  <c r="C5499" i="1"/>
  <c r="F5498" i="1"/>
  <c r="C5498" i="1"/>
  <c r="F5497" i="1"/>
  <c r="C5497" i="1"/>
  <c r="F5496" i="1"/>
  <c r="C5496" i="1"/>
  <c r="F5495" i="1"/>
  <c r="F5494" i="1"/>
  <c r="F5493" i="1"/>
  <c r="C5493" i="1"/>
  <c r="F5492" i="1"/>
  <c r="C5492" i="1"/>
  <c r="F5491" i="1"/>
  <c r="C5491" i="1"/>
  <c r="F5490" i="1"/>
  <c r="C5490" i="1"/>
  <c r="F5489" i="1"/>
  <c r="C5489" i="1"/>
  <c r="F5488" i="1"/>
  <c r="F5487" i="1"/>
  <c r="F5486" i="1"/>
  <c r="C5486" i="1"/>
  <c r="F5485" i="1"/>
  <c r="F5484" i="1"/>
  <c r="C5484" i="1"/>
  <c r="F5483" i="1"/>
  <c r="C5483" i="1"/>
  <c r="F5482" i="1"/>
  <c r="C5482" i="1"/>
  <c r="F5481" i="1"/>
  <c r="F5480" i="1"/>
  <c r="F5479" i="1"/>
  <c r="F5478" i="1"/>
  <c r="C5478" i="1"/>
  <c r="F5477" i="1"/>
  <c r="F5475" i="1"/>
  <c r="C5475" i="1"/>
  <c r="F5474" i="1"/>
  <c r="F5473" i="1"/>
  <c r="C5473" i="1"/>
  <c r="F5472" i="1"/>
  <c r="F5471" i="1"/>
  <c r="C5471" i="1"/>
  <c r="C5469" i="1"/>
  <c r="F5468" i="1"/>
  <c r="F5467" i="1"/>
  <c r="C5467" i="1"/>
  <c r="F5466" i="1"/>
  <c r="F5465" i="1"/>
  <c r="C5465" i="1"/>
  <c r="F5464" i="1"/>
  <c r="C5464" i="1"/>
  <c r="F5463" i="1"/>
  <c r="C5463" i="1"/>
  <c r="F5462" i="1"/>
  <c r="C5462" i="1"/>
  <c r="F5461" i="1"/>
  <c r="C5461" i="1"/>
  <c r="F5460" i="1"/>
  <c r="C5460" i="1"/>
  <c r="F5459" i="1"/>
  <c r="F5458" i="1"/>
  <c r="C5458" i="1"/>
  <c r="F5457" i="1"/>
  <c r="F5456" i="1"/>
  <c r="C5455" i="1"/>
  <c r="F5454" i="1"/>
  <c r="C5454" i="1"/>
  <c r="C5453" i="1"/>
  <c r="F5452" i="1"/>
  <c r="F5451" i="1"/>
  <c r="C5451" i="1"/>
  <c r="F5450" i="1"/>
  <c r="C5450" i="1"/>
  <c r="F5449" i="1"/>
  <c r="C5449" i="1"/>
  <c r="F5448" i="1"/>
  <c r="F5447" i="1"/>
  <c r="F5446" i="1"/>
  <c r="F5445" i="1"/>
  <c r="F5444" i="1"/>
  <c r="C5444" i="1"/>
  <c r="F5443" i="1"/>
  <c r="F5442" i="1"/>
  <c r="F5441" i="1"/>
  <c r="C5441" i="1"/>
  <c r="F5439" i="1"/>
  <c r="F5438" i="1"/>
  <c r="C5438" i="1"/>
  <c r="F5436" i="1"/>
  <c r="C5436" i="1"/>
  <c r="F5435" i="1"/>
  <c r="F5434" i="1"/>
  <c r="C5434" i="1"/>
  <c r="F5433" i="1"/>
  <c r="C5433" i="1"/>
  <c r="F5432" i="1"/>
  <c r="C5432" i="1"/>
  <c r="F5431" i="1"/>
  <c r="F5430" i="1"/>
  <c r="C5430" i="1"/>
  <c r="F5429" i="1"/>
  <c r="F5428" i="1"/>
  <c r="C5428" i="1"/>
  <c r="C5427" i="1"/>
  <c r="F5426" i="1"/>
  <c r="C5426" i="1"/>
  <c r="F5425" i="1"/>
  <c r="F5424" i="1"/>
  <c r="C5424" i="1"/>
  <c r="F5423" i="1"/>
  <c r="F5422" i="1"/>
  <c r="F5421" i="1"/>
  <c r="C5421" i="1"/>
  <c r="F5420" i="1"/>
  <c r="C5420" i="1"/>
  <c r="F5419" i="1"/>
  <c r="C5419" i="1"/>
  <c r="F5418" i="1"/>
  <c r="F5417" i="1"/>
  <c r="F5416" i="1"/>
  <c r="C5416" i="1"/>
  <c r="F5415" i="1"/>
  <c r="C5415" i="1"/>
  <c r="F5414" i="1"/>
  <c r="C5414" i="1"/>
  <c r="F5413" i="1"/>
  <c r="C5413" i="1"/>
  <c r="F5412" i="1"/>
  <c r="F5411" i="1"/>
  <c r="F5410" i="1"/>
  <c r="C5410" i="1"/>
  <c r="F5409" i="1"/>
  <c r="C5409" i="1"/>
  <c r="F5408" i="1"/>
  <c r="F5407" i="1"/>
  <c r="C5407" i="1"/>
  <c r="F5406" i="1"/>
  <c r="C5406" i="1"/>
  <c r="F5405" i="1"/>
  <c r="F5404" i="1"/>
  <c r="F5403" i="1"/>
  <c r="C5403" i="1"/>
  <c r="F5402" i="1"/>
  <c r="C5402" i="1"/>
  <c r="F5401" i="1"/>
  <c r="C5401" i="1"/>
  <c r="F5400" i="1"/>
  <c r="F5399" i="1"/>
  <c r="C5399" i="1"/>
  <c r="F5397" i="1"/>
  <c r="C5397" i="1"/>
  <c r="F5396" i="1"/>
  <c r="C5396" i="1"/>
  <c r="F5395" i="1"/>
  <c r="C5395" i="1"/>
  <c r="F5394" i="1"/>
  <c r="C5394" i="1"/>
  <c r="F5393" i="1"/>
  <c r="C5393" i="1"/>
  <c r="C5392" i="1"/>
  <c r="C5391" i="1"/>
  <c r="F5390" i="1"/>
  <c r="C5390" i="1"/>
  <c r="F5389" i="1"/>
  <c r="F5388" i="1"/>
  <c r="C5388" i="1"/>
  <c r="F5387" i="1"/>
  <c r="F5386" i="1"/>
  <c r="F5385" i="1"/>
  <c r="C5385" i="1"/>
  <c r="F5384" i="1"/>
  <c r="C5384" i="1"/>
  <c r="F5383" i="1"/>
  <c r="C5383" i="1"/>
  <c r="F5382" i="1"/>
  <c r="C5382" i="1"/>
  <c r="F5381" i="1"/>
  <c r="C5381" i="1"/>
  <c r="C5380" i="1"/>
  <c r="F5379" i="1"/>
  <c r="C5379" i="1"/>
  <c r="F5378" i="1"/>
  <c r="C5378" i="1"/>
  <c r="F5377" i="1"/>
  <c r="F5376" i="1"/>
  <c r="C5376" i="1"/>
  <c r="F5375" i="1"/>
  <c r="C5375" i="1"/>
  <c r="F5374" i="1"/>
  <c r="C5374" i="1"/>
  <c r="F5373" i="1"/>
  <c r="C5372" i="1"/>
  <c r="F5371" i="1"/>
  <c r="C5371" i="1"/>
  <c r="F5370" i="1"/>
  <c r="F5369" i="1"/>
  <c r="C5369" i="1"/>
  <c r="F5368" i="1"/>
  <c r="C5368" i="1"/>
  <c r="F5367" i="1"/>
  <c r="F5366" i="1"/>
  <c r="F5365" i="1"/>
  <c r="F5364" i="1"/>
  <c r="F5363" i="1"/>
  <c r="F5362" i="1"/>
  <c r="F5361" i="1"/>
  <c r="C5361" i="1"/>
  <c r="F5360" i="1"/>
  <c r="C5360" i="1"/>
  <c r="F5359" i="1"/>
  <c r="F5358" i="1"/>
  <c r="F5357" i="1"/>
  <c r="C5357" i="1"/>
  <c r="F5356" i="1"/>
  <c r="C5356" i="1"/>
  <c r="C5355" i="1"/>
  <c r="F5354" i="1"/>
  <c r="C5354" i="1"/>
  <c r="F5353" i="1"/>
  <c r="C5353" i="1"/>
  <c r="F5352" i="1"/>
  <c r="C5352" i="1"/>
  <c r="F5351" i="1"/>
  <c r="F5350" i="1"/>
  <c r="C5350" i="1"/>
  <c r="F5349" i="1"/>
  <c r="C5349" i="1"/>
  <c r="F5348" i="1"/>
  <c r="F5347" i="1"/>
  <c r="C5347" i="1"/>
  <c r="F5346" i="1"/>
  <c r="C5346" i="1"/>
  <c r="F5345" i="1"/>
  <c r="C5345" i="1"/>
  <c r="F5344" i="1"/>
  <c r="C5344" i="1"/>
  <c r="F5343" i="1"/>
  <c r="C5343" i="1"/>
  <c r="F5342" i="1"/>
  <c r="C5342" i="1"/>
  <c r="F5341" i="1"/>
  <c r="C5341" i="1"/>
  <c r="F5340" i="1"/>
  <c r="F5339" i="1"/>
  <c r="F5338" i="1"/>
  <c r="C5338" i="1"/>
  <c r="F5337" i="1"/>
  <c r="C5337" i="1"/>
  <c r="F5336" i="1"/>
  <c r="F5335" i="1"/>
  <c r="C5335" i="1"/>
  <c r="F5334" i="1"/>
  <c r="F5333" i="1"/>
  <c r="F5332" i="1"/>
  <c r="C5332" i="1"/>
  <c r="F5331" i="1"/>
  <c r="C5331" i="1"/>
  <c r="F5330" i="1"/>
  <c r="F5329" i="1"/>
  <c r="C5329" i="1"/>
  <c r="F5328" i="1"/>
  <c r="C5328" i="1"/>
  <c r="F5327" i="1"/>
  <c r="F5326" i="1"/>
  <c r="F5325" i="1"/>
  <c r="C5325" i="1"/>
  <c r="F5324" i="1"/>
  <c r="F5323" i="1"/>
  <c r="C5323" i="1"/>
  <c r="F5322" i="1"/>
  <c r="F5321" i="1"/>
  <c r="F5320" i="1"/>
  <c r="C5320" i="1"/>
  <c r="F5319" i="1"/>
  <c r="C5319" i="1"/>
  <c r="F5318" i="1"/>
  <c r="F5317" i="1"/>
  <c r="C5317" i="1"/>
  <c r="F5316" i="1"/>
  <c r="C5316" i="1"/>
  <c r="C5315" i="1"/>
  <c r="F5314" i="1"/>
  <c r="C5314" i="1"/>
  <c r="C5313" i="1"/>
  <c r="F5312" i="1"/>
  <c r="C5312" i="1"/>
  <c r="F5311" i="1"/>
  <c r="C5311" i="1"/>
  <c r="F5310" i="1"/>
  <c r="F5309" i="1"/>
  <c r="C5309" i="1"/>
  <c r="F5308" i="1"/>
  <c r="C5308" i="1"/>
  <c r="F5307" i="1"/>
  <c r="F5306" i="1"/>
  <c r="C5306" i="1"/>
  <c r="C5305" i="1"/>
  <c r="F5304" i="1"/>
  <c r="F5303" i="1"/>
  <c r="F5302" i="1"/>
  <c r="C5301" i="1"/>
  <c r="F5300" i="1"/>
  <c r="C5300" i="1"/>
  <c r="F5299" i="1"/>
  <c r="C5298" i="1"/>
  <c r="F5297" i="1"/>
  <c r="C5297" i="1"/>
  <c r="F5296" i="1"/>
  <c r="C5296" i="1"/>
  <c r="F5295" i="1"/>
  <c r="C5295" i="1"/>
  <c r="F5294" i="1"/>
  <c r="C5294" i="1"/>
  <c r="F5293" i="1"/>
  <c r="C5293" i="1"/>
  <c r="F5292" i="1"/>
  <c r="F5291" i="1"/>
  <c r="C5291" i="1"/>
  <c r="F5290" i="1"/>
  <c r="C5289" i="1"/>
  <c r="C5288" i="1"/>
  <c r="F5287" i="1"/>
  <c r="C5287" i="1"/>
  <c r="F5286" i="1"/>
  <c r="C5286" i="1"/>
  <c r="F5285" i="1"/>
  <c r="C5285" i="1"/>
  <c r="F5284" i="1"/>
  <c r="C5284" i="1"/>
  <c r="F5283" i="1"/>
  <c r="C5283" i="1"/>
  <c r="C5282" i="1"/>
  <c r="F5281" i="1"/>
  <c r="C5281" i="1"/>
  <c r="F5280" i="1"/>
  <c r="C5279" i="1"/>
  <c r="F5278" i="1"/>
  <c r="F5277" i="1"/>
  <c r="C5277" i="1"/>
  <c r="F5276" i="1"/>
  <c r="C5276" i="1"/>
  <c r="F5275" i="1"/>
  <c r="C5275" i="1"/>
  <c r="F5274" i="1"/>
  <c r="F5273" i="1"/>
  <c r="C5273" i="1"/>
  <c r="C5272" i="1"/>
  <c r="F5271" i="1"/>
  <c r="C5271" i="1"/>
  <c r="F5270" i="1"/>
  <c r="C5270" i="1"/>
  <c r="F5269" i="1"/>
  <c r="F5268" i="1"/>
  <c r="C5268" i="1"/>
  <c r="F5267" i="1"/>
  <c r="F5266" i="1"/>
  <c r="F5265" i="1"/>
  <c r="C5265" i="1"/>
  <c r="F5264" i="1"/>
  <c r="C5264" i="1"/>
  <c r="F5263" i="1"/>
  <c r="F5262" i="1"/>
  <c r="C5262" i="1"/>
  <c r="F5261" i="1"/>
  <c r="C5261" i="1"/>
  <c r="F5260" i="1"/>
  <c r="F5259" i="1"/>
  <c r="F5258" i="1"/>
  <c r="F5257" i="1"/>
  <c r="C5257" i="1"/>
  <c r="F5256" i="1"/>
  <c r="C5256" i="1"/>
  <c r="F5255" i="1"/>
  <c r="C5255" i="1"/>
  <c r="F5254" i="1"/>
  <c r="C5254" i="1"/>
  <c r="F5253" i="1"/>
  <c r="F5252" i="1"/>
  <c r="C5252" i="1"/>
  <c r="F5251" i="1"/>
  <c r="F5250" i="1"/>
  <c r="C5250" i="1"/>
  <c r="C5249" i="1"/>
  <c r="F5248" i="1"/>
  <c r="C5248" i="1"/>
  <c r="F5247" i="1"/>
  <c r="C5247" i="1"/>
  <c r="F5246" i="1"/>
  <c r="F5245" i="1"/>
  <c r="C5245" i="1"/>
  <c r="F5244" i="1"/>
  <c r="C5244" i="1"/>
  <c r="F5243" i="1"/>
  <c r="F5242" i="1"/>
  <c r="C5242" i="1"/>
  <c r="F5241" i="1"/>
  <c r="C5241" i="1"/>
  <c r="F5240" i="1"/>
  <c r="F5239" i="1"/>
  <c r="C5239" i="1"/>
  <c r="F5238" i="1"/>
  <c r="C5238" i="1"/>
  <c r="F5237" i="1"/>
  <c r="C5237" i="1"/>
  <c r="F5236" i="1"/>
  <c r="F5235" i="1"/>
  <c r="C5235" i="1"/>
  <c r="F5234" i="1"/>
  <c r="C5234" i="1"/>
  <c r="F5233" i="1"/>
  <c r="C5233" i="1"/>
  <c r="F5232" i="1"/>
  <c r="C5232" i="1"/>
  <c r="F5231" i="1"/>
  <c r="F5230" i="1"/>
  <c r="C5230" i="1"/>
  <c r="F5229" i="1"/>
  <c r="C5229" i="1"/>
  <c r="F5228" i="1"/>
  <c r="C5228" i="1"/>
  <c r="F5227" i="1"/>
  <c r="C5227" i="1"/>
  <c r="F5226" i="1"/>
  <c r="C5226" i="1"/>
  <c r="F5225" i="1"/>
  <c r="F5224" i="1"/>
  <c r="C5224" i="1"/>
  <c r="F5223" i="1"/>
  <c r="C5223" i="1"/>
  <c r="F5222" i="1"/>
  <c r="C5222" i="1"/>
  <c r="F5221" i="1"/>
  <c r="F5220" i="1"/>
  <c r="C5220" i="1"/>
  <c r="F5219" i="1"/>
  <c r="F5218" i="1"/>
  <c r="F5217" i="1"/>
  <c r="C5217" i="1"/>
  <c r="F5216" i="1"/>
  <c r="C5216" i="1"/>
  <c r="C5215" i="1"/>
  <c r="F5214" i="1"/>
  <c r="C5214" i="1"/>
  <c r="F5213" i="1"/>
  <c r="C5213" i="1"/>
  <c r="F5212" i="1"/>
  <c r="F5211" i="1"/>
  <c r="F5210" i="1"/>
  <c r="F5209" i="1"/>
  <c r="F5208" i="1"/>
  <c r="F5207" i="1"/>
  <c r="C5207" i="1"/>
  <c r="F5206" i="1"/>
  <c r="F5205" i="1"/>
  <c r="C5205" i="1"/>
  <c r="F5204" i="1"/>
  <c r="C5204" i="1"/>
  <c r="F5203" i="1"/>
  <c r="C5203" i="1"/>
  <c r="F5202" i="1"/>
  <c r="C5202" i="1"/>
  <c r="C5201" i="1"/>
  <c r="F5200" i="1"/>
  <c r="C5200" i="1"/>
  <c r="F5199" i="1"/>
  <c r="C5199" i="1"/>
  <c r="F5198" i="1"/>
  <c r="F5197" i="1"/>
  <c r="C5197" i="1"/>
  <c r="F5196" i="1"/>
  <c r="C5196" i="1"/>
  <c r="F5195" i="1"/>
  <c r="C5195" i="1"/>
  <c r="F5194" i="1"/>
  <c r="C5194" i="1"/>
  <c r="F5193" i="1"/>
  <c r="F5192" i="1"/>
  <c r="F5191" i="1"/>
  <c r="C5191" i="1"/>
  <c r="C5190" i="1"/>
  <c r="F5189" i="1"/>
  <c r="C5189" i="1"/>
  <c r="F5188" i="1"/>
  <c r="C5188" i="1"/>
  <c r="C5187" i="1"/>
  <c r="F5186" i="1"/>
  <c r="F5185" i="1"/>
  <c r="F5184" i="1"/>
  <c r="C5184" i="1"/>
  <c r="F5183" i="1"/>
  <c r="F5182" i="1"/>
  <c r="C5182" i="1"/>
  <c r="C5181" i="1"/>
  <c r="F5180" i="1"/>
  <c r="F5179" i="1"/>
  <c r="F5177" i="1"/>
  <c r="F5176" i="1"/>
  <c r="C5176" i="1"/>
  <c r="F5175" i="1"/>
  <c r="F5174" i="1"/>
  <c r="F5173" i="1"/>
  <c r="C5173" i="1"/>
  <c r="C5172" i="1"/>
  <c r="F5171" i="1"/>
  <c r="F5170" i="1"/>
  <c r="C5170" i="1"/>
  <c r="F5169" i="1"/>
  <c r="F5168" i="1"/>
  <c r="C5168" i="1"/>
  <c r="F5167" i="1"/>
  <c r="F5166" i="1"/>
  <c r="F5165" i="1"/>
  <c r="C5165" i="1"/>
  <c r="F5164" i="1"/>
  <c r="C5164" i="1"/>
  <c r="C5163" i="1"/>
  <c r="F5162" i="1"/>
  <c r="F5161" i="1"/>
  <c r="C5161" i="1"/>
  <c r="F5160" i="1"/>
  <c r="F5159" i="1"/>
  <c r="C5159" i="1"/>
  <c r="F5158" i="1"/>
  <c r="C5158" i="1"/>
  <c r="F5157" i="1"/>
  <c r="C5157" i="1"/>
  <c r="F5156" i="1"/>
  <c r="C5156" i="1"/>
  <c r="F5155" i="1"/>
  <c r="C5155" i="1"/>
  <c r="F5154" i="1"/>
  <c r="F5153" i="1"/>
  <c r="F5152" i="1"/>
  <c r="C5152" i="1"/>
  <c r="F5151" i="1"/>
  <c r="C5151" i="1"/>
  <c r="F5150" i="1"/>
  <c r="C5150" i="1"/>
  <c r="F5149" i="1"/>
  <c r="F5148" i="1"/>
  <c r="C5148" i="1"/>
  <c r="F5147" i="1"/>
  <c r="C5147" i="1"/>
  <c r="F5146" i="1"/>
  <c r="C5146" i="1"/>
  <c r="F5145" i="1"/>
  <c r="F5144" i="1"/>
  <c r="C5144" i="1"/>
  <c r="F5142" i="1"/>
  <c r="F5141" i="1"/>
  <c r="F5140" i="1"/>
  <c r="C5140" i="1"/>
  <c r="F5139" i="1"/>
  <c r="C5139" i="1"/>
  <c r="F5138" i="1"/>
  <c r="F5137" i="1"/>
  <c r="C5137" i="1"/>
  <c r="C5136" i="1"/>
  <c r="F5135" i="1"/>
  <c r="C5135" i="1"/>
  <c r="F5134" i="1"/>
  <c r="F5133" i="1"/>
  <c r="C5133" i="1"/>
  <c r="F5132" i="1"/>
  <c r="F5131" i="1"/>
  <c r="C5131" i="1"/>
  <c r="F5130" i="1"/>
  <c r="C5130" i="1"/>
  <c r="F5129" i="1"/>
  <c r="C5129" i="1"/>
  <c r="F5128" i="1"/>
  <c r="C5128" i="1"/>
  <c r="C5127" i="1"/>
  <c r="F5126" i="1"/>
  <c r="C5125" i="1"/>
  <c r="F5124" i="1"/>
  <c r="F5123" i="1"/>
  <c r="C5123" i="1"/>
  <c r="F5122" i="1"/>
  <c r="F5121" i="1"/>
  <c r="C5121" i="1"/>
  <c r="C5120" i="1"/>
  <c r="F5119" i="1"/>
  <c r="C5119" i="1"/>
  <c r="C5118" i="1"/>
  <c r="F5117" i="1"/>
  <c r="F5116" i="1"/>
  <c r="C5116" i="1"/>
  <c r="F5115" i="1"/>
  <c r="F5114" i="1"/>
  <c r="C5114" i="1"/>
  <c r="F5113" i="1"/>
  <c r="C5113" i="1"/>
  <c r="F5112" i="1"/>
  <c r="C5112" i="1"/>
  <c r="F5111" i="1"/>
  <c r="C5111" i="1"/>
  <c r="F5110" i="1"/>
  <c r="F5109" i="1"/>
  <c r="C5109" i="1"/>
  <c r="F5108" i="1"/>
  <c r="F5107" i="1"/>
  <c r="F5106" i="1"/>
  <c r="C5106" i="1"/>
  <c r="F5105" i="1"/>
  <c r="C5104" i="1"/>
  <c r="F5103" i="1"/>
  <c r="C5103" i="1"/>
  <c r="F5102" i="1"/>
  <c r="C5102" i="1"/>
  <c r="F5101" i="1"/>
  <c r="C5101" i="1"/>
  <c r="F5100" i="1"/>
  <c r="F5099" i="1"/>
  <c r="C5099" i="1"/>
  <c r="F5098" i="1"/>
  <c r="F5097" i="1"/>
  <c r="C5097" i="1"/>
  <c r="F5096" i="1"/>
  <c r="C5096" i="1"/>
  <c r="F5095" i="1"/>
  <c r="C5095" i="1"/>
  <c r="F5094" i="1"/>
  <c r="F5093" i="1"/>
  <c r="F5092" i="1"/>
  <c r="C5092" i="1"/>
  <c r="F5091" i="1"/>
  <c r="C5091" i="1"/>
  <c r="F5090" i="1"/>
  <c r="C5090" i="1"/>
  <c r="F5089" i="1"/>
  <c r="F5088" i="1"/>
  <c r="C5088" i="1"/>
  <c r="F5087" i="1"/>
  <c r="F5086" i="1"/>
  <c r="C5086" i="1"/>
  <c r="F5085" i="1"/>
  <c r="C5085" i="1"/>
  <c r="F5084" i="1"/>
  <c r="F5083" i="1"/>
  <c r="C5083" i="1"/>
  <c r="F5082" i="1"/>
  <c r="C5082" i="1"/>
  <c r="F5081" i="1"/>
  <c r="F5080" i="1"/>
  <c r="C5080" i="1"/>
  <c r="F5079" i="1"/>
  <c r="C5079" i="1"/>
  <c r="F5078" i="1"/>
  <c r="F5077" i="1"/>
  <c r="C5077" i="1"/>
  <c r="C5076" i="1"/>
  <c r="F5075" i="1"/>
  <c r="C5075" i="1"/>
  <c r="F5074" i="1"/>
  <c r="F5073" i="1"/>
  <c r="C5073" i="1"/>
  <c r="C5072" i="1"/>
  <c r="F5071" i="1"/>
  <c r="C5071" i="1"/>
  <c r="F5070" i="1"/>
  <c r="C5069" i="1"/>
  <c r="F5068" i="1"/>
  <c r="C5068" i="1"/>
  <c r="F5067" i="1"/>
  <c r="C5067" i="1"/>
  <c r="F5066" i="1"/>
  <c r="C5066" i="1"/>
  <c r="F5064" i="1"/>
  <c r="F5063" i="1"/>
  <c r="C5063" i="1"/>
  <c r="F5062" i="1"/>
  <c r="C5062" i="1"/>
  <c r="F5061" i="1"/>
  <c r="C5061" i="1"/>
  <c r="F5060" i="1"/>
  <c r="C5060" i="1"/>
  <c r="F5059" i="1"/>
  <c r="C5059" i="1"/>
  <c r="F5058" i="1"/>
  <c r="F5057" i="1"/>
  <c r="F5056" i="1"/>
  <c r="C5056" i="1"/>
  <c r="F5055" i="1"/>
  <c r="C5055" i="1"/>
  <c r="F5054" i="1"/>
  <c r="C5054" i="1"/>
  <c r="F5053" i="1"/>
  <c r="C5053" i="1"/>
  <c r="F5052" i="1"/>
  <c r="C5052" i="1"/>
  <c r="F5051" i="1"/>
  <c r="C5051" i="1"/>
  <c r="F5050" i="1"/>
  <c r="C5050" i="1"/>
  <c r="F5049" i="1"/>
  <c r="F5048" i="1"/>
  <c r="F5047" i="1"/>
  <c r="F5046" i="1"/>
  <c r="C5046" i="1"/>
  <c r="F5045" i="1"/>
  <c r="C5045" i="1"/>
  <c r="F5044" i="1"/>
  <c r="F5043" i="1"/>
  <c r="C5043" i="1"/>
  <c r="F5042" i="1"/>
  <c r="C5042" i="1"/>
  <c r="F5041" i="1"/>
  <c r="F5040" i="1"/>
  <c r="C5040" i="1"/>
  <c r="F5039" i="1"/>
  <c r="C5039" i="1"/>
  <c r="F5038" i="1"/>
  <c r="C5038" i="1"/>
  <c r="F5037" i="1"/>
  <c r="F5036" i="1"/>
  <c r="C5036" i="1"/>
  <c r="F5035" i="1"/>
  <c r="F5034" i="1"/>
  <c r="C5034" i="1"/>
  <c r="F5033" i="1"/>
  <c r="F5032" i="1"/>
  <c r="C5032" i="1"/>
  <c r="F5031" i="1"/>
  <c r="C5031" i="1"/>
  <c r="F5030" i="1"/>
  <c r="C5030" i="1"/>
  <c r="F5029" i="1"/>
  <c r="C5029" i="1"/>
  <c r="F5028" i="1"/>
  <c r="C5028" i="1"/>
  <c r="F5027" i="1"/>
  <c r="C5027" i="1"/>
  <c r="F5026" i="1"/>
  <c r="C5026" i="1"/>
  <c r="F5025" i="1"/>
  <c r="C5025" i="1"/>
  <c r="F5024" i="1"/>
  <c r="C5024" i="1"/>
  <c r="F5023" i="1"/>
  <c r="C5023" i="1"/>
  <c r="F5022" i="1"/>
  <c r="C5022" i="1"/>
  <c r="F5021" i="1"/>
  <c r="C5021" i="1"/>
  <c r="C5020" i="1"/>
  <c r="F5019" i="1"/>
  <c r="C5019" i="1"/>
  <c r="F5018" i="1"/>
  <c r="C5018" i="1"/>
  <c r="F5017" i="1"/>
  <c r="C5017" i="1"/>
  <c r="F5016" i="1"/>
  <c r="C5016" i="1"/>
  <c r="C5015" i="1"/>
  <c r="F5014" i="1"/>
  <c r="C5014" i="1"/>
  <c r="F5013" i="1"/>
  <c r="C5013" i="1"/>
  <c r="F5012" i="1"/>
  <c r="C5012" i="1"/>
  <c r="F5011" i="1"/>
  <c r="C5011" i="1"/>
  <c r="F5010" i="1"/>
  <c r="C5010" i="1"/>
  <c r="F5009" i="1"/>
  <c r="C5009" i="1"/>
  <c r="F5008" i="1"/>
  <c r="C5008" i="1"/>
  <c r="F5007" i="1"/>
  <c r="C5007" i="1"/>
  <c r="F5006" i="1"/>
  <c r="C5006" i="1"/>
  <c r="F5005" i="1"/>
  <c r="F5004" i="1"/>
  <c r="C5004" i="1"/>
  <c r="F5003" i="1"/>
  <c r="C5003" i="1"/>
  <c r="F5002" i="1"/>
  <c r="C5001" i="1"/>
  <c r="F5000" i="1"/>
  <c r="C5000" i="1"/>
  <c r="F4999" i="1"/>
  <c r="C4999" i="1"/>
  <c r="F4998" i="1"/>
  <c r="F4997" i="1"/>
  <c r="F4996" i="1"/>
  <c r="F4995" i="1"/>
  <c r="F4994" i="1"/>
  <c r="C4994" i="1"/>
  <c r="C4993" i="1"/>
  <c r="F4992" i="1"/>
  <c r="F4991" i="1"/>
  <c r="C4991" i="1"/>
  <c r="F4990" i="1"/>
  <c r="F4989" i="1"/>
  <c r="C4989" i="1"/>
  <c r="C4988" i="1"/>
  <c r="F4987" i="1"/>
  <c r="C4987" i="1"/>
  <c r="F4986" i="1"/>
  <c r="C4986" i="1"/>
  <c r="F4985" i="1"/>
  <c r="F4984" i="1"/>
  <c r="C4984" i="1"/>
  <c r="F4983" i="1"/>
  <c r="C4983" i="1"/>
  <c r="F4982" i="1"/>
  <c r="F4981" i="1"/>
  <c r="C4981" i="1"/>
  <c r="F4980" i="1"/>
  <c r="F4979" i="1"/>
  <c r="C4979" i="1"/>
  <c r="F4978" i="1"/>
  <c r="C4978" i="1"/>
  <c r="F4977" i="1"/>
  <c r="C4977" i="1"/>
  <c r="F4976" i="1"/>
  <c r="C4976" i="1"/>
  <c r="F4975" i="1"/>
  <c r="F4974" i="1"/>
  <c r="C4974" i="1"/>
  <c r="F4973" i="1"/>
  <c r="C4973" i="1"/>
  <c r="F4970" i="1"/>
  <c r="C4970" i="1"/>
  <c r="F4969" i="1"/>
  <c r="C4969" i="1"/>
  <c r="F4968" i="1"/>
  <c r="C4968" i="1"/>
  <c r="F4967" i="1"/>
  <c r="F4966" i="1"/>
  <c r="C4966" i="1"/>
  <c r="F4965" i="1"/>
  <c r="F4964" i="1"/>
  <c r="C4964" i="1"/>
  <c r="F4963" i="1"/>
  <c r="C4963" i="1"/>
  <c r="F4962" i="1"/>
  <c r="F4961" i="1"/>
  <c r="C4961" i="1"/>
  <c r="F4960" i="1"/>
  <c r="F4959" i="1"/>
  <c r="C4958" i="1"/>
  <c r="F4957" i="1"/>
  <c r="F4956" i="1"/>
  <c r="C4956" i="1"/>
  <c r="F4955" i="1"/>
  <c r="F4954" i="1"/>
  <c r="C4954" i="1"/>
  <c r="F4953" i="1"/>
  <c r="C4953" i="1"/>
  <c r="F4952" i="1"/>
  <c r="C4952" i="1"/>
  <c r="F4951" i="1"/>
  <c r="C4951" i="1"/>
  <c r="F4950" i="1"/>
  <c r="F4949" i="1"/>
  <c r="F4948" i="1"/>
  <c r="F4947" i="1"/>
  <c r="C4947" i="1"/>
  <c r="F4946" i="1"/>
  <c r="F4945" i="1"/>
  <c r="C4945" i="1"/>
  <c r="F4944" i="1"/>
  <c r="F4943" i="1"/>
  <c r="C4943" i="1"/>
  <c r="F4942" i="1"/>
  <c r="F4941" i="1"/>
  <c r="F4940" i="1"/>
  <c r="C4940" i="1"/>
  <c r="F4939" i="1"/>
  <c r="F4938" i="1"/>
  <c r="C4938" i="1"/>
  <c r="F4937" i="1"/>
  <c r="F4936" i="1"/>
  <c r="F4935" i="1"/>
  <c r="C4935" i="1"/>
  <c r="F4934" i="1"/>
  <c r="C4934" i="1"/>
  <c r="F4933" i="1"/>
  <c r="C4933" i="1"/>
  <c r="F4932" i="1"/>
  <c r="C4932" i="1"/>
  <c r="F4931" i="1"/>
  <c r="C4931" i="1"/>
  <c r="F4930" i="1"/>
  <c r="C4930" i="1"/>
  <c r="F4929" i="1"/>
  <c r="C4929" i="1"/>
  <c r="F4928" i="1"/>
  <c r="C4928" i="1"/>
  <c r="F4927" i="1"/>
  <c r="C4927" i="1"/>
  <c r="C4926" i="1"/>
  <c r="F4925" i="1"/>
  <c r="C4925" i="1"/>
  <c r="F4924" i="1"/>
  <c r="F4923" i="1"/>
  <c r="F4922" i="1"/>
  <c r="C4921" i="1"/>
  <c r="C4920" i="1"/>
  <c r="F4919" i="1"/>
  <c r="C4919" i="1"/>
  <c r="F4918" i="1"/>
  <c r="F4917" i="1"/>
  <c r="C4917" i="1"/>
  <c r="F4916" i="1"/>
  <c r="C4916" i="1"/>
  <c r="C4915" i="1"/>
  <c r="F4914" i="1"/>
  <c r="C4913" i="1"/>
  <c r="F4912" i="1"/>
  <c r="F4911" i="1"/>
  <c r="C4911" i="1"/>
  <c r="F4910" i="1"/>
  <c r="F4909" i="1"/>
  <c r="C4909" i="1"/>
  <c r="F4908" i="1"/>
  <c r="C4908" i="1"/>
  <c r="F4907" i="1"/>
  <c r="C4907" i="1"/>
  <c r="F4906" i="1"/>
  <c r="F4905" i="1"/>
  <c r="F4904" i="1"/>
  <c r="F4903" i="1"/>
  <c r="C4903" i="1"/>
  <c r="F4902" i="1"/>
  <c r="C4902" i="1"/>
  <c r="F4901" i="1"/>
  <c r="F4900" i="1"/>
  <c r="F4899" i="1"/>
  <c r="C4899" i="1"/>
  <c r="F4898" i="1"/>
  <c r="C4898" i="1"/>
  <c r="F4897" i="1"/>
  <c r="C4897" i="1"/>
  <c r="F4896" i="1"/>
  <c r="C4896" i="1"/>
  <c r="F4895" i="1"/>
  <c r="F4894" i="1"/>
  <c r="C4894" i="1"/>
  <c r="F4893" i="1"/>
  <c r="C4893" i="1"/>
  <c r="F4892" i="1"/>
  <c r="C4892" i="1"/>
  <c r="F4891" i="1"/>
  <c r="F4890" i="1"/>
  <c r="C4890" i="1"/>
  <c r="F4889" i="1"/>
  <c r="C4889" i="1"/>
  <c r="F4888" i="1"/>
  <c r="C4888" i="1"/>
  <c r="F4887" i="1"/>
  <c r="C4887" i="1"/>
  <c r="F4886" i="1"/>
  <c r="C4886" i="1"/>
  <c r="F4885" i="1"/>
  <c r="C4885" i="1"/>
  <c r="C4884" i="1"/>
  <c r="F4883" i="1"/>
  <c r="C4883" i="1"/>
  <c r="F4882" i="1"/>
  <c r="F4881" i="1"/>
  <c r="C4881" i="1"/>
  <c r="F4880" i="1"/>
  <c r="C4880" i="1"/>
  <c r="F4879" i="1"/>
  <c r="C4879" i="1"/>
  <c r="F4878" i="1"/>
  <c r="F4877" i="1"/>
  <c r="F4876" i="1"/>
  <c r="C4876" i="1"/>
  <c r="F4875" i="1"/>
  <c r="C4875" i="1"/>
  <c r="F4874" i="1"/>
  <c r="C4874" i="1"/>
  <c r="F4873" i="1"/>
  <c r="C4873" i="1"/>
  <c r="F4872" i="1"/>
  <c r="C4872" i="1"/>
  <c r="F4871" i="1"/>
  <c r="C4871" i="1"/>
  <c r="F4870" i="1"/>
  <c r="F4869" i="1"/>
  <c r="F4868" i="1"/>
  <c r="C4868" i="1"/>
  <c r="F4867" i="1"/>
  <c r="C4867" i="1"/>
  <c r="F4865" i="1"/>
  <c r="F4864" i="1"/>
  <c r="C4864" i="1"/>
  <c r="F4863" i="1"/>
  <c r="F4862" i="1"/>
  <c r="C4862" i="1"/>
  <c r="F4861" i="1"/>
  <c r="F4860" i="1"/>
  <c r="C4860" i="1"/>
  <c r="F4859" i="1"/>
  <c r="C4859" i="1"/>
  <c r="F4858" i="1"/>
  <c r="C4858" i="1"/>
  <c r="F4857" i="1"/>
  <c r="C4857" i="1"/>
  <c r="F4856" i="1"/>
  <c r="C4855" i="1"/>
  <c r="F4854" i="1"/>
  <c r="C4854" i="1"/>
  <c r="F4853" i="1"/>
  <c r="C4853" i="1"/>
  <c r="F4852" i="1"/>
  <c r="F4851" i="1"/>
  <c r="F4850" i="1"/>
  <c r="F4849" i="1"/>
  <c r="C4849" i="1"/>
  <c r="F4848" i="1"/>
  <c r="C4848" i="1"/>
  <c r="F4847" i="1"/>
  <c r="F4846" i="1"/>
  <c r="C4846" i="1"/>
  <c r="F4845" i="1"/>
  <c r="C4845" i="1"/>
  <c r="F4844" i="1"/>
  <c r="C4843" i="1"/>
  <c r="F4842" i="1"/>
  <c r="C4842" i="1"/>
  <c r="F4841" i="1"/>
  <c r="F4840" i="1"/>
  <c r="F4839" i="1"/>
  <c r="C4839" i="1"/>
  <c r="F4838" i="1"/>
  <c r="C4838" i="1"/>
  <c r="F4837" i="1"/>
  <c r="F4836" i="1"/>
  <c r="C4836" i="1"/>
  <c r="F4835" i="1"/>
  <c r="C4835" i="1"/>
  <c r="F4834" i="1"/>
  <c r="C4834" i="1"/>
  <c r="F4833" i="1"/>
  <c r="F4832" i="1"/>
  <c r="C4832" i="1"/>
  <c r="F4831" i="1"/>
  <c r="C4831" i="1"/>
  <c r="F4830" i="1"/>
  <c r="F4829" i="1"/>
  <c r="F4828" i="1"/>
  <c r="C4828" i="1"/>
  <c r="F4827" i="1"/>
  <c r="C4827" i="1"/>
  <c r="F4826" i="1"/>
  <c r="C4826" i="1"/>
  <c r="F4825" i="1"/>
  <c r="F4824" i="1"/>
  <c r="C4824" i="1"/>
  <c r="F4823" i="1"/>
  <c r="F4822" i="1"/>
  <c r="C4822" i="1"/>
  <c r="F4821" i="1"/>
  <c r="C4820" i="1"/>
  <c r="C4819" i="1"/>
  <c r="F4818" i="1"/>
  <c r="C4818" i="1"/>
  <c r="F4817" i="1"/>
  <c r="C4817" i="1"/>
  <c r="C4816" i="1"/>
  <c r="C4815" i="1"/>
  <c r="F4814" i="1"/>
  <c r="C4814" i="1"/>
  <c r="F4813" i="1"/>
  <c r="F4812" i="1"/>
  <c r="C4812" i="1"/>
  <c r="F4811" i="1"/>
  <c r="C4811" i="1"/>
  <c r="F4810" i="1"/>
  <c r="F4809" i="1"/>
  <c r="F4808" i="1"/>
  <c r="C4808" i="1"/>
  <c r="F4807" i="1"/>
  <c r="F4806" i="1"/>
  <c r="C4806" i="1"/>
  <c r="F4805" i="1"/>
  <c r="F4804" i="1"/>
  <c r="F4803" i="1"/>
  <c r="C4803" i="1"/>
  <c r="F4802" i="1"/>
  <c r="C4802" i="1"/>
  <c r="F4801" i="1"/>
  <c r="C4801" i="1"/>
  <c r="C4800" i="1"/>
  <c r="F4799" i="1"/>
  <c r="C4799" i="1"/>
  <c r="F4798" i="1"/>
  <c r="C4798" i="1"/>
  <c r="F4797" i="1"/>
  <c r="C4797" i="1"/>
  <c r="F4796" i="1"/>
  <c r="F4795" i="1"/>
  <c r="C4795" i="1"/>
  <c r="F4794" i="1"/>
  <c r="C4794" i="1"/>
  <c r="F4793" i="1"/>
  <c r="C4793" i="1"/>
  <c r="F4792" i="1"/>
  <c r="C4792" i="1"/>
  <c r="F4791" i="1"/>
  <c r="C4791" i="1"/>
  <c r="F4790" i="1"/>
  <c r="C4790" i="1"/>
  <c r="F4789" i="1"/>
  <c r="C4789" i="1"/>
  <c r="C4788" i="1"/>
  <c r="F4787" i="1"/>
  <c r="C4786" i="1"/>
  <c r="C4785" i="1"/>
  <c r="F4784" i="1"/>
  <c r="C4784" i="1"/>
  <c r="F4783" i="1"/>
  <c r="F4782" i="1"/>
  <c r="C4782" i="1"/>
  <c r="F4781" i="1"/>
  <c r="C4781" i="1"/>
  <c r="F4780" i="1"/>
  <c r="C4780" i="1"/>
  <c r="F4779" i="1"/>
  <c r="C4779" i="1"/>
  <c r="F4777" i="1"/>
  <c r="F4776" i="1"/>
  <c r="F4775" i="1"/>
  <c r="C4775" i="1"/>
  <c r="F4774" i="1"/>
  <c r="C4774" i="1"/>
  <c r="F4773" i="1"/>
  <c r="F4772" i="1"/>
  <c r="C4772" i="1"/>
  <c r="F4771" i="1"/>
  <c r="C4771" i="1"/>
  <c r="F4770" i="1"/>
  <c r="C4770" i="1"/>
  <c r="F4769" i="1"/>
  <c r="C4769" i="1"/>
  <c r="F4768" i="1"/>
  <c r="C4768" i="1"/>
  <c r="F4767" i="1"/>
  <c r="C4767" i="1"/>
  <c r="F4766" i="1"/>
  <c r="F4765" i="1"/>
  <c r="C4765" i="1"/>
  <c r="F4764" i="1"/>
  <c r="C4764" i="1"/>
  <c r="F4763" i="1"/>
  <c r="C4763" i="1"/>
  <c r="F4762" i="1"/>
  <c r="C4762" i="1"/>
  <c r="F4760" i="1"/>
  <c r="F4759" i="1"/>
  <c r="C4759" i="1"/>
  <c r="F4758" i="1"/>
  <c r="F4757" i="1"/>
  <c r="F4756" i="1"/>
  <c r="F4755" i="1"/>
  <c r="C4755" i="1"/>
  <c r="F4754" i="1"/>
  <c r="C4754" i="1"/>
  <c r="F4753" i="1"/>
  <c r="C4753" i="1"/>
  <c r="F4752" i="1"/>
  <c r="C4752" i="1"/>
  <c r="F4751" i="1"/>
  <c r="F4750" i="1"/>
  <c r="C4750" i="1"/>
  <c r="F4749" i="1"/>
  <c r="C4749" i="1"/>
  <c r="F4748" i="1"/>
  <c r="F4747" i="1"/>
  <c r="C4747" i="1"/>
  <c r="F4746" i="1"/>
  <c r="F4745" i="1"/>
  <c r="C4745" i="1"/>
  <c r="F4744" i="1"/>
  <c r="C4744" i="1"/>
  <c r="F4743" i="1"/>
  <c r="F4742" i="1"/>
  <c r="F4741" i="1"/>
  <c r="C4741" i="1"/>
  <c r="F4740" i="1"/>
  <c r="F4739" i="1"/>
  <c r="F4738" i="1"/>
  <c r="C4738" i="1"/>
  <c r="F4737" i="1"/>
  <c r="F4736" i="1"/>
  <c r="C4736" i="1"/>
  <c r="F4735" i="1"/>
  <c r="F4734" i="1"/>
  <c r="F4733" i="1"/>
  <c r="C4733" i="1"/>
  <c r="F4732" i="1"/>
  <c r="C4732" i="1"/>
  <c r="F4731" i="1"/>
  <c r="C4731" i="1"/>
  <c r="F4730" i="1"/>
  <c r="F4729" i="1"/>
  <c r="C4729" i="1"/>
  <c r="C4728" i="1"/>
  <c r="F4727" i="1"/>
  <c r="F4726" i="1"/>
  <c r="F4725" i="1"/>
  <c r="C4725" i="1"/>
  <c r="F4724" i="1"/>
  <c r="C4724" i="1"/>
  <c r="F4723" i="1"/>
  <c r="F4722" i="1"/>
  <c r="C4722" i="1"/>
  <c r="F4720" i="1"/>
  <c r="C4720" i="1"/>
  <c r="F4719" i="1"/>
  <c r="C4719" i="1"/>
  <c r="F4718" i="1"/>
  <c r="C4718" i="1"/>
  <c r="F4717" i="1"/>
  <c r="C4717" i="1"/>
  <c r="F4716" i="1"/>
  <c r="C4716" i="1"/>
  <c r="F4715" i="1"/>
  <c r="F4714" i="1"/>
  <c r="F4713" i="1"/>
  <c r="F4712" i="1"/>
  <c r="C4712" i="1"/>
  <c r="F4711" i="1"/>
  <c r="C4711" i="1"/>
  <c r="F4710" i="1"/>
  <c r="F4709" i="1"/>
  <c r="F4708" i="1"/>
  <c r="F4707" i="1"/>
  <c r="C4707" i="1"/>
  <c r="C4706" i="1"/>
  <c r="F4705" i="1"/>
  <c r="C4705" i="1"/>
  <c r="F4704" i="1"/>
  <c r="C4704" i="1"/>
  <c r="F4703" i="1"/>
  <c r="C4703" i="1"/>
  <c r="F4702" i="1"/>
  <c r="F4701" i="1"/>
  <c r="F4700" i="1"/>
  <c r="C4700" i="1"/>
  <c r="F4699" i="1"/>
  <c r="C4699" i="1"/>
  <c r="F4698" i="1"/>
  <c r="C4698" i="1"/>
  <c r="F4697" i="1"/>
  <c r="C4697" i="1"/>
  <c r="F4696" i="1"/>
  <c r="F4695" i="1"/>
  <c r="F4694" i="1"/>
  <c r="F4693" i="1"/>
  <c r="C4693" i="1"/>
  <c r="F4692" i="1"/>
  <c r="C4692" i="1"/>
  <c r="F4691" i="1"/>
  <c r="C4691" i="1"/>
  <c r="F4690" i="1"/>
  <c r="C4690" i="1"/>
  <c r="C4689" i="1"/>
  <c r="F4688" i="1"/>
  <c r="C4688" i="1"/>
  <c r="F4687" i="1"/>
  <c r="C4687" i="1"/>
  <c r="F4686" i="1"/>
  <c r="C4686" i="1"/>
  <c r="F4685" i="1"/>
  <c r="F4684" i="1"/>
  <c r="C4684" i="1"/>
  <c r="F4683" i="1"/>
  <c r="C4683" i="1"/>
  <c r="F4682" i="1"/>
  <c r="F4681" i="1"/>
  <c r="C4681" i="1"/>
  <c r="F4680" i="1"/>
  <c r="C4680" i="1"/>
  <c r="F4679" i="1"/>
  <c r="C4679" i="1"/>
  <c r="F4678" i="1"/>
  <c r="C4678" i="1"/>
  <c r="F4677" i="1"/>
  <c r="C4677" i="1"/>
  <c r="F4676" i="1"/>
  <c r="F4675" i="1"/>
  <c r="F4674" i="1"/>
  <c r="C4674" i="1"/>
  <c r="F4673" i="1"/>
  <c r="C4673" i="1"/>
  <c r="C4672" i="1"/>
  <c r="F4671" i="1"/>
  <c r="C4671" i="1"/>
  <c r="C4670" i="1"/>
  <c r="F4669" i="1"/>
  <c r="C4669" i="1"/>
  <c r="F4668" i="1"/>
  <c r="C4668" i="1"/>
  <c r="F4667" i="1"/>
  <c r="C4667" i="1"/>
  <c r="F4666" i="1"/>
  <c r="C4666" i="1"/>
  <c r="F4665" i="1"/>
  <c r="C4665" i="1"/>
  <c r="F4664" i="1"/>
  <c r="C4664" i="1"/>
  <c r="F4663" i="1"/>
  <c r="F4662" i="1"/>
  <c r="C4662" i="1"/>
  <c r="F4661" i="1"/>
  <c r="F4660" i="1"/>
  <c r="C4660" i="1"/>
  <c r="C4659" i="1"/>
  <c r="F4658" i="1"/>
  <c r="F4657" i="1"/>
  <c r="F4656" i="1"/>
  <c r="C4656" i="1"/>
  <c r="F4655" i="1"/>
  <c r="F4654" i="1"/>
  <c r="F4653" i="1"/>
  <c r="C4653" i="1"/>
  <c r="F4652" i="1"/>
  <c r="C4652" i="1"/>
  <c r="F4651" i="1"/>
  <c r="F4650" i="1"/>
  <c r="F4649" i="1"/>
  <c r="F4648" i="1"/>
  <c r="F4647" i="1"/>
  <c r="C4647" i="1"/>
  <c r="F4646" i="1"/>
  <c r="F4645" i="1"/>
  <c r="F4644" i="1"/>
  <c r="F4643" i="1"/>
  <c r="F4642" i="1"/>
  <c r="C4641" i="1"/>
  <c r="F4640" i="1"/>
  <c r="F4639" i="1"/>
  <c r="F4638" i="1"/>
  <c r="C4638" i="1"/>
  <c r="F4637" i="1"/>
  <c r="C4637" i="1"/>
  <c r="F4636" i="1"/>
  <c r="F4635" i="1"/>
  <c r="F4634" i="1"/>
  <c r="F4633" i="1"/>
  <c r="C4633" i="1"/>
  <c r="F4632" i="1"/>
  <c r="F4631" i="1"/>
  <c r="C4631" i="1"/>
  <c r="F4630" i="1"/>
  <c r="C4630" i="1"/>
  <c r="F4629" i="1"/>
  <c r="C4629" i="1"/>
  <c r="F4628" i="1"/>
  <c r="C4628" i="1"/>
  <c r="F4627" i="1"/>
  <c r="C4627" i="1"/>
  <c r="F4626" i="1"/>
  <c r="F4625" i="1"/>
  <c r="C4625" i="1"/>
  <c r="F4624" i="1"/>
  <c r="C4624" i="1"/>
  <c r="F4623" i="1"/>
  <c r="C4623" i="1"/>
  <c r="F4622" i="1"/>
  <c r="F4621" i="1"/>
  <c r="F4620" i="1"/>
  <c r="F4619" i="1"/>
  <c r="C4619" i="1"/>
  <c r="F4618" i="1"/>
  <c r="C4618" i="1"/>
  <c r="F4617" i="1"/>
  <c r="F4616" i="1"/>
  <c r="C4616" i="1"/>
  <c r="F4615" i="1"/>
  <c r="F4614" i="1"/>
  <c r="C4614" i="1"/>
  <c r="C4613" i="1"/>
  <c r="F4612" i="1"/>
  <c r="F4611" i="1"/>
  <c r="F4610" i="1"/>
  <c r="C4610" i="1"/>
  <c r="F4609" i="1"/>
  <c r="C4609" i="1"/>
  <c r="F4608" i="1"/>
  <c r="C4608" i="1"/>
  <c r="F4607" i="1"/>
  <c r="F4606" i="1"/>
  <c r="C4606" i="1"/>
  <c r="F4605" i="1"/>
  <c r="C4605" i="1"/>
  <c r="F4604" i="1"/>
  <c r="F4603" i="1"/>
  <c r="C4603" i="1"/>
  <c r="F4602" i="1"/>
  <c r="F4601" i="1"/>
  <c r="C4601" i="1"/>
  <c r="F4600" i="1"/>
  <c r="C4600" i="1"/>
  <c r="F4599" i="1"/>
  <c r="C4599" i="1"/>
  <c r="F4598" i="1"/>
  <c r="F4597" i="1"/>
  <c r="C4597" i="1"/>
  <c r="F4596" i="1"/>
  <c r="C4596" i="1"/>
  <c r="F4595" i="1"/>
  <c r="C4595" i="1"/>
  <c r="F4594" i="1"/>
  <c r="C4594" i="1"/>
  <c r="F4593" i="1"/>
  <c r="C4593" i="1"/>
  <c r="F4592" i="1"/>
  <c r="C4592" i="1"/>
  <c r="F4591" i="1"/>
  <c r="F4590" i="1"/>
  <c r="F4589" i="1"/>
  <c r="C4589" i="1"/>
  <c r="F4588" i="1"/>
  <c r="F4587" i="1"/>
  <c r="C4587" i="1"/>
  <c r="F4586" i="1"/>
  <c r="F4585" i="1"/>
  <c r="C4585" i="1"/>
  <c r="F4584" i="1"/>
  <c r="F4583" i="1"/>
  <c r="C4583" i="1"/>
  <c r="F4582" i="1"/>
  <c r="C4582" i="1"/>
  <c r="F4581" i="1"/>
  <c r="F4580" i="1"/>
  <c r="C4580" i="1"/>
  <c r="F4579" i="1"/>
  <c r="C4579" i="1"/>
  <c r="F4578" i="1"/>
  <c r="C4578" i="1"/>
  <c r="F4577" i="1"/>
  <c r="C4577" i="1"/>
  <c r="F4576" i="1"/>
  <c r="C4576" i="1"/>
  <c r="F4575" i="1"/>
  <c r="F4574" i="1"/>
  <c r="C4574" i="1"/>
  <c r="F4573" i="1"/>
  <c r="C4573" i="1"/>
  <c r="F4572" i="1"/>
  <c r="C4572" i="1"/>
  <c r="F4571" i="1"/>
  <c r="F4570" i="1"/>
  <c r="F4569" i="1"/>
  <c r="C4568" i="1"/>
  <c r="F4567" i="1"/>
  <c r="C4567" i="1"/>
  <c r="C4566" i="1"/>
  <c r="F4565" i="1"/>
  <c r="C4565" i="1"/>
  <c r="F4564" i="1"/>
  <c r="C4564" i="1"/>
  <c r="F4563" i="1"/>
  <c r="C4563" i="1"/>
  <c r="F4562" i="1"/>
  <c r="F4561" i="1"/>
  <c r="F4560" i="1"/>
  <c r="C4560" i="1"/>
  <c r="F4559" i="1"/>
  <c r="C4559" i="1"/>
  <c r="F4558" i="1"/>
  <c r="F4557" i="1"/>
  <c r="F4556" i="1"/>
  <c r="C4556" i="1"/>
  <c r="F4555" i="1"/>
  <c r="C4555" i="1"/>
  <c r="F4554" i="1"/>
  <c r="F4553" i="1"/>
  <c r="C4553" i="1"/>
  <c r="F4552" i="1"/>
  <c r="F4551" i="1"/>
  <c r="F4550" i="1"/>
  <c r="F4549" i="1"/>
  <c r="F4548" i="1"/>
  <c r="C4548" i="1"/>
  <c r="F4547" i="1"/>
  <c r="F4546" i="1"/>
  <c r="C4546" i="1"/>
  <c r="F4545" i="1"/>
  <c r="C4545" i="1"/>
  <c r="F4544" i="1"/>
  <c r="F4543" i="1"/>
  <c r="C4543" i="1"/>
  <c r="F4542" i="1"/>
  <c r="F4541" i="1"/>
  <c r="C4541" i="1"/>
  <c r="C4540" i="1"/>
  <c r="F4539" i="1"/>
  <c r="C4539" i="1"/>
  <c r="F4538" i="1"/>
  <c r="F4537" i="1"/>
  <c r="C4537" i="1"/>
  <c r="F4536" i="1"/>
  <c r="C4536" i="1"/>
  <c r="C4535" i="1"/>
  <c r="F4534" i="1"/>
  <c r="C4534" i="1"/>
  <c r="F4533" i="1"/>
  <c r="C4533" i="1"/>
  <c r="F4532" i="1"/>
  <c r="C4532" i="1"/>
  <c r="F4531" i="1"/>
  <c r="C4531" i="1"/>
  <c r="F4530" i="1"/>
  <c r="C4530" i="1"/>
  <c r="F4529" i="1"/>
  <c r="C4529" i="1"/>
  <c r="F4528" i="1"/>
  <c r="F4527" i="1"/>
  <c r="F4526" i="1"/>
  <c r="C4525" i="1"/>
  <c r="F4524" i="1"/>
  <c r="C4524" i="1"/>
  <c r="F4523" i="1"/>
  <c r="F4522" i="1"/>
  <c r="F4521" i="1"/>
  <c r="F4520" i="1"/>
  <c r="F4519" i="1"/>
  <c r="C4519" i="1"/>
  <c r="F4518" i="1"/>
  <c r="F4517" i="1"/>
  <c r="F4516" i="1"/>
  <c r="F4515" i="1"/>
  <c r="C4515" i="1"/>
  <c r="F4514" i="1"/>
  <c r="F4513" i="1"/>
  <c r="F4511" i="1"/>
  <c r="C4511" i="1"/>
  <c r="F4510" i="1"/>
  <c r="C4510" i="1"/>
  <c r="F4509" i="1"/>
  <c r="F4508" i="1"/>
  <c r="C4508" i="1"/>
  <c r="F4507" i="1"/>
  <c r="C4507" i="1"/>
  <c r="F4506" i="1"/>
  <c r="C4506" i="1"/>
  <c r="F4505" i="1"/>
  <c r="C4505" i="1"/>
  <c r="F4504" i="1"/>
  <c r="C4504" i="1"/>
  <c r="F4503" i="1"/>
  <c r="C4503" i="1"/>
  <c r="F4502" i="1"/>
  <c r="C4502" i="1"/>
  <c r="F4501" i="1"/>
  <c r="C4501" i="1"/>
  <c r="F4500" i="1"/>
  <c r="F4499" i="1"/>
  <c r="F4498" i="1"/>
  <c r="C4498" i="1"/>
  <c r="F4497" i="1"/>
  <c r="F4496" i="1"/>
  <c r="F4495" i="1"/>
  <c r="C4495" i="1"/>
  <c r="F4494" i="1"/>
  <c r="F4493" i="1"/>
  <c r="C4493" i="1"/>
  <c r="F4491" i="1"/>
  <c r="F4490" i="1"/>
  <c r="F4489" i="1"/>
  <c r="F4488" i="1"/>
  <c r="C4488" i="1"/>
  <c r="F4487" i="1"/>
  <c r="F4486" i="1"/>
  <c r="F4485" i="1"/>
  <c r="C4485" i="1"/>
  <c r="C4484" i="1"/>
  <c r="F4483" i="1"/>
  <c r="C4483" i="1"/>
  <c r="F4482" i="1"/>
  <c r="C4482" i="1"/>
  <c r="F4481" i="1"/>
  <c r="C4481" i="1"/>
  <c r="F4480" i="1"/>
  <c r="F4479" i="1"/>
  <c r="F4478" i="1"/>
  <c r="C4478" i="1"/>
  <c r="F4477" i="1"/>
  <c r="F4476" i="1"/>
  <c r="C4476" i="1"/>
  <c r="F4475" i="1"/>
  <c r="C4475" i="1"/>
  <c r="F4474" i="1"/>
  <c r="C4474" i="1"/>
  <c r="F4473" i="1"/>
  <c r="C4473" i="1"/>
  <c r="F4472" i="1"/>
  <c r="F4471" i="1"/>
  <c r="C4471" i="1"/>
  <c r="F4470" i="1"/>
  <c r="C4470" i="1"/>
  <c r="F4469" i="1"/>
  <c r="C4469" i="1"/>
  <c r="F4467" i="1"/>
  <c r="F4465" i="1"/>
  <c r="C4465" i="1"/>
  <c r="F4464" i="1"/>
  <c r="C4464" i="1"/>
  <c r="F4463" i="1"/>
  <c r="C4463" i="1"/>
  <c r="F4462" i="1"/>
  <c r="F4461" i="1"/>
  <c r="F4460" i="1"/>
  <c r="C4460" i="1"/>
  <c r="F4459" i="1"/>
  <c r="C4459" i="1"/>
  <c r="F4458" i="1"/>
  <c r="F4457" i="1"/>
  <c r="F4456" i="1"/>
  <c r="C4456" i="1"/>
  <c r="F4455" i="1"/>
  <c r="C4455" i="1"/>
  <c r="F4454" i="1"/>
  <c r="F4453" i="1"/>
  <c r="C4452" i="1"/>
  <c r="F4451" i="1"/>
  <c r="F4450" i="1"/>
  <c r="C4450" i="1"/>
  <c r="F4449" i="1"/>
  <c r="C4449" i="1"/>
  <c r="F4448" i="1"/>
  <c r="F4447" i="1"/>
  <c r="C4447" i="1"/>
  <c r="F4446" i="1"/>
  <c r="F4445" i="1"/>
  <c r="F4444" i="1"/>
  <c r="C4444" i="1"/>
  <c r="F4443" i="1"/>
  <c r="C4443" i="1"/>
  <c r="F4442" i="1"/>
  <c r="C4442" i="1"/>
  <c r="F4441" i="1"/>
  <c r="C4441" i="1"/>
  <c r="F4440" i="1"/>
  <c r="C4440" i="1"/>
  <c r="F4439" i="1"/>
  <c r="C4439" i="1"/>
  <c r="F4438" i="1"/>
  <c r="F4437" i="1"/>
  <c r="C4437" i="1"/>
  <c r="F4436" i="1"/>
  <c r="F4435" i="1"/>
  <c r="C4435" i="1"/>
  <c r="C4434" i="1"/>
  <c r="F4433" i="1"/>
  <c r="F4432" i="1"/>
  <c r="C4432" i="1"/>
  <c r="F4431" i="1"/>
  <c r="C4431" i="1"/>
  <c r="F4430" i="1"/>
  <c r="C4430" i="1"/>
  <c r="C4429" i="1"/>
  <c r="F4428" i="1"/>
  <c r="C4428" i="1"/>
  <c r="F4427" i="1"/>
  <c r="C4427" i="1"/>
  <c r="F4426" i="1"/>
  <c r="F4425" i="1"/>
  <c r="C4425" i="1"/>
  <c r="F4424" i="1"/>
  <c r="C4424" i="1"/>
  <c r="F4423" i="1"/>
  <c r="C4423" i="1"/>
  <c r="F4422" i="1"/>
  <c r="F4421" i="1"/>
  <c r="C4421" i="1"/>
  <c r="F4420" i="1"/>
  <c r="F4419" i="1"/>
  <c r="F4418" i="1"/>
  <c r="C4418" i="1"/>
  <c r="F4417" i="1"/>
  <c r="F4415" i="1"/>
  <c r="C4415" i="1"/>
  <c r="F4414" i="1"/>
  <c r="F4413" i="1"/>
  <c r="F4412" i="1"/>
  <c r="F4411" i="1"/>
  <c r="C4411" i="1"/>
  <c r="F4410" i="1"/>
  <c r="C4410" i="1"/>
  <c r="C4409" i="1"/>
  <c r="F4408" i="1"/>
  <c r="C4408" i="1"/>
  <c r="F4407" i="1"/>
  <c r="C4407" i="1"/>
  <c r="F4406" i="1"/>
  <c r="F4405" i="1"/>
  <c r="C4405" i="1"/>
  <c r="F4404" i="1"/>
  <c r="C4404" i="1"/>
  <c r="F4403" i="1"/>
  <c r="C4403" i="1"/>
  <c r="F4402" i="1"/>
  <c r="F4401" i="1"/>
  <c r="C4401" i="1"/>
  <c r="F4400" i="1"/>
  <c r="F4399" i="1"/>
  <c r="F4398" i="1"/>
  <c r="C4398" i="1"/>
  <c r="F4397" i="1"/>
  <c r="F4396" i="1"/>
  <c r="F4395" i="1"/>
  <c r="F4394" i="1"/>
  <c r="C4394" i="1"/>
  <c r="F4393" i="1"/>
  <c r="F4392" i="1"/>
  <c r="C4392" i="1"/>
  <c r="F4391" i="1"/>
  <c r="F4390" i="1"/>
  <c r="F4389" i="1"/>
  <c r="F4388" i="1"/>
  <c r="F4387" i="1"/>
  <c r="F4386" i="1"/>
  <c r="F4385" i="1"/>
  <c r="C4385" i="1"/>
  <c r="F4384" i="1"/>
  <c r="C4384" i="1"/>
  <c r="F4383" i="1"/>
  <c r="F4382" i="1"/>
  <c r="C4382" i="1"/>
  <c r="F4381" i="1"/>
  <c r="C4381" i="1"/>
  <c r="F4380" i="1"/>
  <c r="C4380" i="1"/>
  <c r="F4379" i="1"/>
  <c r="C4379" i="1"/>
  <c r="F4378" i="1"/>
  <c r="C4378" i="1"/>
  <c r="F4377" i="1"/>
  <c r="F4376" i="1"/>
  <c r="F4375" i="1"/>
  <c r="C4375" i="1"/>
  <c r="F4374" i="1"/>
  <c r="C4374" i="1"/>
  <c r="F4373" i="1"/>
  <c r="F4372" i="1"/>
  <c r="C4372" i="1"/>
  <c r="F4371" i="1"/>
  <c r="C4371" i="1"/>
  <c r="F4370" i="1"/>
  <c r="F4369" i="1"/>
  <c r="C4369" i="1"/>
  <c r="C4368" i="1"/>
  <c r="C4367" i="1"/>
  <c r="F4366" i="1"/>
  <c r="F4365" i="1"/>
  <c r="C4365" i="1"/>
  <c r="F4364" i="1"/>
  <c r="F4363" i="1"/>
  <c r="F4362" i="1"/>
  <c r="C4362" i="1"/>
  <c r="F4361" i="1"/>
  <c r="F4360" i="1"/>
  <c r="C4360" i="1"/>
  <c r="F4359" i="1"/>
  <c r="C4359" i="1"/>
  <c r="F4358" i="1"/>
  <c r="C4358" i="1"/>
  <c r="F4357" i="1"/>
  <c r="F4356" i="1"/>
  <c r="C4356" i="1"/>
  <c r="F4355" i="1"/>
  <c r="F4354" i="1"/>
  <c r="F4353" i="1"/>
  <c r="C4353" i="1"/>
  <c r="F4352" i="1"/>
  <c r="F4351" i="1"/>
  <c r="F4350" i="1"/>
  <c r="C4350" i="1"/>
  <c r="F4349" i="1"/>
  <c r="C4349" i="1"/>
  <c r="F4348" i="1"/>
  <c r="C4348" i="1"/>
  <c r="F4347" i="1"/>
  <c r="F4346" i="1"/>
  <c r="C4346" i="1"/>
  <c r="F4345" i="1"/>
  <c r="F4344" i="1"/>
  <c r="F4343" i="1"/>
  <c r="F4342" i="1"/>
  <c r="C4342" i="1"/>
  <c r="F4341" i="1"/>
  <c r="C4341" i="1"/>
  <c r="C4340" i="1"/>
  <c r="F4339" i="1"/>
  <c r="C4339" i="1"/>
  <c r="C4338" i="1"/>
  <c r="F4337" i="1"/>
  <c r="C4337" i="1"/>
  <c r="C4336" i="1"/>
  <c r="F4335" i="1"/>
  <c r="C4335" i="1"/>
  <c r="F4334" i="1"/>
  <c r="C4334" i="1"/>
  <c r="F4333" i="1"/>
  <c r="F4332" i="1"/>
  <c r="F4331" i="1"/>
  <c r="C4331" i="1"/>
  <c r="F4330" i="1"/>
  <c r="C4330" i="1"/>
  <c r="F4329" i="1"/>
  <c r="C4329" i="1"/>
  <c r="F4328" i="1"/>
  <c r="F4327" i="1"/>
  <c r="C4327" i="1"/>
  <c r="F4326" i="1"/>
  <c r="C4326" i="1"/>
  <c r="F4325" i="1"/>
  <c r="F4324" i="1"/>
  <c r="F4323" i="1"/>
  <c r="C4323" i="1"/>
  <c r="F4322" i="1"/>
  <c r="C4322" i="1"/>
  <c r="F4321" i="1"/>
  <c r="C4321" i="1"/>
  <c r="F4320" i="1"/>
  <c r="C4320" i="1"/>
  <c r="F4319" i="1"/>
  <c r="C4319" i="1"/>
  <c r="F4318" i="1"/>
  <c r="F4317" i="1"/>
  <c r="F4316" i="1"/>
  <c r="C4316" i="1"/>
  <c r="F4315" i="1"/>
  <c r="F4314" i="1"/>
  <c r="C4314" i="1"/>
  <c r="F4313" i="1"/>
  <c r="F4312" i="1"/>
  <c r="F4311" i="1"/>
  <c r="C4311" i="1"/>
  <c r="F4310" i="1"/>
  <c r="F4309" i="1"/>
  <c r="F4308" i="1"/>
  <c r="C4308" i="1"/>
  <c r="F4307" i="1"/>
  <c r="C4307" i="1"/>
  <c r="F4306" i="1"/>
  <c r="C4306" i="1"/>
  <c r="F4305" i="1"/>
  <c r="C4305" i="1"/>
  <c r="F4304" i="1"/>
  <c r="C4304" i="1"/>
  <c r="F4303" i="1"/>
  <c r="C4303" i="1"/>
  <c r="F4301" i="1"/>
  <c r="C4301" i="1"/>
  <c r="F4300" i="1"/>
  <c r="C4300" i="1"/>
  <c r="F4299" i="1"/>
  <c r="F4298" i="1"/>
  <c r="C4298" i="1"/>
  <c r="F4297" i="1"/>
  <c r="C4297" i="1"/>
  <c r="F4296" i="1"/>
  <c r="C4296" i="1"/>
  <c r="F4295" i="1"/>
  <c r="C4295" i="1"/>
  <c r="F4294" i="1"/>
  <c r="C4294" i="1"/>
  <c r="F4293" i="1"/>
  <c r="F4292" i="1"/>
  <c r="C4292" i="1"/>
  <c r="F4291" i="1"/>
  <c r="F4290" i="1"/>
  <c r="F4289" i="1"/>
  <c r="C4289" i="1"/>
  <c r="C4288" i="1"/>
  <c r="F4286" i="1"/>
  <c r="C4286" i="1"/>
  <c r="F4285" i="1"/>
  <c r="C4285" i="1"/>
  <c r="F4284" i="1"/>
  <c r="F4283" i="1"/>
  <c r="C4282" i="1"/>
  <c r="F4281" i="1"/>
  <c r="C4281" i="1"/>
  <c r="F4280" i="1"/>
  <c r="C4280" i="1"/>
  <c r="F4279" i="1"/>
  <c r="C4279" i="1"/>
  <c r="F4278" i="1"/>
  <c r="C4278" i="1"/>
  <c r="F4277" i="1"/>
  <c r="F4276" i="1"/>
  <c r="F4275" i="1"/>
  <c r="F4274" i="1"/>
  <c r="F4273" i="1"/>
  <c r="C4273" i="1"/>
  <c r="F4272" i="1"/>
  <c r="C4272" i="1"/>
  <c r="F4271" i="1"/>
  <c r="C4271" i="1"/>
  <c r="C4270" i="1"/>
  <c r="F4269" i="1"/>
  <c r="C4269" i="1"/>
  <c r="F4268" i="1"/>
  <c r="F4267" i="1"/>
  <c r="C4267" i="1"/>
  <c r="F4266" i="1"/>
  <c r="C4266" i="1"/>
  <c r="F4265" i="1"/>
  <c r="C4265" i="1"/>
  <c r="F4263" i="1"/>
  <c r="C4263" i="1"/>
  <c r="F4262" i="1"/>
  <c r="C4262" i="1"/>
  <c r="F4261" i="1"/>
  <c r="C4261" i="1"/>
  <c r="F4260" i="1"/>
  <c r="C4260" i="1"/>
  <c r="F4259" i="1"/>
  <c r="C4259" i="1"/>
  <c r="F4258" i="1"/>
  <c r="C4258" i="1"/>
  <c r="F4257" i="1"/>
  <c r="C4257" i="1"/>
  <c r="F4256" i="1"/>
  <c r="C4256" i="1"/>
  <c r="F4255" i="1"/>
  <c r="C4254" i="1"/>
  <c r="F4253" i="1"/>
  <c r="C4253" i="1"/>
  <c r="F4252" i="1"/>
  <c r="F4251" i="1"/>
  <c r="C4251" i="1"/>
  <c r="F4250" i="1"/>
  <c r="C4249" i="1"/>
  <c r="F4248" i="1"/>
  <c r="F4247" i="1"/>
  <c r="C4247" i="1"/>
  <c r="F4246" i="1"/>
  <c r="C4246" i="1"/>
  <c r="F4245" i="1"/>
  <c r="F4244" i="1"/>
  <c r="F4243" i="1"/>
  <c r="C4243" i="1"/>
  <c r="F4242" i="1"/>
  <c r="C4242" i="1"/>
  <c r="F4241" i="1"/>
  <c r="F4240" i="1"/>
  <c r="F4239" i="1"/>
  <c r="F4238" i="1"/>
  <c r="C4237" i="1"/>
  <c r="F4236" i="1"/>
  <c r="F4235" i="1"/>
  <c r="F4234" i="1"/>
  <c r="C4234" i="1"/>
  <c r="F4233" i="1"/>
  <c r="C4233" i="1"/>
  <c r="F4232" i="1"/>
  <c r="C4232" i="1"/>
  <c r="F4231" i="1"/>
  <c r="C4231" i="1"/>
  <c r="F4230" i="1"/>
  <c r="C4230" i="1"/>
  <c r="F4229" i="1"/>
  <c r="C4229" i="1"/>
  <c r="F4228" i="1"/>
  <c r="F4227" i="1"/>
  <c r="C4227" i="1"/>
  <c r="F4226" i="1"/>
  <c r="C4226" i="1"/>
  <c r="F4225" i="1"/>
  <c r="C4225" i="1"/>
  <c r="F4224" i="1"/>
  <c r="C4224" i="1"/>
  <c r="F4223" i="1"/>
  <c r="C4223" i="1"/>
  <c r="F4222" i="1"/>
  <c r="C4222" i="1"/>
  <c r="F4221" i="1"/>
  <c r="F4220" i="1"/>
  <c r="C4220" i="1"/>
  <c r="F4219" i="1"/>
  <c r="C4219" i="1"/>
  <c r="F4218" i="1"/>
  <c r="C4218" i="1"/>
  <c r="F4217" i="1"/>
  <c r="C4217" i="1"/>
  <c r="F4216" i="1"/>
  <c r="C4216" i="1"/>
  <c r="F4215" i="1"/>
  <c r="C4215" i="1"/>
  <c r="F4214" i="1"/>
  <c r="C4214" i="1"/>
  <c r="F4213" i="1"/>
  <c r="F4212" i="1"/>
  <c r="C4212" i="1"/>
  <c r="F4211" i="1"/>
  <c r="C4211" i="1"/>
  <c r="F4210" i="1"/>
  <c r="F4209" i="1"/>
  <c r="C4209" i="1"/>
  <c r="F4208" i="1"/>
  <c r="F4207" i="1"/>
  <c r="C4207" i="1"/>
  <c r="F4206" i="1"/>
  <c r="C4206" i="1"/>
  <c r="F4205" i="1"/>
  <c r="C4205" i="1"/>
  <c r="F4204" i="1"/>
  <c r="C4204" i="1"/>
  <c r="F4203" i="1"/>
  <c r="C4203" i="1"/>
  <c r="F4202" i="1"/>
  <c r="C4202" i="1"/>
  <c r="F4201" i="1"/>
  <c r="C4201" i="1"/>
  <c r="F4200" i="1"/>
  <c r="F4199" i="1"/>
  <c r="C4199" i="1"/>
  <c r="F4198" i="1"/>
  <c r="F4197" i="1"/>
  <c r="C4197" i="1"/>
  <c r="F4196" i="1"/>
  <c r="C4196" i="1"/>
  <c r="F4195" i="1"/>
  <c r="C4195" i="1"/>
  <c r="F4194" i="1"/>
  <c r="C4194" i="1"/>
  <c r="F4193" i="1"/>
  <c r="F4192" i="1"/>
  <c r="C4192" i="1"/>
  <c r="F4191" i="1"/>
  <c r="C4191" i="1"/>
  <c r="F4190" i="1"/>
  <c r="F4189" i="1"/>
  <c r="F4188" i="1"/>
  <c r="C4188" i="1"/>
  <c r="F4187" i="1"/>
  <c r="F4186" i="1"/>
  <c r="C4186" i="1"/>
  <c r="F4185" i="1"/>
  <c r="C4185" i="1"/>
  <c r="F4184" i="1"/>
  <c r="C4184" i="1"/>
  <c r="F4183" i="1"/>
  <c r="F4182" i="1"/>
  <c r="F4181" i="1"/>
  <c r="C4181" i="1"/>
  <c r="F4180" i="1"/>
  <c r="F4179" i="1"/>
  <c r="F4178" i="1"/>
  <c r="F4177" i="1"/>
  <c r="C4177" i="1"/>
  <c r="F4176" i="1"/>
  <c r="C4176" i="1"/>
  <c r="F4175" i="1"/>
  <c r="F4174" i="1"/>
  <c r="C4174" i="1"/>
  <c r="F4173" i="1"/>
  <c r="F4172" i="1"/>
  <c r="C4172" i="1"/>
  <c r="F4171" i="1"/>
  <c r="C4171" i="1"/>
  <c r="F4170" i="1"/>
  <c r="C4170" i="1"/>
  <c r="F4169" i="1"/>
  <c r="C4169" i="1"/>
  <c r="F4168" i="1"/>
  <c r="F4167" i="1"/>
  <c r="C4167" i="1"/>
  <c r="F4166" i="1"/>
  <c r="C4166" i="1"/>
  <c r="F4165" i="1"/>
  <c r="F4164" i="1"/>
  <c r="C4164" i="1"/>
  <c r="F4163" i="1"/>
  <c r="C4163" i="1"/>
  <c r="F4162" i="1"/>
  <c r="C4162" i="1"/>
  <c r="F4161" i="1"/>
  <c r="F4160" i="1"/>
  <c r="C4160" i="1"/>
  <c r="F4159" i="1"/>
  <c r="F4158" i="1"/>
  <c r="F4157" i="1"/>
  <c r="F4156" i="1"/>
  <c r="F4155" i="1"/>
  <c r="C4155" i="1"/>
  <c r="F4154" i="1"/>
  <c r="F4153" i="1"/>
  <c r="C4153" i="1"/>
  <c r="F4152" i="1"/>
  <c r="C4152" i="1"/>
  <c r="F4151" i="1"/>
  <c r="F4150" i="1"/>
  <c r="C4150" i="1"/>
  <c r="F4149" i="1"/>
  <c r="F4148" i="1"/>
  <c r="C4148" i="1"/>
  <c r="F4147" i="1"/>
  <c r="C4147" i="1"/>
  <c r="C4146" i="1"/>
  <c r="C4145" i="1"/>
  <c r="F4144" i="1"/>
  <c r="F4143" i="1"/>
  <c r="C4143" i="1"/>
  <c r="F4142" i="1"/>
  <c r="C4142" i="1"/>
  <c r="F4141" i="1"/>
  <c r="C4141" i="1"/>
  <c r="F4140" i="1"/>
  <c r="F4139" i="1"/>
  <c r="C4139" i="1"/>
  <c r="F4138" i="1"/>
  <c r="C4138" i="1"/>
  <c r="F4137" i="1"/>
  <c r="F4136" i="1"/>
  <c r="F4135" i="1"/>
  <c r="F4134" i="1"/>
  <c r="F4133" i="1"/>
  <c r="C4133" i="1"/>
  <c r="F4132" i="1"/>
  <c r="C4132" i="1"/>
  <c r="F4131" i="1"/>
  <c r="F4129" i="1"/>
  <c r="C4129" i="1"/>
  <c r="F4128" i="1"/>
  <c r="F4127" i="1"/>
  <c r="F4126" i="1"/>
  <c r="C4126" i="1"/>
  <c r="F4125" i="1"/>
  <c r="C4125" i="1"/>
  <c r="F4124" i="1"/>
  <c r="C4124" i="1"/>
  <c r="F4123" i="1"/>
  <c r="C4123" i="1"/>
  <c r="C4122" i="1"/>
  <c r="F4121" i="1"/>
  <c r="C4121" i="1"/>
  <c r="F4120" i="1"/>
  <c r="C4120" i="1"/>
  <c r="F4119" i="1"/>
  <c r="C4119" i="1"/>
  <c r="C4118" i="1"/>
  <c r="F4117" i="1"/>
  <c r="F4116" i="1"/>
  <c r="F4115" i="1"/>
  <c r="F4114" i="1"/>
  <c r="C4114" i="1"/>
  <c r="F4113" i="1"/>
  <c r="C4113" i="1"/>
  <c r="F4112" i="1"/>
  <c r="C4112" i="1"/>
  <c r="F4111" i="1"/>
  <c r="C4111" i="1"/>
  <c r="F4110" i="1"/>
  <c r="C4110" i="1"/>
  <c r="F4109" i="1"/>
  <c r="C4109" i="1"/>
  <c r="F4108" i="1"/>
  <c r="C4108" i="1"/>
  <c r="C4107" i="1"/>
  <c r="F4106" i="1"/>
  <c r="C4106" i="1"/>
  <c r="F4105" i="1"/>
  <c r="C4105" i="1"/>
  <c r="F4104" i="1"/>
  <c r="F4103" i="1"/>
  <c r="C4103" i="1"/>
  <c r="F4102" i="1"/>
  <c r="C4102" i="1"/>
  <c r="C4101" i="1"/>
  <c r="F4099" i="1"/>
  <c r="C4099" i="1"/>
  <c r="C4098" i="1"/>
  <c r="C4097" i="1"/>
  <c r="F4096" i="1"/>
  <c r="C4096" i="1"/>
  <c r="F4095" i="1"/>
  <c r="F4094" i="1"/>
  <c r="C4094" i="1"/>
  <c r="C4093" i="1"/>
  <c r="F4092" i="1"/>
  <c r="C4092" i="1"/>
  <c r="F4091" i="1"/>
  <c r="F4090" i="1"/>
  <c r="C4090" i="1"/>
  <c r="F4089" i="1"/>
  <c r="C4089" i="1"/>
  <c r="F4088" i="1"/>
  <c r="F4087" i="1"/>
  <c r="F4086" i="1"/>
  <c r="C4086" i="1"/>
  <c r="F4085" i="1"/>
  <c r="F4084" i="1"/>
  <c r="C4084" i="1"/>
  <c r="F4083" i="1"/>
  <c r="F4082" i="1"/>
  <c r="F4081" i="1"/>
  <c r="C4081" i="1"/>
  <c r="F4080" i="1"/>
  <c r="F4079" i="1"/>
  <c r="C4079" i="1"/>
  <c r="F4078" i="1"/>
  <c r="F4077" i="1"/>
  <c r="C4077" i="1"/>
  <c r="F4076" i="1"/>
  <c r="F4075" i="1"/>
  <c r="F4074" i="1"/>
  <c r="C4074" i="1"/>
  <c r="F4073" i="1"/>
  <c r="F4072" i="1"/>
  <c r="C4072" i="1"/>
  <c r="F4071" i="1"/>
  <c r="C4071" i="1"/>
  <c r="F4070" i="1"/>
  <c r="F4069" i="1"/>
  <c r="F4068" i="1"/>
  <c r="C4068" i="1"/>
  <c r="F4067" i="1"/>
  <c r="F4065" i="1"/>
  <c r="C4065" i="1"/>
  <c r="F4064" i="1"/>
  <c r="C4063" i="1"/>
  <c r="F4062" i="1"/>
  <c r="F4061" i="1"/>
  <c r="F4060" i="1"/>
  <c r="C4060" i="1"/>
  <c r="F4059" i="1"/>
  <c r="C4059" i="1"/>
  <c r="F4058" i="1"/>
  <c r="C4057" i="1"/>
  <c r="F4056" i="1"/>
  <c r="F4055" i="1"/>
  <c r="F4054" i="1"/>
  <c r="C4054" i="1"/>
  <c r="F4053" i="1"/>
  <c r="F4052" i="1"/>
  <c r="C4052" i="1"/>
  <c r="F4051" i="1"/>
  <c r="C4051" i="1"/>
  <c r="F4050" i="1"/>
  <c r="C4050" i="1"/>
  <c r="C4049" i="1"/>
  <c r="F4048" i="1"/>
  <c r="C4048" i="1"/>
  <c r="F4047" i="1"/>
  <c r="F4046" i="1"/>
  <c r="F4045" i="1"/>
  <c r="F4044" i="1"/>
  <c r="C4044" i="1"/>
  <c r="F4043" i="1"/>
  <c r="F4042" i="1"/>
  <c r="C4042" i="1"/>
  <c r="F4041" i="1"/>
  <c r="F4040" i="1"/>
  <c r="C4040" i="1"/>
  <c r="F4039" i="1"/>
  <c r="F4038" i="1"/>
  <c r="C4038" i="1"/>
  <c r="F4037" i="1"/>
  <c r="C4037" i="1"/>
  <c r="F4036" i="1"/>
  <c r="F4035" i="1"/>
  <c r="F4034" i="1"/>
  <c r="C4034" i="1"/>
  <c r="F4033" i="1"/>
  <c r="F4032" i="1"/>
  <c r="C4032" i="1"/>
  <c r="F4031" i="1"/>
  <c r="C4031" i="1"/>
  <c r="F4030" i="1"/>
  <c r="C4030" i="1"/>
  <c r="C4029" i="1"/>
  <c r="F4028" i="1"/>
  <c r="C4028" i="1"/>
  <c r="F4027" i="1"/>
  <c r="F4026" i="1"/>
  <c r="F4025" i="1"/>
  <c r="F4024" i="1"/>
  <c r="C4024" i="1"/>
  <c r="F4023" i="1"/>
  <c r="C4023" i="1"/>
  <c r="F4022" i="1"/>
  <c r="C4022" i="1"/>
  <c r="F4021" i="1"/>
  <c r="C4021" i="1"/>
  <c r="F4020" i="1"/>
  <c r="C4020" i="1"/>
  <c r="F4019" i="1"/>
  <c r="F4018" i="1"/>
  <c r="F4017" i="1"/>
  <c r="F4016" i="1"/>
  <c r="C4016" i="1"/>
  <c r="F4015" i="1"/>
  <c r="C4015" i="1"/>
  <c r="F4014" i="1"/>
  <c r="F4013" i="1"/>
  <c r="C4013" i="1"/>
  <c r="F4012" i="1"/>
  <c r="C4012" i="1"/>
  <c r="F4011" i="1"/>
  <c r="F4010" i="1"/>
  <c r="F4009" i="1"/>
  <c r="F4008" i="1"/>
  <c r="F4007" i="1"/>
  <c r="C4007" i="1"/>
  <c r="F4006" i="1"/>
  <c r="C4006" i="1"/>
  <c r="F4004" i="1"/>
  <c r="C4004" i="1"/>
  <c r="C4003" i="1"/>
  <c r="F4002" i="1"/>
  <c r="C4002" i="1"/>
  <c r="F4001" i="1"/>
  <c r="C4001" i="1"/>
  <c r="F4000" i="1"/>
  <c r="F3999" i="1"/>
  <c r="C3999" i="1"/>
  <c r="F3998" i="1"/>
  <c r="C3998" i="1"/>
  <c r="F3997" i="1"/>
  <c r="C3997" i="1"/>
  <c r="F3996" i="1"/>
  <c r="F3995" i="1"/>
  <c r="C3995" i="1"/>
  <c r="F3994" i="1"/>
  <c r="F3993" i="1"/>
  <c r="C3993" i="1"/>
  <c r="F3992" i="1"/>
  <c r="C3992" i="1"/>
  <c r="F3991" i="1"/>
  <c r="F3990" i="1"/>
  <c r="C3990" i="1"/>
  <c r="F3989" i="1"/>
  <c r="C3989" i="1"/>
  <c r="F3988" i="1"/>
  <c r="F3987" i="1"/>
  <c r="F3986" i="1"/>
  <c r="F3985" i="1"/>
  <c r="C3985" i="1"/>
  <c r="F3984" i="1"/>
  <c r="F3983" i="1"/>
  <c r="F3982" i="1"/>
  <c r="C3982" i="1"/>
  <c r="F3981" i="1"/>
  <c r="F3980" i="1"/>
  <c r="C3980" i="1"/>
  <c r="F3979" i="1"/>
  <c r="C3978" i="1"/>
  <c r="F3977" i="1"/>
  <c r="C3977" i="1"/>
  <c r="F3976" i="1"/>
  <c r="C3976" i="1"/>
  <c r="F3975" i="1"/>
  <c r="F3974" i="1"/>
  <c r="C3974" i="1"/>
  <c r="F3973" i="1"/>
  <c r="C3973" i="1"/>
  <c r="F3972" i="1"/>
  <c r="F3971" i="1"/>
  <c r="C3971" i="1"/>
  <c r="F3970" i="1"/>
  <c r="C3970" i="1"/>
  <c r="F3969" i="1"/>
  <c r="C3969" i="1"/>
  <c r="F3968" i="1"/>
  <c r="F3967" i="1"/>
  <c r="F3966" i="1"/>
  <c r="F3965" i="1"/>
  <c r="C3965" i="1"/>
  <c r="F3964" i="1"/>
  <c r="C3964" i="1"/>
  <c r="F3963" i="1"/>
  <c r="F3962" i="1"/>
  <c r="F3961" i="1"/>
  <c r="F3960" i="1"/>
  <c r="C3960" i="1"/>
  <c r="F3959" i="1"/>
  <c r="C3959" i="1"/>
  <c r="F3958" i="1"/>
  <c r="F3957" i="1"/>
  <c r="C3957" i="1"/>
  <c r="F3956" i="1"/>
  <c r="F3955" i="1"/>
  <c r="C3955" i="1"/>
  <c r="F3954" i="1"/>
  <c r="F3953" i="1"/>
  <c r="C3953" i="1"/>
  <c r="F3952" i="1"/>
  <c r="C3952" i="1"/>
  <c r="C3951" i="1"/>
  <c r="F3950" i="1"/>
  <c r="C3950" i="1"/>
  <c r="F3949" i="1"/>
  <c r="C3949" i="1"/>
  <c r="F3948" i="1"/>
  <c r="C3948" i="1"/>
  <c r="F3947" i="1"/>
  <c r="F3946" i="1"/>
  <c r="C3946" i="1"/>
  <c r="F3945" i="1"/>
  <c r="C3945" i="1"/>
  <c r="F3944" i="1"/>
  <c r="C3944" i="1"/>
  <c r="F3943" i="1"/>
  <c r="F3942" i="1"/>
  <c r="F3940" i="1"/>
  <c r="C3940" i="1"/>
  <c r="F3939" i="1"/>
  <c r="F3938" i="1"/>
  <c r="C3938" i="1"/>
  <c r="F3937" i="1"/>
  <c r="F3936" i="1"/>
  <c r="C3936" i="1"/>
  <c r="F3935" i="1"/>
  <c r="C3935" i="1"/>
  <c r="F3934" i="1"/>
  <c r="F3933" i="1"/>
  <c r="F3932" i="1"/>
  <c r="F3931" i="1"/>
  <c r="F3929" i="1"/>
  <c r="C3929" i="1"/>
  <c r="F3928" i="1"/>
  <c r="C3928" i="1"/>
  <c r="F3927" i="1"/>
  <c r="C3927" i="1"/>
  <c r="F3926" i="1"/>
  <c r="F3925" i="1"/>
  <c r="C3925" i="1"/>
  <c r="F3924" i="1"/>
  <c r="C3924" i="1"/>
  <c r="F3923" i="1"/>
  <c r="F3922" i="1"/>
  <c r="C3922" i="1"/>
  <c r="F3921" i="1"/>
  <c r="C3921" i="1"/>
  <c r="F3920" i="1"/>
  <c r="C3920" i="1"/>
  <c r="F3919" i="1"/>
  <c r="F3918" i="1"/>
  <c r="C3918" i="1"/>
  <c r="F3917" i="1"/>
  <c r="F3916" i="1"/>
  <c r="F3915" i="1"/>
  <c r="C3915" i="1"/>
  <c r="F3914" i="1"/>
  <c r="F3913" i="1"/>
  <c r="F3912" i="1"/>
  <c r="F3911" i="1"/>
  <c r="C3911" i="1"/>
  <c r="F3910" i="1"/>
  <c r="F3909" i="1"/>
  <c r="C3909" i="1"/>
  <c r="F3908" i="1"/>
  <c r="C3908" i="1"/>
  <c r="F3907" i="1"/>
  <c r="C3907" i="1"/>
  <c r="F3906" i="1"/>
  <c r="F3905" i="1"/>
  <c r="C3905" i="1"/>
  <c r="F3904" i="1"/>
  <c r="F3903" i="1"/>
  <c r="F3902" i="1"/>
  <c r="C3902" i="1"/>
  <c r="F3901" i="1"/>
  <c r="F3900" i="1"/>
  <c r="C3899" i="1"/>
  <c r="F3898" i="1"/>
  <c r="F3897" i="1"/>
  <c r="C3897" i="1"/>
  <c r="F3896" i="1"/>
  <c r="F3895" i="1"/>
  <c r="C3895" i="1"/>
  <c r="F3894" i="1"/>
  <c r="C3894" i="1"/>
  <c r="F3893" i="1"/>
  <c r="C3893" i="1"/>
  <c r="F3892" i="1"/>
  <c r="C3892" i="1"/>
  <c r="F3891" i="1"/>
  <c r="C3891" i="1"/>
  <c r="F3890" i="1"/>
  <c r="C3890" i="1"/>
  <c r="F3889" i="1"/>
  <c r="F3888" i="1"/>
  <c r="F3887" i="1"/>
  <c r="C3887" i="1"/>
  <c r="F3886" i="1"/>
  <c r="F3885" i="1"/>
  <c r="F3884" i="1"/>
  <c r="C3884" i="1"/>
  <c r="C3883" i="1"/>
  <c r="F3882" i="1"/>
  <c r="C3882" i="1"/>
  <c r="F3881" i="1"/>
  <c r="C3881" i="1"/>
  <c r="F3880" i="1"/>
  <c r="C3880" i="1"/>
  <c r="F3879" i="1"/>
  <c r="C3879" i="1"/>
  <c r="F3878" i="1"/>
  <c r="C3878" i="1"/>
  <c r="F3877" i="1"/>
  <c r="F3876" i="1"/>
  <c r="C3876" i="1"/>
  <c r="C3875" i="1"/>
  <c r="F3874" i="1"/>
  <c r="C3874" i="1"/>
  <c r="F3873" i="1"/>
  <c r="F3871" i="1"/>
  <c r="C3871" i="1"/>
  <c r="F3870" i="1"/>
  <c r="F3869" i="1"/>
  <c r="F3868" i="1"/>
  <c r="C3868" i="1"/>
  <c r="F3867" i="1"/>
  <c r="C3867" i="1"/>
  <c r="F3866" i="1"/>
  <c r="C3866" i="1"/>
  <c r="F3865" i="1"/>
  <c r="F3864" i="1"/>
  <c r="F3863" i="1"/>
  <c r="C3863" i="1"/>
  <c r="F3862" i="1"/>
  <c r="F3861" i="1"/>
  <c r="C3861" i="1"/>
  <c r="F3860" i="1"/>
  <c r="F3859" i="1"/>
  <c r="F3858" i="1"/>
  <c r="F3857" i="1"/>
  <c r="C3857" i="1"/>
  <c r="F3856" i="1"/>
  <c r="C3856" i="1"/>
  <c r="F3855" i="1"/>
  <c r="C3855" i="1"/>
  <c r="F3854" i="1"/>
  <c r="C3854" i="1"/>
  <c r="F3853" i="1"/>
  <c r="C3853" i="1"/>
  <c r="F3852" i="1"/>
  <c r="C3852" i="1"/>
  <c r="F3851" i="1"/>
  <c r="C3851" i="1"/>
  <c r="F3850" i="1"/>
  <c r="C3850" i="1"/>
  <c r="F3849" i="1"/>
  <c r="C3849" i="1"/>
  <c r="F3848" i="1"/>
  <c r="C3848" i="1"/>
  <c r="F3847" i="1"/>
  <c r="F3846" i="1"/>
  <c r="F3845" i="1"/>
  <c r="C3845" i="1"/>
  <c r="F3844" i="1"/>
  <c r="F3843" i="1"/>
  <c r="F3842" i="1"/>
  <c r="C3842" i="1"/>
  <c r="F3841" i="1"/>
  <c r="F3840" i="1"/>
  <c r="C3840" i="1"/>
  <c r="F3839" i="1"/>
  <c r="C3839" i="1"/>
  <c r="F3838" i="1"/>
  <c r="C3838" i="1"/>
  <c r="F3837" i="1"/>
  <c r="C3837" i="1"/>
  <c r="F3836" i="1"/>
  <c r="F3835" i="1"/>
  <c r="F3834" i="1"/>
  <c r="C3834" i="1"/>
  <c r="C3833" i="1"/>
  <c r="F3832" i="1"/>
  <c r="C3832" i="1"/>
  <c r="F3831" i="1"/>
  <c r="C3831" i="1"/>
  <c r="F3830" i="1"/>
  <c r="F3829" i="1"/>
  <c r="C3829" i="1"/>
  <c r="F3828" i="1"/>
  <c r="C3827" i="1"/>
  <c r="F3826" i="1"/>
  <c r="C3826" i="1"/>
  <c r="F3825" i="1"/>
  <c r="C3825" i="1"/>
  <c r="F3824" i="1"/>
  <c r="C3823" i="1"/>
  <c r="F3822" i="1"/>
  <c r="C3822" i="1"/>
  <c r="F3820" i="1"/>
  <c r="C3820" i="1"/>
  <c r="F3819" i="1"/>
  <c r="F3818" i="1"/>
  <c r="C3818" i="1"/>
  <c r="F3817" i="1"/>
  <c r="F3816" i="1"/>
  <c r="C3816" i="1"/>
  <c r="F3815" i="1"/>
  <c r="F3814" i="1"/>
  <c r="F3813" i="1"/>
  <c r="C3813" i="1"/>
  <c r="F3812" i="1"/>
  <c r="F3811" i="1"/>
  <c r="C3811" i="1"/>
  <c r="F3810" i="1"/>
  <c r="C3810" i="1"/>
  <c r="F3809" i="1"/>
  <c r="C3808" i="1"/>
  <c r="F3807" i="1"/>
  <c r="C3807" i="1"/>
  <c r="F3806" i="1"/>
  <c r="C3806" i="1"/>
  <c r="F3805" i="1"/>
  <c r="F3804" i="1"/>
  <c r="F3803" i="1"/>
  <c r="F3802" i="1"/>
  <c r="F3801" i="1"/>
  <c r="C3801" i="1"/>
  <c r="F3800" i="1"/>
  <c r="F3799" i="1"/>
  <c r="F3798" i="1"/>
  <c r="F3797" i="1"/>
  <c r="C3797" i="1"/>
  <c r="F3796" i="1"/>
  <c r="F3795" i="1"/>
  <c r="F3794" i="1"/>
  <c r="F3793" i="1"/>
  <c r="C3792" i="1"/>
  <c r="F3791" i="1"/>
  <c r="C3791" i="1"/>
  <c r="F3790" i="1"/>
  <c r="F3789" i="1"/>
  <c r="C3789" i="1"/>
  <c r="F3788" i="1"/>
  <c r="F3787" i="1"/>
  <c r="C3787" i="1"/>
  <c r="F3786" i="1"/>
  <c r="C3785" i="1"/>
  <c r="F3784" i="1"/>
  <c r="F3783" i="1"/>
  <c r="C3782" i="1"/>
  <c r="F3781" i="1"/>
  <c r="C3780" i="1"/>
  <c r="F3779" i="1"/>
  <c r="C3779" i="1"/>
  <c r="F3778" i="1"/>
  <c r="C3778" i="1"/>
  <c r="F3777" i="1"/>
  <c r="C3777" i="1"/>
  <c r="F3776" i="1"/>
  <c r="C3776" i="1"/>
  <c r="F3775" i="1"/>
  <c r="F3774" i="1"/>
  <c r="F3773" i="1"/>
  <c r="C3773" i="1"/>
  <c r="F3772" i="1"/>
  <c r="C3772" i="1"/>
  <c r="C3771" i="1"/>
  <c r="F3770" i="1"/>
  <c r="F3769" i="1"/>
  <c r="C3769" i="1"/>
  <c r="F3768" i="1"/>
  <c r="C3768" i="1"/>
  <c r="F3767" i="1"/>
  <c r="F3766" i="1"/>
  <c r="F3765" i="1"/>
  <c r="C3765" i="1"/>
  <c r="F3764" i="1"/>
  <c r="F3763" i="1"/>
  <c r="F3762" i="1"/>
  <c r="C3762" i="1"/>
  <c r="F3761" i="1"/>
  <c r="C3761" i="1"/>
  <c r="F3760" i="1"/>
  <c r="F3759" i="1"/>
  <c r="C3759" i="1"/>
  <c r="F3758" i="1"/>
  <c r="F3757" i="1"/>
  <c r="F3756" i="1"/>
  <c r="C3756" i="1"/>
  <c r="F3755" i="1"/>
  <c r="C3755" i="1"/>
  <c r="F3754" i="1"/>
  <c r="F3753" i="1"/>
  <c r="F3752" i="1"/>
  <c r="F3751" i="1"/>
  <c r="C3751" i="1"/>
  <c r="F3750" i="1"/>
  <c r="F3749" i="1"/>
  <c r="C3749" i="1"/>
  <c r="C3748" i="1"/>
  <c r="F3747" i="1"/>
  <c r="C3747" i="1"/>
  <c r="F3746" i="1"/>
  <c r="F3745" i="1"/>
  <c r="C3745" i="1"/>
  <c r="F3744" i="1"/>
  <c r="C3744" i="1"/>
  <c r="F3743" i="1"/>
  <c r="C3743" i="1"/>
  <c r="F3742" i="1"/>
  <c r="F3741" i="1"/>
  <c r="C3741" i="1"/>
  <c r="F3740" i="1"/>
  <c r="C3740" i="1"/>
  <c r="F3739" i="1"/>
  <c r="F3738" i="1"/>
  <c r="C3738" i="1"/>
  <c r="F3737" i="1"/>
  <c r="F3736" i="1"/>
  <c r="F3735" i="1"/>
  <c r="C3735" i="1"/>
  <c r="F3734" i="1"/>
  <c r="C3734" i="1"/>
  <c r="F3733" i="1"/>
  <c r="F3732" i="1"/>
  <c r="F3731" i="1"/>
  <c r="C3731" i="1"/>
  <c r="F3730" i="1"/>
  <c r="F3729" i="1"/>
  <c r="C3729" i="1"/>
  <c r="F3728" i="1"/>
  <c r="F3727" i="1"/>
  <c r="C3727" i="1"/>
  <c r="F3726" i="1"/>
  <c r="C3726" i="1"/>
  <c r="F3725" i="1"/>
  <c r="F3724" i="1"/>
  <c r="C3724" i="1"/>
  <c r="F3723" i="1"/>
  <c r="F3722" i="1"/>
  <c r="C3721" i="1"/>
  <c r="F3720" i="1"/>
  <c r="F3719" i="1"/>
  <c r="C3719" i="1"/>
  <c r="F3718" i="1"/>
  <c r="C3718" i="1"/>
  <c r="F3717" i="1"/>
  <c r="C3717" i="1"/>
  <c r="F3716" i="1"/>
  <c r="C3716" i="1"/>
  <c r="F3715" i="1"/>
  <c r="C3715" i="1"/>
  <c r="F3714" i="1"/>
  <c r="C3714" i="1"/>
  <c r="F3713" i="1"/>
  <c r="C3713" i="1"/>
  <c r="F3712" i="1"/>
  <c r="F3711" i="1"/>
  <c r="F3710" i="1"/>
  <c r="C3710" i="1"/>
  <c r="F3709" i="1"/>
  <c r="C3709" i="1"/>
  <c r="F3708" i="1"/>
  <c r="C3708" i="1"/>
  <c r="F3707" i="1"/>
  <c r="F3706" i="1"/>
  <c r="C3706" i="1"/>
  <c r="F3705" i="1"/>
  <c r="C3705" i="1"/>
  <c r="C3704" i="1"/>
  <c r="F3703" i="1"/>
  <c r="C3703" i="1"/>
  <c r="F3702" i="1"/>
  <c r="F3701" i="1"/>
  <c r="C3701" i="1"/>
  <c r="F3700" i="1"/>
  <c r="F3699" i="1"/>
  <c r="F3698" i="1"/>
  <c r="C3698" i="1"/>
  <c r="F3697" i="1"/>
  <c r="F3696" i="1"/>
  <c r="C3696" i="1"/>
  <c r="F3695" i="1"/>
  <c r="C3695" i="1"/>
  <c r="F3694" i="1"/>
  <c r="C3694" i="1"/>
  <c r="C3693" i="1"/>
  <c r="F3692" i="1"/>
  <c r="F3691" i="1"/>
  <c r="C3691" i="1"/>
  <c r="F3690" i="1"/>
  <c r="F3689" i="1"/>
  <c r="C3689" i="1"/>
  <c r="F3688" i="1"/>
  <c r="C3688" i="1"/>
  <c r="F3687" i="1"/>
  <c r="C3687" i="1"/>
  <c r="C3686" i="1"/>
  <c r="F3685" i="1"/>
  <c r="F3683" i="1"/>
  <c r="F3682" i="1"/>
  <c r="C3682" i="1"/>
  <c r="F3681" i="1"/>
  <c r="F3680" i="1"/>
  <c r="C3680" i="1"/>
  <c r="F3679" i="1"/>
  <c r="C3679" i="1"/>
  <c r="F3678" i="1"/>
  <c r="C3678" i="1"/>
  <c r="F3677" i="1"/>
  <c r="C3677" i="1"/>
  <c r="F3676" i="1"/>
  <c r="F3675" i="1"/>
  <c r="C3675" i="1"/>
  <c r="F3674" i="1"/>
  <c r="C3674" i="1"/>
  <c r="C3673" i="1"/>
  <c r="F3672" i="1"/>
  <c r="C3672" i="1"/>
  <c r="F3671" i="1"/>
  <c r="C3671" i="1"/>
  <c r="F3670" i="1"/>
  <c r="F3669" i="1"/>
  <c r="F3668" i="1"/>
  <c r="F3667" i="1"/>
  <c r="C3667" i="1"/>
  <c r="F3666" i="1"/>
  <c r="C3666" i="1"/>
  <c r="F3665" i="1"/>
  <c r="C3665" i="1"/>
  <c r="C3664" i="1"/>
  <c r="F3663" i="1"/>
  <c r="C3663" i="1"/>
  <c r="F3662" i="1"/>
  <c r="F3661" i="1"/>
  <c r="C3661" i="1"/>
  <c r="F3660" i="1"/>
  <c r="C3660" i="1"/>
  <c r="F3659" i="1"/>
  <c r="C3659" i="1"/>
  <c r="F3658" i="1"/>
  <c r="F3657" i="1"/>
  <c r="C3657" i="1"/>
  <c r="F3656" i="1"/>
  <c r="F3655" i="1"/>
  <c r="F3654" i="1"/>
  <c r="F3653" i="1"/>
  <c r="C3653" i="1"/>
  <c r="F3652" i="1"/>
  <c r="F3651" i="1"/>
  <c r="F3650" i="1"/>
  <c r="C3650" i="1"/>
  <c r="F3649" i="1"/>
  <c r="C3649" i="1"/>
  <c r="F3648" i="1"/>
  <c r="F3647" i="1"/>
  <c r="F3646" i="1"/>
  <c r="C3646" i="1"/>
  <c r="F3645" i="1"/>
  <c r="C3645" i="1"/>
  <c r="F3644" i="1"/>
  <c r="C3644" i="1"/>
  <c r="F3643" i="1"/>
  <c r="F3642" i="1"/>
  <c r="F3641" i="1"/>
  <c r="F3640" i="1"/>
  <c r="C3640" i="1"/>
  <c r="F3639" i="1"/>
  <c r="F3637" i="1"/>
  <c r="C3637" i="1"/>
  <c r="F3636" i="1"/>
  <c r="C3636" i="1"/>
  <c r="F3635" i="1"/>
  <c r="C3635" i="1"/>
  <c r="F3634" i="1"/>
  <c r="C3634" i="1"/>
  <c r="F3633" i="1"/>
  <c r="C3633" i="1"/>
  <c r="F3632" i="1"/>
  <c r="C3632" i="1"/>
  <c r="F3631" i="1"/>
  <c r="C3631" i="1"/>
  <c r="C3630" i="1"/>
  <c r="F3629" i="1"/>
  <c r="F3628" i="1"/>
  <c r="C3628" i="1"/>
  <c r="F3627" i="1"/>
  <c r="F3626" i="1"/>
  <c r="F3625" i="1"/>
  <c r="C3625" i="1"/>
  <c r="F3624" i="1"/>
  <c r="C3624" i="1"/>
  <c r="F3623" i="1"/>
  <c r="C3623" i="1"/>
  <c r="F3622" i="1"/>
  <c r="F3621" i="1"/>
  <c r="C3621" i="1"/>
  <c r="F3620" i="1"/>
  <c r="C3620" i="1"/>
  <c r="F3619" i="1"/>
  <c r="C3619" i="1"/>
  <c r="F3618" i="1"/>
  <c r="C3618" i="1"/>
  <c r="F3617" i="1"/>
  <c r="F3616" i="1"/>
  <c r="C3616" i="1"/>
  <c r="F3615" i="1"/>
  <c r="C3615" i="1"/>
  <c r="F3614" i="1"/>
  <c r="C3614" i="1"/>
  <c r="F3613" i="1"/>
  <c r="C3613" i="1"/>
  <c r="F3612" i="1"/>
  <c r="C3612" i="1"/>
  <c r="F3611" i="1"/>
  <c r="C3611" i="1"/>
  <c r="F3610" i="1"/>
  <c r="F3609" i="1"/>
  <c r="F3608" i="1"/>
  <c r="C3608" i="1"/>
  <c r="F3607" i="1"/>
  <c r="F3606" i="1"/>
  <c r="C3606" i="1"/>
  <c r="F3605" i="1"/>
  <c r="F3604" i="1"/>
  <c r="C3604" i="1"/>
  <c r="F3603" i="1"/>
  <c r="F3602" i="1"/>
  <c r="C3602" i="1"/>
  <c r="F3601" i="1"/>
  <c r="F3600" i="1"/>
  <c r="F3599" i="1"/>
  <c r="C3599" i="1"/>
  <c r="F3598" i="1"/>
  <c r="F3597" i="1"/>
  <c r="C3597" i="1"/>
  <c r="F3596" i="1"/>
  <c r="F3595" i="1"/>
  <c r="C3595" i="1"/>
  <c r="F3594" i="1"/>
  <c r="F3593" i="1"/>
  <c r="C3593" i="1"/>
  <c r="F3592" i="1"/>
  <c r="C3592" i="1"/>
  <c r="F3591" i="1"/>
  <c r="F3590" i="1"/>
  <c r="F3589" i="1"/>
  <c r="C3589" i="1"/>
  <c r="F3588" i="1"/>
  <c r="C3588" i="1"/>
  <c r="F3587" i="1"/>
  <c r="F3586" i="1"/>
  <c r="C3586" i="1"/>
  <c r="F3585" i="1"/>
  <c r="F3584" i="1"/>
  <c r="F3583" i="1"/>
  <c r="F3582" i="1"/>
  <c r="C3582" i="1"/>
  <c r="F3581" i="1"/>
  <c r="F3580" i="1"/>
  <c r="F3579" i="1"/>
  <c r="C3579" i="1"/>
  <c r="F3578" i="1"/>
  <c r="F3577" i="1"/>
  <c r="C3577" i="1"/>
  <c r="F3576" i="1"/>
  <c r="F3575" i="1"/>
  <c r="F3574" i="1"/>
  <c r="C3574" i="1"/>
  <c r="F3573" i="1"/>
  <c r="C3573" i="1"/>
  <c r="F3572" i="1"/>
  <c r="C3572" i="1"/>
  <c r="F3571" i="1"/>
  <c r="F3570" i="1"/>
  <c r="C3570" i="1"/>
  <c r="F3569" i="1"/>
  <c r="F3568" i="1"/>
  <c r="F3567" i="1"/>
  <c r="F3566" i="1"/>
  <c r="F3565" i="1"/>
  <c r="C3565" i="1"/>
  <c r="F3564" i="1"/>
  <c r="C3564" i="1"/>
  <c r="F3563" i="1"/>
  <c r="C3563" i="1"/>
  <c r="F3562" i="1"/>
  <c r="C3562" i="1"/>
  <c r="F3561" i="1"/>
  <c r="F3560" i="1"/>
  <c r="C3560" i="1"/>
  <c r="F3559" i="1"/>
  <c r="F3558" i="1"/>
  <c r="C3558" i="1"/>
  <c r="F3557" i="1"/>
  <c r="C3557" i="1"/>
  <c r="F3556" i="1"/>
  <c r="C3556" i="1"/>
  <c r="F3555" i="1"/>
  <c r="C3555" i="1"/>
  <c r="F3554" i="1"/>
  <c r="F3553" i="1"/>
  <c r="C3553" i="1"/>
  <c r="F3552" i="1"/>
  <c r="C3552" i="1"/>
  <c r="F3551" i="1"/>
  <c r="F3550" i="1"/>
  <c r="C3550" i="1"/>
  <c r="F3549" i="1"/>
  <c r="F3548" i="1"/>
  <c r="C3548" i="1"/>
  <c r="F3547" i="1"/>
  <c r="F3546" i="1"/>
  <c r="F3545" i="1"/>
  <c r="C3545" i="1"/>
  <c r="F3544" i="1"/>
  <c r="F3543" i="1"/>
  <c r="C3543" i="1"/>
  <c r="F3542" i="1"/>
  <c r="C3541" i="1"/>
  <c r="F3540" i="1"/>
  <c r="C3540" i="1"/>
  <c r="F3539" i="1"/>
  <c r="C3539" i="1"/>
  <c r="F3538" i="1"/>
  <c r="F3537" i="1"/>
  <c r="C3537" i="1"/>
  <c r="F3536" i="1"/>
  <c r="C3536" i="1"/>
  <c r="F3535" i="1"/>
  <c r="F3534" i="1"/>
  <c r="C3534" i="1"/>
  <c r="F3533" i="1"/>
  <c r="C3533" i="1"/>
  <c r="F3532" i="1"/>
  <c r="C3532" i="1"/>
  <c r="F3531" i="1"/>
  <c r="F3530" i="1"/>
  <c r="F3529" i="1"/>
  <c r="C3529" i="1"/>
  <c r="F3528" i="1"/>
  <c r="F3527" i="1"/>
  <c r="C3527" i="1"/>
  <c r="F3526" i="1"/>
  <c r="C3526" i="1"/>
  <c r="F3525" i="1"/>
  <c r="C3525" i="1"/>
  <c r="F3524" i="1"/>
  <c r="F3523" i="1"/>
  <c r="F3522" i="1"/>
  <c r="F3521" i="1"/>
  <c r="C3521" i="1"/>
  <c r="F3520" i="1"/>
  <c r="C3520" i="1"/>
  <c r="F3519" i="1"/>
  <c r="F3518" i="1"/>
  <c r="C3518" i="1"/>
  <c r="F3517" i="1"/>
  <c r="C3517" i="1"/>
  <c r="F3516" i="1"/>
  <c r="F3515" i="1"/>
  <c r="C3515" i="1"/>
  <c r="F3514" i="1"/>
  <c r="F3513" i="1"/>
  <c r="C3513" i="1"/>
  <c r="F3511" i="1"/>
  <c r="C3510" i="1"/>
  <c r="F3509" i="1"/>
  <c r="C3509" i="1"/>
  <c r="F3508" i="1"/>
  <c r="C3508" i="1"/>
  <c r="F3507" i="1"/>
  <c r="C3507" i="1"/>
  <c r="F3506" i="1"/>
  <c r="F3505" i="1"/>
  <c r="C3505" i="1"/>
  <c r="F3504" i="1"/>
  <c r="F3503" i="1"/>
  <c r="F3502" i="1"/>
  <c r="C3502" i="1"/>
  <c r="F3501" i="1"/>
  <c r="C3501" i="1"/>
  <c r="F3500" i="1"/>
  <c r="C3500" i="1"/>
  <c r="F3499" i="1"/>
  <c r="F3498" i="1"/>
  <c r="F3497" i="1"/>
  <c r="F3496" i="1"/>
  <c r="F3495" i="1"/>
  <c r="C3495" i="1"/>
  <c r="F3494" i="1"/>
  <c r="C3494" i="1"/>
  <c r="F3493" i="1"/>
  <c r="C3493" i="1"/>
  <c r="F3492" i="1"/>
  <c r="C3492" i="1"/>
  <c r="F3491" i="1"/>
  <c r="C3491" i="1"/>
  <c r="F3490" i="1"/>
  <c r="F3489" i="1"/>
  <c r="F3488" i="1"/>
  <c r="C3488" i="1"/>
  <c r="C3487" i="1"/>
  <c r="F3486" i="1"/>
  <c r="C3486" i="1"/>
  <c r="F3485" i="1"/>
  <c r="F3484" i="1"/>
  <c r="F3483" i="1"/>
  <c r="C3483" i="1"/>
  <c r="F3482" i="1"/>
  <c r="F3481" i="1"/>
  <c r="C3481" i="1"/>
  <c r="F3480" i="1"/>
  <c r="C3480" i="1"/>
  <c r="F3479" i="1"/>
  <c r="C3479" i="1"/>
  <c r="F3478" i="1"/>
  <c r="C3477" i="1"/>
  <c r="F3476" i="1"/>
  <c r="F3475" i="1"/>
  <c r="C3475" i="1"/>
  <c r="F3474" i="1"/>
  <c r="C3474" i="1"/>
  <c r="F3473" i="1"/>
  <c r="C3473" i="1"/>
  <c r="F3472" i="1"/>
  <c r="F3471" i="1"/>
  <c r="C3471" i="1"/>
  <c r="F3470" i="1"/>
  <c r="C3470" i="1"/>
  <c r="F3469" i="1"/>
  <c r="F3468" i="1"/>
  <c r="C3467" i="1"/>
  <c r="F3466" i="1"/>
  <c r="C3466" i="1"/>
  <c r="F3465" i="1"/>
  <c r="C3465" i="1"/>
  <c r="F3464" i="1"/>
  <c r="C3464" i="1"/>
  <c r="F3463" i="1"/>
  <c r="C3463" i="1"/>
  <c r="F3462" i="1"/>
  <c r="C3462" i="1"/>
  <c r="F3461" i="1"/>
  <c r="C3461" i="1"/>
  <c r="C3460" i="1"/>
  <c r="F3459" i="1"/>
  <c r="C3458" i="1"/>
  <c r="F3457" i="1"/>
  <c r="C3457" i="1"/>
  <c r="F3456" i="1"/>
  <c r="C3456" i="1"/>
  <c r="F3455" i="1"/>
  <c r="C3455" i="1"/>
  <c r="F3454" i="1"/>
  <c r="C3454" i="1"/>
  <c r="F3453" i="1"/>
  <c r="C3453" i="1"/>
  <c r="F3452" i="1"/>
  <c r="C3452" i="1"/>
  <c r="F3451" i="1"/>
  <c r="C3451" i="1"/>
  <c r="F3450" i="1"/>
  <c r="C3450" i="1"/>
  <c r="C3449" i="1"/>
  <c r="F3448" i="1"/>
  <c r="C3448" i="1"/>
  <c r="F3447" i="1"/>
  <c r="F3446" i="1"/>
  <c r="F3445" i="1"/>
  <c r="C3445" i="1"/>
  <c r="F3444" i="1"/>
  <c r="C3444" i="1"/>
  <c r="F3443" i="1"/>
  <c r="F3442" i="1"/>
  <c r="C3442" i="1"/>
  <c r="F3441" i="1"/>
  <c r="C3441" i="1"/>
  <c r="F3440" i="1"/>
  <c r="F3439" i="1"/>
  <c r="F3438" i="1"/>
  <c r="C3438" i="1"/>
  <c r="F3437" i="1"/>
  <c r="F3436" i="1"/>
  <c r="C3436" i="1"/>
  <c r="F3435" i="1"/>
  <c r="F3434" i="1"/>
  <c r="C3434" i="1"/>
  <c r="F3433" i="1"/>
  <c r="C3433" i="1"/>
  <c r="F3432" i="1"/>
  <c r="F3431" i="1"/>
  <c r="C3431" i="1"/>
  <c r="F3430" i="1"/>
  <c r="C3430" i="1"/>
  <c r="F3429" i="1"/>
  <c r="F3428" i="1"/>
  <c r="C3428" i="1"/>
  <c r="F3427" i="1"/>
  <c r="C3427" i="1"/>
  <c r="F3426" i="1"/>
  <c r="C3426" i="1"/>
  <c r="F3425" i="1"/>
  <c r="F3424" i="1"/>
  <c r="C3424" i="1"/>
  <c r="F3423" i="1"/>
  <c r="C3423" i="1"/>
  <c r="F3422" i="1"/>
  <c r="C3422" i="1"/>
  <c r="F3421" i="1"/>
  <c r="F3420" i="1"/>
  <c r="C3420" i="1"/>
  <c r="F3419" i="1"/>
  <c r="F3418" i="1"/>
  <c r="F3417" i="1"/>
  <c r="C3417" i="1"/>
  <c r="F3416" i="1"/>
  <c r="C3416" i="1"/>
  <c r="F3415" i="1"/>
  <c r="C3415" i="1"/>
  <c r="F3414" i="1"/>
  <c r="C3414" i="1"/>
  <c r="F3413" i="1"/>
  <c r="C3413" i="1"/>
  <c r="F3412" i="1"/>
  <c r="C3412" i="1"/>
  <c r="F3411" i="1"/>
  <c r="C3411" i="1"/>
  <c r="F3410" i="1"/>
  <c r="C3410" i="1"/>
  <c r="F3408" i="1"/>
  <c r="C3408" i="1"/>
  <c r="F3407" i="1"/>
  <c r="C3407" i="1"/>
  <c r="F3406" i="1"/>
  <c r="C3406" i="1"/>
  <c r="F3405" i="1"/>
  <c r="C3405" i="1"/>
  <c r="F3404" i="1"/>
  <c r="C3404" i="1"/>
  <c r="F3403" i="1"/>
  <c r="C3403" i="1"/>
  <c r="F3402" i="1"/>
  <c r="C3402" i="1"/>
  <c r="F3401" i="1"/>
  <c r="C3401" i="1"/>
  <c r="F3400" i="1"/>
  <c r="C3400" i="1"/>
  <c r="F3399" i="1"/>
  <c r="C3399" i="1"/>
  <c r="F3398" i="1"/>
  <c r="C3398" i="1"/>
  <c r="F3397" i="1"/>
  <c r="C3397" i="1"/>
  <c r="F3396" i="1"/>
  <c r="F3395" i="1"/>
  <c r="C3395" i="1"/>
  <c r="F3394" i="1"/>
  <c r="F3393" i="1"/>
  <c r="C3393" i="1"/>
  <c r="F3392" i="1"/>
  <c r="F3391" i="1"/>
  <c r="F3390" i="1"/>
  <c r="C3390" i="1"/>
  <c r="F3389" i="1"/>
  <c r="C3389" i="1"/>
  <c r="F3388" i="1"/>
  <c r="C3388" i="1"/>
  <c r="F3387" i="1"/>
  <c r="F3386" i="1"/>
  <c r="C3386" i="1"/>
  <c r="F3385" i="1"/>
  <c r="C3385" i="1"/>
  <c r="F3384" i="1"/>
  <c r="F3383" i="1"/>
  <c r="C3383" i="1"/>
  <c r="F3382" i="1"/>
  <c r="F3381" i="1"/>
  <c r="C3380" i="1"/>
  <c r="F3379" i="1"/>
  <c r="F3378" i="1"/>
  <c r="F3377" i="1"/>
  <c r="C3377" i="1"/>
  <c r="F3376" i="1"/>
  <c r="C3376" i="1"/>
  <c r="F3375" i="1"/>
  <c r="F3374" i="1"/>
  <c r="C3374" i="1"/>
  <c r="F3373" i="1"/>
  <c r="C3373" i="1"/>
  <c r="F3372" i="1"/>
  <c r="C3372" i="1"/>
  <c r="F3371" i="1"/>
  <c r="F3370" i="1"/>
  <c r="C3369" i="1"/>
  <c r="F3368" i="1"/>
  <c r="C3368" i="1"/>
  <c r="F3367" i="1"/>
  <c r="F3366" i="1"/>
  <c r="C3366" i="1"/>
  <c r="F3365" i="1"/>
  <c r="F3364" i="1"/>
  <c r="C3364" i="1"/>
  <c r="F3363" i="1"/>
  <c r="C3363" i="1"/>
  <c r="F3362" i="1"/>
  <c r="F3361" i="1"/>
  <c r="C3361" i="1"/>
  <c r="F3360" i="1"/>
  <c r="F3359" i="1"/>
  <c r="F3358" i="1"/>
  <c r="F3357" i="1"/>
  <c r="F3356" i="1"/>
  <c r="C3356" i="1"/>
  <c r="F3355" i="1"/>
  <c r="C3355" i="1"/>
  <c r="F3354" i="1"/>
  <c r="F3353" i="1"/>
  <c r="F3352" i="1"/>
  <c r="C3352" i="1"/>
  <c r="F3351" i="1"/>
  <c r="C3351" i="1"/>
  <c r="C3350" i="1"/>
  <c r="F3349" i="1"/>
  <c r="C3349" i="1"/>
  <c r="F3348" i="1"/>
  <c r="F3347" i="1"/>
  <c r="C3347" i="1"/>
  <c r="F3346" i="1"/>
  <c r="C3346" i="1"/>
  <c r="F3344" i="1"/>
  <c r="C3344" i="1"/>
  <c r="F3343" i="1"/>
  <c r="C3343" i="1"/>
  <c r="F3342" i="1"/>
  <c r="C3342" i="1"/>
  <c r="F3341" i="1"/>
  <c r="F3340" i="1"/>
  <c r="C3340" i="1"/>
  <c r="F3339" i="1"/>
  <c r="C3339" i="1"/>
  <c r="F3338" i="1"/>
  <c r="F3337" i="1"/>
  <c r="F3336" i="1"/>
  <c r="C3336" i="1"/>
  <c r="F3335" i="1"/>
  <c r="C3335" i="1"/>
  <c r="F3334" i="1"/>
  <c r="C3334" i="1"/>
  <c r="F3333" i="1"/>
  <c r="C3333" i="1"/>
  <c r="F3332" i="1"/>
  <c r="F3331" i="1"/>
  <c r="F3330" i="1"/>
  <c r="C3330" i="1"/>
  <c r="F3329" i="1"/>
  <c r="C3329" i="1"/>
  <c r="F3328" i="1"/>
  <c r="F3327" i="1"/>
  <c r="C3327" i="1"/>
  <c r="F3326" i="1"/>
  <c r="C3326" i="1"/>
  <c r="F3325" i="1"/>
  <c r="C3325" i="1"/>
  <c r="F3324" i="1"/>
  <c r="F3323" i="1"/>
  <c r="F3322" i="1"/>
  <c r="C3322" i="1"/>
  <c r="F3321" i="1"/>
  <c r="F3320" i="1"/>
  <c r="C3320" i="1"/>
  <c r="F3319" i="1"/>
  <c r="C3319" i="1"/>
  <c r="F3318" i="1"/>
  <c r="F3317" i="1"/>
  <c r="F3316" i="1"/>
  <c r="F3315" i="1"/>
  <c r="C3315" i="1"/>
  <c r="F3314" i="1"/>
  <c r="C3314" i="1"/>
  <c r="F3313" i="1"/>
  <c r="C3313" i="1"/>
  <c r="F3312" i="1"/>
  <c r="F3311" i="1"/>
  <c r="F3310" i="1"/>
  <c r="C3310" i="1"/>
  <c r="F3309" i="1"/>
  <c r="F3308" i="1"/>
  <c r="C3308" i="1"/>
  <c r="F3307" i="1"/>
  <c r="C3307" i="1"/>
  <c r="F3306" i="1"/>
  <c r="C3306" i="1"/>
  <c r="F3305" i="1"/>
  <c r="C3305" i="1"/>
  <c r="F3304" i="1"/>
  <c r="C3302" i="1"/>
  <c r="C3301" i="1"/>
  <c r="F3300" i="1"/>
  <c r="F3299" i="1"/>
  <c r="C3299" i="1"/>
  <c r="F3298" i="1"/>
  <c r="C3298" i="1"/>
  <c r="F3297" i="1"/>
  <c r="C3297" i="1"/>
  <c r="F3296" i="1"/>
  <c r="F3295" i="1"/>
  <c r="F3294" i="1"/>
  <c r="F3293" i="1"/>
  <c r="C3293" i="1"/>
  <c r="F3292" i="1"/>
  <c r="C3292" i="1"/>
  <c r="F3291" i="1"/>
  <c r="F3290" i="1"/>
  <c r="C3290" i="1"/>
  <c r="F3289" i="1"/>
  <c r="F3288" i="1"/>
  <c r="C3288" i="1"/>
  <c r="C3287" i="1"/>
  <c r="F3286" i="1"/>
  <c r="F3285" i="1"/>
  <c r="F3284" i="1"/>
  <c r="F3283" i="1"/>
  <c r="F3282" i="1"/>
  <c r="F3280" i="1"/>
  <c r="C3280" i="1"/>
  <c r="F3279" i="1"/>
  <c r="F3278" i="1"/>
  <c r="C3278" i="1"/>
  <c r="F3277" i="1"/>
  <c r="C3277" i="1"/>
  <c r="F3276" i="1"/>
  <c r="C3276" i="1"/>
  <c r="F3275" i="1"/>
  <c r="C3275" i="1"/>
  <c r="F3274" i="1"/>
  <c r="F3273" i="1"/>
  <c r="F3272" i="1"/>
  <c r="F3271" i="1"/>
  <c r="F3270" i="1"/>
  <c r="F3269" i="1"/>
  <c r="C3269" i="1"/>
  <c r="F3268" i="1"/>
  <c r="C3268" i="1"/>
  <c r="F3267" i="1"/>
  <c r="C3267" i="1"/>
  <c r="C3266" i="1"/>
  <c r="F3265" i="1"/>
  <c r="F3264" i="1"/>
  <c r="C3264" i="1"/>
  <c r="F3263" i="1"/>
  <c r="C3263" i="1"/>
  <c r="F3262" i="1"/>
  <c r="F3261" i="1"/>
  <c r="F3260" i="1"/>
  <c r="C3259" i="1"/>
  <c r="F3258" i="1"/>
  <c r="F3257" i="1"/>
  <c r="C3257" i="1"/>
  <c r="F3256" i="1"/>
  <c r="C3256" i="1"/>
  <c r="F3254" i="1"/>
  <c r="C3254" i="1"/>
  <c r="F3253" i="1"/>
  <c r="C3253" i="1"/>
  <c r="F3252" i="1"/>
  <c r="C3252" i="1"/>
  <c r="F3251" i="1"/>
  <c r="C3251" i="1"/>
  <c r="F3250" i="1"/>
  <c r="F3249" i="1"/>
  <c r="C3249" i="1"/>
  <c r="F3248" i="1"/>
  <c r="C3248" i="1"/>
  <c r="F3247" i="1"/>
  <c r="F3246" i="1"/>
  <c r="C3246" i="1"/>
  <c r="F3245" i="1"/>
  <c r="C3245" i="1"/>
  <c r="F3244" i="1"/>
  <c r="F3242" i="1"/>
  <c r="F3241" i="1"/>
  <c r="C3240" i="1"/>
  <c r="F3239" i="1"/>
  <c r="C3239" i="1"/>
  <c r="F3238" i="1"/>
  <c r="F3237" i="1"/>
  <c r="C3237" i="1"/>
  <c r="F3236" i="1"/>
  <c r="C3236" i="1"/>
  <c r="F3235" i="1"/>
  <c r="C3235" i="1"/>
  <c r="F3234" i="1"/>
  <c r="C3234" i="1"/>
  <c r="F3233" i="1"/>
  <c r="C3233" i="1"/>
  <c r="F3232" i="1"/>
  <c r="C3232" i="1"/>
  <c r="F3231" i="1"/>
  <c r="F3230" i="1"/>
  <c r="C3230" i="1"/>
  <c r="F3229" i="1"/>
  <c r="F3228" i="1"/>
  <c r="F3227" i="1"/>
  <c r="F3226" i="1"/>
  <c r="C3226" i="1"/>
  <c r="F3225" i="1"/>
  <c r="F3224" i="1"/>
  <c r="F3223" i="1"/>
  <c r="C3223" i="1"/>
  <c r="F3221" i="1"/>
  <c r="C3221" i="1"/>
  <c r="F3219" i="1"/>
  <c r="F3218" i="1"/>
  <c r="F3217" i="1"/>
  <c r="C3217" i="1"/>
  <c r="F3216" i="1"/>
  <c r="F3215" i="1"/>
  <c r="C3215" i="1"/>
  <c r="F3214" i="1"/>
  <c r="F3213" i="1"/>
  <c r="C3213" i="1"/>
  <c r="F3212" i="1"/>
  <c r="C3212" i="1"/>
  <c r="F3211" i="1"/>
  <c r="F3210" i="1"/>
  <c r="C3210" i="1"/>
  <c r="F3209" i="1"/>
  <c r="C3209" i="1"/>
  <c r="F3208" i="1"/>
  <c r="F3207" i="1"/>
  <c r="C3207" i="1"/>
  <c r="F3206" i="1"/>
  <c r="C3206" i="1"/>
  <c r="F3205" i="1"/>
  <c r="C3205" i="1"/>
  <c r="F3204" i="1"/>
  <c r="F3203" i="1"/>
  <c r="C3203" i="1"/>
  <c r="F3202" i="1"/>
  <c r="F3201" i="1"/>
  <c r="F3200" i="1"/>
  <c r="F3199" i="1"/>
  <c r="F3198" i="1"/>
  <c r="C3198" i="1"/>
  <c r="F3197" i="1"/>
  <c r="C3196" i="1"/>
  <c r="C3195" i="1"/>
  <c r="F3194" i="1"/>
  <c r="F3193" i="1"/>
  <c r="C3193" i="1"/>
  <c r="F3192" i="1"/>
  <c r="F3191" i="1"/>
  <c r="C3191" i="1"/>
  <c r="F3190" i="1"/>
  <c r="F3189" i="1"/>
  <c r="F3188" i="1"/>
  <c r="C3188" i="1"/>
  <c r="F3187" i="1"/>
  <c r="C3187" i="1"/>
  <c r="F3186" i="1"/>
  <c r="C3186" i="1"/>
  <c r="C3185" i="1"/>
  <c r="F3184" i="1"/>
  <c r="C3184" i="1"/>
  <c r="F3183" i="1"/>
  <c r="C3183" i="1"/>
  <c r="F3182" i="1"/>
  <c r="F3181" i="1"/>
  <c r="C3181" i="1"/>
  <c r="F3180" i="1"/>
  <c r="F3179" i="1"/>
  <c r="F3178" i="1"/>
  <c r="C3178" i="1"/>
  <c r="F3177" i="1"/>
  <c r="F3176" i="1"/>
  <c r="C3176" i="1"/>
  <c r="F3175" i="1"/>
  <c r="F3174" i="1"/>
  <c r="C3174" i="1"/>
  <c r="F3173" i="1"/>
  <c r="F3172" i="1"/>
  <c r="C3172" i="1"/>
  <c r="F3171" i="1"/>
  <c r="F3170" i="1"/>
  <c r="F3169" i="1"/>
  <c r="C3169" i="1"/>
  <c r="F3168" i="1"/>
  <c r="F3167" i="1"/>
  <c r="F3166" i="1"/>
  <c r="F3165" i="1"/>
  <c r="F3164" i="1"/>
  <c r="C3164" i="1"/>
  <c r="F3163" i="1"/>
  <c r="C3163" i="1"/>
  <c r="F3162" i="1"/>
  <c r="C3162" i="1"/>
  <c r="F3161" i="1"/>
  <c r="C3161" i="1"/>
  <c r="F3160" i="1"/>
  <c r="F3159" i="1"/>
  <c r="F3158" i="1"/>
  <c r="C3158" i="1"/>
  <c r="F3157" i="1"/>
  <c r="F3156" i="1"/>
  <c r="C3156" i="1"/>
  <c r="F3155" i="1"/>
  <c r="C3155" i="1"/>
  <c r="F3154" i="1"/>
  <c r="F3153" i="1"/>
  <c r="C3153" i="1"/>
  <c r="F3152" i="1"/>
  <c r="F3151" i="1"/>
  <c r="C3151" i="1"/>
  <c r="F3150" i="1"/>
  <c r="F3149" i="1"/>
  <c r="F3148" i="1"/>
  <c r="C3148" i="1"/>
  <c r="F3147" i="1"/>
  <c r="C3147" i="1"/>
  <c r="F3146" i="1"/>
  <c r="C3146" i="1"/>
  <c r="F3145" i="1"/>
  <c r="C3145" i="1"/>
  <c r="F3144" i="1"/>
  <c r="F3143" i="1"/>
  <c r="F3142" i="1"/>
  <c r="F3141" i="1"/>
  <c r="C3141" i="1"/>
  <c r="F3140" i="1"/>
  <c r="F3139" i="1"/>
  <c r="C3139" i="1"/>
  <c r="F3138" i="1"/>
  <c r="C3138" i="1"/>
  <c r="F3137" i="1"/>
  <c r="C3137" i="1"/>
  <c r="F3136" i="1"/>
  <c r="C3136" i="1"/>
  <c r="F3135" i="1"/>
  <c r="F3134" i="1"/>
  <c r="C3134" i="1"/>
  <c r="F3133" i="1"/>
  <c r="C3133" i="1"/>
  <c r="F3132" i="1"/>
  <c r="C3132" i="1"/>
  <c r="F3131" i="1"/>
  <c r="F3130" i="1"/>
  <c r="C3130" i="1"/>
  <c r="C3129" i="1"/>
  <c r="F3128" i="1"/>
  <c r="C3128" i="1"/>
  <c r="F3127" i="1"/>
  <c r="C3126" i="1"/>
  <c r="F3125" i="1"/>
  <c r="C3125" i="1"/>
  <c r="F3124" i="1"/>
  <c r="C3124" i="1"/>
  <c r="F3123" i="1"/>
  <c r="C3123" i="1"/>
  <c r="C3122" i="1"/>
  <c r="F3121" i="1"/>
  <c r="C3121" i="1"/>
  <c r="F3120" i="1"/>
  <c r="C3120" i="1"/>
  <c r="F3119" i="1"/>
  <c r="F3118" i="1"/>
  <c r="F3117" i="1"/>
  <c r="F3116" i="1"/>
  <c r="C3116" i="1"/>
  <c r="F3115" i="1"/>
  <c r="C3115" i="1"/>
  <c r="F3114" i="1"/>
  <c r="C3114" i="1"/>
  <c r="F3113" i="1"/>
  <c r="C3113" i="1"/>
  <c r="F3112" i="1"/>
  <c r="C3112" i="1"/>
  <c r="F3111" i="1"/>
  <c r="F3110" i="1"/>
  <c r="C3110" i="1"/>
  <c r="F3109" i="1"/>
  <c r="C3109" i="1"/>
  <c r="F3108" i="1"/>
  <c r="C3108" i="1"/>
  <c r="F3107" i="1"/>
  <c r="C3107" i="1"/>
  <c r="F3106" i="1"/>
  <c r="C3106" i="1"/>
  <c r="F3105" i="1"/>
  <c r="C3105" i="1"/>
  <c r="F3104" i="1"/>
  <c r="F3103" i="1"/>
  <c r="C3103" i="1"/>
  <c r="F3102" i="1"/>
  <c r="F3101" i="1"/>
  <c r="F3100" i="1"/>
  <c r="F3099" i="1"/>
  <c r="F3098" i="1"/>
  <c r="F3097" i="1"/>
  <c r="F3096" i="1"/>
  <c r="C3096" i="1"/>
  <c r="F3095" i="1"/>
  <c r="F3094" i="1"/>
  <c r="C3094" i="1"/>
  <c r="F3093" i="1"/>
  <c r="C3093" i="1"/>
  <c r="F3092" i="1"/>
  <c r="F3091" i="1"/>
  <c r="F3090" i="1"/>
  <c r="F3089" i="1"/>
  <c r="C3089" i="1"/>
  <c r="C3088" i="1"/>
  <c r="F3087" i="1"/>
  <c r="F3086" i="1"/>
  <c r="F3085" i="1"/>
  <c r="C3085" i="1"/>
  <c r="F3084" i="1"/>
  <c r="F3083" i="1"/>
  <c r="C3083" i="1"/>
  <c r="C3082" i="1"/>
  <c r="F3081" i="1"/>
  <c r="F3080" i="1"/>
  <c r="C3080" i="1"/>
  <c r="F3079" i="1"/>
  <c r="C3079" i="1"/>
  <c r="F3078" i="1"/>
  <c r="C3078" i="1"/>
  <c r="F3077" i="1"/>
  <c r="C3077" i="1"/>
  <c r="F3076" i="1"/>
  <c r="F3075" i="1"/>
  <c r="C3075" i="1"/>
  <c r="C3074" i="1"/>
  <c r="F3073" i="1"/>
  <c r="F3072" i="1"/>
  <c r="F3071" i="1"/>
  <c r="C3071" i="1"/>
  <c r="F3070" i="1"/>
  <c r="C3070" i="1"/>
  <c r="F3069" i="1"/>
  <c r="C3069" i="1"/>
  <c r="F3068" i="1"/>
  <c r="F3067" i="1"/>
  <c r="F3066" i="1"/>
  <c r="F3065" i="1"/>
  <c r="C3065" i="1"/>
  <c r="F3064" i="1"/>
  <c r="C3064" i="1"/>
  <c r="F3063" i="1"/>
  <c r="C3063" i="1"/>
  <c r="F3062" i="1"/>
  <c r="C3062" i="1"/>
  <c r="F3061" i="1"/>
  <c r="C3061" i="1"/>
  <c r="F3060" i="1"/>
  <c r="F3059" i="1"/>
  <c r="C3059" i="1"/>
  <c r="F3058" i="1"/>
  <c r="C3058" i="1"/>
  <c r="F3057" i="1"/>
  <c r="C3057" i="1"/>
  <c r="F3056" i="1"/>
  <c r="C3056" i="1"/>
  <c r="F3055" i="1"/>
  <c r="C3055" i="1"/>
  <c r="F3054" i="1"/>
  <c r="F3053" i="1"/>
  <c r="C3053" i="1"/>
  <c r="F3052" i="1"/>
  <c r="C3052" i="1"/>
  <c r="F3051" i="1"/>
  <c r="F3050" i="1"/>
  <c r="F3049" i="1"/>
  <c r="C3049" i="1"/>
  <c r="F3048" i="1"/>
  <c r="C3048" i="1"/>
  <c r="F3047" i="1"/>
  <c r="C3047" i="1"/>
  <c r="F3046" i="1"/>
  <c r="C3046" i="1"/>
  <c r="F3045" i="1"/>
  <c r="C3045" i="1"/>
  <c r="F3044" i="1"/>
  <c r="C3044" i="1"/>
  <c r="F3043" i="1"/>
  <c r="F3042" i="1"/>
  <c r="C3042" i="1"/>
  <c r="F3041" i="1"/>
  <c r="F3040" i="1"/>
  <c r="F3039" i="1"/>
  <c r="C3039" i="1"/>
  <c r="F3038" i="1"/>
  <c r="C3038" i="1"/>
  <c r="F3037" i="1"/>
  <c r="F3035" i="1"/>
  <c r="C3034" i="1"/>
  <c r="F3033" i="1"/>
  <c r="C3033" i="1"/>
  <c r="F3032" i="1"/>
  <c r="C3032" i="1"/>
  <c r="C3031" i="1"/>
  <c r="F3030" i="1"/>
  <c r="C3030" i="1"/>
  <c r="F3029" i="1"/>
  <c r="F3028" i="1"/>
  <c r="C3028" i="1"/>
  <c r="F3027" i="1"/>
  <c r="C3026" i="1"/>
  <c r="F3025" i="1"/>
  <c r="C3025" i="1"/>
  <c r="F3024" i="1"/>
  <c r="F3023" i="1"/>
  <c r="F3022" i="1"/>
  <c r="C3022" i="1"/>
  <c r="F3021" i="1"/>
  <c r="F3020" i="1"/>
  <c r="C3020" i="1"/>
  <c r="F3019" i="1"/>
  <c r="C3019" i="1"/>
  <c r="F3018" i="1"/>
  <c r="C3018" i="1"/>
  <c r="F3017" i="1"/>
  <c r="F3016" i="1"/>
  <c r="C3016" i="1"/>
  <c r="F3015" i="1"/>
  <c r="C3015" i="1"/>
  <c r="F3014" i="1"/>
  <c r="C3014" i="1"/>
  <c r="F3013" i="1"/>
  <c r="C3013" i="1"/>
  <c r="F3012" i="1"/>
  <c r="F3011" i="1"/>
  <c r="C3011" i="1"/>
  <c r="F3010" i="1"/>
  <c r="C3010" i="1"/>
  <c r="F3009" i="1"/>
  <c r="F3008" i="1"/>
  <c r="C3008" i="1"/>
  <c r="F3007" i="1"/>
  <c r="F3006" i="1"/>
  <c r="F3005" i="1"/>
  <c r="F3004" i="1"/>
  <c r="F3003" i="1"/>
  <c r="C3003" i="1"/>
  <c r="F3002" i="1"/>
  <c r="C3002" i="1"/>
  <c r="F3001" i="1"/>
  <c r="F3000" i="1"/>
  <c r="F2999" i="1"/>
  <c r="C2999" i="1"/>
  <c r="F2998" i="1"/>
  <c r="F2997" i="1"/>
  <c r="F2996" i="1"/>
  <c r="C2996" i="1"/>
  <c r="F2995" i="1"/>
  <c r="C2995" i="1"/>
  <c r="F2994" i="1"/>
  <c r="C2994" i="1"/>
  <c r="F2993" i="1"/>
  <c r="F2992" i="1"/>
  <c r="F2991" i="1"/>
  <c r="C2991" i="1"/>
  <c r="F2990" i="1"/>
  <c r="F2989" i="1"/>
  <c r="C2989" i="1"/>
  <c r="F2988" i="1"/>
  <c r="C2988" i="1"/>
  <c r="F2987" i="1"/>
  <c r="C2987" i="1"/>
  <c r="C2986" i="1"/>
  <c r="F2985" i="1"/>
  <c r="F2984" i="1"/>
  <c r="C2984" i="1"/>
  <c r="F2983" i="1"/>
  <c r="F2982" i="1"/>
  <c r="C2982" i="1"/>
  <c r="F2981" i="1"/>
  <c r="C2981" i="1"/>
  <c r="F2980" i="1"/>
  <c r="F2979" i="1"/>
  <c r="C2979" i="1"/>
  <c r="F2978" i="1"/>
  <c r="C2978" i="1"/>
  <c r="F2977" i="1"/>
  <c r="F2976" i="1"/>
  <c r="C2976" i="1"/>
  <c r="F2975" i="1"/>
  <c r="F2974" i="1"/>
  <c r="C2974" i="1"/>
  <c r="F2973" i="1"/>
  <c r="F2972" i="1"/>
  <c r="F2970" i="1"/>
  <c r="C2970" i="1"/>
  <c r="F2969" i="1"/>
  <c r="C2969" i="1"/>
  <c r="F2968" i="1"/>
  <c r="C2968" i="1"/>
  <c r="F2967" i="1"/>
  <c r="C2967" i="1"/>
  <c r="F2966" i="1"/>
  <c r="C2966" i="1"/>
  <c r="F2965" i="1"/>
  <c r="F2964" i="1"/>
  <c r="C2964" i="1"/>
  <c r="F2963" i="1"/>
  <c r="C2963" i="1"/>
  <c r="F2962" i="1"/>
  <c r="C2962" i="1"/>
  <c r="F2961" i="1"/>
  <c r="F2960" i="1"/>
  <c r="C2960" i="1"/>
  <c r="F2959" i="1"/>
  <c r="C2959" i="1"/>
  <c r="C2958" i="1"/>
  <c r="F2957" i="1"/>
  <c r="C2957" i="1"/>
  <c r="F2956" i="1"/>
  <c r="C2956" i="1"/>
  <c r="F2955" i="1"/>
  <c r="C2955" i="1"/>
  <c r="F2954" i="1"/>
  <c r="C2954" i="1"/>
  <c r="F2953" i="1"/>
  <c r="F2952" i="1"/>
  <c r="F2951" i="1"/>
  <c r="F2950" i="1"/>
  <c r="C2950" i="1"/>
  <c r="F2949" i="1"/>
  <c r="C2949" i="1"/>
  <c r="F2948" i="1"/>
  <c r="C2948" i="1"/>
  <c r="F2947" i="1"/>
  <c r="C2947" i="1"/>
  <c r="F2946" i="1"/>
  <c r="C2946" i="1"/>
  <c r="F2945" i="1"/>
  <c r="F2944" i="1"/>
  <c r="C2944" i="1"/>
  <c r="F2943" i="1"/>
  <c r="C2943" i="1"/>
  <c r="F2942" i="1"/>
  <c r="C2942" i="1"/>
  <c r="F2941" i="1"/>
  <c r="C2941" i="1"/>
  <c r="F2940" i="1"/>
  <c r="C2940" i="1"/>
  <c r="F2939" i="1"/>
  <c r="F2938" i="1"/>
  <c r="C2938" i="1"/>
  <c r="F2937" i="1"/>
  <c r="F2936" i="1"/>
  <c r="F2935" i="1"/>
  <c r="F2934" i="1"/>
  <c r="F2933" i="1"/>
  <c r="C2933" i="1"/>
  <c r="F2932" i="1"/>
  <c r="C2932" i="1"/>
  <c r="F2931" i="1"/>
  <c r="F2930" i="1"/>
  <c r="C2930" i="1"/>
  <c r="F2929" i="1"/>
  <c r="C2929" i="1"/>
  <c r="F2928" i="1"/>
  <c r="C2928" i="1"/>
  <c r="F2927" i="1"/>
  <c r="C2927" i="1"/>
  <c r="F2926" i="1"/>
  <c r="C2926" i="1"/>
  <c r="F2925" i="1"/>
  <c r="C2925" i="1"/>
  <c r="F2923" i="1"/>
  <c r="F2922" i="1"/>
  <c r="C2922" i="1"/>
  <c r="F2921" i="1"/>
  <c r="C2921" i="1"/>
  <c r="F2920" i="1"/>
  <c r="C2920" i="1"/>
  <c r="F2919" i="1"/>
  <c r="F2918" i="1"/>
  <c r="F2917" i="1"/>
  <c r="C2917" i="1"/>
  <c r="F2916" i="1"/>
  <c r="F2915" i="1"/>
  <c r="F2914" i="1"/>
  <c r="F2913" i="1"/>
  <c r="C2913" i="1"/>
  <c r="C2912" i="1"/>
  <c r="F2911" i="1"/>
  <c r="C2911" i="1"/>
  <c r="F2910" i="1"/>
  <c r="C2910" i="1"/>
  <c r="F2909" i="1"/>
  <c r="F2908" i="1"/>
  <c r="F2907" i="1"/>
  <c r="C2907" i="1"/>
  <c r="F2906" i="1"/>
  <c r="C2906" i="1"/>
  <c r="F2905" i="1"/>
  <c r="C2905" i="1"/>
  <c r="F2904" i="1"/>
  <c r="F2903" i="1"/>
  <c r="C2903" i="1"/>
  <c r="F2902" i="1"/>
  <c r="C2902" i="1"/>
  <c r="F2901" i="1"/>
  <c r="C2901" i="1"/>
  <c r="F2900" i="1"/>
  <c r="F2899" i="1"/>
  <c r="C2899" i="1"/>
  <c r="F2898" i="1"/>
  <c r="F2897" i="1"/>
  <c r="C2897" i="1"/>
  <c r="C2896" i="1"/>
  <c r="F2895" i="1"/>
  <c r="C2895" i="1"/>
  <c r="F2894" i="1"/>
  <c r="C2894" i="1"/>
  <c r="F2893" i="1"/>
  <c r="C2893" i="1"/>
  <c r="F2892" i="1"/>
  <c r="C2892" i="1"/>
  <c r="F2891" i="1"/>
  <c r="F2890" i="1"/>
  <c r="C2890" i="1"/>
  <c r="F2889" i="1"/>
  <c r="C2889" i="1"/>
  <c r="F2888" i="1"/>
  <c r="C2888" i="1"/>
  <c r="F2887" i="1"/>
  <c r="F2886" i="1"/>
  <c r="C2886" i="1"/>
  <c r="F2885" i="1"/>
  <c r="F2884" i="1"/>
  <c r="C2884" i="1"/>
  <c r="F2883" i="1"/>
  <c r="F2882" i="1"/>
  <c r="F2880" i="1"/>
  <c r="F2879" i="1"/>
  <c r="C2879" i="1"/>
  <c r="F2878" i="1"/>
  <c r="F2877" i="1"/>
  <c r="C2877" i="1"/>
  <c r="F2876" i="1"/>
  <c r="F2875" i="1"/>
  <c r="C2875" i="1"/>
  <c r="F2874" i="1"/>
  <c r="C2874" i="1"/>
  <c r="F2873" i="1"/>
  <c r="F2872" i="1"/>
  <c r="F2871" i="1"/>
  <c r="C2871" i="1"/>
  <c r="F2870" i="1"/>
  <c r="C2870" i="1"/>
  <c r="F2869" i="1"/>
  <c r="C2869" i="1"/>
  <c r="F2868" i="1"/>
  <c r="F2867" i="1"/>
  <c r="F2866" i="1"/>
  <c r="F2865" i="1"/>
  <c r="C2865" i="1"/>
  <c r="F2864" i="1"/>
  <c r="C2864" i="1"/>
  <c r="F2863" i="1"/>
  <c r="F2862" i="1"/>
  <c r="F2860" i="1"/>
  <c r="F2859" i="1"/>
  <c r="F2858" i="1"/>
  <c r="F2857" i="1"/>
  <c r="C2857" i="1"/>
  <c r="F2855" i="1"/>
  <c r="F2854" i="1"/>
  <c r="C2854" i="1"/>
  <c r="F2853" i="1"/>
  <c r="C2853" i="1"/>
  <c r="F2852" i="1"/>
  <c r="F2851" i="1"/>
  <c r="C2851" i="1"/>
  <c r="F2850" i="1"/>
  <c r="C2850" i="1"/>
  <c r="F2849" i="1"/>
  <c r="F2848" i="1"/>
  <c r="C2848" i="1"/>
  <c r="F2846" i="1"/>
  <c r="C2846" i="1"/>
  <c r="F2845" i="1"/>
  <c r="F2844" i="1"/>
  <c r="C2843" i="1"/>
  <c r="F2842" i="1"/>
  <c r="C2842" i="1"/>
  <c r="F2841" i="1"/>
  <c r="F2840" i="1"/>
  <c r="C2840" i="1"/>
  <c r="F2839" i="1"/>
  <c r="F2838" i="1"/>
  <c r="F2837" i="1"/>
  <c r="F2836" i="1"/>
  <c r="C2836" i="1"/>
  <c r="F2835" i="1"/>
  <c r="F2834" i="1"/>
  <c r="C2834" i="1"/>
  <c r="F2833" i="1"/>
  <c r="C2833" i="1"/>
  <c r="F2832" i="1"/>
  <c r="C2832" i="1"/>
  <c r="F2831" i="1"/>
  <c r="C2831" i="1"/>
  <c r="F2830" i="1"/>
  <c r="C2830" i="1"/>
  <c r="F2829" i="1"/>
  <c r="C2829" i="1"/>
  <c r="F2828" i="1"/>
  <c r="C2828" i="1"/>
  <c r="F2827" i="1"/>
  <c r="C2827" i="1"/>
  <c r="F2826" i="1"/>
  <c r="C2826" i="1"/>
  <c r="F2825" i="1"/>
  <c r="C2825" i="1"/>
  <c r="F2824" i="1"/>
  <c r="F2823" i="1"/>
  <c r="C2823" i="1"/>
  <c r="F2822" i="1"/>
  <c r="F2821" i="1"/>
  <c r="F2820" i="1"/>
  <c r="F2819" i="1"/>
  <c r="C2819" i="1"/>
  <c r="F2818" i="1"/>
  <c r="C2818" i="1"/>
  <c r="F2817" i="1"/>
  <c r="C2817" i="1"/>
  <c r="F2816" i="1"/>
  <c r="C2816" i="1"/>
  <c r="F2815" i="1"/>
  <c r="C2815" i="1"/>
  <c r="F2814" i="1"/>
  <c r="C2814" i="1"/>
  <c r="C2813" i="1"/>
  <c r="F2812" i="1"/>
  <c r="C2812" i="1"/>
  <c r="F2811" i="1"/>
  <c r="F2810" i="1"/>
  <c r="C2810" i="1"/>
  <c r="F2809" i="1"/>
  <c r="C2809" i="1"/>
  <c r="F2808" i="1"/>
  <c r="F2807" i="1"/>
  <c r="C2807" i="1"/>
  <c r="F2806" i="1"/>
  <c r="C2806" i="1"/>
  <c r="F2805" i="1"/>
  <c r="C2805" i="1"/>
  <c r="F2804" i="1"/>
  <c r="C2804" i="1"/>
  <c r="F2803" i="1"/>
  <c r="C2803" i="1"/>
  <c r="F2802" i="1"/>
  <c r="C2802" i="1"/>
  <c r="F2801" i="1"/>
  <c r="F2800" i="1"/>
  <c r="C2800" i="1"/>
  <c r="F2799" i="1"/>
  <c r="C2799" i="1"/>
  <c r="C2798" i="1"/>
  <c r="F2797" i="1"/>
  <c r="F2796" i="1"/>
  <c r="C2796" i="1"/>
  <c r="F2795" i="1"/>
  <c r="C2795" i="1"/>
  <c r="F2794" i="1"/>
  <c r="C2794" i="1"/>
  <c r="F2793" i="1"/>
  <c r="C2793" i="1"/>
  <c r="F2792" i="1"/>
  <c r="C2792" i="1"/>
  <c r="F2791" i="1"/>
  <c r="C2791" i="1"/>
  <c r="F2790" i="1"/>
  <c r="C2790" i="1"/>
  <c r="F2789" i="1"/>
  <c r="F2788" i="1"/>
  <c r="C2788" i="1"/>
  <c r="F2787" i="1"/>
  <c r="F2786" i="1"/>
  <c r="C2786" i="1"/>
  <c r="F2785" i="1"/>
  <c r="F2784" i="1"/>
  <c r="F2783" i="1"/>
  <c r="C2783" i="1"/>
  <c r="F2782" i="1"/>
  <c r="F2781" i="1"/>
  <c r="C2781" i="1"/>
  <c r="F2780" i="1"/>
  <c r="C2780" i="1"/>
  <c r="F2779" i="1"/>
  <c r="C2779" i="1"/>
  <c r="F2778" i="1"/>
  <c r="C2778" i="1"/>
  <c r="F2777" i="1"/>
  <c r="F2776" i="1"/>
  <c r="C2776" i="1"/>
  <c r="F2775" i="1"/>
  <c r="F2774" i="1"/>
  <c r="F2773" i="1"/>
  <c r="F2772" i="1"/>
  <c r="C2772" i="1"/>
  <c r="F2771" i="1"/>
  <c r="C2771" i="1"/>
  <c r="F2770" i="1"/>
  <c r="C2770" i="1"/>
  <c r="F2769" i="1"/>
  <c r="C2769" i="1"/>
  <c r="F2768" i="1"/>
  <c r="C2768" i="1"/>
  <c r="F2767" i="1"/>
  <c r="C2767" i="1"/>
  <c r="F2766" i="1"/>
  <c r="C2766" i="1"/>
  <c r="F2765" i="1"/>
  <c r="C2765" i="1"/>
  <c r="C2764" i="1"/>
  <c r="F2763" i="1"/>
  <c r="C2763" i="1"/>
  <c r="F2762" i="1"/>
  <c r="C2762" i="1"/>
  <c r="F2761" i="1"/>
  <c r="F2760" i="1"/>
  <c r="C2760" i="1"/>
  <c r="F2759" i="1"/>
  <c r="F2758" i="1"/>
  <c r="C2758" i="1"/>
  <c r="F2757" i="1"/>
  <c r="F2756" i="1"/>
  <c r="C2756" i="1"/>
  <c r="F2755" i="1"/>
  <c r="C2755" i="1"/>
  <c r="F2754" i="1"/>
  <c r="C2754" i="1"/>
  <c r="F2753" i="1"/>
  <c r="F2752" i="1"/>
  <c r="C2752" i="1"/>
  <c r="F2751" i="1"/>
  <c r="C2751" i="1"/>
  <c r="F2750" i="1"/>
  <c r="F2749" i="1"/>
  <c r="C2749" i="1"/>
  <c r="F2748" i="1"/>
  <c r="C2748" i="1"/>
  <c r="F2747" i="1"/>
  <c r="C2747" i="1"/>
  <c r="C2746" i="1"/>
  <c r="F2745" i="1"/>
  <c r="F2744" i="1"/>
  <c r="C2744" i="1"/>
  <c r="F2743" i="1"/>
  <c r="C2743" i="1"/>
  <c r="F2742" i="1"/>
  <c r="C2742" i="1"/>
  <c r="F2741" i="1"/>
  <c r="C2741" i="1"/>
  <c r="F2740" i="1"/>
  <c r="F2739" i="1"/>
  <c r="C2739" i="1"/>
  <c r="F2738" i="1"/>
  <c r="C2738" i="1"/>
  <c r="F2737" i="1"/>
  <c r="C2737" i="1"/>
  <c r="F2736" i="1"/>
  <c r="C2736" i="1"/>
  <c r="F2735" i="1"/>
  <c r="C2735" i="1"/>
  <c r="F2734" i="1"/>
  <c r="F2733" i="1"/>
  <c r="C2733" i="1"/>
  <c r="F2732" i="1"/>
  <c r="C2732" i="1"/>
  <c r="F2731" i="1"/>
  <c r="C2731" i="1"/>
  <c r="F2730" i="1"/>
  <c r="F2729" i="1"/>
  <c r="F2728" i="1"/>
  <c r="F2727" i="1"/>
  <c r="C2727" i="1"/>
  <c r="F2726" i="1"/>
  <c r="C2726" i="1"/>
  <c r="F2725" i="1"/>
  <c r="F2724" i="1"/>
  <c r="F2723" i="1"/>
  <c r="F2722" i="1"/>
  <c r="C2722" i="1"/>
  <c r="F2721" i="1"/>
  <c r="C2721" i="1"/>
  <c r="F2720" i="1"/>
  <c r="C2720" i="1"/>
  <c r="F2719" i="1"/>
  <c r="C2719" i="1"/>
  <c r="F2718" i="1"/>
  <c r="C2718" i="1"/>
  <c r="F2717" i="1"/>
  <c r="C2717" i="1"/>
  <c r="F2716" i="1"/>
  <c r="C2716" i="1"/>
  <c r="F2715" i="1"/>
  <c r="C2715" i="1"/>
  <c r="F2714" i="1"/>
  <c r="C2714" i="1"/>
  <c r="F2713" i="1"/>
  <c r="C2713" i="1"/>
  <c r="C2712" i="1"/>
  <c r="F2711" i="1"/>
  <c r="F2710" i="1"/>
  <c r="C2710" i="1"/>
  <c r="F2709" i="1"/>
  <c r="C2709" i="1"/>
  <c r="F2708" i="1"/>
  <c r="F2707" i="1"/>
  <c r="C2707" i="1"/>
  <c r="F2706" i="1"/>
  <c r="C2706" i="1"/>
  <c r="F2705" i="1"/>
  <c r="C2705" i="1"/>
  <c r="F2704" i="1"/>
  <c r="C2704" i="1"/>
  <c r="F2703" i="1"/>
  <c r="C2703" i="1"/>
  <c r="F2702" i="1"/>
  <c r="F2701" i="1"/>
  <c r="F2700" i="1"/>
  <c r="F2699" i="1"/>
  <c r="F2698" i="1"/>
  <c r="C2698" i="1"/>
  <c r="F2697" i="1"/>
  <c r="F2696" i="1"/>
  <c r="C2696" i="1"/>
  <c r="F2695" i="1"/>
  <c r="C2695" i="1"/>
  <c r="F2694" i="1"/>
  <c r="C2694" i="1"/>
  <c r="F2693" i="1"/>
  <c r="F2692" i="1"/>
  <c r="C2692" i="1"/>
  <c r="F2691" i="1"/>
  <c r="C2691" i="1"/>
  <c r="F2690" i="1"/>
  <c r="F2689" i="1"/>
  <c r="F2688" i="1"/>
  <c r="F2687" i="1"/>
  <c r="C2687" i="1"/>
  <c r="F2686" i="1"/>
  <c r="F2685" i="1"/>
  <c r="F2684" i="1"/>
  <c r="C2684" i="1"/>
  <c r="F2683" i="1"/>
  <c r="C2683" i="1"/>
  <c r="F2682" i="1"/>
  <c r="C2682" i="1"/>
  <c r="C2681" i="1"/>
  <c r="F2680" i="1"/>
  <c r="C2680" i="1"/>
  <c r="F2679" i="1"/>
  <c r="C2679" i="1"/>
  <c r="F2678" i="1"/>
  <c r="C2678" i="1"/>
  <c r="F2677" i="1"/>
  <c r="F2676" i="1"/>
  <c r="F2675" i="1"/>
  <c r="F2674" i="1"/>
  <c r="C2674" i="1"/>
  <c r="F2673" i="1"/>
  <c r="C2672" i="1"/>
  <c r="F2671" i="1"/>
  <c r="F2670" i="1"/>
  <c r="C2670" i="1"/>
  <c r="F2669" i="1"/>
  <c r="C2669" i="1"/>
  <c r="F2668" i="1"/>
  <c r="C2668" i="1"/>
  <c r="F2667" i="1"/>
  <c r="C2667" i="1"/>
  <c r="F2666" i="1"/>
  <c r="C2666" i="1"/>
  <c r="F2665" i="1"/>
  <c r="C2665" i="1"/>
  <c r="F2664" i="1"/>
  <c r="C2664" i="1"/>
  <c r="F2663" i="1"/>
  <c r="F2662" i="1"/>
  <c r="C2662" i="1"/>
  <c r="F2661" i="1"/>
  <c r="C2661" i="1"/>
  <c r="F2660" i="1"/>
  <c r="C2660" i="1"/>
  <c r="F2659" i="1"/>
  <c r="C2659" i="1"/>
  <c r="F2658" i="1"/>
  <c r="F2657" i="1"/>
  <c r="F2656" i="1"/>
  <c r="C2654" i="1"/>
  <c r="F2653" i="1"/>
  <c r="C2653" i="1"/>
  <c r="F2652" i="1"/>
  <c r="C2652" i="1"/>
  <c r="F2651" i="1"/>
  <c r="C2651" i="1"/>
  <c r="F2650" i="1"/>
  <c r="C2650" i="1"/>
  <c r="F2649" i="1"/>
  <c r="C2649" i="1"/>
  <c r="F2648" i="1"/>
  <c r="C2648" i="1"/>
  <c r="F2647" i="1"/>
  <c r="F2646" i="1"/>
  <c r="C2646" i="1"/>
  <c r="F2645" i="1"/>
  <c r="F2644" i="1"/>
  <c r="C2644" i="1"/>
  <c r="F2643" i="1"/>
  <c r="F2642" i="1"/>
  <c r="F2641" i="1"/>
  <c r="F2640" i="1"/>
  <c r="F2639" i="1"/>
  <c r="C2639" i="1"/>
  <c r="F2638" i="1"/>
  <c r="F2637" i="1"/>
  <c r="C2637" i="1"/>
  <c r="F2636" i="1"/>
  <c r="C2636" i="1"/>
  <c r="F2635" i="1"/>
  <c r="C2635" i="1"/>
  <c r="F2634" i="1"/>
  <c r="F2633" i="1"/>
  <c r="C2633" i="1"/>
  <c r="F2632" i="1"/>
  <c r="C2632" i="1"/>
  <c r="F2631" i="1"/>
  <c r="C2631" i="1"/>
  <c r="C2630" i="1"/>
  <c r="F2629" i="1"/>
  <c r="F2628" i="1"/>
  <c r="C2628" i="1"/>
  <c r="F2627" i="1"/>
  <c r="C2627" i="1"/>
  <c r="F2626" i="1"/>
  <c r="C2626" i="1"/>
  <c r="F2625" i="1"/>
  <c r="C2625" i="1"/>
  <c r="F2624" i="1"/>
  <c r="F2623" i="1"/>
  <c r="F2622" i="1"/>
  <c r="F2621" i="1"/>
  <c r="F2620" i="1"/>
  <c r="F2619" i="1"/>
  <c r="C2619" i="1"/>
  <c r="F2618" i="1"/>
  <c r="C2618" i="1"/>
  <c r="F2617" i="1"/>
  <c r="C2617" i="1"/>
  <c r="F2616" i="1"/>
  <c r="C2616" i="1"/>
  <c r="F2615" i="1"/>
  <c r="C2615" i="1"/>
  <c r="F2614" i="1"/>
  <c r="C2614" i="1"/>
  <c r="F2613" i="1"/>
  <c r="C2613" i="1"/>
  <c r="F2612" i="1"/>
  <c r="F2611" i="1"/>
  <c r="F2610" i="1"/>
  <c r="F2609" i="1"/>
  <c r="C2609" i="1"/>
  <c r="F2608" i="1"/>
  <c r="C2608" i="1"/>
  <c r="F2607" i="1"/>
  <c r="F2605" i="1"/>
  <c r="F2604" i="1"/>
  <c r="C2604" i="1"/>
  <c r="F2603" i="1"/>
  <c r="C2603" i="1"/>
  <c r="C2602" i="1"/>
  <c r="F2601" i="1"/>
  <c r="F2600" i="1"/>
  <c r="C2600" i="1"/>
  <c r="F2599" i="1"/>
  <c r="C2598" i="1"/>
  <c r="F2596" i="1"/>
  <c r="F2595" i="1"/>
  <c r="C2595" i="1"/>
  <c r="F2594" i="1"/>
  <c r="C2594" i="1"/>
  <c r="C2593" i="1"/>
  <c r="F2592" i="1"/>
  <c r="C2592" i="1"/>
  <c r="F2591" i="1"/>
  <c r="C2591" i="1"/>
  <c r="F2590" i="1"/>
  <c r="C2590" i="1"/>
  <c r="F2589" i="1"/>
  <c r="C2589" i="1"/>
  <c r="F2588" i="1"/>
  <c r="F2587" i="1"/>
  <c r="C2586" i="1"/>
  <c r="F2585" i="1"/>
  <c r="C2585" i="1"/>
  <c r="F2584" i="1"/>
  <c r="F2583" i="1"/>
  <c r="C2583" i="1"/>
  <c r="F2582" i="1"/>
  <c r="F2581" i="1"/>
  <c r="C2581" i="1"/>
  <c r="F2580" i="1"/>
  <c r="C2580" i="1"/>
  <c r="F2579" i="1"/>
  <c r="F2578" i="1"/>
  <c r="F2577" i="1"/>
  <c r="F2576" i="1"/>
  <c r="C2576" i="1"/>
  <c r="F2575" i="1"/>
  <c r="F2574" i="1"/>
  <c r="F2573" i="1"/>
  <c r="F2572" i="1"/>
  <c r="C2572" i="1"/>
  <c r="F2571" i="1"/>
  <c r="C2571" i="1"/>
  <c r="F2570" i="1"/>
  <c r="C2570" i="1"/>
  <c r="C2569" i="1"/>
  <c r="F2568" i="1"/>
  <c r="F2567" i="1"/>
  <c r="C2567" i="1"/>
  <c r="F2566" i="1"/>
  <c r="F2565" i="1"/>
  <c r="C2565" i="1"/>
  <c r="F2564" i="1"/>
  <c r="F2563" i="1"/>
  <c r="F2562" i="1"/>
  <c r="C2562" i="1"/>
  <c r="F2561" i="1"/>
  <c r="F2560" i="1"/>
  <c r="C2560" i="1"/>
  <c r="F2559" i="1"/>
  <c r="C2558" i="1"/>
  <c r="F2557" i="1"/>
  <c r="C2557" i="1"/>
  <c r="F2556" i="1"/>
  <c r="F2555" i="1"/>
  <c r="F2554" i="1"/>
  <c r="F2553" i="1"/>
  <c r="C2553" i="1"/>
  <c r="F2552" i="1"/>
  <c r="C2552" i="1"/>
  <c r="F2551" i="1"/>
  <c r="C2551" i="1"/>
  <c r="F2550" i="1"/>
  <c r="C2550" i="1"/>
  <c r="F2549" i="1"/>
  <c r="C2549" i="1"/>
  <c r="F2548" i="1"/>
  <c r="F2547" i="1"/>
  <c r="C2547" i="1"/>
  <c r="F2546" i="1"/>
  <c r="C2546" i="1"/>
  <c r="F2545" i="1"/>
  <c r="C2545" i="1"/>
  <c r="F2544" i="1"/>
  <c r="F2543" i="1"/>
  <c r="F2542" i="1"/>
  <c r="F2541" i="1"/>
  <c r="F2540" i="1"/>
  <c r="F2539" i="1"/>
  <c r="C2539" i="1"/>
  <c r="C2538" i="1"/>
  <c r="F2537" i="1"/>
  <c r="C2537" i="1"/>
  <c r="F2536" i="1"/>
  <c r="C2536" i="1"/>
  <c r="F2535" i="1"/>
  <c r="C2535" i="1"/>
  <c r="F2534" i="1"/>
  <c r="C2534" i="1"/>
  <c r="F2533" i="1"/>
  <c r="C2533" i="1"/>
  <c r="F2532" i="1"/>
  <c r="C2532" i="1"/>
  <c r="F2531" i="1"/>
  <c r="C2531" i="1"/>
  <c r="F2530" i="1"/>
  <c r="C2530" i="1"/>
  <c r="F2529" i="1"/>
  <c r="F2528" i="1"/>
  <c r="C2528" i="1"/>
  <c r="F2527" i="1"/>
  <c r="C2527" i="1"/>
  <c r="F2526" i="1"/>
  <c r="C2526" i="1"/>
  <c r="F2525" i="1"/>
  <c r="C2525" i="1"/>
  <c r="F2524" i="1"/>
  <c r="C2524" i="1"/>
  <c r="F2523" i="1"/>
  <c r="C2523" i="1"/>
  <c r="F2522" i="1"/>
  <c r="C2522" i="1"/>
  <c r="F2521" i="1"/>
  <c r="C2521" i="1"/>
  <c r="F2520" i="1"/>
  <c r="C2520" i="1"/>
  <c r="F2519" i="1"/>
  <c r="C2519" i="1"/>
  <c r="F2518" i="1"/>
  <c r="C2518" i="1"/>
  <c r="F2517" i="1"/>
  <c r="F2515" i="1"/>
  <c r="F2514" i="1"/>
  <c r="C2514" i="1"/>
  <c r="F2513" i="1"/>
  <c r="C2512" i="1"/>
  <c r="F2511" i="1"/>
  <c r="C2511" i="1"/>
  <c r="F2510" i="1"/>
  <c r="F2509" i="1"/>
  <c r="C2509" i="1"/>
  <c r="F2508" i="1"/>
  <c r="F2507" i="1"/>
  <c r="F2506" i="1"/>
  <c r="C2506" i="1"/>
  <c r="F2505" i="1"/>
  <c r="C2505" i="1"/>
  <c r="F2503" i="1"/>
  <c r="F2502" i="1"/>
  <c r="F2501" i="1"/>
  <c r="F2500" i="1"/>
  <c r="F2498" i="1"/>
  <c r="C2498" i="1"/>
  <c r="F2497" i="1"/>
  <c r="F2496" i="1"/>
  <c r="F2495" i="1"/>
  <c r="C2495" i="1"/>
  <c r="F2494" i="1"/>
  <c r="C2494" i="1"/>
  <c r="F2493" i="1"/>
  <c r="F2492" i="1"/>
  <c r="C2492" i="1"/>
  <c r="F2491" i="1"/>
  <c r="F2490" i="1"/>
  <c r="C2490" i="1"/>
  <c r="F2489" i="1"/>
  <c r="F2488" i="1"/>
  <c r="F2487" i="1"/>
  <c r="C2487" i="1"/>
  <c r="F2486" i="1"/>
  <c r="F2485" i="1"/>
  <c r="C2485" i="1"/>
  <c r="F2484" i="1"/>
  <c r="C2484" i="1"/>
  <c r="F2483" i="1"/>
  <c r="C2483" i="1"/>
  <c r="F2482" i="1"/>
  <c r="C2482" i="1"/>
  <c r="F2481" i="1"/>
  <c r="C2481" i="1"/>
  <c r="F2480" i="1"/>
  <c r="F2479" i="1"/>
  <c r="C2479" i="1"/>
  <c r="C2478" i="1"/>
  <c r="F2477" i="1"/>
  <c r="F2476" i="1"/>
  <c r="F2475" i="1"/>
  <c r="C2475" i="1"/>
  <c r="F2474" i="1"/>
  <c r="C2474" i="1"/>
  <c r="F2473" i="1"/>
  <c r="F2472" i="1"/>
  <c r="F2471" i="1"/>
  <c r="C2471" i="1"/>
  <c r="F2470" i="1"/>
  <c r="C2470" i="1"/>
  <c r="F2469" i="1"/>
  <c r="C2469" i="1"/>
  <c r="F2468" i="1"/>
  <c r="C2468" i="1"/>
  <c r="F2467" i="1"/>
  <c r="F2466" i="1"/>
  <c r="C2466" i="1"/>
  <c r="F2465" i="1"/>
  <c r="C2465" i="1"/>
  <c r="F2464" i="1"/>
  <c r="C2464" i="1"/>
  <c r="F2463" i="1"/>
  <c r="C2463" i="1"/>
  <c r="F2462" i="1"/>
  <c r="F2461" i="1"/>
  <c r="C2461" i="1"/>
  <c r="C2460" i="1"/>
  <c r="F2459" i="1"/>
  <c r="F2458" i="1"/>
  <c r="C2458" i="1"/>
  <c r="F2457" i="1"/>
  <c r="C2457" i="1"/>
  <c r="F2456" i="1"/>
  <c r="F2455" i="1"/>
  <c r="F2454" i="1"/>
  <c r="F2453" i="1"/>
  <c r="F2452" i="1"/>
  <c r="F2451" i="1"/>
  <c r="C2451" i="1"/>
  <c r="F2450" i="1"/>
  <c r="C2450" i="1"/>
  <c r="F2449" i="1"/>
  <c r="C2449" i="1"/>
  <c r="F2448" i="1"/>
  <c r="C2448" i="1"/>
  <c r="F2447" i="1"/>
  <c r="C2447" i="1"/>
  <c r="F2446" i="1"/>
  <c r="C2446" i="1"/>
  <c r="F2445" i="1"/>
  <c r="C2445" i="1"/>
  <c r="F2444" i="1"/>
  <c r="C2444" i="1"/>
  <c r="F2443" i="1"/>
  <c r="F2442" i="1"/>
  <c r="C2442" i="1"/>
  <c r="F2440" i="1"/>
  <c r="C2440" i="1"/>
  <c r="F2439" i="1"/>
  <c r="C2439" i="1"/>
  <c r="F2438" i="1"/>
  <c r="F2436" i="1"/>
  <c r="C2436" i="1"/>
  <c r="F2435" i="1"/>
  <c r="F2434" i="1"/>
  <c r="C2434" i="1"/>
  <c r="F2433" i="1"/>
  <c r="F2432" i="1"/>
  <c r="F2431" i="1"/>
  <c r="C2431" i="1"/>
  <c r="F2430" i="1"/>
  <c r="F2429" i="1"/>
  <c r="C2429" i="1"/>
  <c r="F2428" i="1"/>
  <c r="F2427" i="1"/>
  <c r="F2426" i="1"/>
  <c r="F2425" i="1"/>
  <c r="F2424" i="1"/>
  <c r="F2423" i="1"/>
  <c r="C2423" i="1"/>
  <c r="F2422" i="1"/>
  <c r="F2421" i="1"/>
  <c r="F2420" i="1"/>
  <c r="C2420" i="1"/>
  <c r="F2419" i="1"/>
  <c r="C2419" i="1"/>
  <c r="F2418" i="1"/>
  <c r="C2418" i="1"/>
  <c r="F2417" i="1"/>
  <c r="C2417" i="1"/>
  <c r="F2416" i="1"/>
  <c r="F2415" i="1"/>
  <c r="C2415" i="1"/>
  <c r="F2414" i="1"/>
  <c r="C2414" i="1"/>
  <c r="F2413" i="1"/>
  <c r="C2413" i="1"/>
  <c r="F2412" i="1"/>
  <c r="F2411" i="1"/>
  <c r="F2410" i="1"/>
  <c r="F2409" i="1"/>
  <c r="C2409" i="1"/>
  <c r="F2408" i="1"/>
  <c r="F2407" i="1"/>
  <c r="C2407" i="1"/>
  <c r="F2406" i="1"/>
  <c r="F2405" i="1"/>
  <c r="C2405" i="1"/>
  <c r="F2404" i="1"/>
  <c r="C2404" i="1"/>
  <c r="C2402" i="1"/>
  <c r="F2401" i="1"/>
  <c r="F2400" i="1"/>
  <c r="F2399" i="1"/>
  <c r="F2398" i="1"/>
  <c r="F2397" i="1"/>
  <c r="C2397" i="1"/>
  <c r="F2396" i="1"/>
  <c r="F2395" i="1"/>
  <c r="C2395" i="1"/>
  <c r="F2394" i="1"/>
  <c r="C2394" i="1"/>
  <c r="F2393" i="1"/>
  <c r="F2392" i="1"/>
  <c r="C2392" i="1"/>
  <c r="F2391" i="1"/>
  <c r="C2391" i="1"/>
  <c r="F2389" i="1"/>
  <c r="C2389" i="1"/>
  <c r="F2388" i="1"/>
  <c r="C2388" i="1"/>
  <c r="F2387" i="1"/>
  <c r="F2386" i="1"/>
  <c r="C2386" i="1"/>
  <c r="C2385" i="1"/>
  <c r="F2384" i="1"/>
  <c r="F2382" i="1"/>
  <c r="C2382" i="1"/>
  <c r="F2381" i="1"/>
  <c r="C2381" i="1"/>
  <c r="F2380" i="1"/>
  <c r="C2380" i="1"/>
  <c r="F2379" i="1"/>
  <c r="C2379" i="1"/>
  <c r="F2378" i="1"/>
  <c r="F2377" i="1"/>
  <c r="C2377" i="1"/>
  <c r="F2376" i="1"/>
  <c r="C2376" i="1"/>
  <c r="F2375" i="1"/>
  <c r="F2374" i="1"/>
  <c r="F2373" i="1"/>
  <c r="C2373" i="1"/>
  <c r="F2372" i="1"/>
  <c r="F2371" i="1"/>
  <c r="C2371" i="1"/>
  <c r="F2370" i="1"/>
  <c r="C2370" i="1"/>
  <c r="F2369" i="1"/>
  <c r="C2369" i="1"/>
  <c r="F2368" i="1"/>
  <c r="F2367" i="1"/>
  <c r="C2367" i="1"/>
  <c r="F2366" i="1"/>
  <c r="C2366" i="1"/>
  <c r="F2365" i="1"/>
  <c r="C2365" i="1"/>
  <c r="F2364" i="1"/>
  <c r="C2364" i="1"/>
  <c r="F2363" i="1"/>
  <c r="F2362" i="1"/>
  <c r="F2361" i="1"/>
  <c r="C2361" i="1"/>
  <c r="F2360" i="1"/>
  <c r="C2360" i="1"/>
  <c r="C2359" i="1"/>
  <c r="F2358" i="1"/>
  <c r="C2358" i="1"/>
  <c r="F2357" i="1"/>
  <c r="C2357" i="1"/>
  <c r="F2356" i="1"/>
  <c r="F2355" i="1"/>
  <c r="C2355" i="1"/>
  <c r="F2354" i="1"/>
  <c r="F2353" i="1"/>
  <c r="C2353" i="1"/>
  <c r="F2352" i="1"/>
  <c r="C2352" i="1"/>
  <c r="F2351" i="1"/>
  <c r="C2351" i="1"/>
  <c r="F2350" i="1"/>
  <c r="F2349" i="1"/>
  <c r="C2349" i="1"/>
  <c r="F2348" i="1"/>
  <c r="F2347" i="1"/>
  <c r="C2347" i="1"/>
  <c r="F2346" i="1"/>
  <c r="C2346" i="1"/>
  <c r="F2345" i="1"/>
  <c r="C2345" i="1"/>
  <c r="F2344" i="1"/>
  <c r="F2343" i="1"/>
  <c r="F2342" i="1"/>
  <c r="F2341" i="1"/>
  <c r="C2341" i="1"/>
  <c r="F2340" i="1"/>
  <c r="C2340" i="1"/>
  <c r="F2339" i="1"/>
  <c r="C2339" i="1"/>
  <c r="F2338" i="1"/>
  <c r="C2338" i="1"/>
  <c r="F2337" i="1"/>
  <c r="F2336" i="1"/>
  <c r="C2336" i="1"/>
  <c r="F2335" i="1"/>
  <c r="C2335" i="1"/>
  <c r="F2334" i="1"/>
  <c r="C2334" i="1"/>
  <c r="F2333" i="1"/>
  <c r="F2332" i="1"/>
  <c r="C2332" i="1"/>
  <c r="F2331" i="1"/>
  <c r="F2330" i="1"/>
  <c r="F2329" i="1"/>
  <c r="C2329" i="1"/>
  <c r="C2328" i="1"/>
  <c r="F2327" i="1"/>
  <c r="F2326" i="1"/>
  <c r="C2326" i="1"/>
  <c r="F2325" i="1"/>
  <c r="C2325" i="1"/>
  <c r="F2324" i="1"/>
  <c r="C2324" i="1"/>
  <c r="C2323" i="1"/>
  <c r="F2322" i="1"/>
  <c r="C2322" i="1"/>
  <c r="F2321" i="1"/>
  <c r="C2321" i="1"/>
  <c r="F2320" i="1"/>
  <c r="C2320" i="1"/>
  <c r="F2319" i="1"/>
  <c r="F2318" i="1"/>
  <c r="C2318" i="1"/>
  <c r="F2317" i="1"/>
  <c r="C2317" i="1"/>
  <c r="F2316" i="1"/>
  <c r="C2315" i="1"/>
  <c r="F2314" i="1"/>
  <c r="F2313" i="1"/>
  <c r="C2313" i="1"/>
  <c r="F2312" i="1"/>
  <c r="C2312" i="1"/>
  <c r="F2311" i="1"/>
  <c r="C2311" i="1"/>
  <c r="F2310" i="1"/>
  <c r="C2310" i="1"/>
  <c r="F2309" i="1"/>
  <c r="C2309" i="1"/>
  <c r="F2308" i="1"/>
  <c r="C2308" i="1"/>
  <c r="F2307" i="1"/>
  <c r="C2307" i="1"/>
  <c r="F2306" i="1"/>
  <c r="F2305" i="1"/>
  <c r="F2304" i="1"/>
  <c r="F2303" i="1"/>
  <c r="F2302" i="1"/>
  <c r="C2302" i="1"/>
  <c r="F2301" i="1"/>
  <c r="C2301" i="1"/>
  <c r="F2300" i="1"/>
  <c r="F2299" i="1"/>
  <c r="F2298" i="1"/>
  <c r="F2297" i="1"/>
  <c r="C2297" i="1"/>
  <c r="C2296" i="1"/>
  <c r="F2295" i="1"/>
  <c r="C2295" i="1"/>
  <c r="F2294" i="1"/>
  <c r="C2294" i="1"/>
  <c r="F2293" i="1"/>
  <c r="C2293" i="1"/>
  <c r="F2292" i="1"/>
  <c r="F2291" i="1"/>
  <c r="F2290" i="1"/>
  <c r="C2290" i="1"/>
  <c r="F2289" i="1"/>
  <c r="C2289" i="1"/>
  <c r="F2288" i="1"/>
  <c r="F2287" i="1"/>
  <c r="C2287" i="1"/>
  <c r="F2286" i="1"/>
  <c r="C2286" i="1"/>
  <c r="F2285" i="1"/>
  <c r="F2284" i="1"/>
  <c r="C2284" i="1"/>
  <c r="C2283" i="1"/>
  <c r="F2282" i="1"/>
  <c r="F2281" i="1"/>
  <c r="C2281" i="1"/>
  <c r="F2280" i="1"/>
  <c r="C2280" i="1"/>
  <c r="F2279" i="1"/>
  <c r="C2279" i="1"/>
  <c r="F2278" i="1"/>
  <c r="F2277" i="1"/>
  <c r="F2276" i="1"/>
  <c r="C2276" i="1"/>
  <c r="F2275" i="1"/>
  <c r="C2275" i="1"/>
  <c r="F2274" i="1"/>
  <c r="F2273" i="1"/>
  <c r="F2272" i="1"/>
  <c r="F2271" i="1"/>
  <c r="C2271" i="1"/>
  <c r="F2270" i="1"/>
  <c r="C2270" i="1"/>
  <c r="C2269" i="1"/>
  <c r="F2268" i="1"/>
  <c r="C2268" i="1"/>
  <c r="F2267" i="1"/>
  <c r="C2267" i="1"/>
  <c r="F2266" i="1"/>
  <c r="C2266" i="1"/>
  <c r="F2265" i="1"/>
  <c r="F2264" i="1"/>
  <c r="C2264" i="1"/>
  <c r="F2263" i="1"/>
  <c r="C2263" i="1"/>
  <c r="F2262" i="1"/>
  <c r="F2261" i="1"/>
  <c r="C2261" i="1"/>
  <c r="F2260" i="1"/>
  <c r="F2259" i="1"/>
  <c r="C2259" i="1"/>
  <c r="F2258" i="1"/>
  <c r="F2257" i="1"/>
  <c r="F2256" i="1"/>
  <c r="C2256" i="1"/>
  <c r="F2255" i="1"/>
  <c r="C2255" i="1"/>
  <c r="F2254" i="1"/>
  <c r="C2254" i="1"/>
  <c r="F2253" i="1"/>
  <c r="C2253" i="1"/>
  <c r="F2252" i="1"/>
  <c r="F2251" i="1"/>
  <c r="C2251" i="1"/>
  <c r="F2250" i="1"/>
  <c r="F2249" i="1"/>
  <c r="C2249" i="1"/>
  <c r="F2248" i="1"/>
  <c r="C2248" i="1"/>
  <c r="F2247" i="1"/>
  <c r="F2246" i="1"/>
  <c r="C2246" i="1"/>
  <c r="F2245" i="1"/>
  <c r="C2245" i="1"/>
  <c r="F2244" i="1"/>
  <c r="C2244" i="1"/>
  <c r="C2243" i="1"/>
  <c r="F2242" i="1"/>
  <c r="C2242" i="1"/>
  <c r="C2241" i="1"/>
  <c r="F2240" i="1"/>
  <c r="C2240" i="1"/>
  <c r="F2239" i="1"/>
  <c r="F2238" i="1"/>
  <c r="C2238" i="1"/>
  <c r="F2237" i="1"/>
  <c r="C2237" i="1"/>
  <c r="F2236" i="1"/>
  <c r="C2236" i="1"/>
  <c r="F2235" i="1"/>
  <c r="C2235" i="1"/>
  <c r="F2234" i="1"/>
  <c r="C2234" i="1"/>
  <c r="F2233" i="1"/>
  <c r="F2232" i="1"/>
  <c r="C2232" i="1"/>
  <c r="F2231" i="1"/>
  <c r="F2230" i="1"/>
  <c r="C2230" i="1"/>
  <c r="F2229" i="1"/>
  <c r="C2229" i="1"/>
  <c r="F2228" i="1"/>
  <c r="F2227" i="1"/>
  <c r="C2227" i="1"/>
  <c r="F2226" i="1"/>
  <c r="C2226" i="1"/>
  <c r="F2225" i="1"/>
  <c r="F2224" i="1"/>
  <c r="C2224" i="1"/>
  <c r="F2223" i="1"/>
  <c r="F2222" i="1"/>
  <c r="C2222" i="1"/>
  <c r="F2221" i="1"/>
  <c r="C2221" i="1"/>
  <c r="F2220" i="1"/>
  <c r="F2219" i="1"/>
  <c r="C2219" i="1"/>
  <c r="F2218" i="1"/>
  <c r="C2218" i="1"/>
  <c r="F2217" i="1"/>
  <c r="F2216" i="1"/>
  <c r="C2216" i="1"/>
  <c r="F2215" i="1"/>
  <c r="C2215" i="1"/>
  <c r="F2214" i="1"/>
  <c r="C2214" i="1"/>
  <c r="F2213" i="1"/>
  <c r="F2212" i="1"/>
  <c r="F2211" i="1"/>
  <c r="C2211" i="1"/>
  <c r="F2210" i="1"/>
  <c r="C2210" i="1"/>
  <c r="F2209" i="1"/>
  <c r="F2208" i="1"/>
  <c r="C2208" i="1"/>
  <c r="F2207" i="1"/>
  <c r="C2207" i="1"/>
  <c r="F2206" i="1"/>
  <c r="C2206" i="1"/>
  <c r="F2205" i="1"/>
  <c r="C2205" i="1"/>
  <c r="F2204" i="1"/>
  <c r="F2203" i="1"/>
  <c r="F2202" i="1"/>
  <c r="C2202" i="1"/>
  <c r="F2201" i="1"/>
  <c r="C2201" i="1"/>
  <c r="F2200" i="1"/>
  <c r="C2200" i="1"/>
  <c r="F2199" i="1"/>
  <c r="F2198" i="1"/>
  <c r="C2198" i="1"/>
  <c r="F2197" i="1"/>
  <c r="F2196" i="1"/>
  <c r="C2196" i="1"/>
  <c r="F2195" i="1"/>
  <c r="C2195" i="1"/>
  <c r="F2194" i="1"/>
  <c r="F2193" i="1"/>
  <c r="C2193" i="1"/>
  <c r="F2192" i="1"/>
  <c r="C2192" i="1"/>
  <c r="F2191" i="1"/>
  <c r="F2190" i="1"/>
  <c r="F2189" i="1"/>
  <c r="F2188" i="1"/>
  <c r="C2188" i="1"/>
  <c r="F2187" i="1"/>
  <c r="C2187" i="1"/>
  <c r="C2186" i="1"/>
  <c r="F2185" i="1"/>
  <c r="F2184" i="1"/>
  <c r="C2184" i="1"/>
  <c r="F2183" i="1"/>
  <c r="C2183" i="1"/>
  <c r="F2182" i="1"/>
  <c r="C2182" i="1"/>
  <c r="F2181" i="1"/>
  <c r="F2180" i="1"/>
  <c r="C2180" i="1"/>
  <c r="F2179" i="1"/>
  <c r="F2178" i="1"/>
  <c r="F2177" i="1"/>
  <c r="C2177" i="1"/>
  <c r="F2176" i="1"/>
  <c r="C2176" i="1"/>
  <c r="F2175" i="1"/>
  <c r="C2175" i="1"/>
  <c r="C2174" i="1"/>
  <c r="F2173" i="1"/>
  <c r="C2173" i="1"/>
  <c r="F2172" i="1"/>
  <c r="C2172" i="1"/>
  <c r="F2171" i="1"/>
  <c r="C2171" i="1"/>
  <c r="F2170" i="1"/>
  <c r="C2170" i="1"/>
  <c r="F2169" i="1"/>
  <c r="C2169" i="1"/>
  <c r="F2168" i="1"/>
  <c r="F2167" i="1"/>
  <c r="C2167" i="1"/>
  <c r="F2166" i="1"/>
  <c r="F2165" i="1"/>
  <c r="F2164" i="1"/>
  <c r="C2164" i="1"/>
  <c r="F2163" i="1"/>
  <c r="C2163" i="1"/>
  <c r="C2162" i="1"/>
  <c r="F2161" i="1"/>
  <c r="F2160" i="1"/>
  <c r="C2159" i="1"/>
  <c r="F2158" i="1"/>
  <c r="F2157" i="1"/>
  <c r="C2157" i="1"/>
  <c r="F2156" i="1"/>
  <c r="F2155" i="1"/>
  <c r="F2154" i="1"/>
  <c r="F2153" i="1"/>
  <c r="F2152" i="1"/>
  <c r="C2152" i="1"/>
  <c r="F2151" i="1"/>
  <c r="C2151" i="1"/>
  <c r="F2150" i="1"/>
  <c r="C2150" i="1"/>
  <c r="F2149" i="1"/>
  <c r="F2148" i="1"/>
  <c r="C2148" i="1"/>
  <c r="F2147" i="1"/>
  <c r="C2147" i="1"/>
  <c r="F2146" i="1"/>
  <c r="C2146" i="1"/>
  <c r="F2145" i="1"/>
  <c r="F2144" i="1"/>
  <c r="F2143" i="1"/>
  <c r="F2142" i="1"/>
  <c r="F2141" i="1"/>
  <c r="F2140" i="1"/>
  <c r="C2140" i="1"/>
  <c r="F2139" i="1"/>
  <c r="C2139" i="1"/>
  <c r="F2138" i="1"/>
  <c r="C2138" i="1"/>
  <c r="F2137" i="1"/>
  <c r="C2137" i="1"/>
  <c r="F2136" i="1"/>
  <c r="C2136" i="1"/>
  <c r="F2135" i="1"/>
  <c r="F2134" i="1"/>
  <c r="F2133" i="1"/>
  <c r="F2132" i="1"/>
  <c r="F2131" i="1"/>
  <c r="C2131" i="1"/>
  <c r="F2130" i="1"/>
  <c r="C2130" i="1"/>
  <c r="F2129" i="1"/>
  <c r="F2128" i="1"/>
  <c r="F2127" i="1"/>
  <c r="F2126" i="1"/>
  <c r="C2126" i="1"/>
  <c r="F2125" i="1"/>
  <c r="C2125" i="1"/>
  <c r="F2124" i="1"/>
  <c r="F2123" i="1"/>
  <c r="F2122" i="1"/>
  <c r="C2122" i="1"/>
  <c r="F2121" i="1"/>
  <c r="C2121" i="1"/>
  <c r="F2120" i="1"/>
  <c r="C2120" i="1"/>
  <c r="F2119" i="1"/>
  <c r="C2119" i="1"/>
  <c r="F2118" i="1"/>
  <c r="F2117" i="1"/>
  <c r="F2116" i="1"/>
  <c r="C2116" i="1"/>
  <c r="F2115" i="1"/>
  <c r="F2114" i="1"/>
  <c r="C2114" i="1"/>
  <c r="C2113" i="1"/>
  <c r="C2112" i="1"/>
  <c r="F2111" i="1"/>
  <c r="C2111" i="1"/>
  <c r="F2110" i="1"/>
  <c r="C2110" i="1"/>
  <c r="F2109" i="1"/>
  <c r="F2108" i="1"/>
  <c r="F2107" i="1"/>
  <c r="C2107" i="1"/>
  <c r="F2106" i="1"/>
  <c r="C2106" i="1"/>
  <c r="F2105" i="1"/>
  <c r="F2103" i="1"/>
  <c r="C2103" i="1"/>
  <c r="F2102" i="1"/>
  <c r="C2102" i="1"/>
  <c r="F2101" i="1"/>
  <c r="C2101" i="1"/>
  <c r="F2100" i="1"/>
  <c r="C2100" i="1"/>
  <c r="F2099" i="1"/>
  <c r="F2098" i="1"/>
  <c r="C2098" i="1"/>
  <c r="F2097" i="1"/>
  <c r="C2097" i="1"/>
  <c r="F2096" i="1"/>
  <c r="F2095" i="1"/>
  <c r="C2095" i="1"/>
  <c r="F2094" i="1"/>
  <c r="C2094" i="1"/>
  <c r="F2093" i="1"/>
  <c r="F2092" i="1"/>
  <c r="C2092" i="1"/>
  <c r="F2091" i="1"/>
  <c r="C2091" i="1"/>
  <c r="F2090" i="1"/>
  <c r="C2090" i="1"/>
  <c r="F2089" i="1"/>
  <c r="C2089" i="1"/>
  <c r="F2088" i="1"/>
  <c r="C2087" i="1"/>
  <c r="F2086" i="1"/>
  <c r="C2086" i="1"/>
  <c r="F2085" i="1"/>
  <c r="F2084" i="1"/>
  <c r="F2083" i="1"/>
  <c r="F2082" i="1"/>
  <c r="C2082" i="1"/>
  <c r="F2081" i="1"/>
  <c r="F2080" i="1"/>
  <c r="F2079" i="1"/>
  <c r="C2079" i="1"/>
  <c r="F2078" i="1"/>
  <c r="C2078" i="1"/>
  <c r="F2077" i="1"/>
  <c r="F2076" i="1"/>
  <c r="C2076" i="1"/>
  <c r="F2075" i="1"/>
  <c r="F2074" i="1"/>
  <c r="C2073" i="1"/>
  <c r="F2072" i="1"/>
  <c r="C2072" i="1"/>
  <c r="F2071" i="1"/>
  <c r="C2071" i="1"/>
  <c r="F2070" i="1"/>
  <c r="C2070" i="1"/>
  <c r="F2069" i="1"/>
  <c r="F2068" i="1"/>
  <c r="F2067" i="1"/>
  <c r="C2067" i="1"/>
  <c r="F2066" i="1"/>
  <c r="C2066" i="1"/>
  <c r="F2065" i="1"/>
  <c r="C2065" i="1"/>
  <c r="F2064" i="1"/>
  <c r="C2064" i="1"/>
  <c r="F2063" i="1"/>
  <c r="C2063" i="1"/>
  <c r="F2062" i="1"/>
  <c r="C2062" i="1"/>
  <c r="F2061" i="1"/>
  <c r="F2060" i="1"/>
  <c r="C2060" i="1"/>
  <c r="F2059" i="1"/>
  <c r="C2059" i="1"/>
  <c r="F2058" i="1"/>
  <c r="F2057" i="1"/>
  <c r="C2057" i="1"/>
  <c r="C2056" i="1"/>
  <c r="F2055" i="1"/>
  <c r="C2055" i="1"/>
  <c r="F2054" i="1"/>
  <c r="C2054" i="1"/>
  <c r="F2053" i="1"/>
  <c r="C2053" i="1"/>
  <c r="F2052" i="1"/>
  <c r="C2052" i="1"/>
  <c r="C2051" i="1"/>
  <c r="F2050" i="1"/>
  <c r="C2050" i="1"/>
  <c r="F2049" i="1"/>
  <c r="C2049" i="1"/>
  <c r="F2048" i="1"/>
  <c r="C2048" i="1"/>
  <c r="F2047" i="1"/>
  <c r="C2047" i="1"/>
  <c r="F2046" i="1"/>
  <c r="C2046" i="1"/>
  <c r="F2045" i="1"/>
  <c r="C2045" i="1"/>
  <c r="F2044" i="1"/>
  <c r="C2044" i="1"/>
  <c r="F2043" i="1"/>
  <c r="C2043" i="1"/>
  <c r="F2042" i="1"/>
  <c r="F2041" i="1"/>
  <c r="F2040" i="1"/>
  <c r="F2039" i="1"/>
  <c r="C2039" i="1"/>
  <c r="F2038" i="1"/>
  <c r="C2038" i="1"/>
  <c r="F2037" i="1"/>
  <c r="F2036" i="1"/>
  <c r="C2036" i="1"/>
  <c r="F2035" i="1"/>
  <c r="F2034" i="1"/>
  <c r="C2034" i="1"/>
  <c r="F2033" i="1"/>
  <c r="C2033" i="1"/>
  <c r="F2032" i="1"/>
  <c r="C2032" i="1"/>
  <c r="F2031" i="1"/>
  <c r="C2031" i="1"/>
  <c r="F2030" i="1"/>
  <c r="C2030" i="1"/>
  <c r="F2029" i="1"/>
  <c r="C2029" i="1"/>
  <c r="F2028" i="1"/>
  <c r="C2028" i="1"/>
  <c r="F2027" i="1"/>
  <c r="C2027" i="1"/>
  <c r="F2026" i="1"/>
  <c r="C2026" i="1"/>
  <c r="F2025" i="1"/>
  <c r="C2025" i="1"/>
  <c r="F2024" i="1"/>
  <c r="F2023" i="1"/>
  <c r="C2023" i="1"/>
  <c r="F2022" i="1"/>
  <c r="C2022" i="1"/>
  <c r="F2021" i="1"/>
  <c r="F2020" i="1"/>
  <c r="C2020" i="1"/>
  <c r="F2019" i="1"/>
  <c r="F2018" i="1"/>
  <c r="F2017" i="1"/>
  <c r="C2017" i="1"/>
  <c r="F2016" i="1"/>
  <c r="C2016" i="1"/>
  <c r="F2015" i="1"/>
  <c r="F2014" i="1"/>
  <c r="C2014" i="1"/>
  <c r="F2013" i="1"/>
  <c r="C2013" i="1"/>
  <c r="F2012" i="1"/>
  <c r="C2012" i="1"/>
  <c r="F2011" i="1"/>
  <c r="F2010" i="1"/>
  <c r="C2010" i="1"/>
  <c r="F2009" i="1"/>
  <c r="F2008" i="1"/>
  <c r="C2007" i="1"/>
  <c r="F2006" i="1"/>
  <c r="C2006" i="1"/>
  <c r="F2005" i="1"/>
  <c r="C2005" i="1"/>
  <c r="F2004" i="1"/>
  <c r="C2004" i="1"/>
  <c r="F2003" i="1"/>
  <c r="C2003" i="1"/>
  <c r="F2002" i="1"/>
  <c r="C2002" i="1"/>
  <c r="F2001" i="1"/>
  <c r="C2001" i="1"/>
  <c r="F2000" i="1"/>
  <c r="C2000" i="1"/>
  <c r="F1999" i="1"/>
  <c r="F1998" i="1"/>
  <c r="C1998" i="1"/>
  <c r="F1997" i="1"/>
  <c r="C1997" i="1"/>
  <c r="C1996" i="1"/>
  <c r="F1995" i="1"/>
  <c r="C1995" i="1"/>
  <c r="F1994" i="1"/>
  <c r="C1994" i="1"/>
  <c r="F1993" i="1"/>
  <c r="F1992" i="1"/>
  <c r="C1992" i="1"/>
  <c r="F1991" i="1"/>
  <c r="C1991" i="1"/>
  <c r="F1990" i="1"/>
  <c r="C1990" i="1"/>
  <c r="F1989" i="1"/>
  <c r="C1989" i="1"/>
  <c r="F1988" i="1"/>
  <c r="C1987" i="1"/>
  <c r="F1986" i="1"/>
  <c r="C1986" i="1"/>
  <c r="F1985" i="1"/>
  <c r="F1983" i="1"/>
  <c r="C1983" i="1"/>
  <c r="F1982" i="1"/>
  <c r="C1981" i="1"/>
  <c r="F1980" i="1"/>
  <c r="F1979" i="1"/>
  <c r="C1979" i="1"/>
  <c r="F1978" i="1"/>
  <c r="F1977" i="1"/>
  <c r="C1977" i="1"/>
  <c r="F1976" i="1"/>
  <c r="C1976" i="1"/>
  <c r="F1975" i="1"/>
  <c r="C1975" i="1"/>
  <c r="C1974" i="1"/>
  <c r="F1973" i="1"/>
  <c r="C1973" i="1"/>
  <c r="F1972" i="1"/>
  <c r="C1972" i="1"/>
  <c r="C1971" i="1"/>
  <c r="F1970" i="1"/>
  <c r="F1969" i="1"/>
  <c r="F1968" i="1"/>
  <c r="C1968" i="1"/>
  <c r="F1967" i="1"/>
  <c r="C1967" i="1"/>
  <c r="F1966" i="1"/>
  <c r="C1966" i="1"/>
  <c r="F1965" i="1"/>
  <c r="C1965" i="1"/>
  <c r="F1964" i="1"/>
  <c r="F1963" i="1"/>
  <c r="F1962" i="1"/>
  <c r="C1962" i="1"/>
  <c r="F1961" i="1"/>
  <c r="F1960" i="1"/>
  <c r="C1960" i="1"/>
  <c r="F1959" i="1"/>
  <c r="F1958" i="1"/>
  <c r="C1958" i="1"/>
  <c r="F1957" i="1"/>
  <c r="C1957" i="1"/>
  <c r="F1956" i="1"/>
  <c r="C1956" i="1"/>
  <c r="F1955" i="1"/>
  <c r="C1955" i="1"/>
  <c r="F1954" i="1"/>
  <c r="C1954" i="1"/>
  <c r="F1953" i="1"/>
  <c r="C1953" i="1"/>
  <c r="F1952" i="1"/>
  <c r="C1952" i="1"/>
  <c r="F1951" i="1"/>
  <c r="C1951" i="1"/>
  <c r="F1950" i="1"/>
  <c r="C1950" i="1"/>
  <c r="F1949" i="1"/>
  <c r="C1949" i="1"/>
  <c r="F1948" i="1"/>
  <c r="F1947" i="1"/>
  <c r="C1947" i="1"/>
  <c r="F1946" i="1"/>
  <c r="C1946" i="1"/>
  <c r="F1945" i="1"/>
  <c r="C1945" i="1"/>
  <c r="F1944" i="1"/>
  <c r="C1944" i="1"/>
  <c r="F1943" i="1"/>
  <c r="C1943" i="1"/>
  <c r="F1942" i="1"/>
  <c r="C1942" i="1"/>
  <c r="F1941" i="1"/>
  <c r="C1941" i="1"/>
  <c r="F1940" i="1"/>
  <c r="F1939" i="1"/>
  <c r="C1939" i="1"/>
  <c r="F1938" i="1"/>
  <c r="C1938" i="1"/>
  <c r="F1937" i="1"/>
  <c r="C1937" i="1"/>
  <c r="F1936" i="1"/>
  <c r="F1935" i="1"/>
  <c r="C1935" i="1"/>
  <c r="C1934" i="1"/>
  <c r="F1933" i="1"/>
  <c r="F1932" i="1"/>
  <c r="F1931" i="1"/>
  <c r="C1931" i="1"/>
  <c r="F1930" i="1"/>
  <c r="C1930" i="1"/>
  <c r="F1929" i="1"/>
  <c r="C1929" i="1"/>
  <c r="F1928" i="1"/>
  <c r="C1928" i="1"/>
  <c r="F1927" i="1"/>
  <c r="C1927" i="1"/>
  <c r="F1926" i="1"/>
  <c r="C1926" i="1"/>
  <c r="F1925" i="1"/>
  <c r="F1924" i="1"/>
  <c r="C1924" i="1"/>
  <c r="C1923" i="1"/>
  <c r="F1922" i="1"/>
  <c r="C1922" i="1"/>
  <c r="F1921" i="1"/>
  <c r="C1921" i="1"/>
  <c r="F1920" i="1"/>
  <c r="C1920" i="1"/>
  <c r="F1919" i="1"/>
  <c r="F1918" i="1"/>
  <c r="C1918" i="1"/>
  <c r="F1917" i="1"/>
  <c r="F1916" i="1"/>
  <c r="C1916" i="1"/>
  <c r="F1915" i="1"/>
  <c r="F1914" i="1"/>
  <c r="C1913" i="1"/>
  <c r="F1912" i="1"/>
  <c r="C1912" i="1"/>
  <c r="F1911" i="1"/>
  <c r="C1911" i="1"/>
  <c r="F1910" i="1"/>
  <c r="C1910" i="1"/>
  <c r="F1909" i="1"/>
  <c r="C1909" i="1"/>
  <c r="F1908" i="1"/>
  <c r="F1907" i="1"/>
  <c r="F1906" i="1"/>
  <c r="C1906" i="1"/>
  <c r="F1905" i="1"/>
  <c r="C1905" i="1"/>
  <c r="F1904" i="1"/>
  <c r="F1903" i="1"/>
  <c r="C1902" i="1"/>
  <c r="C1901" i="1"/>
  <c r="C1900" i="1"/>
  <c r="C1899" i="1"/>
  <c r="C1898" i="1"/>
  <c r="C1897" i="1"/>
  <c r="C1896" i="1"/>
  <c r="C1895" i="1"/>
  <c r="C1894" i="1"/>
  <c r="C1892" i="1"/>
  <c r="C1890" i="1"/>
  <c r="C1889" i="1"/>
  <c r="F1888" i="1"/>
  <c r="F1887" i="1"/>
  <c r="C1887" i="1"/>
  <c r="F1886" i="1"/>
  <c r="C1886" i="1"/>
  <c r="F1885" i="1"/>
  <c r="C1885" i="1"/>
  <c r="F1884" i="1"/>
  <c r="C1884" i="1"/>
  <c r="F1883" i="1"/>
  <c r="C1883" i="1"/>
  <c r="F1882" i="1"/>
  <c r="F1881" i="1"/>
  <c r="C1881" i="1"/>
  <c r="F1880" i="1"/>
  <c r="F1879" i="1"/>
  <c r="F1878" i="1"/>
  <c r="C1878" i="1"/>
  <c r="F1877" i="1"/>
  <c r="C1877" i="1"/>
  <c r="F1876" i="1"/>
  <c r="C1876" i="1"/>
  <c r="F1875" i="1"/>
  <c r="F1874" i="1"/>
  <c r="F1873" i="1"/>
  <c r="C1873" i="1"/>
  <c r="F1872" i="1"/>
  <c r="C1872" i="1"/>
  <c r="F1871" i="1"/>
  <c r="C1871" i="1"/>
  <c r="C1870" i="1"/>
  <c r="F1869" i="1"/>
  <c r="C1869" i="1"/>
  <c r="F1868" i="1"/>
  <c r="F1867" i="1"/>
  <c r="C1867" i="1"/>
  <c r="F1866" i="1"/>
  <c r="F1865" i="1"/>
  <c r="C1865" i="1"/>
  <c r="F1864" i="1"/>
  <c r="C1864" i="1"/>
  <c r="F1863" i="1"/>
  <c r="C1863" i="1"/>
  <c r="F1862" i="1"/>
  <c r="C1862" i="1"/>
  <c r="F1861" i="1"/>
  <c r="C1861" i="1"/>
  <c r="F1860" i="1"/>
  <c r="F1859" i="1"/>
  <c r="F1858" i="1"/>
  <c r="C1858" i="1"/>
  <c r="F1857" i="1"/>
  <c r="C1857" i="1"/>
  <c r="F1856" i="1"/>
  <c r="F1855" i="1"/>
  <c r="C1855" i="1"/>
  <c r="F1854" i="1"/>
  <c r="F1853" i="1"/>
  <c r="C1853" i="1"/>
  <c r="F1852" i="1"/>
  <c r="F1851" i="1"/>
  <c r="C1851" i="1"/>
  <c r="C1850" i="1"/>
  <c r="F1849" i="1"/>
  <c r="C1849" i="1"/>
  <c r="F1848" i="1"/>
  <c r="F1847" i="1"/>
  <c r="C1847" i="1"/>
  <c r="F1846" i="1"/>
  <c r="F1845" i="1"/>
  <c r="C1845" i="1"/>
  <c r="F1844" i="1"/>
  <c r="F1843" i="1"/>
  <c r="F1842" i="1"/>
  <c r="F1841" i="1"/>
  <c r="C1841" i="1"/>
  <c r="F1840" i="1"/>
  <c r="F1839" i="1"/>
  <c r="C1839" i="1"/>
  <c r="F1838" i="1"/>
  <c r="C1838" i="1"/>
  <c r="F1837" i="1"/>
  <c r="C1837" i="1"/>
  <c r="F1836" i="1"/>
  <c r="F1835" i="1"/>
  <c r="C1835" i="1"/>
  <c r="F1834" i="1"/>
  <c r="F1833" i="1"/>
  <c r="C1833" i="1"/>
  <c r="F1832" i="1"/>
  <c r="F1831" i="1"/>
  <c r="C1831" i="1"/>
  <c r="F1830" i="1"/>
  <c r="C1830" i="1"/>
  <c r="F1829" i="1"/>
  <c r="F1828" i="1"/>
  <c r="C1828" i="1"/>
  <c r="F1827" i="1"/>
  <c r="F1826" i="1"/>
  <c r="C1826" i="1"/>
  <c r="F1825" i="1"/>
  <c r="F1824" i="1"/>
  <c r="C1824" i="1"/>
  <c r="F1823" i="1"/>
  <c r="F1822" i="1"/>
  <c r="C1822" i="1"/>
  <c r="F1821" i="1"/>
  <c r="C1821" i="1"/>
  <c r="F1820" i="1"/>
  <c r="F1819" i="1"/>
  <c r="C1819" i="1"/>
  <c r="F1818" i="1"/>
  <c r="C1818" i="1"/>
  <c r="F1817" i="1"/>
  <c r="F1816" i="1"/>
  <c r="C1815" i="1"/>
  <c r="F1814" i="1"/>
  <c r="C1814" i="1"/>
  <c r="F1813" i="1"/>
  <c r="C1813" i="1"/>
  <c r="F1812" i="1"/>
  <c r="C1811" i="1"/>
  <c r="F1810" i="1"/>
  <c r="C1810" i="1"/>
  <c r="F1809" i="1"/>
  <c r="C1809" i="1"/>
  <c r="F1808" i="1"/>
  <c r="F1807" i="1"/>
  <c r="F1806" i="1"/>
  <c r="F1805" i="1"/>
  <c r="C1805" i="1"/>
  <c r="F1804" i="1"/>
  <c r="F1803" i="1"/>
  <c r="F1802" i="1"/>
  <c r="F1801" i="1"/>
  <c r="C1801" i="1"/>
  <c r="F1800" i="1"/>
  <c r="C1800" i="1"/>
  <c r="F1799" i="1"/>
  <c r="C1799" i="1"/>
  <c r="F1798" i="1"/>
  <c r="C1798" i="1"/>
  <c r="C1797" i="1"/>
  <c r="F1796" i="1"/>
  <c r="F1795" i="1"/>
  <c r="C1795" i="1"/>
  <c r="F1794" i="1"/>
  <c r="F1793" i="1"/>
  <c r="C1793" i="1"/>
  <c r="F1792" i="1"/>
  <c r="C1792" i="1"/>
  <c r="F1791" i="1"/>
  <c r="C1791" i="1"/>
  <c r="F1790" i="1"/>
  <c r="C1790" i="1"/>
  <c r="F1789" i="1"/>
  <c r="C1789" i="1"/>
  <c r="F1788" i="1"/>
  <c r="C1788" i="1"/>
  <c r="F1787" i="1"/>
  <c r="C1787" i="1"/>
  <c r="F1786" i="1"/>
  <c r="C1786" i="1"/>
  <c r="F1785" i="1"/>
  <c r="F1784" i="1"/>
  <c r="F1783" i="1"/>
  <c r="F1782" i="1"/>
  <c r="C1782" i="1"/>
  <c r="F1781" i="1"/>
  <c r="F1780" i="1"/>
  <c r="F1779" i="1"/>
  <c r="F1778" i="1"/>
  <c r="F1777" i="1"/>
  <c r="C1777" i="1"/>
  <c r="F1776" i="1"/>
  <c r="C1776" i="1"/>
  <c r="F1775" i="1"/>
  <c r="C1775" i="1"/>
  <c r="F1774" i="1"/>
  <c r="C1774" i="1"/>
  <c r="F1773" i="1"/>
  <c r="C1773" i="1"/>
  <c r="F1772" i="1"/>
  <c r="F1771" i="1"/>
  <c r="F1770" i="1"/>
  <c r="C1770" i="1"/>
  <c r="F1769" i="1"/>
  <c r="C1769" i="1"/>
  <c r="F1768" i="1"/>
  <c r="C1768" i="1"/>
  <c r="F1767" i="1"/>
  <c r="C1767" i="1"/>
  <c r="F1766" i="1"/>
  <c r="C1766" i="1"/>
  <c r="F1765" i="1"/>
  <c r="C1765" i="1"/>
  <c r="F1764" i="1"/>
  <c r="C1764" i="1"/>
  <c r="F1763" i="1"/>
  <c r="F1762" i="1"/>
  <c r="C1762" i="1"/>
  <c r="F1761" i="1"/>
  <c r="F1760" i="1"/>
  <c r="C1760" i="1"/>
  <c r="F1759" i="1"/>
  <c r="C1759" i="1"/>
  <c r="F1758" i="1"/>
  <c r="C1758" i="1"/>
  <c r="F1757" i="1"/>
  <c r="F1756" i="1"/>
  <c r="C1756" i="1"/>
  <c r="F1755" i="1"/>
  <c r="C1755" i="1"/>
  <c r="F1754" i="1"/>
  <c r="F1753" i="1"/>
  <c r="C1753" i="1"/>
  <c r="C1752" i="1"/>
  <c r="F1751" i="1"/>
  <c r="C1751" i="1"/>
  <c r="F1750" i="1"/>
  <c r="C1750" i="1"/>
  <c r="F1749" i="1"/>
  <c r="F1748" i="1"/>
  <c r="C1748" i="1"/>
  <c r="F1747" i="1"/>
  <c r="F1746" i="1"/>
  <c r="C1746" i="1"/>
  <c r="F1745" i="1"/>
  <c r="C1745" i="1"/>
  <c r="F1744" i="1"/>
  <c r="C1744" i="1"/>
  <c r="F1743" i="1"/>
  <c r="F1742" i="1"/>
  <c r="C1742" i="1"/>
  <c r="F1741" i="1"/>
  <c r="C1741" i="1"/>
  <c r="F1740" i="1"/>
  <c r="C1740" i="1"/>
  <c r="F1739" i="1"/>
  <c r="C1739" i="1"/>
  <c r="C1738" i="1"/>
  <c r="C1737" i="1"/>
  <c r="F1736" i="1"/>
  <c r="F1735" i="1"/>
  <c r="C1735" i="1"/>
  <c r="F1734" i="1"/>
  <c r="F1733" i="1"/>
  <c r="C1733" i="1"/>
  <c r="F1732" i="1"/>
  <c r="F1731" i="1"/>
  <c r="F1730" i="1"/>
  <c r="C1730" i="1"/>
  <c r="F1729" i="1"/>
  <c r="F1728" i="1"/>
  <c r="C1728" i="1"/>
  <c r="C1727" i="1"/>
  <c r="F1726" i="1"/>
  <c r="C1726" i="1"/>
  <c r="F1724" i="1"/>
  <c r="C1724" i="1"/>
  <c r="F1723" i="1"/>
  <c r="C1723" i="1"/>
  <c r="F1722" i="1"/>
  <c r="F1721" i="1"/>
  <c r="F1720" i="1"/>
  <c r="F1719" i="1"/>
  <c r="F1718" i="1"/>
  <c r="F1717" i="1"/>
  <c r="C1717" i="1"/>
  <c r="F1716" i="1"/>
  <c r="F1715" i="1"/>
  <c r="C1715" i="1"/>
  <c r="F1714" i="1"/>
  <c r="C1714" i="1"/>
  <c r="F1713" i="1"/>
  <c r="F1712" i="1"/>
  <c r="C1712" i="1"/>
  <c r="F1711" i="1"/>
  <c r="F1710" i="1"/>
  <c r="C1710" i="1"/>
  <c r="F1709" i="1"/>
  <c r="C1709" i="1"/>
  <c r="F1708" i="1"/>
  <c r="F1707" i="1"/>
  <c r="C1707" i="1"/>
  <c r="F1706" i="1"/>
  <c r="F1705" i="1"/>
  <c r="C1705" i="1"/>
  <c r="F1704" i="1"/>
  <c r="C1704" i="1"/>
  <c r="F1703" i="1"/>
  <c r="C1703" i="1"/>
  <c r="F1702" i="1"/>
  <c r="F1701" i="1"/>
  <c r="C1701" i="1"/>
  <c r="F1700" i="1"/>
  <c r="C1700" i="1"/>
  <c r="F1699" i="1"/>
  <c r="C1699" i="1"/>
  <c r="F1698" i="1"/>
  <c r="F1697" i="1"/>
  <c r="C1697" i="1"/>
  <c r="F1696" i="1"/>
  <c r="C1696" i="1"/>
  <c r="F1695" i="1"/>
  <c r="C1695" i="1"/>
  <c r="F1694" i="1"/>
  <c r="C1694" i="1"/>
  <c r="C1693" i="1"/>
  <c r="F1691" i="1"/>
  <c r="C1691" i="1"/>
  <c r="F1690" i="1"/>
  <c r="C1690" i="1"/>
  <c r="F1689" i="1"/>
  <c r="C1689" i="1"/>
  <c r="F1688" i="1"/>
  <c r="C1688" i="1"/>
  <c r="F1687" i="1"/>
  <c r="F1686" i="1"/>
  <c r="C1686" i="1"/>
  <c r="F1684" i="1"/>
  <c r="C1684" i="1"/>
  <c r="F1683" i="1"/>
  <c r="C1683" i="1"/>
  <c r="F1682" i="1"/>
  <c r="C1682" i="1"/>
  <c r="F1681" i="1"/>
  <c r="C1681" i="1"/>
  <c r="F1680" i="1"/>
  <c r="F1679" i="1"/>
  <c r="C1679" i="1"/>
  <c r="F1678" i="1"/>
  <c r="F1677" i="1"/>
  <c r="F1676" i="1"/>
  <c r="F1675" i="1"/>
  <c r="F1674" i="1"/>
  <c r="F1673" i="1"/>
  <c r="C1673" i="1"/>
  <c r="F1672" i="1"/>
  <c r="C1672" i="1"/>
  <c r="F1671" i="1"/>
  <c r="C1671" i="1"/>
  <c r="F1669" i="1"/>
  <c r="C1669" i="1"/>
  <c r="F1668" i="1"/>
  <c r="F1667" i="1"/>
  <c r="F1666" i="1"/>
  <c r="F1665" i="1"/>
  <c r="C1665" i="1"/>
  <c r="F1664" i="1"/>
  <c r="C1664" i="1"/>
  <c r="F1663" i="1"/>
  <c r="C1663" i="1"/>
  <c r="F1662" i="1"/>
  <c r="F1661" i="1"/>
  <c r="C1660" i="1"/>
  <c r="F1659" i="1"/>
  <c r="C1659" i="1"/>
  <c r="F1658" i="1"/>
  <c r="F1657" i="1"/>
  <c r="C1657" i="1"/>
  <c r="F1656" i="1"/>
  <c r="F1655" i="1"/>
  <c r="C1655" i="1"/>
  <c r="F1654" i="1"/>
  <c r="C1654" i="1"/>
  <c r="F1653" i="1"/>
  <c r="F1652" i="1"/>
  <c r="C1652" i="1"/>
  <c r="F1651" i="1"/>
  <c r="C1651" i="1"/>
  <c r="F1650" i="1"/>
  <c r="F1649" i="1"/>
  <c r="F1648" i="1"/>
  <c r="F1647" i="1"/>
  <c r="C1647" i="1"/>
  <c r="F1646" i="1"/>
  <c r="F1645" i="1"/>
  <c r="C1645" i="1"/>
  <c r="F1644" i="1"/>
  <c r="C1644" i="1"/>
  <c r="F1643" i="1"/>
  <c r="F1642" i="1"/>
  <c r="C1642" i="1"/>
  <c r="F1641" i="1"/>
  <c r="C1641" i="1"/>
  <c r="F1640" i="1"/>
  <c r="F1639" i="1"/>
  <c r="C1639" i="1"/>
  <c r="F1638" i="1"/>
  <c r="F1637" i="1"/>
  <c r="F1636" i="1"/>
  <c r="F1635" i="1"/>
  <c r="F1634" i="1"/>
  <c r="F1633" i="1"/>
  <c r="C1633" i="1"/>
  <c r="F1632" i="1"/>
  <c r="C1632" i="1"/>
  <c r="F1631" i="1"/>
  <c r="C1631" i="1"/>
  <c r="F1630" i="1"/>
  <c r="F1629" i="1"/>
  <c r="C1629" i="1"/>
  <c r="F1628" i="1"/>
  <c r="F1627" i="1"/>
  <c r="C1626" i="1"/>
  <c r="F1625" i="1"/>
  <c r="C1625" i="1"/>
  <c r="F1624" i="1"/>
  <c r="F1623" i="1"/>
  <c r="C1623" i="1"/>
  <c r="C1622" i="1"/>
  <c r="C1621" i="1"/>
  <c r="F1620" i="1"/>
  <c r="C1620" i="1"/>
  <c r="C1619" i="1"/>
  <c r="F1618" i="1"/>
  <c r="F1617" i="1"/>
  <c r="C1617" i="1"/>
  <c r="F1616" i="1"/>
  <c r="C1616" i="1"/>
  <c r="F1615" i="1"/>
  <c r="F1614" i="1"/>
  <c r="C1614" i="1"/>
  <c r="F1613" i="1"/>
  <c r="C1613" i="1"/>
  <c r="F1612" i="1"/>
  <c r="C1612" i="1"/>
  <c r="F1611" i="1"/>
  <c r="C1611" i="1"/>
  <c r="F1610" i="1"/>
  <c r="C1610" i="1"/>
  <c r="F1609" i="1"/>
  <c r="F1608" i="1"/>
  <c r="C1608" i="1"/>
  <c r="C1607" i="1"/>
  <c r="C1606" i="1"/>
  <c r="C1605" i="1"/>
  <c r="F1604" i="1"/>
  <c r="C1604" i="1"/>
  <c r="F1603" i="1"/>
  <c r="C1603" i="1"/>
  <c r="F1602" i="1"/>
  <c r="F1601" i="1"/>
  <c r="C1601" i="1"/>
  <c r="F1600" i="1"/>
  <c r="C1600" i="1"/>
  <c r="F1599" i="1"/>
  <c r="C1599" i="1"/>
  <c r="F1598" i="1"/>
  <c r="C1598" i="1"/>
  <c r="F1597" i="1"/>
  <c r="F1596" i="1"/>
  <c r="C1596" i="1"/>
  <c r="F1595" i="1"/>
  <c r="C1595" i="1"/>
  <c r="F1594" i="1"/>
  <c r="F1593" i="1"/>
  <c r="F1592" i="1"/>
  <c r="F1591" i="1"/>
  <c r="F1590" i="1"/>
  <c r="C1590" i="1"/>
  <c r="F1589" i="1"/>
  <c r="F1588" i="1"/>
  <c r="C1588" i="1"/>
  <c r="F1587" i="1"/>
  <c r="C1587" i="1"/>
  <c r="F1586" i="1"/>
  <c r="C1586" i="1"/>
  <c r="F1585" i="1"/>
  <c r="F1584" i="1"/>
  <c r="C1584" i="1"/>
  <c r="F1583" i="1"/>
  <c r="F1582" i="1"/>
  <c r="C1582" i="1"/>
  <c r="F1581" i="1"/>
  <c r="C1581" i="1"/>
  <c r="F1580" i="1"/>
  <c r="F1579" i="1"/>
  <c r="C1579" i="1"/>
  <c r="F1578" i="1"/>
  <c r="F1577" i="1"/>
  <c r="F1576" i="1"/>
  <c r="C1576" i="1"/>
  <c r="F1575" i="1"/>
  <c r="F1574" i="1"/>
  <c r="C1574" i="1"/>
  <c r="F1573" i="1"/>
  <c r="F1572" i="1"/>
  <c r="F1571" i="1"/>
  <c r="C1571" i="1"/>
  <c r="F1570" i="1"/>
  <c r="C1570" i="1"/>
  <c r="F1569" i="1"/>
  <c r="C1569" i="1"/>
  <c r="F1568" i="1"/>
  <c r="C1568" i="1"/>
  <c r="F1567" i="1"/>
  <c r="F1566" i="1"/>
  <c r="C1566" i="1"/>
  <c r="F1565" i="1"/>
  <c r="F1564" i="1"/>
  <c r="C1564" i="1"/>
  <c r="F1563" i="1"/>
  <c r="F1562" i="1"/>
  <c r="C1562" i="1"/>
  <c r="F1561" i="1"/>
  <c r="C1561" i="1"/>
  <c r="C1560" i="1"/>
  <c r="F1559" i="1"/>
  <c r="F1558" i="1"/>
  <c r="C1558" i="1"/>
  <c r="F1557" i="1"/>
  <c r="F1556" i="1"/>
  <c r="F1555" i="1"/>
  <c r="C1555" i="1"/>
  <c r="F1554" i="1"/>
  <c r="C1554" i="1"/>
  <c r="F1553" i="1"/>
  <c r="C1553" i="1"/>
  <c r="F1552" i="1"/>
  <c r="C1552" i="1"/>
  <c r="F1551" i="1"/>
  <c r="F1550" i="1"/>
  <c r="F1549" i="1"/>
  <c r="F1548" i="1"/>
  <c r="F1547" i="1"/>
  <c r="C1547" i="1"/>
  <c r="F1546" i="1"/>
  <c r="F1545" i="1"/>
  <c r="C1545" i="1"/>
  <c r="F1544" i="1"/>
  <c r="C1544" i="1"/>
  <c r="F1543" i="1"/>
  <c r="C1543" i="1"/>
  <c r="F1542" i="1"/>
  <c r="F1541" i="1"/>
  <c r="C1541" i="1"/>
  <c r="F1540" i="1"/>
  <c r="F1539" i="1"/>
  <c r="C1539" i="1"/>
  <c r="F1538" i="1"/>
  <c r="F1537" i="1"/>
  <c r="C1537" i="1"/>
  <c r="F1536" i="1"/>
  <c r="C1536" i="1"/>
  <c r="F1535" i="1"/>
  <c r="C1535" i="1"/>
  <c r="F1534" i="1"/>
  <c r="C1534" i="1"/>
  <c r="F1533" i="1"/>
  <c r="C1533" i="1"/>
  <c r="F1532" i="1"/>
  <c r="C1532" i="1"/>
  <c r="F1531" i="1"/>
  <c r="C1531" i="1"/>
  <c r="C1530" i="1"/>
  <c r="F1529" i="1"/>
  <c r="F1528" i="1"/>
  <c r="C1528" i="1"/>
  <c r="F1527" i="1"/>
  <c r="F1526" i="1"/>
  <c r="F1525" i="1"/>
  <c r="F1524" i="1"/>
  <c r="F1523" i="1"/>
  <c r="C1523" i="1"/>
  <c r="F1522" i="1"/>
  <c r="F1521" i="1"/>
  <c r="F1520" i="1"/>
  <c r="C1520" i="1"/>
  <c r="F1519" i="1"/>
  <c r="C1519" i="1"/>
  <c r="F1518" i="1"/>
  <c r="C1517" i="1"/>
  <c r="F1516" i="1"/>
  <c r="C1516" i="1"/>
  <c r="F1515" i="1"/>
  <c r="C1515" i="1"/>
  <c r="F1514" i="1"/>
  <c r="F1513" i="1"/>
  <c r="C1513" i="1"/>
  <c r="F1512" i="1"/>
  <c r="C1512" i="1"/>
  <c r="F1511" i="1"/>
  <c r="C1511" i="1"/>
  <c r="F1510" i="1"/>
  <c r="C1510" i="1"/>
  <c r="F1508" i="1"/>
  <c r="C1508" i="1"/>
  <c r="F1507" i="1"/>
  <c r="F1506" i="1"/>
  <c r="F1505" i="1"/>
  <c r="C1505" i="1"/>
  <c r="C1504" i="1"/>
  <c r="F1503" i="1"/>
  <c r="C1503" i="1"/>
  <c r="F1502" i="1"/>
  <c r="C1502" i="1"/>
  <c r="C1501" i="1"/>
  <c r="F1500" i="1"/>
  <c r="C1500" i="1"/>
  <c r="F1499" i="1"/>
  <c r="F1498" i="1"/>
  <c r="C1498" i="1"/>
  <c r="F1497" i="1"/>
  <c r="C1497" i="1"/>
  <c r="F1496" i="1"/>
  <c r="F1495" i="1"/>
  <c r="C1495" i="1"/>
  <c r="F1494" i="1"/>
  <c r="F1493" i="1"/>
  <c r="C1493" i="1"/>
  <c r="F1492" i="1"/>
  <c r="F1491" i="1"/>
  <c r="C1491" i="1"/>
  <c r="F1490" i="1"/>
  <c r="C1490" i="1"/>
  <c r="F1489" i="1"/>
  <c r="F1488" i="1"/>
  <c r="F1487" i="1"/>
  <c r="C1487" i="1"/>
  <c r="F1486" i="1"/>
  <c r="C1486" i="1"/>
  <c r="F1485" i="1"/>
  <c r="C1485" i="1"/>
  <c r="F1484" i="1"/>
  <c r="C1484" i="1"/>
  <c r="F1483" i="1"/>
  <c r="F1482" i="1"/>
  <c r="C1482" i="1"/>
  <c r="F1481" i="1"/>
  <c r="C1481" i="1"/>
  <c r="F1480" i="1"/>
  <c r="C1480" i="1"/>
  <c r="F1479" i="1"/>
  <c r="C1479" i="1"/>
  <c r="F1478" i="1"/>
  <c r="C1478" i="1"/>
  <c r="F1477" i="1"/>
  <c r="C1477" i="1"/>
  <c r="F1476" i="1"/>
  <c r="C1476" i="1"/>
  <c r="C1475" i="1"/>
  <c r="F1474" i="1"/>
  <c r="F1473" i="1"/>
  <c r="F1472" i="1"/>
  <c r="C1472" i="1"/>
  <c r="F1471" i="1"/>
  <c r="C1471" i="1"/>
  <c r="F1470" i="1"/>
  <c r="C1470" i="1"/>
  <c r="F1469" i="1"/>
  <c r="C1469" i="1"/>
  <c r="F1468" i="1"/>
  <c r="C1468" i="1"/>
  <c r="F1467" i="1"/>
  <c r="F1466" i="1"/>
  <c r="C1466" i="1"/>
  <c r="C1465" i="1"/>
  <c r="F1464" i="1"/>
  <c r="C1464" i="1"/>
  <c r="F1463" i="1"/>
  <c r="F1462" i="1"/>
  <c r="C1462" i="1"/>
  <c r="F1461" i="1"/>
  <c r="C1461" i="1"/>
  <c r="F1460" i="1"/>
  <c r="C1459" i="1"/>
  <c r="F1458" i="1"/>
  <c r="C1458" i="1"/>
  <c r="F1457" i="1"/>
  <c r="C1457" i="1"/>
  <c r="C1456" i="1"/>
  <c r="F1455" i="1"/>
  <c r="C1455" i="1"/>
  <c r="F1454" i="1"/>
  <c r="C1454" i="1"/>
  <c r="F1453" i="1"/>
  <c r="C1453" i="1"/>
  <c r="F1452" i="1"/>
  <c r="F1451" i="1"/>
  <c r="F1450" i="1"/>
  <c r="C1450" i="1"/>
  <c r="F1449" i="1"/>
  <c r="C1449" i="1"/>
  <c r="F1448" i="1"/>
  <c r="F1447" i="1"/>
  <c r="C1447" i="1"/>
  <c r="F1446" i="1"/>
  <c r="C1446" i="1"/>
  <c r="F1445" i="1"/>
  <c r="C1445" i="1"/>
  <c r="F1444" i="1"/>
  <c r="C1444" i="1"/>
  <c r="F1443" i="1"/>
  <c r="F1442" i="1"/>
  <c r="C1442" i="1"/>
  <c r="F1441" i="1"/>
  <c r="F1440" i="1"/>
  <c r="F1439" i="1"/>
  <c r="C1439" i="1"/>
  <c r="F1438" i="1"/>
  <c r="C1438" i="1"/>
  <c r="F1437" i="1"/>
  <c r="F1436" i="1"/>
  <c r="F1435" i="1"/>
  <c r="C1435" i="1"/>
  <c r="F1434" i="1"/>
  <c r="F1433" i="1"/>
  <c r="C1433" i="1"/>
  <c r="F1432" i="1"/>
  <c r="F1431" i="1"/>
  <c r="C1431" i="1"/>
  <c r="F1430" i="1"/>
  <c r="C1430" i="1"/>
  <c r="F1429" i="1"/>
  <c r="C1429" i="1"/>
  <c r="F1428" i="1"/>
  <c r="C1428" i="1"/>
  <c r="F1427" i="1"/>
  <c r="F1425" i="1"/>
  <c r="C1425" i="1"/>
  <c r="F1424" i="1"/>
  <c r="F1423" i="1"/>
  <c r="C1423" i="1"/>
  <c r="F1422" i="1"/>
  <c r="C1422" i="1"/>
  <c r="F1420" i="1"/>
  <c r="C1420" i="1"/>
  <c r="F1419" i="1"/>
  <c r="C1419" i="1"/>
  <c r="F1418" i="1"/>
  <c r="C1418" i="1"/>
  <c r="F1417" i="1"/>
  <c r="C1417" i="1"/>
  <c r="F1416" i="1"/>
  <c r="C1416" i="1"/>
  <c r="F1415" i="1"/>
  <c r="C1415" i="1"/>
  <c r="F1414" i="1"/>
  <c r="C1414" i="1"/>
  <c r="F1413" i="1"/>
  <c r="C1413" i="1"/>
  <c r="F1412" i="1"/>
  <c r="F1411" i="1"/>
  <c r="C1411" i="1"/>
  <c r="F1410" i="1"/>
  <c r="C1410" i="1"/>
  <c r="F1409" i="1"/>
  <c r="F1408" i="1"/>
  <c r="C1408" i="1"/>
  <c r="F1407" i="1"/>
  <c r="F1406" i="1"/>
  <c r="C1406" i="1"/>
  <c r="F1405" i="1"/>
  <c r="F1404" i="1"/>
  <c r="C1404" i="1"/>
  <c r="F1403" i="1"/>
  <c r="C1403" i="1"/>
  <c r="F1402" i="1"/>
  <c r="C1402" i="1"/>
  <c r="F1401" i="1"/>
  <c r="F1400" i="1"/>
  <c r="C1400" i="1"/>
  <c r="F1398" i="1"/>
  <c r="C1398" i="1"/>
  <c r="F1397" i="1"/>
  <c r="C1397" i="1"/>
  <c r="F1396" i="1"/>
  <c r="F1395" i="1"/>
  <c r="C1395" i="1"/>
  <c r="F1394" i="1"/>
  <c r="F1393" i="1"/>
  <c r="C1393" i="1"/>
  <c r="F1392" i="1"/>
  <c r="C1392" i="1"/>
  <c r="F1391" i="1"/>
  <c r="C1391" i="1"/>
  <c r="F1390" i="1"/>
  <c r="C1390" i="1"/>
  <c r="F1389" i="1"/>
  <c r="C1389" i="1"/>
  <c r="F1388" i="1"/>
  <c r="F1387" i="1"/>
  <c r="C1387" i="1"/>
  <c r="F1386" i="1"/>
  <c r="F1385" i="1"/>
  <c r="C1385" i="1"/>
  <c r="C1384" i="1"/>
  <c r="F1383" i="1"/>
  <c r="C1382" i="1"/>
  <c r="C1381" i="1"/>
  <c r="F1380" i="1"/>
  <c r="F1379" i="1"/>
  <c r="F1378" i="1"/>
  <c r="C1378" i="1"/>
  <c r="F1377" i="1"/>
  <c r="F1376" i="1"/>
  <c r="F1375" i="1"/>
  <c r="F1374" i="1"/>
  <c r="F1373" i="1"/>
  <c r="C1373" i="1"/>
  <c r="F1372" i="1"/>
  <c r="C1372" i="1"/>
  <c r="F1371" i="1"/>
  <c r="C1371" i="1"/>
  <c r="F1370" i="1"/>
  <c r="F1369" i="1"/>
  <c r="C1369" i="1"/>
  <c r="C1368" i="1"/>
  <c r="F1367" i="1"/>
  <c r="C1367" i="1"/>
  <c r="F1366" i="1"/>
  <c r="F1365" i="1"/>
  <c r="F1364" i="1"/>
  <c r="F1363" i="1"/>
  <c r="C1363" i="1"/>
  <c r="F1362" i="1"/>
  <c r="C1362" i="1"/>
  <c r="F1361" i="1"/>
  <c r="C1361" i="1"/>
  <c r="F1360" i="1"/>
  <c r="C1360" i="1"/>
  <c r="F1359" i="1"/>
  <c r="C1359" i="1"/>
  <c r="F1358" i="1"/>
  <c r="C1358" i="1"/>
  <c r="F1357" i="1"/>
  <c r="F1356" i="1"/>
  <c r="F1355" i="1"/>
  <c r="C1355" i="1"/>
  <c r="F1354" i="1"/>
  <c r="C1354" i="1"/>
  <c r="F1353" i="1"/>
  <c r="F1352" i="1"/>
  <c r="F1351" i="1"/>
  <c r="C1351" i="1"/>
  <c r="F1350" i="1"/>
  <c r="C1350" i="1"/>
  <c r="F1349" i="1"/>
  <c r="C1349" i="1"/>
  <c r="F1348" i="1"/>
  <c r="F1347" i="1"/>
  <c r="C1347" i="1"/>
  <c r="F1346" i="1"/>
  <c r="C1346" i="1"/>
  <c r="F1345" i="1"/>
  <c r="C1344" i="1"/>
  <c r="F1342" i="1"/>
  <c r="C1342" i="1"/>
  <c r="F1341" i="1"/>
  <c r="C1341" i="1"/>
  <c r="F1340" i="1"/>
  <c r="C1340" i="1"/>
  <c r="F1339" i="1"/>
  <c r="C1339" i="1"/>
  <c r="F1338" i="1"/>
  <c r="C1337" i="1"/>
  <c r="F1336" i="1"/>
  <c r="F1335" i="1"/>
  <c r="C1335" i="1"/>
  <c r="F1334" i="1"/>
  <c r="C1334" i="1"/>
  <c r="F1333" i="1"/>
  <c r="C1333" i="1"/>
  <c r="F1332" i="1"/>
  <c r="C1332" i="1"/>
  <c r="F1331" i="1"/>
  <c r="F1330" i="1"/>
  <c r="C1330" i="1"/>
  <c r="F1329" i="1"/>
  <c r="F1328" i="1"/>
  <c r="C1328" i="1"/>
  <c r="F1327" i="1"/>
  <c r="F1326" i="1"/>
  <c r="F1325" i="1"/>
  <c r="C1325" i="1"/>
  <c r="F1324" i="1"/>
  <c r="C1324" i="1"/>
  <c r="F1323" i="1"/>
  <c r="F1322" i="1"/>
  <c r="F1321" i="1"/>
  <c r="F1320" i="1"/>
  <c r="C1320" i="1"/>
  <c r="F1319" i="1"/>
  <c r="C1319" i="1"/>
  <c r="F1318" i="1"/>
  <c r="C1318" i="1"/>
  <c r="F1317" i="1"/>
  <c r="F1316" i="1"/>
  <c r="F1315" i="1"/>
  <c r="C1315" i="1"/>
  <c r="F1314" i="1"/>
  <c r="C1314" i="1"/>
  <c r="F1313" i="1"/>
  <c r="C1313" i="1"/>
  <c r="F1312" i="1"/>
  <c r="C1312" i="1"/>
  <c r="C1311" i="1"/>
  <c r="F1310" i="1"/>
  <c r="C1310" i="1"/>
  <c r="F1309" i="1"/>
  <c r="C1309" i="1"/>
  <c r="F1308" i="1"/>
  <c r="C1308" i="1"/>
  <c r="F1307" i="1"/>
  <c r="C1307" i="1"/>
  <c r="F1306" i="1"/>
  <c r="C1306" i="1"/>
  <c r="C1305" i="1"/>
  <c r="F1303" i="1"/>
  <c r="C1303" i="1"/>
  <c r="F1302" i="1"/>
  <c r="C1302" i="1"/>
  <c r="F1301" i="1"/>
  <c r="C1301" i="1"/>
  <c r="F1300" i="1"/>
  <c r="F1299" i="1"/>
  <c r="C1299" i="1"/>
  <c r="F1298" i="1"/>
  <c r="C1298" i="1"/>
  <c r="F1297" i="1"/>
  <c r="C1296" i="1"/>
  <c r="F1295" i="1"/>
  <c r="C1295" i="1"/>
  <c r="F1294" i="1"/>
  <c r="F1293" i="1"/>
  <c r="F1291" i="1"/>
  <c r="F1290" i="1"/>
  <c r="C1290" i="1"/>
  <c r="F1289" i="1"/>
  <c r="F1288" i="1"/>
  <c r="C1288" i="1"/>
  <c r="F1287" i="1"/>
  <c r="F1286" i="1"/>
  <c r="F1285" i="1"/>
  <c r="C1285" i="1"/>
  <c r="C1284" i="1"/>
  <c r="F1283" i="1"/>
  <c r="C1283" i="1"/>
  <c r="F1282" i="1"/>
  <c r="C1282" i="1"/>
  <c r="F1280" i="1"/>
  <c r="F1279" i="1"/>
  <c r="C1279" i="1"/>
  <c r="F1278" i="1"/>
  <c r="C1278" i="1"/>
  <c r="F1277" i="1"/>
  <c r="F1276" i="1"/>
  <c r="C1275" i="1"/>
  <c r="F1274" i="1"/>
  <c r="F1273" i="1"/>
  <c r="C1273" i="1"/>
  <c r="F1272" i="1"/>
  <c r="C1272" i="1"/>
  <c r="F1271" i="1"/>
  <c r="C1271" i="1"/>
  <c r="F1270" i="1"/>
  <c r="F1269" i="1"/>
  <c r="C1269" i="1"/>
  <c r="F1268" i="1"/>
  <c r="C1268" i="1"/>
  <c r="F1267" i="1"/>
  <c r="C1267" i="1"/>
  <c r="F1265" i="1"/>
  <c r="C1265" i="1"/>
  <c r="F1264" i="1"/>
  <c r="F1263" i="1"/>
  <c r="C1263" i="1"/>
  <c r="F1262" i="1"/>
  <c r="F1261" i="1"/>
  <c r="C1261" i="1"/>
  <c r="F1260" i="1"/>
  <c r="F1259" i="1"/>
  <c r="C1259" i="1"/>
  <c r="F1258" i="1"/>
  <c r="C1258" i="1"/>
  <c r="F1257" i="1"/>
  <c r="F1256" i="1"/>
  <c r="C1256" i="1"/>
  <c r="F1255" i="1"/>
  <c r="C1255" i="1"/>
  <c r="F1254" i="1"/>
  <c r="C1254" i="1"/>
  <c r="F1253" i="1"/>
  <c r="C1253" i="1"/>
  <c r="F1252" i="1"/>
  <c r="C1252" i="1"/>
  <c r="F1251" i="1"/>
  <c r="C1251" i="1"/>
  <c r="F1250" i="1"/>
  <c r="F1248" i="1"/>
  <c r="F1247" i="1"/>
  <c r="F1246" i="1"/>
  <c r="F1245" i="1"/>
  <c r="C1245" i="1"/>
  <c r="F1244" i="1"/>
  <c r="F1243" i="1"/>
  <c r="C1243" i="1"/>
  <c r="F1242" i="1"/>
  <c r="F1241" i="1"/>
  <c r="C1241" i="1"/>
  <c r="F1240" i="1"/>
  <c r="F1239" i="1"/>
  <c r="C1239" i="1"/>
  <c r="F1238" i="1"/>
  <c r="C1238" i="1"/>
  <c r="F1237" i="1"/>
  <c r="F1236" i="1"/>
  <c r="F1235" i="1"/>
  <c r="C1235" i="1"/>
  <c r="F1234" i="1"/>
  <c r="C1234" i="1"/>
  <c r="F1233" i="1"/>
  <c r="C1233" i="1"/>
  <c r="F1232" i="1"/>
  <c r="C1232" i="1"/>
  <c r="F1231" i="1"/>
  <c r="C1231" i="1"/>
  <c r="F1230" i="1"/>
  <c r="F1229" i="1"/>
  <c r="F1228" i="1"/>
  <c r="C1228" i="1"/>
  <c r="F1227" i="1"/>
  <c r="C1227" i="1"/>
  <c r="F1226" i="1"/>
  <c r="C1225" i="1"/>
  <c r="F1224" i="1"/>
  <c r="C1224" i="1"/>
  <c r="F1223" i="1"/>
  <c r="C1223" i="1"/>
  <c r="F1222" i="1"/>
  <c r="F1221" i="1"/>
  <c r="C1221" i="1"/>
  <c r="F1220" i="1"/>
  <c r="C1220" i="1"/>
  <c r="F1219" i="1"/>
  <c r="C1219" i="1"/>
  <c r="F1218" i="1"/>
  <c r="F1217" i="1"/>
  <c r="F1216" i="1"/>
  <c r="C1216" i="1"/>
  <c r="F1215" i="1"/>
  <c r="F1214" i="1"/>
  <c r="C1214" i="1"/>
  <c r="F1213" i="1"/>
  <c r="C1213" i="1"/>
  <c r="F1212" i="1"/>
  <c r="F1211" i="1"/>
  <c r="C1211" i="1"/>
  <c r="F1210" i="1"/>
  <c r="C1210" i="1"/>
  <c r="F1209" i="1"/>
  <c r="C1209" i="1"/>
  <c r="F1208" i="1"/>
  <c r="F1207" i="1"/>
  <c r="F1206" i="1"/>
  <c r="C1206" i="1"/>
  <c r="F1205" i="1"/>
  <c r="C1205" i="1"/>
  <c r="F1204" i="1"/>
  <c r="C1204" i="1"/>
  <c r="F1203" i="1"/>
  <c r="C1203" i="1"/>
  <c r="F1202" i="1"/>
  <c r="F1201" i="1"/>
  <c r="F1200" i="1"/>
  <c r="C1200" i="1"/>
  <c r="F1199" i="1"/>
  <c r="F1198" i="1"/>
  <c r="F1197" i="1"/>
  <c r="F1196" i="1"/>
  <c r="F1195" i="1"/>
  <c r="F1194" i="1"/>
  <c r="F1193" i="1"/>
  <c r="C1193" i="1"/>
  <c r="F1192" i="1"/>
  <c r="C1192" i="1"/>
  <c r="F1191" i="1"/>
  <c r="F1190" i="1"/>
  <c r="F1189" i="1"/>
  <c r="F1187" i="1"/>
  <c r="F1186" i="1"/>
  <c r="F1185" i="1"/>
  <c r="C1185" i="1"/>
  <c r="F1184" i="1"/>
  <c r="F1183" i="1"/>
  <c r="C1183" i="1"/>
  <c r="F1182" i="1"/>
  <c r="C1182" i="1"/>
  <c r="F1181" i="1"/>
  <c r="C1181" i="1"/>
  <c r="F1180" i="1"/>
  <c r="F1179" i="1"/>
  <c r="C1179" i="1"/>
  <c r="F1178" i="1"/>
  <c r="F1177" i="1"/>
  <c r="F1176" i="1"/>
  <c r="C1176" i="1"/>
  <c r="F1175" i="1"/>
  <c r="C1175" i="1"/>
  <c r="F1174" i="1"/>
  <c r="F1173" i="1"/>
  <c r="C1173" i="1"/>
  <c r="F1172" i="1"/>
  <c r="C1172" i="1"/>
  <c r="F1171" i="1"/>
  <c r="C1171" i="1"/>
  <c r="F1170" i="1"/>
  <c r="C1169" i="1"/>
  <c r="F1168" i="1"/>
  <c r="F1167" i="1"/>
  <c r="C1167" i="1"/>
  <c r="F1166" i="1"/>
  <c r="F1165" i="1"/>
  <c r="F1164" i="1"/>
  <c r="C1164" i="1"/>
  <c r="F1163" i="1"/>
  <c r="F1162" i="1"/>
  <c r="C1162" i="1"/>
  <c r="F1161" i="1"/>
  <c r="F1160" i="1"/>
  <c r="C1160" i="1"/>
  <c r="F1159" i="1"/>
  <c r="C1159" i="1"/>
  <c r="F1158" i="1"/>
  <c r="C1158" i="1"/>
  <c r="F1157" i="1"/>
  <c r="F1156" i="1"/>
  <c r="F1155" i="1"/>
  <c r="C1155" i="1"/>
  <c r="F1154" i="1"/>
  <c r="C1154" i="1"/>
  <c r="F1153" i="1"/>
  <c r="C1153" i="1"/>
  <c r="F1152" i="1"/>
  <c r="F1151" i="1"/>
  <c r="F1150" i="1"/>
  <c r="C1150" i="1"/>
  <c r="F1149" i="1"/>
  <c r="C1149" i="1"/>
  <c r="F1148" i="1"/>
  <c r="F1147" i="1"/>
  <c r="F1146" i="1"/>
  <c r="C1146" i="1"/>
  <c r="C1145" i="1"/>
  <c r="F1144" i="1"/>
  <c r="C1144" i="1"/>
  <c r="F1143" i="1"/>
  <c r="C1143" i="1"/>
  <c r="F1142" i="1"/>
  <c r="C1142" i="1"/>
  <c r="F1141" i="1"/>
  <c r="F1140" i="1"/>
  <c r="F1139" i="1"/>
  <c r="F1138" i="1"/>
  <c r="C1138" i="1"/>
  <c r="F1137" i="1"/>
  <c r="C1137" i="1"/>
  <c r="F1136" i="1"/>
  <c r="C1136" i="1"/>
  <c r="F1135" i="1"/>
  <c r="C1135" i="1"/>
  <c r="F1134" i="1"/>
  <c r="C1134" i="1"/>
  <c r="F1133" i="1"/>
  <c r="C1133" i="1"/>
  <c r="F1132" i="1"/>
  <c r="C1132" i="1"/>
  <c r="F1131" i="1"/>
  <c r="C1131" i="1"/>
  <c r="F1130" i="1"/>
  <c r="C1130" i="1"/>
  <c r="F1129" i="1"/>
  <c r="F1128" i="1"/>
  <c r="C1128" i="1"/>
  <c r="C1127" i="1"/>
  <c r="F1126" i="1"/>
  <c r="F1125" i="1"/>
  <c r="F1124" i="1"/>
  <c r="F1123" i="1"/>
  <c r="C1123" i="1"/>
  <c r="F1122" i="1"/>
  <c r="F1121" i="1"/>
  <c r="C1121" i="1"/>
  <c r="F1120" i="1"/>
  <c r="C1120" i="1"/>
  <c r="F1119" i="1"/>
  <c r="C1119" i="1"/>
  <c r="F1118" i="1"/>
  <c r="C1118" i="1"/>
  <c r="F1117" i="1"/>
  <c r="C1117" i="1"/>
  <c r="F1116" i="1"/>
  <c r="F1115" i="1"/>
  <c r="C1114" i="1"/>
  <c r="F1113" i="1"/>
  <c r="C1113" i="1"/>
  <c r="F1112" i="1"/>
  <c r="C1112" i="1"/>
  <c r="F1111" i="1"/>
  <c r="C1111" i="1"/>
  <c r="F1110" i="1"/>
  <c r="F1109" i="1"/>
  <c r="F1108" i="1"/>
  <c r="F1107" i="1"/>
  <c r="C1107" i="1"/>
  <c r="F1106" i="1"/>
  <c r="F1105" i="1"/>
  <c r="C1104" i="1"/>
  <c r="C1103" i="1"/>
  <c r="F1102" i="1"/>
  <c r="C1102" i="1"/>
  <c r="F1101" i="1"/>
  <c r="F1100" i="1"/>
  <c r="F1099" i="1"/>
  <c r="C1099" i="1"/>
  <c r="F1098" i="1"/>
  <c r="F1097" i="1"/>
  <c r="F1096" i="1"/>
  <c r="C1096" i="1"/>
  <c r="F1095" i="1"/>
  <c r="F1094" i="1"/>
  <c r="F1093" i="1"/>
  <c r="F1092" i="1"/>
  <c r="C1092" i="1"/>
  <c r="F1091" i="1"/>
  <c r="F1090" i="1"/>
  <c r="F1089" i="1"/>
  <c r="F1088" i="1"/>
  <c r="F1087" i="1"/>
  <c r="F1086" i="1"/>
  <c r="C1086" i="1"/>
  <c r="F1085" i="1"/>
  <c r="C1085" i="1"/>
  <c r="F1084" i="1"/>
  <c r="C1084" i="1"/>
  <c r="F1083" i="1"/>
  <c r="C1083" i="1"/>
  <c r="F1082" i="1"/>
  <c r="C1082" i="1"/>
  <c r="F1081" i="1"/>
  <c r="C1081" i="1"/>
  <c r="F1080" i="1"/>
  <c r="F1079" i="1"/>
  <c r="C1079" i="1"/>
  <c r="F1078" i="1"/>
  <c r="F1077" i="1"/>
  <c r="F1076" i="1"/>
  <c r="C1076" i="1"/>
  <c r="F1075" i="1"/>
  <c r="C1075" i="1"/>
  <c r="F1074" i="1"/>
  <c r="C1074" i="1"/>
  <c r="F1073" i="1"/>
  <c r="C1073" i="1"/>
  <c r="F1072" i="1"/>
  <c r="F1071" i="1"/>
  <c r="C1071" i="1"/>
  <c r="F1070" i="1"/>
  <c r="C1070" i="1"/>
  <c r="F1069" i="1"/>
  <c r="C1069" i="1"/>
  <c r="F1068" i="1"/>
  <c r="C1068" i="1"/>
  <c r="F1067" i="1"/>
  <c r="F1066" i="1"/>
  <c r="C1066" i="1"/>
  <c r="C1065" i="1"/>
  <c r="F1064" i="1"/>
  <c r="C1064" i="1"/>
  <c r="F1063" i="1"/>
  <c r="F1062" i="1"/>
  <c r="C1062" i="1"/>
  <c r="F1061" i="1"/>
  <c r="C1061" i="1"/>
  <c r="F1060" i="1"/>
  <c r="C1060" i="1"/>
  <c r="F1059" i="1"/>
  <c r="C1059" i="1"/>
  <c r="F1058" i="1"/>
  <c r="F1057" i="1"/>
  <c r="C1057" i="1"/>
  <c r="F1056" i="1"/>
  <c r="C1056" i="1"/>
  <c r="F1055" i="1"/>
  <c r="C1055" i="1"/>
  <c r="F1054" i="1"/>
  <c r="C1054" i="1"/>
  <c r="F1053" i="1"/>
  <c r="C1052" i="1"/>
  <c r="F1051" i="1"/>
  <c r="C1051" i="1"/>
  <c r="F1050" i="1"/>
  <c r="F1049" i="1"/>
  <c r="F1048" i="1"/>
  <c r="C1048" i="1"/>
  <c r="C1047" i="1"/>
  <c r="C1046" i="1"/>
  <c r="F1045" i="1"/>
  <c r="C1045" i="1"/>
  <c r="F1044" i="1"/>
  <c r="C1044" i="1"/>
  <c r="F1043" i="1"/>
  <c r="C1043" i="1"/>
  <c r="F1042" i="1"/>
  <c r="C1042" i="1"/>
  <c r="F1041" i="1"/>
  <c r="C1040" i="1"/>
  <c r="F1039" i="1"/>
  <c r="F1038" i="1"/>
  <c r="C1038" i="1"/>
  <c r="F1037" i="1"/>
  <c r="C1037" i="1"/>
  <c r="F1036" i="1"/>
  <c r="F1035" i="1"/>
  <c r="C1035" i="1"/>
  <c r="F1034" i="1"/>
  <c r="C1034" i="1"/>
  <c r="F1033" i="1"/>
  <c r="F1032" i="1"/>
  <c r="F1031" i="1"/>
  <c r="C1031" i="1"/>
  <c r="F1030" i="1"/>
  <c r="C1030" i="1"/>
  <c r="F1029" i="1"/>
  <c r="C1029" i="1"/>
  <c r="F1028" i="1"/>
  <c r="C1028" i="1"/>
  <c r="F1027" i="1"/>
  <c r="C1026" i="1"/>
  <c r="F1025" i="1"/>
  <c r="C1025" i="1"/>
  <c r="F1024" i="1"/>
  <c r="C1024" i="1"/>
  <c r="F1023" i="1"/>
  <c r="C1023" i="1"/>
  <c r="F1022" i="1"/>
  <c r="C1022" i="1"/>
  <c r="F1021" i="1"/>
  <c r="C1021" i="1"/>
  <c r="F1020" i="1"/>
  <c r="C1020" i="1"/>
  <c r="F1019" i="1"/>
  <c r="C1019" i="1"/>
  <c r="C1018" i="1"/>
  <c r="C1017" i="1"/>
  <c r="F1016" i="1"/>
  <c r="C1016" i="1"/>
  <c r="F1014" i="1"/>
  <c r="F1013" i="1"/>
  <c r="C1013" i="1"/>
  <c r="F1012" i="1"/>
  <c r="F1011" i="1"/>
  <c r="C1011" i="1"/>
  <c r="F1010" i="1"/>
  <c r="F1009" i="1"/>
  <c r="C1009" i="1"/>
  <c r="C1008" i="1"/>
  <c r="F1007" i="1"/>
  <c r="C1007" i="1"/>
  <c r="F1006" i="1"/>
  <c r="C1006" i="1"/>
  <c r="F1005" i="1"/>
  <c r="F1004" i="1"/>
  <c r="F1003" i="1"/>
  <c r="F1002" i="1"/>
  <c r="C1002" i="1"/>
  <c r="F1001" i="1"/>
  <c r="C1001" i="1"/>
  <c r="F1000" i="1"/>
  <c r="C1000" i="1"/>
  <c r="F999" i="1"/>
  <c r="C999" i="1"/>
  <c r="F998" i="1"/>
  <c r="F997" i="1"/>
  <c r="C997" i="1"/>
  <c r="F996" i="1"/>
  <c r="F995" i="1"/>
  <c r="F994" i="1"/>
  <c r="C994" i="1"/>
  <c r="F993" i="1"/>
  <c r="C993" i="1"/>
  <c r="F992" i="1"/>
  <c r="F991" i="1"/>
  <c r="C991" i="1"/>
  <c r="F990" i="1"/>
  <c r="C989" i="1"/>
  <c r="F988" i="1"/>
  <c r="C988" i="1"/>
  <c r="F987" i="1"/>
  <c r="F986" i="1"/>
  <c r="F985" i="1"/>
  <c r="F984" i="1"/>
  <c r="C984" i="1"/>
  <c r="F982" i="1"/>
  <c r="C982" i="1"/>
  <c r="F981" i="1"/>
  <c r="C981" i="1"/>
  <c r="F980" i="1"/>
  <c r="C980" i="1"/>
  <c r="F979" i="1"/>
  <c r="F978" i="1"/>
  <c r="C978" i="1"/>
  <c r="F977" i="1"/>
  <c r="C977" i="1"/>
  <c r="F975" i="1"/>
  <c r="C975" i="1"/>
  <c r="F974" i="1"/>
  <c r="F973" i="1"/>
  <c r="C973" i="1"/>
  <c r="F972" i="1"/>
  <c r="C972" i="1"/>
  <c r="F971" i="1"/>
  <c r="C971" i="1"/>
  <c r="F970" i="1"/>
  <c r="F969" i="1"/>
  <c r="F968" i="1"/>
  <c r="F967" i="1"/>
  <c r="C967" i="1"/>
  <c r="C966" i="1"/>
  <c r="F965" i="1"/>
  <c r="C965" i="1"/>
  <c r="F964" i="1"/>
  <c r="C964" i="1"/>
  <c r="F963" i="1"/>
  <c r="F962" i="1"/>
  <c r="C962" i="1"/>
  <c r="F961" i="1"/>
  <c r="C961" i="1"/>
  <c r="F960" i="1"/>
  <c r="C960" i="1"/>
  <c r="F959" i="1"/>
  <c r="F958" i="1"/>
  <c r="F957" i="1"/>
  <c r="C957" i="1"/>
  <c r="F956" i="1"/>
  <c r="C956" i="1"/>
  <c r="F955" i="1"/>
  <c r="C955" i="1"/>
  <c r="F954" i="1"/>
  <c r="C954" i="1"/>
  <c r="F953" i="1"/>
  <c r="F952" i="1"/>
  <c r="F951" i="1"/>
  <c r="C951" i="1"/>
  <c r="F950" i="1"/>
  <c r="C950" i="1"/>
  <c r="F949" i="1"/>
  <c r="F948" i="1"/>
  <c r="C948" i="1"/>
  <c r="F947" i="1"/>
  <c r="C947" i="1"/>
  <c r="F946" i="1"/>
  <c r="C946" i="1"/>
  <c r="F945" i="1"/>
  <c r="C945" i="1"/>
  <c r="F944" i="1"/>
  <c r="F943" i="1"/>
  <c r="C943" i="1"/>
  <c r="F942" i="1"/>
  <c r="C942" i="1"/>
  <c r="F941" i="1"/>
  <c r="C941" i="1"/>
  <c r="F940" i="1"/>
  <c r="F939" i="1"/>
  <c r="C939" i="1"/>
  <c r="F938" i="1"/>
  <c r="C938" i="1"/>
  <c r="F937" i="1"/>
  <c r="C937" i="1"/>
  <c r="C936" i="1"/>
  <c r="F935" i="1"/>
  <c r="C935" i="1"/>
  <c r="F934" i="1"/>
  <c r="C934" i="1"/>
  <c r="F933" i="1"/>
  <c r="C933" i="1"/>
  <c r="F932" i="1"/>
  <c r="F931" i="1"/>
  <c r="C931" i="1"/>
  <c r="F930" i="1"/>
  <c r="F929" i="1"/>
  <c r="C929" i="1"/>
  <c r="F928" i="1"/>
  <c r="C928" i="1"/>
  <c r="F927" i="1"/>
  <c r="C927" i="1"/>
  <c r="F926" i="1"/>
  <c r="C926" i="1"/>
  <c r="F925" i="1"/>
  <c r="F924" i="1"/>
  <c r="C924" i="1"/>
  <c r="F923" i="1"/>
  <c r="C923" i="1"/>
  <c r="F922" i="1"/>
  <c r="F921" i="1"/>
  <c r="F920" i="1"/>
  <c r="C920" i="1"/>
  <c r="F919" i="1"/>
  <c r="C919" i="1"/>
  <c r="F918" i="1"/>
  <c r="C918" i="1"/>
  <c r="F917" i="1"/>
  <c r="C917" i="1"/>
  <c r="F916" i="1"/>
  <c r="C916" i="1"/>
  <c r="F915" i="1"/>
  <c r="C915" i="1"/>
  <c r="F914" i="1"/>
  <c r="C914" i="1"/>
  <c r="F913" i="1"/>
  <c r="F912" i="1"/>
  <c r="C912" i="1"/>
  <c r="F911" i="1"/>
  <c r="C911" i="1"/>
  <c r="F910" i="1"/>
  <c r="C910" i="1"/>
  <c r="F909" i="1"/>
  <c r="F908" i="1"/>
  <c r="C908" i="1"/>
  <c r="F907" i="1"/>
  <c r="C907" i="1"/>
  <c r="F906" i="1"/>
  <c r="C906" i="1"/>
  <c r="F905" i="1"/>
  <c r="C905" i="1"/>
  <c r="F904" i="1"/>
  <c r="F903" i="1"/>
  <c r="C903" i="1"/>
  <c r="F902" i="1"/>
  <c r="F901" i="1"/>
  <c r="C901" i="1"/>
  <c r="C900" i="1"/>
  <c r="F899" i="1"/>
  <c r="F898" i="1"/>
  <c r="C898" i="1"/>
  <c r="F897" i="1"/>
  <c r="C897" i="1"/>
  <c r="F896" i="1"/>
  <c r="C896" i="1"/>
  <c r="F895" i="1"/>
  <c r="F894" i="1"/>
  <c r="F893" i="1"/>
  <c r="C893" i="1"/>
  <c r="F892" i="1"/>
  <c r="C892" i="1"/>
  <c r="F891" i="1"/>
  <c r="F890" i="1"/>
  <c r="C890" i="1"/>
  <c r="F889" i="1"/>
  <c r="C889" i="1"/>
  <c r="F888" i="1"/>
  <c r="C888" i="1"/>
  <c r="F887" i="1"/>
  <c r="C887" i="1"/>
  <c r="F886" i="1"/>
  <c r="F885" i="1"/>
  <c r="C885" i="1"/>
  <c r="F884" i="1"/>
  <c r="C884" i="1"/>
  <c r="F883" i="1"/>
  <c r="C883" i="1"/>
  <c r="C882" i="1"/>
  <c r="F881" i="1"/>
  <c r="C881" i="1"/>
  <c r="C879" i="1"/>
  <c r="F878" i="1"/>
  <c r="C878" i="1"/>
  <c r="F877" i="1"/>
  <c r="C877" i="1"/>
  <c r="F876" i="1"/>
  <c r="F875" i="1"/>
  <c r="F874" i="1"/>
  <c r="C874" i="1"/>
  <c r="F873" i="1"/>
  <c r="C872" i="1"/>
  <c r="F871" i="1"/>
  <c r="C871" i="1"/>
  <c r="F870" i="1"/>
  <c r="F869" i="1"/>
  <c r="C869" i="1"/>
  <c r="F868" i="1"/>
  <c r="C868" i="1"/>
  <c r="F867" i="1"/>
  <c r="C867" i="1"/>
  <c r="F866" i="1"/>
  <c r="C866" i="1"/>
  <c r="F865" i="1"/>
  <c r="C865" i="1"/>
  <c r="F864" i="1"/>
  <c r="C864" i="1"/>
  <c r="F863" i="1"/>
  <c r="C863" i="1"/>
  <c r="F862" i="1"/>
  <c r="F861" i="1"/>
  <c r="F860" i="1"/>
  <c r="C860" i="1"/>
  <c r="F859" i="1"/>
  <c r="C859" i="1"/>
  <c r="F858" i="1"/>
  <c r="C858" i="1"/>
  <c r="C857" i="1"/>
  <c r="F856" i="1"/>
  <c r="F855" i="1"/>
  <c r="C855" i="1"/>
  <c r="F854" i="1"/>
  <c r="F853" i="1"/>
  <c r="C853" i="1"/>
  <c r="F852" i="1"/>
  <c r="C852" i="1"/>
  <c r="F851" i="1"/>
  <c r="F850" i="1"/>
  <c r="C850" i="1"/>
  <c r="F849" i="1"/>
  <c r="F848" i="1"/>
  <c r="F847" i="1"/>
  <c r="F846" i="1"/>
  <c r="F845" i="1"/>
  <c r="C844" i="1"/>
  <c r="F843" i="1"/>
  <c r="C843" i="1"/>
  <c r="F842" i="1"/>
  <c r="C842" i="1"/>
  <c r="F841" i="1"/>
  <c r="C841" i="1"/>
  <c r="F839" i="1"/>
  <c r="C839" i="1"/>
  <c r="F838" i="1"/>
  <c r="F837" i="1"/>
  <c r="C837" i="1"/>
  <c r="F836" i="1"/>
  <c r="C836" i="1"/>
  <c r="F835" i="1"/>
  <c r="C835" i="1"/>
  <c r="F834" i="1"/>
  <c r="F833" i="1"/>
  <c r="C833" i="1"/>
  <c r="F832" i="1"/>
  <c r="C832" i="1"/>
  <c r="F831" i="1"/>
  <c r="F830" i="1"/>
  <c r="C830" i="1"/>
  <c r="F829" i="1"/>
  <c r="C829" i="1"/>
  <c r="C828" i="1"/>
  <c r="F827" i="1"/>
  <c r="F826" i="1"/>
  <c r="C826" i="1"/>
  <c r="C825" i="1"/>
  <c r="F824" i="1"/>
  <c r="F823" i="1"/>
  <c r="F822" i="1"/>
  <c r="F821" i="1"/>
  <c r="C821" i="1"/>
  <c r="F820" i="1"/>
  <c r="C820" i="1"/>
  <c r="F819" i="1"/>
  <c r="C819" i="1"/>
  <c r="F818" i="1"/>
  <c r="C818" i="1"/>
  <c r="F817" i="1"/>
  <c r="F816" i="1"/>
  <c r="C816" i="1"/>
  <c r="F815" i="1"/>
  <c r="C815" i="1"/>
  <c r="F814" i="1"/>
  <c r="F813" i="1"/>
  <c r="F812" i="1"/>
  <c r="F811" i="1"/>
  <c r="C811" i="1"/>
  <c r="F810" i="1"/>
  <c r="F809" i="1"/>
  <c r="C809" i="1"/>
  <c r="F808" i="1"/>
  <c r="F807" i="1"/>
  <c r="C807" i="1"/>
  <c r="F806" i="1"/>
  <c r="C806" i="1"/>
  <c r="F805" i="1"/>
  <c r="C805" i="1"/>
  <c r="F804" i="1"/>
  <c r="F803" i="1"/>
  <c r="F802" i="1"/>
  <c r="C802" i="1"/>
  <c r="F801" i="1"/>
  <c r="C801" i="1"/>
  <c r="F800" i="1"/>
  <c r="F799" i="1"/>
  <c r="C799" i="1"/>
  <c r="F798" i="1"/>
  <c r="F797" i="1"/>
  <c r="F796" i="1"/>
  <c r="F795" i="1"/>
  <c r="C795" i="1"/>
  <c r="C794" i="1"/>
  <c r="F793" i="1"/>
  <c r="C793" i="1"/>
  <c r="F792" i="1"/>
  <c r="C792" i="1"/>
  <c r="F791" i="1"/>
  <c r="F790" i="1"/>
  <c r="C790" i="1"/>
  <c r="F789" i="1"/>
  <c r="C789" i="1"/>
  <c r="F787" i="1"/>
  <c r="C787" i="1"/>
  <c r="F786" i="1"/>
  <c r="C786" i="1"/>
  <c r="F785" i="1"/>
  <c r="C785" i="1"/>
  <c r="F784" i="1"/>
  <c r="C784" i="1"/>
  <c r="F783" i="1"/>
  <c r="F782" i="1"/>
  <c r="C782" i="1"/>
  <c r="F781" i="1"/>
  <c r="C781" i="1"/>
  <c r="F780" i="1"/>
  <c r="C780" i="1"/>
  <c r="F779" i="1"/>
  <c r="C779" i="1"/>
  <c r="F778" i="1"/>
  <c r="C778" i="1"/>
  <c r="F777" i="1"/>
  <c r="F776" i="1"/>
  <c r="F775" i="1"/>
  <c r="C775" i="1"/>
  <c r="F774" i="1"/>
  <c r="C774" i="1"/>
  <c r="F773" i="1"/>
  <c r="C773" i="1"/>
  <c r="C772" i="1"/>
  <c r="C771" i="1"/>
  <c r="F770" i="1"/>
  <c r="C770" i="1"/>
  <c r="F769" i="1"/>
  <c r="F768" i="1"/>
  <c r="C768" i="1"/>
  <c r="F767" i="1"/>
  <c r="C767" i="1"/>
  <c r="F766" i="1"/>
  <c r="F765" i="1"/>
  <c r="C765" i="1"/>
  <c r="F764" i="1"/>
  <c r="F763" i="1"/>
  <c r="C763" i="1"/>
  <c r="F762" i="1"/>
  <c r="C762" i="1"/>
  <c r="F761" i="1"/>
  <c r="C761" i="1"/>
  <c r="F760" i="1"/>
  <c r="F759" i="1"/>
  <c r="F758" i="1"/>
  <c r="F757" i="1"/>
  <c r="F756" i="1"/>
  <c r="F755" i="1"/>
  <c r="C755" i="1"/>
  <c r="F754" i="1"/>
  <c r="C754" i="1"/>
  <c r="F753" i="1"/>
  <c r="C753" i="1"/>
  <c r="F752" i="1"/>
  <c r="C752" i="1"/>
  <c r="F751" i="1"/>
  <c r="F750" i="1"/>
  <c r="C750" i="1"/>
  <c r="F749" i="1"/>
  <c r="F748" i="1"/>
  <c r="F747" i="1"/>
  <c r="F746" i="1"/>
  <c r="C746" i="1"/>
  <c r="F745" i="1"/>
  <c r="F744" i="1"/>
  <c r="F743" i="1"/>
  <c r="F742" i="1"/>
  <c r="C742" i="1"/>
  <c r="F741" i="1"/>
  <c r="C741" i="1"/>
  <c r="F740" i="1"/>
  <c r="C740" i="1"/>
  <c r="F739" i="1"/>
  <c r="C739" i="1"/>
  <c r="F738" i="1"/>
  <c r="C738" i="1"/>
  <c r="F737" i="1"/>
  <c r="F736" i="1"/>
  <c r="C736" i="1"/>
  <c r="F735" i="1"/>
  <c r="F734" i="1"/>
  <c r="C734" i="1"/>
  <c r="F733" i="1"/>
  <c r="C733" i="1"/>
  <c r="F732" i="1"/>
  <c r="C732" i="1"/>
  <c r="C731" i="1"/>
  <c r="F730" i="1"/>
  <c r="F729" i="1"/>
  <c r="F728" i="1"/>
  <c r="F727" i="1"/>
  <c r="C727" i="1"/>
  <c r="F726" i="1"/>
  <c r="C726" i="1"/>
  <c r="F725" i="1"/>
  <c r="C725" i="1"/>
  <c r="F724" i="1"/>
  <c r="F723" i="1"/>
  <c r="C723" i="1"/>
  <c r="F722" i="1"/>
  <c r="F721" i="1"/>
  <c r="F720" i="1"/>
  <c r="C720" i="1"/>
  <c r="C719" i="1"/>
  <c r="F718" i="1"/>
  <c r="C718" i="1"/>
  <c r="F717" i="1"/>
  <c r="C717" i="1"/>
  <c r="F716" i="1"/>
  <c r="C716" i="1"/>
  <c r="F715" i="1"/>
  <c r="C715" i="1"/>
  <c r="F714" i="1"/>
  <c r="C714" i="1"/>
  <c r="F713" i="1"/>
  <c r="C713" i="1"/>
  <c r="F712" i="1"/>
  <c r="F711" i="1"/>
  <c r="F710" i="1"/>
  <c r="C710" i="1"/>
  <c r="F709" i="1"/>
  <c r="C709" i="1"/>
  <c r="F708" i="1"/>
  <c r="F707" i="1"/>
  <c r="C707" i="1"/>
  <c r="F706" i="1"/>
  <c r="C706" i="1"/>
  <c r="F705" i="1"/>
  <c r="F704" i="1"/>
  <c r="C704" i="1"/>
  <c r="F703" i="1"/>
  <c r="F702" i="1"/>
  <c r="F701" i="1"/>
  <c r="F700" i="1"/>
  <c r="F699" i="1"/>
  <c r="C699" i="1"/>
  <c r="F698" i="1"/>
  <c r="F697" i="1"/>
  <c r="C697" i="1"/>
  <c r="F696" i="1"/>
  <c r="F695" i="1"/>
  <c r="C695" i="1"/>
  <c r="F694" i="1"/>
  <c r="F693" i="1"/>
  <c r="C693" i="1"/>
  <c r="F692" i="1"/>
  <c r="C692" i="1"/>
  <c r="C691" i="1"/>
  <c r="F690" i="1"/>
  <c r="C690" i="1"/>
  <c r="F689" i="1"/>
  <c r="C689" i="1"/>
  <c r="F688" i="1"/>
  <c r="C688" i="1"/>
  <c r="F687" i="1"/>
  <c r="C687" i="1"/>
  <c r="F686" i="1"/>
  <c r="C686" i="1"/>
  <c r="F685" i="1"/>
  <c r="F684" i="1"/>
  <c r="C684" i="1"/>
  <c r="F683" i="1"/>
  <c r="C683" i="1"/>
  <c r="F682" i="1"/>
  <c r="F681" i="1"/>
  <c r="F680" i="1"/>
  <c r="F679" i="1"/>
  <c r="C679" i="1"/>
  <c r="F678" i="1"/>
  <c r="C677" i="1"/>
  <c r="C676" i="1"/>
  <c r="F675" i="1"/>
  <c r="C675" i="1"/>
  <c r="F674" i="1"/>
  <c r="C674" i="1"/>
  <c r="F673" i="1"/>
  <c r="C673" i="1"/>
  <c r="F672" i="1"/>
  <c r="C672" i="1"/>
  <c r="F671" i="1"/>
  <c r="F670" i="1"/>
  <c r="C669" i="1"/>
  <c r="C668" i="1"/>
  <c r="F667" i="1"/>
  <c r="C667" i="1"/>
  <c r="F666" i="1"/>
  <c r="F665" i="1"/>
  <c r="C665" i="1"/>
  <c r="F664" i="1"/>
  <c r="F663" i="1"/>
  <c r="C663" i="1"/>
  <c r="F662" i="1"/>
  <c r="C662" i="1"/>
  <c r="F661" i="1"/>
  <c r="F659" i="1"/>
  <c r="C659" i="1"/>
  <c r="F658" i="1"/>
  <c r="C658" i="1"/>
  <c r="F657" i="1"/>
  <c r="C656" i="1"/>
  <c r="F655" i="1"/>
  <c r="C655" i="1"/>
  <c r="F654" i="1"/>
  <c r="F653" i="1"/>
  <c r="C653" i="1"/>
  <c r="F652" i="1"/>
  <c r="C652" i="1"/>
  <c r="F651" i="1"/>
  <c r="C651" i="1"/>
  <c r="F650" i="1"/>
  <c r="F649" i="1"/>
  <c r="C649" i="1"/>
  <c r="F648" i="1"/>
  <c r="F647" i="1"/>
  <c r="F646" i="1"/>
  <c r="F645" i="1"/>
  <c r="C645" i="1"/>
  <c r="F644" i="1"/>
  <c r="C644" i="1"/>
  <c r="F643" i="1"/>
  <c r="C643" i="1"/>
  <c r="F642" i="1"/>
  <c r="C642" i="1"/>
  <c r="F641" i="1"/>
  <c r="F640" i="1"/>
  <c r="F639" i="1"/>
  <c r="C639" i="1"/>
  <c r="F638" i="1"/>
  <c r="C638" i="1"/>
  <c r="F637" i="1"/>
  <c r="F636" i="1"/>
  <c r="F635" i="1"/>
  <c r="C635" i="1"/>
  <c r="F634" i="1"/>
  <c r="F633" i="1"/>
  <c r="C633" i="1"/>
  <c r="F632" i="1"/>
  <c r="F631" i="1"/>
  <c r="C631" i="1"/>
  <c r="F630" i="1"/>
  <c r="F629" i="1"/>
  <c r="C629" i="1"/>
  <c r="F628" i="1"/>
  <c r="C628" i="1"/>
  <c r="F627" i="1"/>
  <c r="C627" i="1"/>
  <c r="F626" i="1"/>
  <c r="C626" i="1"/>
  <c r="F625" i="1"/>
  <c r="C625" i="1"/>
  <c r="F624" i="1"/>
  <c r="F623" i="1"/>
  <c r="C623" i="1"/>
  <c r="F622" i="1"/>
  <c r="F621" i="1"/>
  <c r="C621" i="1"/>
  <c r="F620" i="1"/>
  <c r="F619" i="1"/>
  <c r="C619" i="1"/>
  <c r="F618" i="1"/>
  <c r="C618" i="1"/>
  <c r="F617" i="1"/>
  <c r="F616" i="1"/>
  <c r="C616" i="1"/>
  <c r="F615" i="1"/>
  <c r="F614" i="1"/>
  <c r="C614" i="1"/>
  <c r="F613" i="1"/>
  <c r="C613" i="1"/>
  <c r="F612" i="1"/>
  <c r="C612" i="1"/>
  <c r="F611" i="1"/>
  <c r="C611" i="1"/>
  <c r="F610" i="1"/>
  <c r="C610" i="1"/>
  <c r="F609" i="1"/>
  <c r="C609" i="1"/>
  <c r="F608" i="1"/>
  <c r="F607" i="1"/>
  <c r="C607" i="1"/>
  <c r="F606" i="1"/>
  <c r="C606" i="1"/>
  <c r="F605" i="1"/>
  <c r="F604" i="1"/>
  <c r="F603" i="1"/>
  <c r="C603" i="1"/>
  <c r="F601" i="1"/>
  <c r="F600" i="1"/>
  <c r="C600" i="1"/>
  <c r="F599" i="1"/>
  <c r="F598" i="1"/>
  <c r="C598" i="1"/>
  <c r="F597" i="1"/>
  <c r="C597" i="1"/>
  <c r="F596" i="1"/>
  <c r="C596" i="1"/>
  <c r="F595" i="1"/>
  <c r="F594" i="1"/>
  <c r="C594" i="1"/>
  <c r="F593" i="1"/>
  <c r="F592" i="1"/>
  <c r="C592" i="1"/>
  <c r="F591" i="1"/>
  <c r="C591" i="1"/>
  <c r="F590" i="1"/>
  <c r="C589" i="1"/>
  <c r="C588" i="1"/>
  <c r="F586" i="1"/>
  <c r="F585" i="1"/>
  <c r="C585" i="1"/>
  <c r="F584" i="1"/>
  <c r="C584" i="1"/>
  <c r="C583" i="1"/>
  <c r="F581" i="1"/>
  <c r="C581" i="1"/>
  <c r="F580" i="1"/>
  <c r="C580" i="1"/>
  <c r="F579" i="1"/>
  <c r="F578" i="1"/>
  <c r="F577" i="1"/>
  <c r="C577" i="1"/>
  <c r="F576" i="1"/>
  <c r="F575" i="1"/>
  <c r="C575" i="1"/>
  <c r="F574" i="1"/>
  <c r="F573" i="1"/>
  <c r="C573" i="1"/>
  <c r="F572" i="1"/>
  <c r="C572" i="1"/>
  <c r="F571" i="1"/>
  <c r="C571" i="1"/>
  <c r="F570" i="1"/>
  <c r="C570" i="1"/>
  <c r="F569" i="1"/>
  <c r="F568" i="1"/>
  <c r="C568" i="1"/>
  <c r="F567" i="1"/>
  <c r="F566" i="1"/>
  <c r="F565" i="1"/>
  <c r="C565" i="1"/>
  <c r="F564" i="1"/>
  <c r="C564" i="1"/>
  <c r="F563" i="1"/>
  <c r="C563" i="1"/>
  <c r="F562" i="1"/>
  <c r="F561" i="1"/>
  <c r="C561" i="1"/>
  <c r="F560" i="1"/>
  <c r="C560" i="1"/>
  <c r="F559" i="1"/>
  <c r="C559" i="1"/>
  <c r="F558" i="1"/>
  <c r="C558" i="1"/>
  <c r="F557" i="1"/>
  <c r="C557" i="1"/>
  <c r="F556" i="1"/>
  <c r="C556" i="1"/>
  <c r="F555" i="1"/>
  <c r="C555" i="1"/>
  <c r="C554" i="1"/>
  <c r="F553" i="1"/>
  <c r="C553" i="1"/>
  <c r="F552" i="1"/>
  <c r="F551" i="1"/>
  <c r="F550" i="1"/>
  <c r="C550" i="1"/>
  <c r="F549" i="1"/>
  <c r="C549" i="1"/>
  <c r="F548" i="1"/>
  <c r="C548" i="1"/>
  <c r="C547" i="1"/>
  <c r="F546" i="1"/>
  <c r="F545" i="1"/>
  <c r="F544" i="1"/>
  <c r="C544" i="1"/>
  <c r="F543" i="1"/>
  <c r="F542" i="1"/>
  <c r="C542" i="1"/>
  <c r="F541" i="1"/>
  <c r="C541" i="1"/>
  <c r="F540" i="1"/>
  <c r="C540" i="1"/>
  <c r="F539" i="1"/>
  <c r="C539" i="1"/>
  <c r="F538" i="1"/>
  <c r="C538" i="1"/>
  <c r="F537" i="1"/>
  <c r="C537" i="1"/>
  <c r="F536" i="1"/>
  <c r="C536" i="1"/>
  <c r="C535" i="1"/>
  <c r="F534" i="1"/>
  <c r="F532" i="1"/>
  <c r="C532" i="1"/>
  <c r="F531" i="1"/>
  <c r="F530" i="1"/>
  <c r="F529" i="1"/>
  <c r="C529" i="1"/>
  <c r="F528" i="1"/>
  <c r="C528" i="1"/>
  <c r="F527" i="1"/>
  <c r="F526" i="1"/>
  <c r="C526" i="1"/>
  <c r="F525" i="1"/>
  <c r="C525" i="1"/>
  <c r="F524" i="1"/>
  <c r="F523" i="1"/>
  <c r="F522" i="1"/>
  <c r="C522" i="1"/>
  <c r="F521" i="1"/>
  <c r="C521" i="1"/>
  <c r="F520" i="1"/>
  <c r="C520" i="1"/>
  <c r="F519" i="1"/>
  <c r="C519" i="1"/>
  <c r="F518" i="1"/>
  <c r="C518" i="1"/>
  <c r="F517" i="1"/>
  <c r="C517" i="1"/>
  <c r="F516" i="1"/>
  <c r="C516" i="1"/>
  <c r="F515" i="1"/>
  <c r="C515" i="1"/>
  <c r="F514" i="1"/>
  <c r="C514" i="1"/>
  <c r="F513" i="1"/>
  <c r="C513" i="1"/>
  <c r="F512" i="1"/>
  <c r="C512" i="1"/>
  <c r="F511" i="1"/>
  <c r="F510" i="1"/>
  <c r="C510" i="1"/>
  <c r="F509" i="1"/>
  <c r="C509" i="1"/>
  <c r="F508" i="1"/>
  <c r="C508" i="1"/>
  <c r="F507" i="1"/>
  <c r="F506" i="1"/>
  <c r="C506" i="1"/>
  <c r="F505" i="1"/>
  <c r="F504" i="1"/>
  <c r="F503" i="1"/>
  <c r="F502" i="1"/>
  <c r="F501" i="1"/>
  <c r="C501" i="1"/>
  <c r="F500" i="1"/>
  <c r="C500" i="1"/>
  <c r="C499" i="1"/>
  <c r="F498" i="1"/>
  <c r="C498" i="1"/>
  <c r="F497" i="1"/>
  <c r="F496" i="1"/>
  <c r="F495" i="1"/>
  <c r="F494" i="1"/>
  <c r="C494" i="1"/>
  <c r="F493" i="1"/>
  <c r="F492" i="1"/>
  <c r="C492" i="1"/>
  <c r="F491" i="1"/>
  <c r="F490" i="1"/>
  <c r="C490" i="1"/>
  <c r="F489" i="1"/>
  <c r="C489" i="1"/>
  <c r="F488" i="1"/>
  <c r="C488" i="1"/>
  <c r="F487" i="1"/>
  <c r="C487" i="1"/>
  <c r="F486" i="1"/>
  <c r="C486" i="1"/>
  <c r="F485" i="1"/>
  <c r="C485" i="1"/>
  <c r="F484" i="1"/>
  <c r="F483" i="1"/>
  <c r="C483" i="1"/>
  <c r="C482" i="1"/>
  <c r="F481" i="1"/>
  <c r="C481" i="1"/>
  <c r="F480" i="1"/>
  <c r="F479" i="1"/>
  <c r="C479" i="1"/>
  <c r="F478" i="1"/>
  <c r="C478" i="1"/>
  <c r="F477" i="1"/>
  <c r="C477" i="1"/>
  <c r="F476" i="1"/>
  <c r="F475" i="1"/>
  <c r="C475" i="1"/>
  <c r="F474" i="1"/>
  <c r="C474" i="1"/>
  <c r="F473" i="1"/>
  <c r="C473" i="1"/>
  <c r="F472" i="1"/>
  <c r="F471" i="1"/>
  <c r="C471" i="1"/>
  <c r="F470" i="1"/>
  <c r="C470" i="1"/>
  <c r="F469" i="1"/>
  <c r="C469" i="1"/>
  <c r="F468" i="1"/>
  <c r="C468" i="1"/>
  <c r="F467" i="1"/>
  <c r="F466" i="1"/>
  <c r="C466" i="1"/>
  <c r="F465" i="1"/>
  <c r="F464" i="1"/>
  <c r="C464" i="1"/>
  <c r="F463" i="1"/>
  <c r="C463" i="1"/>
  <c r="F462" i="1"/>
  <c r="C462" i="1"/>
  <c r="F461" i="1"/>
  <c r="C461" i="1"/>
  <c r="F460" i="1"/>
  <c r="F459" i="1"/>
  <c r="C459" i="1"/>
  <c r="F458" i="1"/>
  <c r="C458" i="1"/>
  <c r="F457" i="1"/>
  <c r="C457" i="1"/>
  <c r="F456" i="1"/>
  <c r="F455" i="1"/>
  <c r="F454" i="1"/>
  <c r="F452" i="1"/>
  <c r="C452" i="1"/>
  <c r="F451" i="1"/>
  <c r="F450" i="1"/>
  <c r="C450" i="1"/>
  <c r="F449" i="1"/>
  <c r="F448" i="1"/>
  <c r="F447" i="1"/>
  <c r="C447" i="1"/>
  <c r="F446" i="1"/>
  <c r="F445" i="1"/>
  <c r="C445" i="1"/>
  <c r="F444" i="1"/>
  <c r="C444" i="1"/>
  <c r="F443" i="1"/>
  <c r="C443" i="1"/>
  <c r="F442" i="1"/>
  <c r="C442" i="1"/>
  <c r="F441" i="1"/>
  <c r="F440" i="1"/>
  <c r="C440" i="1"/>
  <c r="F439" i="1"/>
  <c r="F438" i="1"/>
  <c r="C438" i="1"/>
  <c r="F437" i="1"/>
  <c r="F436" i="1"/>
  <c r="C436" i="1"/>
  <c r="F435" i="1"/>
  <c r="F434" i="1"/>
  <c r="C434" i="1"/>
  <c r="F433" i="1"/>
  <c r="F432" i="1"/>
  <c r="F431" i="1"/>
  <c r="C431" i="1"/>
  <c r="F430" i="1"/>
  <c r="C430" i="1"/>
  <c r="F429" i="1"/>
  <c r="F428" i="1"/>
  <c r="F427" i="1"/>
  <c r="C427" i="1"/>
  <c r="F426" i="1"/>
  <c r="F425" i="1"/>
  <c r="F424" i="1"/>
  <c r="F423" i="1"/>
  <c r="C423" i="1"/>
  <c r="F422" i="1"/>
  <c r="C422" i="1"/>
  <c r="C421" i="1"/>
  <c r="F420" i="1"/>
  <c r="F419" i="1"/>
  <c r="F418" i="1"/>
  <c r="C418" i="1"/>
  <c r="F417" i="1"/>
  <c r="C417" i="1"/>
  <c r="F416" i="1"/>
  <c r="C416" i="1"/>
  <c r="F415" i="1"/>
  <c r="C415" i="1"/>
  <c r="F414" i="1"/>
  <c r="C414" i="1"/>
  <c r="F413" i="1"/>
  <c r="F412" i="1"/>
  <c r="C412" i="1"/>
  <c r="F411" i="1"/>
  <c r="C411" i="1"/>
  <c r="F410" i="1"/>
  <c r="F409" i="1"/>
  <c r="F408" i="1"/>
  <c r="F407" i="1"/>
  <c r="F406" i="1"/>
  <c r="F405" i="1"/>
  <c r="C405" i="1"/>
  <c r="F404" i="1"/>
  <c r="C404" i="1"/>
  <c r="F403" i="1"/>
  <c r="F401" i="1"/>
  <c r="C401" i="1"/>
  <c r="F400" i="1"/>
  <c r="F399" i="1"/>
  <c r="C399" i="1"/>
  <c r="F398" i="1"/>
  <c r="F397" i="1"/>
  <c r="F396" i="1"/>
  <c r="F395" i="1"/>
  <c r="C395" i="1"/>
  <c r="F394" i="1"/>
  <c r="C393" i="1"/>
  <c r="F392" i="1"/>
  <c r="C392" i="1"/>
  <c r="F391" i="1"/>
  <c r="F390" i="1"/>
  <c r="F389" i="1"/>
  <c r="F388" i="1"/>
  <c r="F387" i="1"/>
  <c r="F386" i="1"/>
  <c r="C386" i="1"/>
  <c r="F385" i="1"/>
  <c r="F384" i="1"/>
  <c r="C384" i="1"/>
  <c r="F383" i="1"/>
  <c r="C383" i="1"/>
  <c r="F382" i="1"/>
  <c r="F381" i="1"/>
  <c r="C381" i="1"/>
  <c r="F380" i="1"/>
  <c r="F379" i="1"/>
  <c r="C379" i="1"/>
  <c r="F378" i="1"/>
  <c r="F377" i="1"/>
  <c r="C377" i="1"/>
  <c r="F376" i="1"/>
  <c r="F375" i="1"/>
  <c r="C375" i="1"/>
  <c r="F373" i="1"/>
  <c r="F372" i="1"/>
  <c r="F371" i="1"/>
  <c r="C371" i="1"/>
  <c r="F370" i="1"/>
  <c r="C370" i="1"/>
  <c r="F369" i="1"/>
  <c r="C369" i="1"/>
  <c r="F368" i="1"/>
  <c r="F367" i="1"/>
  <c r="F366" i="1"/>
  <c r="C366" i="1"/>
  <c r="F365" i="1"/>
  <c r="F364" i="1"/>
  <c r="F363" i="1"/>
  <c r="C363" i="1"/>
  <c r="F362" i="1"/>
  <c r="C362" i="1"/>
  <c r="F361" i="1"/>
  <c r="F360" i="1"/>
  <c r="F359" i="1"/>
  <c r="C359" i="1"/>
  <c r="F358" i="1"/>
  <c r="C357" i="1"/>
  <c r="F356" i="1"/>
  <c r="C356" i="1"/>
  <c r="F355" i="1"/>
  <c r="F354" i="1"/>
  <c r="C354" i="1"/>
  <c r="F353" i="1"/>
  <c r="C353" i="1"/>
  <c r="F352" i="1"/>
  <c r="F351" i="1"/>
  <c r="C351" i="1"/>
  <c r="F350" i="1"/>
  <c r="F349" i="1"/>
  <c r="C349" i="1"/>
  <c r="F348" i="1"/>
  <c r="F347" i="1"/>
  <c r="F346" i="1"/>
  <c r="C346" i="1"/>
  <c r="F345" i="1"/>
  <c r="F344" i="1"/>
  <c r="F343" i="1"/>
  <c r="F342" i="1"/>
  <c r="C342" i="1"/>
  <c r="F341" i="1"/>
  <c r="C341" i="1"/>
  <c r="F340" i="1"/>
  <c r="C340" i="1"/>
  <c r="F339" i="1"/>
  <c r="F338" i="1"/>
  <c r="C338" i="1"/>
  <c r="F337" i="1"/>
  <c r="C337" i="1"/>
  <c r="F336" i="1"/>
  <c r="C336" i="1"/>
  <c r="F335" i="1"/>
  <c r="F334" i="1"/>
  <c r="C334" i="1"/>
  <c r="F333" i="1"/>
  <c r="F332" i="1"/>
  <c r="F331" i="1"/>
  <c r="F330" i="1"/>
  <c r="F329" i="1"/>
  <c r="C327" i="1"/>
  <c r="F326" i="1"/>
  <c r="F325" i="1"/>
  <c r="F324" i="1"/>
  <c r="F323" i="1"/>
  <c r="C323" i="1"/>
  <c r="F322" i="1"/>
  <c r="F321" i="1"/>
  <c r="C321" i="1"/>
  <c r="F320" i="1"/>
  <c r="F319" i="1"/>
  <c r="C319" i="1"/>
  <c r="F318" i="1"/>
  <c r="C318" i="1"/>
  <c r="F317" i="1"/>
  <c r="F316" i="1"/>
  <c r="C316" i="1"/>
  <c r="F315" i="1"/>
  <c r="F314" i="1"/>
  <c r="C314" i="1"/>
  <c r="F313" i="1"/>
  <c r="F312" i="1"/>
  <c r="C312" i="1"/>
  <c r="F311" i="1"/>
  <c r="C311" i="1"/>
  <c r="F310" i="1"/>
  <c r="C310" i="1"/>
  <c r="F308" i="1"/>
  <c r="C308" i="1"/>
  <c r="F307" i="1"/>
  <c r="F306" i="1"/>
  <c r="F305" i="1"/>
  <c r="C305" i="1"/>
  <c r="F304" i="1"/>
  <c r="C304" i="1"/>
  <c r="F303" i="1"/>
  <c r="C303" i="1"/>
  <c r="F302" i="1"/>
  <c r="F301" i="1"/>
  <c r="F300" i="1"/>
  <c r="F299" i="1"/>
  <c r="F298" i="1"/>
  <c r="C298" i="1"/>
  <c r="F297" i="1"/>
  <c r="F296" i="1"/>
  <c r="F295" i="1"/>
  <c r="C295" i="1"/>
  <c r="F294" i="1"/>
  <c r="C294" i="1"/>
  <c r="C293" i="1"/>
  <c r="F292" i="1"/>
  <c r="C292" i="1"/>
  <c r="F291" i="1"/>
  <c r="C291" i="1"/>
  <c r="C290" i="1"/>
  <c r="F289" i="1"/>
  <c r="C289" i="1"/>
  <c r="F288" i="1"/>
  <c r="F287" i="1"/>
  <c r="C287" i="1"/>
  <c r="F286" i="1"/>
  <c r="C286" i="1"/>
  <c r="F285" i="1"/>
  <c r="C285" i="1"/>
  <c r="F284" i="1"/>
  <c r="C284" i="1"/>
  <c r="F283" i="1"/>
  <c r="F282" i="1"/>
  <c r="C281" i="1"/>
  <c r="F280" i="1"/>
  <c r="C280" i="1"/>
  <c r="F279" i="1"/>
  <c r="C279" i="1"/>
  <c r="F278" i="1"/>
  <c r="C278" i="1"/>
  <c r="F277" i="1"/>
  <c r="C277" i="1"/>
  <c r="F276" i="1"/>
  <c r="C276" i="1"/>
  <c r="F275" i="1"/>
  <c r="F274" i="1"/>
  <c r="F273" i="1"/>
  <c r="F272" i="1"/>
  <c r="C272" i="1"/>
  <c r="F271" i="1"/>
  <c r="F270" i="1"/>
  <c r="C270" i="1"/>
  <c r="F269" i="1"/>
  <c r="C269" i="1"/>
  <c r="F268" i="1"/>
  <c r="F267" i="1"/>
  <c r="F266" i="1"/>
  <c r="F265" i="1"/>
  <c r="C265" i="1"/>
  <c r="F264" i="1"/>
  <c r="F263" i="1"/>
  <c r="F262" i="1"/>
  <c r="C262" i="1"/>
  <c r="F261" i="1"/>
  <c r="F260" i="1"/>
  <c r="C260" i="1"/>
  <c r="F259" i="1"/>
  <c r="C259" i="1"/>
  <c r="F258" i="1"/>
  <c r="C258" i="1"/>
  <c r="F257" i="1"/>
  <c r="F256" i="1"/>
  <c r="C256" i="1"/>
  <c r="F255" i="1"/>
  <c r="C255" i="1"/>
  <c r="C254" i="1"/>
  <c r="F253" i="1"/>
  <c r="C253" i="1"/>
  <c r="F252" i="1"/>
  <c r="C252" i="1"/>
  <c r="F251" i="1"/>
  <c r="C251" i="1"/>
  <c r="F250" i="1"/>
  <c r="C250" i="1"/>
  <c r="F249" i="1"/>
  <c r="F248" i="1"/>
  <c r="F247" i="1"/>
  <c r="C247" i="1"/>
  <c r="F246" i="1"/>
  <c r="C246" i="1"/>
  <c r="C245" i="1"/>
  <c r="F244" i="1"/>
  <c r="F243" i="1"/>
  <c r="F242" i="1"/>
  <c r="F241" i="1"/>
  <c r="C241" i="1"/>
  <c r="F240" i="1"/>
  <c r="C240" i="1"/>
  <c r="F239" i="1"/>
  <c r="C239" i="1"/>
  <c r="F238" i="1"/>
  <c r="F237" i="1"/>
  <c r="F236" i="1"/>
  <c r="F235" i="1"/>
  <c r="F234" i="1"/>
  <c r="C234" i="1"/>
  <c r="F233" i="1"/>
  <c r="C233" i="1"/>
  <c r="F232" i="1"/>
  <c r="C232" i="1"/>
  <c r="F231" i="1"/>
  <c r="F230" i="1"/>
  <c r="C230" i="1"/>
  <c r="F229" i="1"/>
  <c r="C229" i="1"/>
  <c r="F228" i="1"/>
  <c r="C228" i="1"/>
  <c r="F227" i="1"/>
  <c r="F226" i="1"/>
  <c r="F225" i="1"/>
  <c r="C225" i="1"/>
  <c r="F224" i="1"/>
  <c r="F223" i="1"/>
  <c r="F222" i="1"/>
  <c r="C222" i="1"/>
  <c r="F221" i="1"/>
  <c r="C221" i="1"/>
  <c r="F220" i="1"/>
  <c r="F219" i="1"/>
  <c r="C219" i="1"/>
  <c r="F218" i="1"/>
  <c r="C218" i="1"/>
  <c r="F217" i="1"/>
  <c r="C217" i="1"/>
  <c r="F216" i="1"/>
  <c r="C215" i="1"/>
  <c r="F214" i="1"/>
  <c r="C214" i="1"/>
  <c r="F213" i="1"/>
  <c r="C213" i="1"/>
  <c r="F212" i="1"/>
  <c r="C212" i="1"/>
  <c r="F211" i="1"/>
  <c r="C211" i="1"/>
  <c r="F210" i="1"/>
  <c r="F209" i="1"/>
  <c r="C209" i="1"/>
  <c r="F208" i="1"/>
  <c r="F207" i="1"/>
  <c r="F206" i="1"/>
  <c r="F205" i="1"/>
  <c r="F204" i="1"/>
  <c r="C204" i="1"/>
  <c r="F203" i="1"/>
  <c r="C202" i="1"/>
  <c r="F201" i="1"/>
  <c r="C201" i="1"/>
  <c r="F200" i="1"/>
  <c r="C200" i="1"/>
  <c r="F199" i="1"/>
  <c r="C199" i="1"/>
  <c r="F198" i="1"/>
  <c r="C198" i="1"/>
  <c r="F197" i="1"/>
  <c r="C197" i="1"/>
  <c r="F196" i="1"/>
  <c r="C196" i="1"/>
  <c r="F195" i="1"/>
  <c r="C195" i="1"/>
  <c r="F194" i="1"/>
  <c r="C194" i="1"/>
  <c r="F193" i="1"/>
  <c r="C193" i="1"/>
  <c r="F192" i="1"/>
  <c r="F191" i="1"/>
  <c r="C191" i="1"/>
  <c r="F190" i="1"/>
  <c r="C190" i="1"/>
  <c r="F189" i="1"/>
  <c r="C189" i="1"/>
  <c r="F188" i="1"/>
  <c r="F187" i="1"/>
  <c r="C187" i="1"/>
  <c r="F186" i="1"/>
  <c r="F185" i="1"/>
  <c r="F184" i="1"/>
  <c r="F183" i="1"/>
  <c r="F182" i="1"/>
  <c r="F181" i="1"/>
  <c r="F180" i="1"/>
  <c r="F179" i="1"/>
  <c r="C179" i="1"/>
  <c r="F178" i="1"/>
  <c r="C178" i="1"/>
  <c r="F177" i="1"/>
  <c r="C177" i="1"/>
  <c r="F176" i="1"/>
  <c r="C176" i="1"/>
  <c r="F175" i="1"/>
  <c r="C175" i="1"/>
  <c r="F174" i="1"/>
  <c r="C174" i="1"/>
  <c r="F173" i="1"/>
  <c r="F172" i="1"/>
  <c r="F171" i="1"/>
  <c r="C171" i="1"/>
  <c r="F170" i="1"/>
  <c r="C169" i="1"/>
  <c r="F168" i="1"/>
  <c r="F167" i="1"/>
  <c r="C167" i="1"/>
  <c r="F166" i="1"/>
  <c r="C166" i="1"/>
  <c r="F165" i="1"/>
  <c r="F164" i="1"/>
  <c r="C164" i="1"/>
  <c r="F163" i="1"/>
  <c r="F162" i="1"/>
  <c r="F161" i="1"/>
  <c r="C160" i="1"/>
  <c r="F159" i="1"/>
  <c r="C159" i="1"/>
  <c r="F158" i="1"/>
  <c r="C158" i="1"/>
  <c r="F157" i="1"/>
  <c r="C157" i="1"/>
  <c r="F156" i="1"/>
  <c r="F155" i="1"/>
  <c r="F154" i="1"/>
  <c r="C154" i="1"/>
  <c r="F153" i="1"/>
  <c r="F152" i="1"/>
  <c r="F151" i="1"/>
  <c r="F150" i="1"/>
  <c r="C150" i="1"/>
  <c r="F149" i="1"/>
  <c r="C149" i="1"/>
  <c r="F148" i="1"/>
  <c r="C148" i="1"/>
  <c r="C147" i="1"/>
  <c r="F146" i="1"/>
  <c r="F145" i="1"/>
  <c r="C145" i="1"/>
  <c r="F144" i="1"/>
  <c r="F143" i="1"/>
  <c r="C143" i="1"/>
  <c r="F141" i="1"/>
  <c r="F140" i="1"/>
  <c r="C140" i="1"/>
  <c r="F139" i="1"/>
  <c r="F138" i="1"/>
  <c r="C138" i="1"/>
  <c r="F137" i="1"/>
  <c r="C137" i="1"/>
  <c r="F136" i="1"/>
  <c r="C136" i="1"/>
  <c r="F135" i="1"/>
  <c r="C135" i="1"/>
  <c r="F134" i="1"/>
  <c r="C134" i="1"/>
  <c r="F133" i="1"/>
  <c r="F132" i="1"/>
  <c r="C132" i="1"/>
  <c r="F131" i="1"/>
  <c r="F130" i="1"/>
  <c r="C130" i="1"/>
  <c r="F129" i="1"/>
  <c r="C129" i="1"/>
  <c r="C128" i="1"/>
  <c r="F127" i="1"/>
  <c r="C127" i="1"/>
  <c r="F126" i="1"/>
  <c r="C126" i="1"/>
  <c r="F125" i="1"/>
  <c r="F124" i="1"/>
  <c r="C124" i="1"/>
  <c r="F123" i="1"/>
  <c r="F122" i="1"/>
  <c r="C122" i="1"/>
  <c r="F121" i="1"/>
  <c r="F120" i="1"/>
  <c r="C120" i="1"/>
  <c r="F119" i="1"/>
  <c r="C119" i="1"/>
  <c r="F118" i="1"/>
  <c r="C118" i="1"/>
  <c r="F117" i="1"/>
  <c r="F116" i="1"/>
  <c r="F115" i="1"/>
  <c r="C115" i="1"/>
  <c r="F114" i="1"/>
  <c r="C114" i="1"/>
  <c r="F113" i="1"/>
  <c r="F112" i="1"/>
  <c r="C112" i="1"/>
  <c r="C111" i="1"/>
  <c r="F110" i="1"/>
  <c r="F109" i="1"/>
  <c r="C109" i="1"/>
  <c r="F108" i="1"/>
  <c r="C108" i="1"/>
  <c r="F107" i="1"/>
  <c r="C107" i="1"/>
  <c r="F105" i="1"/>
  <c r="F104" i="1"/>
  <c r="C103" i="1"/>
  <c r="F102" i="1"/>
  <c r="C102" i="1"/>
  <c r="F101" i="1"/>
  <c r="C101" i="1"/>
  <c r="F100" i="1"/>
  <c r="F99" i="1"/>
  <c r="C99" i="1"/>
  <c r="F98" i="1"/>
  <c r="C98" i="1"/>
  <c r="F97" i="1"/>
  <c r="F96" i="1"/>
  <c r="C96" i="1"/>
  <c r="F95" i="1"/>
  <c r="C94" i="1"/>
  <c r="F93" i="1"/>
  <c r="C93" i="1"/>
  <c r="F92" i="1"/>
  <c r="F91" i="1"/>
  <c r="C91" i="1"/>
  <c r="F90" i="1"/>
  <c r="C90" i="1"/>
  <c r="F89" i="1"/>
  <c r="F88" i="1"/>
  <c r="F87" i="1"/>
  <c r="F86" i="1"/>
  <c r="C86" i="1"/>
  <c r="F85" i="1"/>
  <c r="C85" i="1"/>
  <c r="F84" i="1"/>
  <c r="C84" i="1"/>
  <c r="F83" i="1"/>
  <c r="C83" i="1"/>
  <c r="F82" i="1"/>
  <c r="C82" i="1"/>
  <c r="F81" i="1"/>
  <c r="F80" i="1"/>
  <c r="F79" i="1"/>
  <c r="C79" i="1"/>
  <c r="F78" i="1"/>
  <c r="F77" i="1"/>
  <c r="C77" i="1"/>
  <c r="F76" i="1"/>
  <c r="C76" i="1"/>
  <c r="C75" i="1"/>
  <c r="F74" i="1"/>
  <c r="F73" i="1"/>
  <c r="C73" i="1"/>
  <c r="F72" i="1"/>
  <c r="F71" i="1"/>
  <c r="C71" i="1"/>
  <c r="F70" i="1"/>
  <c r="F69" i="1"/>
  <c r="C69" i="1"/>
  <c r="F68" i="1"/>
  <c r="F67" i="1"/>
  <c r="C67" i="1"/>
  <c r="F66" i="1"/>
  <c r="C66" i="1"/>
  <c r="F65" i="1"/>
  <c r="C65" i="1"/>
  <c r="F64" i="1"/>
  <c r="C64" i="1"/>
  <c r="F63" i="1"/>
  <c r="C63" i="1"/>
  <c r="F62" i="1"/>
  <c r="C62" i="1"/>
  <c r="F61" i="1"/>
  <c r="C61" i="1"/>
  <c r="F60" i="1"/>
  <c r="F59" i="1"/>
  <c r="C59" i="1"/>
  <c r="F58" i="1"/>
  <c r="F57" i="1"/>
  <c r="C57" i="1"/>
  <c r="F56" i="1"/>
  <c r="C56" i="1"/>
  <c r="F55" i="1"/>
  <c r="C55" i="1"/>
  <c r="F54" i="1"/>
  <c r="C54" i="1"/>
  <c r="F53" i="1"/>
  <c r="C53" i="1"/>
  <c r="F52" i="1"/>
  <c r="F51" i="1"/>
  <c r="F50" i="1"/>
  <c r="F49" i="1"/>
  <c r="C49" i="1"/>
  <c r="F48" i="1"/>
  <c r="C48" i="1"/>
  <c r="F47" i="1"/>
  <c r="F46" i="1"/>
  <c r="F45" i="1"/>
  <c r="F44" i="1"/>
  <c r="C44" i="1"/>
  <c r="F43" i="1"/>
  <c r="C43" i="1"/>
  <c r="F42" i="1"/>
  <c r="F41" i="1"/>
  <c r="F40" i="1"/>
  <c r="C40" i="1"/>
  <c r="F39" i="1"/>
  <c r="F38" i="1"/>
  <c r="C38" i="1"/>
  <c r="F37" i="1"/>
  <c r="F36" i="1"/>
  <c r="C36" i="1"/>
  <c r="F35" i="1"/>
  <c r="C34" i="1"/>
  <c r="F33" i="1"/>
  <c r="C33" i="1"/>
  <c r="F32" i="1"/>
  <c r="C32" i="1"/>
  <c r="F31" i="1"/>
  <c r="F30" i="1"/>
  <c r="F29" i="1"/>
  <c r="F28" i="1"/>
  <c r="C27" i="1"/>
  <c r="F26" i="1"/>
  <c r="C26" i="1"/>
  <c r="F25" i="1"/>
  <c r="F24" i="1"/>
  <c r="C24" i="1"/>
  <c r="F23" i="1"/>
  <c r="F22" i="1"/>
  <c r="F21" i="1"/>
  <c r="F20" i="1"/>
  <c r="C20" i="1"/>
  <c r="F19" i="1"/>
  <c r="C19" i="1"/>
  <c r="F18" i="1"/>
  <c r="C18" i="1"/>
  <c r="F17" i="1"/>
  <c r="C17" i="1"/>
  <c r="F16" i="1"/>
  <c r="C16" i="1"/>
  <c r="F15" i="1"/>
  <c r="C15" i="1"/>
  <c r="F14" i="1"/>
  <c r="C14" i="1"/>
  <c r="F13" i="1"/>
  <c r="C13" i="1"/>
  <c r="F12" i="1"/>
  <c r="C12" i="1"/>
  <c r="F11" i="1"/>
  <c r="F10" i="1"/>
  <c r="F9" i="1"/>
  <c r="F8" i="1"/>
  <c r="C8" i="1"/>
  <c r="F7" i="1"/>
  <c r="C7" i="1"/>
  <c r="F6" i="1"/>
  <c r="C6" i="1"/>
  <c r="F5" i="1"/>
  <c r="C5" i="1"/>
  <c r="F4" i="1"/>
  <c r="C4" i="1"/>
  <c r="F3" i="1"/>
  <c r="F2" i="1"/>
  <c r="C2" i="1"/>
</calcChain>
</file>

<file path=xl/sharedStrings.xml><?xml version="1.0" encoding="utf-8"?>
<sst xmlns="http://schemas.openxmlformats.org/spreadsheetml/2006/main" count="45189" uniqueCount="30093">
  <si>
    <t>Name</t>
  </si>
  <si>
    <t>Address</t>
  </si>
  <si>
    <t>Notes</t>
  </si>
  <si>
    <t>Website</t>
  </si>
  <si>
    <t>eMail</t>
  </si>
  <si>
    <t>Telephone</t>
  </si>
  <si>
    <t>SIC Code</t>
  </si>
  <si>
    <t>SIC Description</t>
  </si>
  <si>
    <t>#1 Sourcing Solutions Inc</t>
  </si>
  <si>
    <t>No Website</t>
  </si>
  <si>
    <t>mailto:gbcoates2000@yahoo.com</t>
  </si>
  <si>
    <t>Specialized Freight (except Used Goods) Trucking, Local</t>
  </si>
  <si>
    <t>#1 Strategic Solutions, LLC</t>
  </si>
  <si>
    <t>="At Strategic Solutions, LLC we focus on quality in all areas of our business. With excellent customer service, proven methodologies, quality candidates, and competitive pricing, we provide full-spectrum solutions to thousands of satisfied customers across the United States and Canada. Many of our customers recommend us to other companies! If you are looking for a temporary, temporary-to-permanent, or permanent candidate or if you are a candidate looking for a position with a top company,contact us today!"</t>
  </si>
  <si>
    <t>mailto:strategicsolutions, LLC</t>
  </si>
  <si>
    <t>Temporary Help Services</t>
  </si>
  <si>
    <t>1026 North, LLC</t>
  </si>
  <si>
    <t>http://1026north.com</t>
  </si>
  <si>
    <t>mailto:joseph.schumacher@1026north.com</t>
  </si>
  <si>
    <t>Computer Systems Design Services</t>
  </si>
  <si>
    <t>111 HOME HEALTH CARE AGENCY, INC</t>
  </si>
  <si>
    <t>mailto:nursevern_1@yahoo.com</t>
  </si>
  <si>
    <t>Services for the Elderly and Persons with Disabilities</t>
  </si>
  <si>
    <t>111 Home Health Care Agency, LLC</t>
  </si>
  <si>
    <t>http://customdesignsolutionsinc.webs.com</t>
  </si>
  <si>
    <t>mailto:customdesignsolutionsinc@yahoo.com</t>
  </si>
  <si>
    <t>Iron and Steel Pipe and Tube Manufacturing from Purchased Steel</t>
  </si>
  <si>
    <t>123 Simply Math</t>
  </si>
  <si>
    <t>http://www.123simplymath.com</t>
  </si>
  <si>
    <t>mailto:info@123simplymath.com</t>
  </si>
  <si>
    <t>Exam Preparation and Tutoring</t>
  </si>
  <si>
    <t>13th Street Appraisals</t>
  </si>
  <si>
    <t>http://www.13thstappraisals.com</t>
  </si>
  <si>
    <t>mailto:scott@13thstappraisals.com</t>
  </si>
  <si>
    <t>Offices of Real Estate Appraisers</t>
  </si>
  <si>
    <t>1ST CLASS SOLUTIONS INC</t>
  </si>
  <si>
    <t>="1st Class Solutions designs, develops, and delivers workforce learning and on-the-job support solutions. We improve your workforce's performance with appropriate blends of e-learning, distance learning, classroom, self-study, documentation, and performance support solutions."</t>
  </si>
  <si>
    <t>http://www.1stclass.com</t>
  </si>
  <si>
    <t>mailto:1stclass@1stclass.com</t>
  </si>
  <si>
    <t>Computer Training</t>
  </si>
  <si>
    <t>1ST Choice Locksmith</t>
  </si>
  <si>
    <t>="A full service locksmith business networked with an Indiana association to provide complete service to just about all of Indiana. Established in 2000, fully insured and bonded, and having access to many national suppliers as to always have an available inventory or a purchase system to be able to get most items within a few days notice. Free written quotes available for any purchases or services needed."</t>
  </si>
  <si>
    <t>mailto:frank1960@yahoo.com</t>
  </si>
  <si>
    <t>Locksmiths</t>
  </si>
  <si>
    <t>1st Equity Investors &amp; Mortgages, cdc</t>
  </si>
  <si>
    <t>="Residential Speciality Services: 1. OLS Emergency Shelter Planning and Code Compliance 2. Residential &amp; Multi Unit Housing Inxpection and Compliance 3. Residential &amp; Multi Unit Housing Construction/Products for the Disabled 4. Residential Emergency Shelter Bldg &amp; Behavior Mgmt for Disaster Shelters 5. Property Management Organization for Temporary Shelters 6. General Sub-contractor for Disabled Bldg Compliance &amp; OHSA Stds"</t>
  </si>
  <si>
    <t>No eMail</t>
  </si>
  <si>
    <t>Regulation, Licensing, and Inspection of Miscellaneous Commercial Sectors</t>
  </si>
  <si>
    <t>1st Indiana Group</t>
  </si>
  <si>
    <t>http://www.1stindianagroup.com</t>
  </si>
  <si>
    <t>Finance and Insurance</t>
  </si>
  <si>
    <t>1st Kids, Inc</t>
  </si>
  <si>
    <t>http://indianaforststeps.org</t>
  </si>
  <si>
    <t>mailto:cmann@nwifs.org</t>
  </si>
  <si>
    <t>Other Individual and Family Services</t>
  </si>
  <si>
    <t>1st Resource Solutions, LLC</t>
  </si>
  <si>
    <t>http://www.1stresourcesolutions.com</t>
  </si>
  <si>
    <t>mailto:ahorton@1stresourcesolutions.com</t>
  </si>
  <si>
    <t>Wholesale Trade Agents and Brokers</t>
  </si>
  <si>
    <t>1st Source Bank</t>
  </si>
  <si>
    <t>http://1stsource.com</t>
  </si>
  <si>
    <t>Commercial Banking</t>
  </si>
  <si>
    <t>2 Guys Tree Service</t>
  </si>
  <si>
    <t>http://www.2guystreeservice.com</t>
  </si>
  <si>
    <t>mailto:contactus@2guystreeservice.com</t>
  </si>
  <si>
    <t>Landscaping Services</t>
  </si>
  <si>
    <t>2 Sign Guys LLC</t>
  </si>
  <si>
    <t>mailto:signguys@insightbb.com</t>
  </si>
  <si>
    <t>Sign Manufacturing</t>
  </si>
  <si>
    <t>20/20 Excavating Specialist</t>
  </si>
  <si>
    <t>mailto:eXCAVATINGsPEC@AOL.COM</t>
  </si>
  <si>
    <t>Excavation Contractors</t>
  </si>
  <si>
    <t>2000 Realty Inc</t>
  </si>
  <si>
    <t>mailto:johnplank@verizon.net</t>
  </si>
  <si>
    <t>Real Estate</t>
  </si>
  <si>
    <t>216 Arrow Graphic Design Co.</t>
  </si>
  <si>
    <t>http://www.216arrow.com</t>
  </si>
  <si>
    <t>mailto:info@216arrow.com</t>
  </si>
  <si>
    <t>Graphic Design Services</t>
  </si>
  <si>
    <t>21st Century Workforce Solutions LLC</t>
  </si>
  <si>
    <t>="We are changing the way that engineering and workplace consulting is conducted. Up until now, only larger companies could afford high-end consulting. We use consulting techniques unlike others. Your team will find that our model makes sense, is easy to use, makes sustainable change, and will last long into the future. We provide - engineering tools with an emphasis in Reliability, workflow / workplace management, training and coaching. Many of our methods are derived from industry where precision is vital i.e. - aviation, maritime, nuclear, and space. Using 21st century know-how, now just about any business has access to best practices tools and techniques. We look forward to working with you."</t>
  </si>
  <si>
    <t>mailto:tbdsmrc@gmail.com</t>
  </si>
  <si>
    <t>Engineering Services</t>
  </si>
  <si>
    <t>24 Seven Discovere</t>
  </si>
  <si>
    <t>="A litigation technology company specializing in electronic services for law firms and corporations. Services include but are not limited to electronic data discovery, web hosting, imaging, coding, blow-backs, trial services, and all related reporgraphics work. Copying (B&amp;W, Color), oversize, binding, labeling, and large format color. Open 24/7 with no additional charges for rush, over night, weekend and hilday services."</t>
  </si>
  <si>
    <t>http://www.247discovere.com</t>
  </si>
  <si>
    <t>mailto:cromer@247discovere.com</t>
  </si>
  <si>
    <t>Legal Services</t>
  </si>
  <si>
    <t>24/7 Pros, LLC</t>
  </si>
  <si>
    <t>="Specializing in same day delivery throughout the state of Indiana. Logistic management services, archive management, messenger services, mailroom services and other types of professional derlivery including delivery of medicine , medical supplies, mail, computer equipment, tires and all types of packages."</t>
  </si>
  <si>
    <t>http://WWW.24-7 PROS.COM</t>
  </si>
  <si>
    <t>mailto:marcustaylor@24-7pros.com</t>
  </si>
  <si>
    <t>Postal Service</t>
  </si>
  <si>
    <t>24/7 Repair Services, Inc.</t>
  </si>
  <si>
    <t>http://www.24-7repairservices.com</t>
  </si>
  <si>
    <t>mailto:Repair247@hotmail.com</t>
  </si>
  <si>
    <t>Automotive Mechanical and Electrical Repair and Maintenance</t>
  </si>
  <si>
    <t>2K Inc.</t>
  </si>
  <si>
    <t>="2K Corporation is a technology company created to research, develop, design, manufacture, market and sell neutron interrogation based security systems for the purpose of remotely and unobtrusively detecting chemical warfare agents, radiological materials, explosives, and other dangerous materials. SOS is a package inspection system for the detection of chemical warfare agents and radiological materials in sealed containers using neutron interrogation technology using state of the art HPGe detectors that have 20-30 times the resolution of standard use NaI detectors. CarScan is a VBIED detection system for detecting explosives in vehicles."</t>
  </si>
  <si>
    <t>http://www.2kcorporation.com</t>
  </si>
  <si>
    <t>mailto:copeland@2kcorporation.com</t>
  </si>
  <si>
    <t>Scientific Research and Development Services</t>
  </si>
  <si>
    <t>3 C's Transportation, LLC</t>
  </si>
  <si>
    <t>mailto:threeseas100@yahoo.com</t>
  </si>
  <si>
    <t>Transportation</t>
  </si>
  <si>
    <t>3 Resources, LLC</t>
  </si>
  <si>
    <t>http://www.3-resources.com</t>
  </si>
  <si>
    <t>Process, Physical, Distribution and Logistics Consulting Services</t>
  </si>
  <si>
    <t>3'D Trophy &amp; Engraving Co., Inc.</t>
  </si>
  <si>
    <t>="3'D Trophy is an in-house- full service awards and recognition company. We specialize in plaques, trophies, business awards and incentive gifts, promotional products, braille and directional indoor and outdoor signage; sand-etching, laser engraving, metalphoto, screenprinting and embroidery."</t>
  </si>
  <si>
    <t>http://www.3dtrophyamayesinginc.com</t>
  </si>
  <si>
    <t>mailto:t3dtrophy@aol.com</t>
  </si>
  <si>
    <t>All Other Miscellaneous Store Retailers (except Tobacco Stores)</t>
  </si>
  <si>
    <t>360 Office Outfitters</t>
  </si>
  <si>
    <t>="360 Office Outfitters is an Office Furniture dealership representing over 75 manufacturers. We offer other services such as design, installation, project management and space planning. Many of our manufacturers are Indiana companies located in Southern Indiana. Our Goal is to deliver on time, on budget and with 100% satifaction."</t>
  </si>
  <si>
    <t>http://www.360officeoutfitters.com</t>
  </si>
  <si>
    <t>mailto:ajones@360officeoutfitters.com</t>
  </si>
  <si>
    <t>Furniture Stores</t>
  </si>
  <si>
    <t>39 DEGREES NORTH</t>
  </si>
  <si>
    <t>="Our team is committed to turning your datasets into powerful visual-management tools and to providing you with the support you need to utilize them to your fullest advantage. We at 39°N specialize in developing and implementing software for managing Geographic Information Systems (GIS). We provide system architecture and geodatabase design, and we will customize our Internet and Mobile mapping applications to help expand your operation's capabilities. We work with the latest and most powerful technologies, like ArcGIS Server and Amazon Web Services. We maintain a strict selection policy and update our platform regularly, so you can be confident that the products we deliver will always meet the highest industry standards. We keep track of the constant changes in web and mobile technology to ensure that your system is not only the best available today, but future-proofed as well. We recognize that the cloud is where our clients want and need to be."</t>
  </si>
  <si>
    <t>http://www.39dn.com</t>
  </si>
  <si>
    <t>mailto:info@39dn.com</t>
  </si>
  <si>
    <t>Custom Computer Programming Services</t>
  </si>
  <si>
    <t>3B Tech, Inc</t>
  </si>
  <si>
    <t>="3B Tech is a leader in offering solutions to small, medium, and large organizations. We've been able to help small rural doctor's offices, the nation’s largest school districts, and all sizes in between! Our hand-picked experts will offer you the best computer hardware, software, and accessories priced to fit your budget. With thousands of computer products in-stock and ready to ship, 3B Tech is your #1 source for technology solutions. From servers to components, we've got you covered! We specialize in high quality cabling solutions that fit your budget. We also carry off-lease and recertified equipment from manufacturers like: HP, Dell, Compaq and Toshiba, just to name a few. Not only are we able to offer you name brand equipment, we can also custom-configure a white-box solution to fit your needs!"</t>
  </si>
  <si>
    <t>http://www.3btech.net</t>
  </si>
  <si>
    <t>mailto:jeffb@3btech.net</t>
  </si>
  <si>
    <t>Computer and Computer Peripheral Equipment and Software Merchant Wholesalers</t>
  </si>
  <si>
    <t>3D Company, Inc.</t>
  </si>
  <si>
    <t>http://www.3dcompanyinc.com</t>
  </si>
  <si>
    <t>mailto:dcase@3dcompanyinc.com</t>
  </si>
  <si>
    <t>Building, Developing and General Contracting</t>
  </si>
  <si>
    <t>3D Painting, Inc.</t>
  </si>
  <si>
    <t>Construction</t>
  </si>
  <si>
    <t>3D Properties of Indiana, LLC</t>
  </si>
  <si>
    <t>mailto:threedproperties@yahoo.com</t>
  </si>
  <si>
    <t>Nonresidential Property Managers</t>
  </si>
  <si>
    <t>3K Designs, LLC</t>
  </si>
  <si>
    <t>="3K Designs, LLC provides Architectural and Interior Design services for commercial and residential projects. Included in these services are expertise in feasibility studies, evidence based design, BIM (Building Information Modeling), Auto CAD and Autodesk Revit software. 3K Designs also offers software training for individuals or groups in both Auto CAD and Revit software."</t>
  </si>
  <si>
    <t>mailto:dnickols3@gmail.com</t>
  </si>
  <si>
    <t>Educational Services</t>
  </si>
  <si>
    <t>3c Coman Ltd</t>
  </si>
  <si>
    <t>http://3ccoman.com</t>
  </si>
  <si>
    <t>mailto:wecare@3ccoman.com</t>
  </si>
  <si>
    <t>Roofing Contractors</t>
  </si>
  <si>
    <t>4 Cast Incorporated</t>
  </si>
  <si>
    <t>=" 4 Cast Magazine is a magazine focused on being a means of advertisement for business or individuals interested in marketing to the urban areas of Indianapolis and surrounding areas. 4 Cast focuses on small business and individuals who cannot afford to advertise in large publications, while providing a target audience. 4 Cast also provides graphic design services and marketing schemes that can be seen at www.hamidsaahir.com."</t>
  </si>
  <si>
    <t>http://www.4castmagazine.com</t>
  </si>
  <si>
    <t>mailto:the4castmag@yahoo.com</t>
  </si>
  <si>
    <t>Periodical Publishers</t>
  </si>
  <si>
    <t>4 SEASONS REPAIR AND</t>
  </si>
  <si>
    <t>mailto:4seasons_delbert@sbcglobal.net</t>
  </si>
  <si>
    <t>Single Family Housing Construction</t>
  </si>
  <si>
    <t>4-C's Concrete Construction, Inc.</t>
  </si>
  <si>
    <t>="4-C's Concrete Construction, Inc. performs all aspects of concrete construction, including demolotion, excavation, ground prep, and forming and pouring of new concrete structures. We install concrete sidewalks, driveways, ramps, loading docks, curbs, and concrete ballards. We also install fencing and guard rails."</t>
  </si>
  <si>
    <t>mailto:4-csconstruction@comcast.net</t>
  </si>
  <si>
    <t>Poured Concrete Foundation and Structure Contractors</t>
  </si>
  <si>
    <t>40th Parallel Surveying, LLC`</t>
  </si>
  <si>
    <t>http://www.40thparallelsurveying.com</t>
  </si>
  <si>
    <t>mailto:info@40thparallelsurveying.com</t>
  </si>
  <si>
    <t>Surveying and Mapping (except Geophysical) Services</t>
  </si>
  <si>
    <t>4D Consulting, Inc.</t>
  </si>
  <si>
    <t>="4D Consulting, Inc. ia a professional geophysical consulting firm specializing in noninvasive subsurface and structural investigatrions for environmental, geologic, construction and engineering clients. We conduct electromagnetic, magnetic, ground penetrating radar and conductivity surveys to locate underground tanks, barrels, utilities, foundations, void spaces and fill features. The imaging of concrete structures to locate and document rebar and tension cables in concrete floors, walls and roads is an additional service offered by 4D Consulting, Inc."</t>
  </si>
  <si>
    <t>http://www.fourdconsulting.com</t>
  </si>
  <si>
    <t>mailto:information@fourdconsulting.com</t>
  </si>
  <si>
    <t>Geophysical Surveying and Mapping Services</t>
  </si>
  <si>
    <t>4cIT LLC</t>
  </si>
  <si>
    <t>="Business Information Technology, Systems Integration, Telecommunications, Telecom Expense Reduction, Network, Voice, Data, Software, Hardware, Technology Support, Banking Grade IT, Security Systems. We specialize in Bank-Grade™ Information Technology services. What does Bank-Grade™ mean? Bank-Grade™ refers to information technology services that meet the high security and reliability standards demanded by financial institutions. 4cIT has worked extensively with Bank-Grade™ IT in the financial industry, and will work to insure your company's assets are up to these high standards. You'll only have to worry about what matters, your business. Choose 4cIT to be your technology partner and see the services we have to offer."</t>
  </si>
  <si>
    <t>http://www.4citllc.com</t>
  </si>
  <si>
    <t>mailto:support@4citllc.com</t>
  </si>
  <si>
    <t>536 E MARKET ST, LLC</t>
  </si>
  <si>
    <t>mailto:tedmeek@gmail.com</t>
  </si>
  <si>
    <t>Industrial Machinery and Equipment Merchant Wholesalers</t>
  </si>
  <si>
    <t>55KARLAS CERAMICS &amp; FLORALS</t>
  </si>
  <si>
    <t>mailto:karlacer@sit-co.net</t>
  </si>
  <si>
    <t>Agriculture, Forestry, Fishing, and Hunting</t>
  </si>
  <si>
    <t>59-60, Inc</t>
  </si>
  <si>
    <t>="Business appraisal, economic damage, litigation support, expert witness, mergers and acquisitions, and financial analysis services, Certified Public Accountant (CPA), Accredited in Business Valuation (ABV), Accredited Senior Appraiser (ASA), Certified Valuation Analyst (CVA), Certified Business Appraiser (CBA)"</t>
  </si>
  <si>
    <t>mailto:cvacpa@aol.com</t>
  </si>
  <si>
    <t>Professional, Scientific and Technical Services</t>
  </si>
  <si>
    <t>7 Cipher Data Solutions, Inc.</t>
  </si>
  <si>
    <t>="7 Cipher Data Solutions Inc. is an information technology solution provider and consulting company headquartered in Indianapolis, Indiana. Our purpose is to provide IT consulting and technology business services specialized to each client's goal and operations. Our focus is on networking, security, messaging, enterprise infrastructure and Voice over IP utilizing Microsoft, Linux, Novell, Cisco and other products."</t>
  </si>
  <si>
    <t>http://www.7odsolutions.com</t>
  </si>
  <si>
    <t>mailto:www.7odoslutions.com</t>
  </si>
  <si>
    <t>77Media</t>
  </si>
  <si>
    <t>="Develop Learning Management Systems, educational courses and media rich experiences. Our Course Framework - Can be distributed on desktops, tablets and handheld devices - Works with many types of course content: from high-end, media rich content with lots of interactivity, to simpler material that relies on text and graphics - Is compatible with a variety of e-learning environments, utilizing SCORM &amp; Tin Can standards - Is ultra-usable, for easy, intuitive user experiences."</t>
  </si>
  <si>
    <t>http://www.77media.com</t>
  </si>
  <si>
    <t>mailto:dan.gollnick@77media.com</t>
  </si>
  <si>
    <t>Computer Systems Design and Related Services</t>
  </si>
  <si>
    <t>7:7 Tire</t>
  </si>
  <si>
    <t>Tire Dealers</t>
  </si>
  <si>
    <t>@Work Solutions, Inc</t>
  </si>
  <si>
    <t>http://www.atworksolutionsinc.com</t>
  </si>
  <si>
    <t>mailto:dgray@atworksolutionsinc.com</t>
  </si>
  <si>
    <t>Management, Scientific and Technical Consulting Services</t>
  </si>
  <si>
    <t>A &amp; A Sheet Metal Products Inc.</t>
  </si>
  <si>
    <t>="Your primary source for quality safety cabinets, chemical storage buildings, doors and other safety storage products. We are the manufacturer of the Securall product line. SECURALL® is a leading manufacturer of safety storage cabinets and hazmat storage buildings. Each cabinet and building is designed to safely store such things as flammables, corrosives, hazardous material, pesticides and industrial equipment. Our innovative design features and conscientious customer service continue to be the benchmark of excellence in the safety storage industry. Our commitment to customers needs has resulted in the most comprehensive line of safety storage products available. Make SECURALL® your primary source for quality safety cabinets, buildings and security products. SECURALL® also manufactures a quality line of firearm &amp; high security safes, which carry a superior 1700°F/1 hour fire rating."</t>
  </si>
  <si>
    <t>http://www.securallproducts.com</t>
  </si>
  <si>
    <t>mailto:govsales@securallproducts.com</t>
  </si>
  <si>
    <t>Prefabricated Metal Building and Component Manufacturing</t>
  </si>
  <si>
    <t>A &amp; B Interiors Inc.</t>
  </si>
  <si>
    <t>="Manufacture and Service (Clean, Repair, Take down, Re-Hang) Cubicle Curtains, Drapes, Blinds, Shower Curtains &amp; Liners, Tablecloths, Track &amp; Glides and etc. Everything that A &amp; B Interiors manufactures is done by our staff here in the US. Custom made with quality care! For Servicing: we can pick-up/deliver or due a full maintenance, where our highly trained staff does all the work, along with tracking for you. We strive for customer satifaction! Certified DBE as a Women Minority Business."</t>
  </si>
  <si>
    <t>http://www.AandBInteriors.com</t>
  </si>
  <si>
    <t>mailto:bperry@aanbinteriors.com</t>
  </si>
  <si>
    <t>Drycleaning and Laundry Services (except Coin-Operated)</t>
  </si>
  <si>
    <t>A &amp; B TAX SERVICE LLC</t>
  </si>
  <si>
    <t>="A&amp;B Tax Services is an Indianapolis based multi-service tax company that goes Above and Beyond to exceed your expectations. We pride ourselves on being always being professional, courteous, upfront and honest. Our services include Tax Preparation, Small Business Accounting and Payroll Services."</t>
  </si>
  <si>
    <t>http://www.abovebeyondtax.com</t>
  </si>
  <si>
    <t>mailto:nicole@abovebeyondtax.com</t>
  </si>
  <si>
    <t>Tax Preparation Services</t>
  </si>
  <si>
    <t>A &amp; D Supply Company</t>
  </si>
  <si>
    <t>http://www.ADSbizsupplies.com</t>
  </si>
  <si>
    <t>mailto:adsupplycom@yahoo.com</t>
  </si>
  <si>
    <t>Office Equipment Wholesalers</t>
  </si>
  <si>
    <t>A &amp; E Consulting, Inc.</t>
  </si>
  <si>
    <t>mailto:info@a-econsulting.com</t>
  </si>
  <si>
    <t>Environmental Consulting Services</t>
  </si>
  <si>
    <t>A &amp; E Investments, LLC</t>
  </si>
  <si>
    <t>http://www.shredxmidwest.com</t>
  </si>
  <si>
    <t>All Other Support Services</t>
  </si>
  <si>
    <t>A &amp; E Services, Inc.</t>
  </si>
  <si>
    <t>mailto:a_e_servicesinc@sbcglobal.net</t>
  </si>
  <si>
    <t>Janitorial Services</t>
  </si>
  <si>
    <t>A &amp; L Great Lakes Laboratories, Inc.</t>
  </si>
  <si>
    <t>http://www.algreatlakes.com</t>
  </si>
  <si>
    <t>mailto:lab@algreatlakes.com</t>
  </si>
  <si>
    <t>Testing Laboratories</t>
  </si>
  <si>
    <t>A &amp; L Urban Manageme</t>
  </si>
  <si>
    <t>="A &amp; L Management is a supplier of Network Cabling Systems, Physical Security solutions, Networking, Wireless &amp; Voice products, Electrical and Electronic Wire &amp; Cable, and Fasteners &amp; Class “C” products. We partner with best-in-class manufacturers to deliver our customers the quality they demand."</t>
  </si>
  <si>
    <t>mailto:clarencelyles@yahoo.com</t>
  </si>
  <si>
    <t>Cable Networks and Program Distribution</t>
  </si>
  <si>
    <t>A &amp; Leasing, Inc.</t>
  </si>
  <si>
    <t>mailto:ableasing@direcway.com</t>
  </si>
  <si>
    <t>A &amp; M Door, Inc.</t>
  </si>
  <si>
    <t>="A &amp; M Door, Inc. will furnish, install and service both automatic and manual doors as well as door hardware. We believe success hinges on providing quality products and outstanding service. We believe our products lines are equal to or better than our competitors. We represent Hunter Automatics, Sierra Automatics, Lockman Peck Automatic Operators (Lockman Peck is a Indiana certified woman-owned company.) Each of these companies offer manufacturers' warranties of 2 or more years. 52% of A &amp; M Door stock is owned by women. Our company was formed in Jan. 2006. We had an excellent year in 2007. We recently hired 2 full time employees to meet the needs of our growing list of customers. Our main niche is automatic sliding doors and handicap operators for swing doors. We also provide ICU/CCU doors for hospitals. We are an authorized dealer for Ready Access Drive Thru service windows. Our company is fully insured, bondable, AAADM certified and factory trained."</t>
  </si>
  <si>
    <t>http://www.aandmdoor.com</t>
  </si>
  <si>
    <t>mailto:info@aandmdoor.com</t>
  </si>
  <si>
    <t>Other Building Equipment Contractors</t>
  </si>
  <si>
    <t>A &amp; P Ventures, LLC</t>
  </si>
  <si>
    <t>http://www.searsclean.com</t>
  </si>
  <si>
    <t>mailto:mayres@searsclean.com</t>
  </si>
  <si>
    <t>Carpet and Upholstery Cleaning Services</t>
  </si>
  <si>
    <t>A &amp; R Supply of Ind</t>
  </si>
  <si>
    <t>http://arhomecenter.com</t>
  </si>
  <si>
    <t>mailto:swagler@cbnstl.com</t>
  </si>
  <si>
    <t>Hardware, and Plumbing and Heating Equipment and Supplies Merchant Wholesalers</t>
  </si>
  <si>
    <t>A 2 Z Mobile Glass</t>
  </si>
  <si>
    <t>mailto:a2z_bells@msn.com</t>
  </si>
  <si>
    <t>All Other Special Trade Contractors</t>
  </si>
  <si>
    <t>A 2 Z Apps, Inc.</t>
  </si>
  <si>
    <t>http://www.a2zapps.biz</t>
  </si>
  <si>
    <t>mailto:chris.zeis@a2zapps.biz</t>
  </si>
  <si>
    <t>Information</t>
  </si>
  <si>
    <t>A Beautiful Lawn</t>
  </si>
  <si>
    <t>http://myezlc.com/</t>
  </si>
  <si>
    <t>mailto:ablawn2011@gmail.com</t>
  </si>
  <si>
    <t>A Caldwells Enterprises Too LLC</t>
  </si>
  <si>
    <t>http://www.caldwellstowingtoollc.com</t>
  </si>
  <si>
    <t>mailto:caldwellsenterprisestoo@gmail.com</t>
  </si>
  <si>
    <t>Special Trade Contractors</t>
  </si>
  <si>
    <t>A Cleaner Way Inc</t>
  </si>
  <si>
    <t>mailto:escleaner@gmail.com</t>
  </si>
  <si>
    <t>A Cut Above Catering</t>
  </si>
  <si>
    <t>="A Cut Above Catering is a full service offsite catering company. We have a wide variety of reception menus and service packages. We offer Instructional cooking classes for team building for corporate companies and social events. We are the leading cater in International Cuisine and have award winning event planning and customer service. A Cut Above Catering also offers excellence in vendor resource and are a member of Indy Soiree."</t>
  </si>
  <si>
    <t>http://www.acutabovecatering.com</t>
  </si>
  <si>
    <t>mailto:amy@acutabovecatering.com</t>
  </si>
  <si>
    <t>Caterers</t>
  </si>
  <si>
    <t>A Cut Above, Ltd.</t>
  </si>
  <si>
    <t>http://www.acutaboveltd.com</t>
  </si>
  <si>
    <t>mailto:acutabove@insightbb.com</t>
  </si>
  <si>
    <t>Finish Carpentry Contractors</t>
  </si>
  <si>
    <t>A D Graphics</t>
  </si>
  <si>
    <t>="A D Graphics is a small business. our products include original, homemade candles and custom candle . work also includes and varies in novality product such as balloons and greeting card airbrushing with original design and we have made to order business and post cards. and much more."</t>
  </si>
  <si>
    <t>mailto:a.d.graphics@hotmail.com</t>
  </si>
  <si>
    <t>Gift, Novelty, and Souvenir Stores</t>
  </si>
  <si>
    <t>A Daily Task</t>
  </si>
  <si>
    <t>http://www.adailytask.com</t>
  </si>
  <si>
    <t>mailto:adailytask@aol.com</t>
  </si>
  <si>
    <t>Administrative Management and General Management Consulting Services</t>
  </si>
  <si>
    <t>A Fork in the Road</t>
  </si>
  <si>
    <t>="A Fork in the Road offers unconditional hospitality while catering gourmet, scrumptious edibles that delight a ""foodies"" palate! Services provided but not limited to are Weddings, Private Parties, Business Luncheons &amp; Functions, Off-Site Catering, Banquets, Personal/Private Chef,&amp; Batch Product Sales. The Opportunity to make your function Fabulous is at the heart of our business! Celebrate Life as it Happens!!!!"</t>
  </si>
  <si>
    <t>mailto:cafe247@hotmail.com</t>
  </si>
  <si>
    <t>A Full Mind</t>
  </si>
  <si>
    <t>A Href Interactive Inc.</t>
  </si>
  <si>
    <t>="A Href Interactive is a full-service designer and developer of online solutions. A Href Interactive takes advantage of our marketing experience to produce strategy-driven Web applications that deliver results. The company is led by Doug Ryner who developed industry-leading experience as Director of the Interactive Department for one of the Midwest’s most successful interactive marketing firms and Web Administrator at a major research university. The company’s mission is to design and produce Web sites and applications that sell more, inform better and improve performance. A Href Interactive has developed a wide range of Web sites – from informational sites for local not-forprofit agencies to custom applications for international corporations."</t>
  </si>
  <si>
    <t>http://ahrefinteractive.com</t>
  </si>
  <si>
    <t>mailto:info@ahrefinteractive.com</t>
  </si>
  <si>
    <t>A K Global Travels</t>
  </si>
  <si>
    <t>Travel Agencies</t>
  </si>
  <si>
    <t>A LW Construction, LLC.</t>
  </si>
  <si>
    <t>mailto:wildmn1973@yahoo.com</t>
  </si>
  <si>
    <t>Construction of Buildings</t>
  </si>
  <si>
    <t>A Lauren Design Company</t>
  </si>
  <si>
    <t>mailto:andrea@alaurendesign.com</t>
  </si>
  <si>
    <t>All Other Personal Services</t>
  </si>
  <si>
    <t>A MAN and A MOP</t>
  </si>
  <si>
    <t>="A MAN and A MOP is a professional commercial and residential cleaning service. We are INSURED and BONDED. You will find us to be very reliable, trustworthy, and a service that pays attention to detail. IMPRESS YOUR CLIENTS! BOOST STAFF MORALE! LET US HELP YOU IMPROVE YOUR BUSINESS!"</t>
  </si>
  <si>
    <t>http://www.amanandamop.com</t>
  </si>
  <si>
    <t>mailto:marquis@amanandamop.com</t>
  </si>
  <si>
    <t>A Moment in Time Photography</t>
  </si>
  <si>
    <t>http://www.momentsinphotos.com</t>
  </si>
  <si>
    <t>mailto:sharron@momentsinphotos.com</t>
  </si>
  <si>
    <t>Printing and Related Support Activities</t>
  </si>
  <si>
    <t>A P Cabling, Inc.</t>
  </si>
  <si>
    <t>="We are a family owned business that specializes in the installation of structured wiring and Telecommunications systems. This includes data and telemunications wiring, fiber optic cable, coax cable, alarm system wiring, and small to medium size telephone systems. We install Avaya Partner and Magix equipment as well as Bizfon."</t>
  </si>
  <si>
    <t>mailto:apcabling@sbcglobal.net</t>
  </si>
  <si>
    <t>Electrical Contractors</t>
  </si>
  <si>
    <t>A PLUS SERVICES REPAIR CORP</t>
  </si>
  <si>
    <t>="""A Plus Services"",it is a company that it provides to the whole Hispanic Community of the Indiana State, the following services: * Individual &amp; Business Taxes. * Accounting Services. * Payroll Services. * Registration of New Corporations. * ITIN Number. * Translations. * Notary Public. * Filling of applications for Residents and Citizens USA. ""We speak English, Spanish &amp; Italian"". We are ""Authorized IRS e-file Provider"" &amp; ""Certified QuickBooks Advanced ProAdvisor"""</t>
  </si>
  <si>
    <t>http://www.aplusservices.info</t>
  </si>
  <si>
    <t>mailto:aplusservices_01@yahoo.com</t>
  </si>
  <si>
    <t>Accounting, Tax Preparation, Bookkeeping and Payroll Services</t>
  </si>
  <si>
    <t>A Parliament of Owls, LLC</t>
  </si>
  <si>
    <t>http://www.pofoeducational.com</t>
  </si>
  <si>
    <t>mailto:michelle.shull@pofoeducational.com</t>
  </si>
  <si>
    <t>Software Publishers</t>
  </si>
  <si>
    <t>A Plus Business Consulting Inc</t>
  </si>
  <si>
    <t>http://www.aplusbusinessconsulting.net</t>
  </si>
  <si>
    <t>mailto:info@aplusbusinessconsulting.net</t>
  </si>
  <si>
    <t>A Plus Computers Inc</t>
  </si>
  <si>
    <t>http://www.apluscomputers.com</t>
  </si>
  <si>
    <t>mailto:sales@apluscomputers.com</t>
  </si>
  <si>
    <t>Information Services and Data Processing Services</t>
  </si>
  <si>
    <t>A Plus Datacomm, Inc.</t>
  </si>
  <si>
    <t>mailto:jose@aplusdatacomm.com</t>
  </si>
  <si>
    <t>A Plus Home Health Care, Inc.</t>
  </si>
  <si>
    <t>http://www.a-plushomehealth.com</t>
  </si>
  <si>
    <t>mailto:aplus@a-plushomehealth.com</t>
  </si>
  <si>
    <t>Home Health Care Services</t>
  </si>
  <si>
    <t>A Sign by Design, Inc</t>
  </si>
  <si>
    <t>="A Sign By Design, founded in 1988 by President and CEO Beverly A. Miller, manufactures and installs commercial signage in Indiana and across the nation. ASBD applies its experience and expertise to assist clients in creating their unique corporate image with custom signage that becomes an integral part of their business success. The foundation of service to our clients has been built on a reputation of excellence by consistently crafting superior products, providing unwavering client support, zealously meeting timing and budget needs, and applying unparalleled knowledge and experience. A Sign By Design is the recipient of the Indianapolis Business Journal's Blue Chip Business Award in 2009."</t>
  </si>
  <si>
    <t>http://www.asignbydesign.com</t>
  </si>
  <si>
    <t>mailto:sales@asignbydesign.com</t>
  </si>
  <si>
    <t>A Total Solution CPA &amp; Consulting Servic</t>
  </si>
  <si>
    <t>="A Total Solution CPA &amp; Consulting Services provides end-to-end bookkeeping, tax, and consulting services to small to medium sized businesses. Services include bookkeeping, business planning, QuickBooks set-up and training, entity formations, tax planning/preparation, and government contracting consulting. Contact an ATS representative for a free consultation."</t>
  </si>
  <si>
    <t>http://www.atsindycpa.com</t>
  </si>
  <si>
    <t>mailto:cdallen@atsindycpa.com</t>
  </si>
  <si>
    <t>Offices of Certified Public Accountants</t>
  </si>
  <si>
    <t>A and B Logistics</t>
  </si>
  <si>
    <t>="A&amp;B Logistics was incorporated in 1988 as an addition to Mister “P” Express, Inc. In a progressive move towards advancing its standing in the Transportation Industry, A&amp;B’s sole ownership was transferred in 2003 to Cindy Collier, making it a separate, totally minority owned Logistics Company. Under Cindy’s guidance a diverse group of highly trained individuals excel in offering the following services to the Fortune 500 warehouse and distribution community. Competitive rates Pre-approved carrier base across the United States 24/7 dispatch 48-state authority Flexible schedules for loading and unloading."</t>
  </si>
  <si>
    <t>http://www.misterpexpress.com</t>
  </si>
  <si>
    <t>mailto:ccollier@misterpexpress.com</t>
  </si>
  <si>
    <t>General Freight Trucking, Long-Distance, Truckload</t>
  </si>
  <si>
    <t>A&amp;A Lawn Care Services</t>
  </si>
  <si>
    <t>mailto:a-n-a-lawncare@hotmail.com</t>
  </si>
  <si>
    <t>A&amp;B Plumbing Service Inc.</t>
  </si>
  <si>
    <t>http://www.abplumbingservice.com</t>
  </si>
  <si>
    <t>mailto:abplumbingservice@earthlink.net</t>
  </si>
  <si>
    <t>Plumbing, Heating, and Air-Conditioning Contractors</t>
  </si>
  <si>
    <t>A&amp;F Engineering Co., LLC</t>
  </si>
  <si>
    <t>="Since our inception in 1966, A&amp;F Engineering Co., LLC has grown into a multi-disciplined engineering practice that encompasses a variety of transportation fields, including: * Roadway Design * Highway Lighting Design * Traffic Signal Design * Roadway Signing Design * Traffic Operations and Analysis * Construction Engineering * Transportation Planning * Parking Studies * Traffic Data Collection * Traffic Forecasting * Pavement Marking Design * Forensic Engineering Our company provides statewide services to public and private clients. Our staff members possess the broad range of skills, engineering judgment and experience to produce thorough and reliable solutions to a wide range of traffic and transportation problems."</t>
  </si>
  <si>
    <t>mailto:afengineering@af-eng.com</t>
  </si>
  <si>
    <t>A&amp;J Companies</t>
  </si>
  <si>
    <t>http://BozellIndustrialProducts.com</t>
  </si>
  <si>
    <t>mailto:bip@ccrtc.com</t>
  </si>
  <si>
    <t>Printing and Writing Paper Merchant Wholesalers</t>
  </si>
  <si>
    <t>A&amp;M Specialties, Inc</t>
  </si>
  <si>
    <t>http://www.amspecialtiesinc.com</t>
  </si>
  <si>
    <t>mailto:info@amspecialtiesinc.com</t>
  </si>
  <si>
    <t>A&amp;R Security Services, Inc.</t>
  </si>
  <si>
    <t>="A&amp;R Security Services, Inc., which is one of the largest privately owned guard firms in the Midwest. Currently, our operations are largely based in Illinois, Indiana, Kentucky, Ohio, West Virginia and Pennsylvania. We have earned a reputation as a regional leader in contract security services by providing effective solutions that result in rewarding business partnerships. It is our intention to be recognized as the most respected and proactive industry leader by consistently providing a continuum of innovative solutions that anticipate and respond to our client’s needs, inspiring mutual trust and confidence. A&amp;R Security Services, Inc., we are committed to partnering with our clients and employees to provide, responsive and reliable value driven security service excellence. The primary strength since our founding in 1967 is the stability of our management team, along with commitment to our clients for immediate and qualified responses to their needs. We are a member of NSA"</t>
  </si>
  <si>
    <t>http://www.arsecurity.com</t>
  </si>
  <si>
    <t>Security Guards and Patrol Services</t>
  </si>
  <si>
    <t>A&amp;S METAL ROOFREPAIR</t>
  </si>
  <si>
    <t>mailto:sdangler@indy.rr.com</t>
  </si>
  <si>
    <t>Roofing, Siding and Sheet Metal Contractors</t>
  </si>
  <si>
    <t>A&amp;Z Engineering, LLC</t>
  </si>
  <si>
    <t>="A&amp;Z Engineering, LLC is a multi-disciplined engineering design firm focused on providing our clients engineering services of the highest quality and value. We have experienced professionals/engineers/designers providing transportation/civil engineering and planning services in Indiana since the early 1980’s. A&amp;Z Engineering is experienced in the design of roadway, highway, traffic and trailway projects with two Professional Engineers. The staff has over 120 years of combined engineering experience in preparing design plans for all types of transportation projects. A&amp;Z staff is current with INDOT design requirements and understand the federal aid, design and plan submittal processes."</t>
  </si>
  <si>
    <t>http://www.az-engineering.net/</t>
  </si>
  <si>
    <t>mailto:info@az-engineering.net</t>
  </si>
  <si>
    <t>A+ Performance Trucking &amp; Conveying, Inc</t>
  </si>
  <si>
    <t>A-1 Door Specialties, Inc.</t>
  </si>
  <si>
    <t>http://www.a-1door.com</t>
  </si>
  <si>
    <t>A-1 Expeditors, INC</t>
  </si>
  <si>
    <t>="A-1 Expeditors is experienced in pulling all types of residential &amp; commercial building permits, filing and obtaining variances, as well as securing essential rezoning requirements. Whatever your permitting needs, we can assist you in obtaining them. A-1 Expeditors, Inc. is backed with 20 years customer service/construction management experience. We operate in Indianapolis and all surrounding areas. Customer service is the key to your satisfaction and our success. You can always expect professional, efficient, polite and honest service."</t>
  </si>
  <si>
    <t>http://www.a1expeditors.com</t>
  </si>
  <si>
    <t>mailto:nancy@a1expeditors.com</t>
  </si>
  <si>
    <t>A-1 Expeditors, Inc.</t>
  </si>
  <si>
    <t>All Other Professional, Scientific, and Technical Services</t>
  </si>
  <si>
    <t>A-1 Laser Corporatio</t>
  </si>
  <si>
    <t>mailto:a1lasercorp@sbcglobal.net</t>
  </si>
  <si>
    <t>Photographic Film, Paper, Plate and Chemical Manufacturing</t>
  </si>
  <si>
    <t>A-1 Maintenance</t>
  </si>
  <si>
    <t>A-1 PRODUCTION INC</t>
  </si>
  <si>
    <t>="Custom Machining, large or small volumes, spot buys or repeat orders. A-1 Precision machining of fittings, adapters and pins from various materials involving threading, tapping, grooving and turning. Contact us for a free quote. We have machines with live tooling for one operation completion of complex parts. Our nominal size range is 1/2"" OD up to 10"" OD with lengths from 1/2"" to 20"" using a variety of materials and added services we can complete your parts from start to finish ready for your project. We also make hardened and ground steel bushings straight or with shoulders, id grooves, spiral grooves, cross holes drilled and tapped. A -1 Production offers packaging and assembly services for kitting and distribution. Products and components can be completed and delivered or distributed to schedule on an as needed basis."</t>
  </si>
  <si>
    <t>http://www.a1production.com</t>
  </si>
  <si>
    <t>mailto:deb@a1production.com</t>
  </si>
  <si>
    <t>Machine Shops</t>
  </si>
  <si>
    <t>A-1 Power LLC</t>
  </si>
  <si>
    <t>="A-1 Power Equipment is an outdoor power equipment dealer specializing in the sale and service of zero turn mowers, riding tractors, walk mowers, specialty commercial mowers, handheld power equipment, and trailers. We have an extensive line up of brands and various types of equipment which allows us to meet the ever-changing needs of the lawn and garden, landscaping, construction, and property maintenance industry."</t>
  </si>
  <si>
    <t>http://www.a1powerllc.com</t>
  </si>
  <si>
    <t>mailto:manager@a1powerllc.com</t>
  </si>
  <si>
    <t>Outdoor Power Equipment Stores</t>
  </si>
  <si>
    <t>A-Current Electric, LLC</t>
  </si>
  <si>
    <t>A-One Cleaning Service</t>
  </si>
  <si>
    <t>mailto:tinaparksthomas@aol.com</t>
  </si>
  <si>
    <t>A-Plus, Inc.</t>
  </si>
  <si>
    <t>Specialty Trade Contractors</t>
  </si>
  <si>
    <t>A-R Specialty Advertising</t>
  </si>
  <si>
    <t>http://www.a-rspecialtyad.com</t>
  </si>
  <si>
    <t>mailto:arsp493@aol.com</t>
  </si>
  <si>
    <t>Other Services Related to Advertising</t>
  </si>
  <si>
    <t>A-V-A Video Productions</t>
  </si>
  <si>
    <t>="We produce high quality corporate and governmental videos using the latest technology. Founded in 1980 A-V-A Video Productions has the experience and know-how to complete any video production task. Please contact us for a competitive bid on any video project."</t>
  </si>
  <si>
    <t>http://www.avavideoproductions.com</t>
  </si>
  <si>
    <t>mailto:avaprods@comcast.net</t>
  </si>
  <si>
    <t>Motion Picture and Video Production</t>
  </si>
  <si>
    <t>A-Z PRODUCTS</t>
  </si>
  <si>
    <t>Land Subdivision and Land Development</t>
  </si>
  <si>
    <t>A. A. Billian Co Inc</t>
  </si>
  <si>
    <t>mailto:aabillian@aol.com</t>
  </si>
  <si>
    <t>Stationery and Office Supplies Merchant Wholesalers</t>
  </si>
  <si>
    <t>A. G. Barr &amp; Associates LLC</t>
  </si>
  <si>
    <t>="A professional security consulting and investigative firm of former military and federal law enforcement officers specializing in executive protection, crisis management, security consulting, special investigations, surveillance and countersurveillance with contacts worldwide."</t>
  </si>
  <si>
    <t>mailto:mcf4rio@earthlink.net</t>
  </si>
  <si>
    <t>Investigation and Security Services</t>
  </si>
  <si>
    <t>A. G. Maas Company</t>
  </si>
  <si>
    <t>http://www.agmaas.com</t>
  </si>
  <si>
    <t>mailto:laura@agmaas.com</t>
  </si>
  <si>
    <t>Service Establishment Equipment and Supplies Merchant Wholesalers</t>
  </si>
  <si>
    <t>A. J. Armstrong, Inc.</t>
  </si>
  <si>
    <t>http://www.ajarmstrong.com</t>
  </si>
  <si>
    <t>mailto:sarmstrong@ajarmstrong.com</t>
  </si>
  <si>
    <t>Nonresidential Building Construction</t>
  </si>
  <si>
    <t>A. W. Goodman &amp; Associates, Inc.</t>
  </si>
  <si>
    <t>="Environmental consulting firm specializing in wastewater treatment, permits, NPDES programs, industrial waste treatment, operator training, design of treatment plants, sewer studies and related environmental projects. We perform sewer studies, devlopment planning for on-site treatment, constructed wetlands designs, and troubleshooting of wastewater treatment plants. AWG has been in business for over 18 years and has international clients along with multi-state contracts and clients."</t>
  </si>
  <si>
    <t>mailto:alwgoodman@aol.com</t>
  </si>
  <si>
    <t>A.D. King Enterprises Inc.</t>
  </si>
  <si>
    <t>="We are a one source location for office supply needs. Office systems (cubicles, computers, printers), furniture (chairs, desks, filing systems), and regular supplies (everything from pens and pencils to copier cartridges). We are also a Christian bookstore and have many items in stock at our two locations (Connersville/Rushville) and can order in other items as needed. We also handle custom forms and printing."</t>
  </si>
  <si>
    <t>http://www.officekinginc.com</t>
  </si>
  <si>
    <t>mailto:mking@officekinginc.com</t>
  </si>
  <si>
    <t>Office Supplies and Stationery Stores</t>
  </si>
  <si>
    <t>A.J. Nelson, Inc.</t>
  </si>
  <si>
    <t>A.R. YOUNG CO., INC.</t>
  </si>
  <si>
    <t>http://WWW.ARYOUNG.COM</t>
  </si>
  <si>
    <t>Electric Power Transmission, Control and Distribution</t>
  </si>
  <si>
    <t>A.T.R. Building Services</t>
  </si>
  <si>
    <t>mailto:estimates@atrbuildingservices.com</t>
  </si>
  <si>
    <t>New Multifamily Housing Construction (except Operative Builders)</t>
  </si>
  <si>
    <t>A.W.E. Consulting, Inc.</t>
  </si>
  <si>
    <t>="A.W.E. Consulting, Inc. is a woman-owned consulting firm with over 15 years experience providing environmental compliance assistance services across the full spectrum of environmental issues. A. W.E. stands for Agricultural, Wildlife and Environmental Services: Agricultural services comprise permitting, soil testing, online recordkeeping, and compliance audits. Wildlife services incorporate wildlife management, habitat classification, wetlands management, animal damage control and biological surveys. Environmental services include permitting, training, engineering design, and compliance assessment, as well as ISO 14001 EMS implementation, training, and auditing, sustainable development and green procurement. A.W.E also specializes in web-design and development of web-based training courses. Based in Michigan City Indiana A.W.E. is a 100% Indiana-owned and operated corporation providing reliable solutions that are also sustainable, efficient, and cost-effective."</t>
  </si>
  <si>
    <t>http://www.aweconsulting.biz</t>
  </si>
  <si>
    <t>mailto:mollylong@aweconsulting.biz</t>
  </si>
  <si>
    <t>A/E Technologies, In</t>
  </si>
  <si>
    <t>http://www.ae-tech.com</t>
  </si>
  <si>
    <t>mailto:jack.morgan@ae-tech.com</t>
  </si>
  <si>
    <t>Architectural Services</t>
  </si>
  <si>
    <t>A1 Elect-Ricks, Inc.</t>
  </si>
  <si>
    <t>="Complete electrical wiring of industrial, commercial buildings and apartments; Installation of fire alarms in buildings and apartments; Installation of communication and data in buildings and apartments; Metal/non-metal mining - all electrical aspects; Underground metal/non-metal - all electrical aspects; Design of electrical installations within structures."</t>
  </si>
  <si>
    <t>http://www.a1elect-ricks.com</t>
  </si>
  <si>
    <t>mailto:jacrouch@ameritech.net</t>
  </si>
  <si>
    <t>A1 Excavating LLC</t>
  </si>
  <si>
    <t>mailto:a1excavating@yahoo.com</t>
  </si>
  <si>
    <t>A1 LABS FW</t>
  </si>
  <si>
    <t>="A1 LABS FW IS A PROVIDER OF DRUG AND ALCOHOL SCREENING AND TESTING. WE ALSO HELP TO IMPROVE WORKER SAFETY BY CREATING AND MANAGING A BUSINES'S SUBSTANCE ABUSE PROGRAM. A1-LABS FW HAS NATIONWIDE AFFILIATES THAT ARE ABLE TO SERVE ALL OUR CLIENT'S NEEDS. A1-LABS ALSO PROVIDES DNA PATERNITY TESTING AND BACKGROUND CHECKS."</t>
  </si>
  <si>
    <t>mailto:TCAMERON@FOCUSEDTYKES.COM</t>
  </si>
  <si>
    <t>Child Day Care Services</t>
  </si>
  <si>
    <t>A1 Lock &amp; Key Service</t>
  </si>
  <si>
    <t>A2O Boating and Marine Supply Inc</t>
  </si>
  <si>
    <t>http://www.a2oinc.com</t>
  </si>
  <si>
    <t>Sporting and Recreational Goods and Supplies Merchant Wholesalers</t>
  </si>
  <si>
    <t>A2Z Designs, LLC</t>
  </si>
  <si>
    <t>Painting and Wall Covering Contractors</t>
  </si>
  <si>
    <t>AA General Contractor &amp; Construction</t>
  </si>
  <si>
    <t>mailto:Bthomas950@comcast.net</t>
  </si>
  <si>
    <t>Residential Remodelers</t>
  </si>
  <si>
    <t>AA Septic ServiceLLC</t>
  </si>
  <si>
    <t>mailto:stevecranfill@seidata.com</t>
  </si>
  <si>
    <t>Septic Tank and Related Services</t>
  </si>
  <si>
    <t>AAA Cleaning Services, Inc.</t>
  </si>
  <si>
    <t>="We are a cleaning corporation with a lot of experience cleaning commercial businesses. We specialize in cleaning any type of flooring, carpet, tile, etc. We have a lot of experience in cleaning medical facilities. We also do general cleaning. We have certified/bonded, experienced workers."</t>
  </si>
  <si>
    <t>mailto:aaacleaning@wowway.com</t>
  </si>
  <si>
    <t>AAA Collections</t>
  </si>
  <si>
    <t>Collection Agencies</t>
  </si>
  <si>
    <t>AAA Electric of Terre Haute, Inc.</t>
  </si>
  <si>
    <t>="Electrical Contractor specializing in Design/Build, Bidding, New Construction, Additions, Renovations, etc. for Commercial, Industrial, and Institutional entities. We are especially experienced in the Design/Build, Bidding, New Construction, Additions, Renovations, etc. for prisons, correctional facilities, hospitals, schools, universities, retail establishments, runway lighting, military installations, etc."</t>
  </si>
  <si>
    <t>http://www.aaaelectricofth.com</t>
  </si>
  <si>
    <t>mailto:aaaelkig@aol.com</t>
  </si>
  <si>
    <t>AAA Excavating &amp; Concrete</t>
  </si>
  <si>
    <t>http://aaaexcavatingconcrete.com</t>
  </si>
  <si>
    <t>mailto:ebsaylor1@kconline.com</t>
  </si>
  <si>
    <t>All Other Specialty Trade Contractors</t>
  </si>
  <si>
    <t>AAC Environmental Consulting, LLC</t>
  </si>
  <si>
    <t>http://www.aacenvironmentalconsulting.co</t>
  </si>
  <si>
    <t>mailto:aacenvironmental@sbcglobal.net</t>
  </si>
  <si>
    <t>AARC</t>
  </si>
  <si>
    <t>http://under construction</t>
  </si>
  <si>
    <t>mailto:aarc@aarcinfo.org</t>
  </si>
  <si>
    <t>Vocational Rehabilitation Services</t>
  </si>
  <si>
    <t>ABC Company LLC</t>
  </si>
  <si>
    <t>http://www.abc-i.com</t>
  </si>
  <si>
    <t>mailto:jack@abc9876.com</t>
  </si>
  <si>
    <t>Electronic Shopping</t>
  </si>
  <si>
    <t>ABC Industries, Inc.</t>
  </si>
  <si>
    <t>http://www.ABC-Industries.net</t>
  </si>
  <si>
    <t>mailto:Sales@ABC-Industries.net</t>
  </si>
  <si>
    <t>Laminated Plastics Plate, Sheet (except Packaging), and Shape Manufacturing</t>
  </si>
  <si>
    <t>ABC JUNK</t>
  </si>
  <si>
    <t>="ABC JUNK provides junk, trash, debris removal and hauling. We haul anything and everything non-hazardous. We also provide demolition services with haul away capabilities. If you need it removed and hauled away ABC JUNK will do it today. Locally owned and operated."</t>
  </si>
  <si>
    <t>http://www.abcjunk.com</t>
  </si>
  <si>
    <t>mailto:abcjunk.indy@gmail.com</t>
  </si>
  <si>
    <t>Waste Collection</t>
  </si>
  <si>
    <t>ABC Trucking LLC</t>
  </si>
  <si>
    <t>mailto:abctruckingllc@yahoo.com</t>
  </si>
  <si>
    <t>ABC of Indiana Appr</t>
  </si>
  <si>
    <t>="The Associated Builders and Contractors of Indiana Apprenticeship TRUST is the professional, not-for-profit 501 (C) 3 training arm of the Associated Builders and Contractors of Indiana . ABC was established in 1973, and the TRUST was founded in 1981. The mission of the TRUST is to provide the best apprenticeship and job training programs for individuals interested in acquiring task and construction management skills and developing capabilities to enhance their lives and the construction industry."</t>
  </si>
  <si>
    <t>http://abc-indy.org</t>
  </si>
  <si>
    <t>mailto:karen@abc-indy.org</t>
  </si>
  <si>
    <t>Educational Support Services</t>
  </si>
  <si>
    <t>ABG, an Adayana company</t>
  </si>
  <si>
    <t>Marketing Research and Public Opinion Polling</t>
  </si>
  <si>
    <t>ABK Tracking, INC</t>
  </si>
  <si>
    <t>http://www.abktracking.com/</t>
  </si>
  <si>
    <t>mailto:rmuensterman@abkkcc.com</t>
  </si>
  <si>
    <t>ABLE PAPER AND JANITORIAL SUPPLIES INCC.</t>
  </si>
  <si>
    <t>="Able Paper is a family owned janitorial supply company that has been servicing northwest Indiana for over 40 years. We handle chemicals, equipment sales and service, paper products, personal hygiene products, safety supplies, and much more. We offer fair pricing and dependable service. We have experience with government facilities and school systems."</t>
  </si>
  <si>
    <t>http://www.apjsupply.com</t>
  </si>
  <si>
    <t>mailto:scott.apj@gmail.com</t>
  </si>
  <si>
    <t>ABM CO INC</t>
  </si>
  <si>
    <t>http://WWW.ABMFW.COM</t>
  </si>
  <si>
    <t>mailto:ABMINC@ABMFW.COM</t>
  </si>
  <si>
    <t>Office Equipment Merchant Wholesalers</t>
  </si>
  <si>
    <t>ABM Janitorial Services</t>
  </si>
  <si>
    <t>="For over 25 years ABM has been providing services to the greater Indianapolis and Central Indiana markets. we have over 600 employees providing daily cleaning service in these markets. Over our years of experience, we have developed a local branch business model that provides our customers with sutainable, high quality service. Utilizing innovation in equipment technology and updated cleaning processes, we provide modern, highly productive, cost efficient service. Our Green Care cleaning program and internet based Quality Management System are value added programs that differentiate our service. ABM Indianaplis has the local management and supervision, with multiple years of industry experience, to ensure quality customer service and accountability. We have the expertise of a national company, with the quality of local service. ABM Janitorial Services is a subdiariy of ABM Industries, Inc. which is one of the largest facility services contractors listed on the New York Stock Exchange."</t>
  </si>
  <si>
    <t>http://www.abm.com</t>
  </si>
  <si>
    <t>mailto:gpfledderer@abm.com</t>
  </si>
  <si>
    <t>ABP Lockefield, LLC</t>
  </si>
  <si>
    <t>Limited-Service Restaurants</t>
  </si>
  <si>
    <t>ABR Images</t>
  </si>
  <si>
    <t>http://www.abrprint.com</t>
  </si>
  <si>
    <t>mailto:ross@abrprint.com</t>
  </si>
  <si>
    <t>Printing</t>
  </si>
  <si>
    <t>ABS LLC</t>
  </si>
  <si>
    <t>mailto:mark.b.harsley@mail.com</t>
  </si>
  <si>
    <t>ABS TECHNOLOGY INCOR</t>
  </si>
  <si>
    <t>http://WWW.ABSTECHNOLOGYINC.COM</t>
  </si>
  <si>
    <t>mailto:JOBITUS@YAHOO.COM</t>
  </si>
  <si>
    <t>ABSOLUTIONS, LLC</t>
  </si>
  <si>
    <t>="Absolutions, LLC specializes in the consulting for and fulfillment of various telecommunications requirements for its' customers, primarily voice and data products and services associated with IP Telephony solutions from leading manufacturers, including AVAYA, Alcatel, AVST, Cisco, Polycom, ScanSoft, SpectraLink, Veramark, and APC. We are an end-to-end solutions provider for CPE equipment, managing best-in-class 24x7 pre- and post-sales support for all convergence solutions we deploy."</t>
  </si>
  <si>
    <t>mailto:angie.witham@absolutions.com</t>
  </si>
  <si>
    <t>Telecommunications Resellers</t>
  </si>
  <si>
    <t>ABc's &amp; 123's, Incorporated</t>
  </si>
  <si>
    <t>="We are a full service licensed preschool and child care centers. We provide are for ages 6 week to 12 years Our service include: 1. Preschool 2. Before and after care 3. Seasonal camps (spring, fall and summer breaks) 4. Transportation to and from school 5. Extended evening hours"</t>
  </si>
  <si>
    <t>http://www.abcslearningcenters.com</t>
  </si>
  <si>
    <t>mailto:nkhan@abc123learningcenter.com</t>
  </si>
  <si>
    <t>AC/C Technology Inc</t>
  </si>
  <si>
    <t>="AC/C TECH is a post secondary institution specializing in residential and apartment maintenance training. More specifically, training related to appliance repair, computer technology, electrical wiring, heating and air-conditioning, interior and exterior maintenance, plumbing, and swimming pool maintenance. AC/C TECH also provides training for the Indiana Home Inspection Licensure, EPA Technician Certification, and the Certified Pool Operator’s Certification."</t>
  </si>
  <si>
    <t>http://www.acctech.us</t>
  </si>
  <si>
    <t>mailto:ish12345@sbcglobal.net</t>
  </si>
  <si>
    <t>Technical and Trade Schools</t>
  </si>
  <si>
    <t>ACCC Co., LLC</t>
  </si>
  <si>
    <t>http://CCBOONECO.COM</t>
  </si>
  <si>
    <t>mailto:ACCCCO@AOL.COM</t>
  </si>
  <si>
    <t>Industrial Supplies Merchant Wholesalers</t>
  </si>
  <si>
    <t>ACCENT Marketing Services, LLC</t>
  </si>
  <si>
    <t>="ACCENT is an international provider of integrated marketing solutions. We partner with world-class companies to help them acquire, support, retain, and grow their customers at every stage in the customer lifecycle. Since 1993, we’ve offered our clients an integrated suite of data analytics, direct marketing, contact management, and fulfillment solutions built on proven methodologies and extensive insight into customer behaviors."</t>
  </si>
  <si>
    <t>http://www.accentonline.com/accentindex/</t>
  </si>
  <si>
    <t>mailto:info@accentonline.com</t>
  </si>
  <si>
    <t>Marketing Consulting Services</t>
  </si>
  <si>
    <t>ACCESS LOGISTICS INC</t>
  </si>
  <si>
    <t>="We provide and/or facilitate transportation arrangements for large and small companies shipping freight of all kinds. We have access to thousands of carriers, that provide various types of specialized and general freight hauling to help you and your customers get your products to market. We a growing business that intends to offers international transportation and warehousing domestically as well in the future."</t>
  </si>
  <si>
    <t>mailto:accesslogisticsbrokerage@comcast.net</t>
  </si>
  <si>
    <t>Freight Transportation Arrangement</t>
  </si>
  <si>
    <t>ACCOMMODATA</t>
  </si>
  <si>
    <t>http://www.accommodatainc.com</t>
  </si>
  <si>
    <t>mailto:waltl@accommodatainc.com</t>
  </si>
  <si>
    <t>Direct Mail Advertising</t>
  </si>
  <si>
    <t>ACCRALINE, INC.</t>
  </si>
  <si>
    <t>http://ACCRALINE.COM</t>
  </si>
  <si>
    <t>mailto:ACCRALINE.INC@FOURWAY.NET</t>
  </si>
  <si>
    <t>Industrial Machinery Manufacturing</t>
  </si>
  <si>
    <t>ACCURATE LASER SYSTEMS, INC.</t>
  </si>
  <si>
    <t>http://www.accuratelasersystems.com</t>
  </si>
  <si>
    <t>mailto:cbruce@accuratelasersystems.com</t>
  </si>
  <si>
    <t>Retail Trade</t>
  </si>
  <si>
    <t>ACE Concrete</t>
  </si>
  <si>
    <t>Concrete Contractors</t>
  </si>
  <si>
    <t>ACE Interpretations, LLC</t>
  </si>
  <si>
    <t>="State licensed &amp; bonded Private Investigations and security consultants. Pre-employment background checks and bi-lingual services. Residential and business facility security consultant. Counter-terrorism consultant. Criminal and civil investigations. Video and audio collection production. Witness interviews."</t>
  </si>
  <si>
    <t>http://www.ACEInterpretationsLLC.com</t>
  </si>
  <si>
    <t>mailto:ace-ralph@sbcglobal.net</t>
  </si>
  <si>
    <t>Investigation Services</t>
  </si>
  <si>
    <t>ACE Recycling, Inc.</t>
  </si>
  <si>
    <t>="The ACE Solution... Environmentally safe disposal of electronic waste. ACE Recycling handles all electronic equipment, metals, fluorescent bulbs, cardboard, paper products and more. We service schools, universities, hospitals, businesses, industries, non-profits, and charities by offering free haul-away services (local), secure data destruction including asset tag recovery and tracking and on-site destruction available, and complete documentation including certification of data destruction. ACE Recycling is IDEM registered and bonded, and R2 certification is in process. Visit www.acerecycle.com for a complete list of products we recycle."</t>
  </si>
  <si>
    <t>http://www.acerecycle.com</t>
  </si>
  <si>
    <t>mailto:scawood@acerecycle.com</t>
  </si>
  <si>
    <t>Other Waste Collection</t>
  </si>
  <si>
    <t>ACE Rent A Car, Inc.</t>
  </si>
  <si>
    <t>="ACE offers a full line of new model vehicles for rent. Compact cars to 15 passenger vans as well as pick up trucks and cargo vans and SUV's. Daily, weekly and monthly rates available. ACE also offers low cost Indianapolis Airport Valet Parking Service. ACE buys all our vehicles in Indiana and have been locally owned and operated since 1966."</t>
  </si>
  <si>
    <t>http://www.acerentacar.com</t>
  </si>
  <si>
    <t>mailto:jcopas@acerentacar.com</t>
  </si>
  <si>
    <t>Automotive Equipment Rental and Leasing</t>
  </si>
  <si>
    <t>ACMC PC</t>
  </si>
  <si>
    <t>Veterinary Services</t>
  </si>
  <si>
    <t>ACMS Group, Inc.</t>
  </si>
  <si>
    <t>="To provide professional, cost effective and quality based architectural services, engineering, design and construction management services to clients by incorporating the ""Team Based"" partnering approach to project development utilizing state of the art management information system tools. ACMS Group, Inc. is committed to listening to clients real needs and desires and integrating these needs and desires into a value engineered design solution and construction administration system. ACMS Group, Inc. provides a unique set of talents to the manufacturing and construction industries. We provide personnel with specialized knowledge and experience in construction management, project management, operations management, manufacturing processes, scheduling, equipment assessment, safety management, and quality assurance. Industries served include construction, power generation, foods, chemical, automotive, pharmaceutical, steel, and household goods."</t>
  </si>
  <si>
    <t>http://www.acmsgroup.com</t>
  </si>
  <si>
    <t>mailto:info@acmsgroup.com</t>
  </si>
  <si>
    <t>Commercial and Institutional Building Construction</t>
  </si>
  <si>
    <t>ACORN DISTRIBUTORS INC</t>
  </si>
  <si>
    <t>http://acorndistributors.com</t>
  </si>
  <si>
    <t>mailto:acorndistributors.com</t>
  </si>
  <si>
    <t>Industrial and Personal Service Paper Merchant Wholesalers</t>
  </si>
  <si>
    <t>ACOSTA MEDICAL TESTI</t>
  </si>
  <si>
    <t>http://WWW.ACOSTAMED.COM</t>
  </si>
  <si>
    <t>ACR Computer Resources, Inc.</t>
  </si>
  <si>
    <t>="At ACR we are a computer equipment reseller. We are authorized to resell equipment from the top names in the computer technological industry utilizing GSA schedules. ACR is a software development, database design firm. We offer design, development, implementation, documentation, installation and training services. We build tracking and reporting systems for the public and private sector with a variety of industry expertise. We develop client-server and web based solutions for large and medium size projects."</t>
  </si>
  <si>
    <t>http://www.acrcr.com</t>
  </si>
  <si>
    <t>mailto:carl.romines@acrcr.com@acrcr.com</t>
  </si>
  <si>
    <t>Computer and Software Stores</t>
  </si>
  <si>
    <t>ACS Human Services, LLC</t>
  </si>
  <si>
    <t>Administration of Public Health Programs</t>
  </si>
  <si>
    <t>ACS Ventures LLC</t>
  </si>
  <si>
    <t>="We perform all types of surface cleaning, preparation and protective coating including: Water pressure cleaning from standard low pressures up to ultra high pressure waterblasting of 40,000 psi; dry and wet abrasive blasting; chemical cleaning and paint stripping; and protective coatings including sealers, water repellants, stains, paints, epoxy or urethane engineered coatings."</t>
  </si>
  <si>
    <t>http://acs-indy.com</t>
  </si>
  <si>
    <t>mailto:info@acs-indy.com</t>
  </si>
  <si>
    <t>ACTION MOTORSPORTS INC. OF MARION</t>
  </si>
  <si>
    <t>mailto:AMSIOM@SBCGLOBAL.NET</t>
  </si>
  <si>
    <t>Hobby, Toy, and Game Stores</t>
  </si>
  <si>
    <t>ACTION TITLE AND ESCROW, LLC</t>
  </si>
  <si>
    <t>="Our company can research legal descriptions for all counties in Indiana up to a period of 50 years. We can provide information concerning last deeds of record, easements, judgments or any defects in the chain of title. Additionally, we conduct insured closings, issue title insurance policies, title guaranties and have the capability of conducting mobile closings."</t>
  </si>
  <si>
    <t>http://actiontitlellc.com</t>
  </si>
  <si>
    <t>mailto:pcoffin@actiontitlellc.com</t>
  </si>
  <si>
    <t>Other Activities Related to Real Estate</t>
  </si>
  <si>
    <t>AD-IN, Inc.</t>
  </si>
  <si>
    <t>="Adoptions of Indiana is a licensed, not-for-profit, child-placing agency dedicated to giving hope to children, birth parents, and adoptive families. Adoption is one of the most profound events in the lives of children and birth and adoptive parents. We exist to empower, equip, and support children and families by providing compassionate, respectful and professional services through the entire process and throughout the adoptive lifecycle."</t>
  </si>
  <si>
    <t>http://www.adoptionsofindiana.org</t>
  </si>
  <si>
    <t>mailto:msterchi@ad-in.org</t>
  </si>
  <si>
    <t>Child and Youth Services</t>
  </si>
  <si>
    <t>ADAMS COOLING TOWER CONST., INC.</t>
  </si>
  <si>
    <t>mailto:jadams@seidata.com</t>
  </si>
  <si>
    <t>Other Special Trade Contractors</t>
  </si>
  <si>
    <t>ADAMS REMCO INC</t>
  </si>
  <si>
    <t>http://www.adamsremco.com</t>
  </si>
  <si>
    <t>mailto:tomk@adamsremco.com</t>
  </si>
  <si>
    <t>ADAN'S STAFFING, LLC</t>
  </si>
  <si>
    <t>http://www.adansstaffing.com</t>
  </si>
  <si>
    <t>mailto:wportillo@adansstaffing.com</t>
  </si>
  <si>
    <t>ADEC, Inc</t>
  </si>
  <si>
    <t>http://www.adecinc.com</t>
  </si>
  <si>
    <t>mailto:kingsleyk@adecinc.com</t>
  </si>
  <si>
    <t>ADL LOAD PARTNERS INC</t>
  </si>
  <si>
    <t>http://www.adlloadpartners.com</t>
  </si>
  <si>
    <t>mailto:info@adlloadpartners.com</t>
  </si>
  <si>
    <t>General Freight Trucking, Local</t>
  </si>
  <si>
    <t>ADMA INC.</t>
  </si>
  <si>
    <t>http://WWW.THEUPSSTORELOCAL.COM/5158</t>
  </si>
  <si>
    <t>mailto:UPSSTOREPRINTCENTER@GMAIL.COM</t>
  </si>
  <si>
    <t>ADP Safety LLC</t>
  </si>
  <si>
    <t>="ADP Safety comprehends the difficult challenges facing industrial companies today. Our goal is to provide customized safety services to allow our clients to reach the pinnacle in safety performance. Many of today's companies are choosing to delegate the responsibility of implementing special projects to a professional safety consulting firm. The outsourcing of special management programs is often the most efficient, cost-effective means for providing services that are tailored to the individual needs of the company. As your consulting firm, our group of qualified consultants examine the work environment to ensure complete compliance with all federal, state and local regulations, identify sources of non-compliance and possible hazards, and suggest control strategies."</t>
  </si>
  <si>
    <t>http://www.Adpsafety.com</t>
  </si>
  <si>
    <t>mailto:jeremys@adpsafety.com</t>
  </si>
  <si>
    <t>Other Scientific and Technical Consulting Services</t>
  </si>
  <si>
    <t>ADSPECO INC</t>
  </si>
  <si>
    <t>="US &amp; state flags plus Colts, Pacers, IU, Purdue &amp; Notre Dame &amp; international flags. Custom flags (both sewn &amp; screened). Flagpoles &amp; hardware. Promotional products: magnets to jackets, cups to clocks, pens to shirts for tradeshows, customer &amp; employee appreciation, safety programs &amp; brand awareness. You name it, we can put your name on it!"</t>
  </si>
  <si>
    <t>http://www.advertisingspec.com</t>
  </si>
  <si>
    <t>mailto:cs@advertisingspec.com</t>
  </si>
  <si>
    <t>Advertising Material Distribution Services</t>
  </si>
  <si>
    <t>ADTEC ADMINISTRATATIVE &amp; TECHINCAL CONSU</t>
  </si>
  <si>
    <t>="AdTec, Administrative and Technical Consulting, Inc. is an Indiana based consulting firm engaged in the business of School District Fixed Asset Inventory and Universal Service Fund/E-Rate Consultation. There are eight offices in Indiana (Batesville, Bloomington, Centerville, Chesterton, Crawfordsville, Osceola, West Harrison, and Westfield)."</t>
  </si>
  <si>
    <t>http://www.adtecerate,cin</t>
  </si>
  <si>
    <t>mailto:info@adtecerate.com</t>
  </si>
  <si>
    <t>ADVANCE AERO INC</t>
  </si>
  <si>
    <t>="Advance Aero Inc. is a DOT 14CFR FAR §145 FAA approved Repair Station who provides: welding, machining, engineering, sheet metal, composites, and parts logistics. We want to grow our service to become direct with the Mainline customers, as well as, improve our position with the larger maintenance providers. Aspirations include growing our footprint to become a world class Aerospace staple for parts and products. Services focus on meeting and exceeding our customers’ expectations. Our Administrative and Technical staff is dedicated to ""Service Excellence"". We want to provide employees with a challenging and stable workplace that demands social responsibility with healthy community practice."</t>
  </si>
  <si>
    <t>http://www.advanceaero.us</t>
  </si>
  <si>
    <t>mailto:advanceaero@gmail.com</t>
  </si>
  <si>
    <t>Other Support Activities for Air Transportation</t>
  </si>
  <si>
    <t>ADVANCED MICROELECTRONICS INC</t>
  </si>
  <si>
    <t>="Founded in 1985, Advanced Microelectronics is a leader in Information Technology Services. We are a provider of professional IT services that includes: computer &amp; printer repair, IT consulting, networking, help desk, software development, life cycle management, staff augmentation, website design, and product sales."</t>
  </si>
  <si>
    <t>http://www.advancedmicro.com</t>
  </si>
  <si>
    <t>mailto:alyle@advancedmicro.com</t>
  </si>
  <si>
    <t>ADVANCED SPECIALTY PRODUCTS LLC</t>
  </si>
  <si>
    <t>="We purchase and distribute food products and food processing ingredients to institutions and processing facilities, also raw chemical, cleaning products and raw ingredients(flour, pasta products, yeast, vegetables) and agriculture products. Our objective is to supply quality, on time and with minimal layers of distribution. Our primary customer base is focused on the needs of state government agencies. We have more than 10 years experience with state purchasing. We are familiar with both the requirements and procedures and purchasing procedures of state agencies."</t>
  </si>
  <si>
    <t>mailto:adv.specialties@verizon.net</t>
  </si>
  <si>
    <t>Wholesale Trade</t>
  </si>
  <si>
    <t>ADVANTAGE Health Solutions, Inc</t>
  </si>
  <si>
    <t>="ADVANTAGE Health Solutions, Inc. is a statewide leader in managed care offering access to a broad, community-based and high-quality delivery system of providers; affordable and comprehensive benefit plans; high quality service to our customers; and a corporate environment that fosters physical, mental and spiritual health for our employees. ADVANTAGE Health Solutions offers flexible health benefits plans for small to mid-sized employers, including fully insured and self-funded benefit programs. As an ADVANTAGE member, you have access to our new online-interactive service offering an easy and secure way to manage your health plan needs."</t>
  </si>
  <si>
    <t>http://www.advantageplan.com</t>
  </si>
  <si>
    <t>Direct Health and Medical Insurance Carriers</t>
  </si>
  <si>
    <t>ADX Communications</t>
  </si>
  <si>
    <t>http://www.adxcomm.com</t>
  </si>
  <si>
    <t>mailto:lwright-reynolds@adxcomm.com</t>
  </si>
  <si>
    <t>Telecommunications</t>
  </si>
  <si>
    <t>AE Designs</t>
  </si>
  <si>
    <t>="Indianapolis Indiana design firm, led by Alicia E. Mckoy, is here to put Positive Energy back into your Environment. We will take your Corporate Culture and Company’s Vision and illustrate how our Interior Designing will bring that to the storefront for your Brand! AE Designs is a full-service Interior Design &amp; Event Planning firm that specializes in both Commercial and Residential Design &amp; Project Management. Our AE Designs staff has over 15 years of combined Interior Design experience and our design experts have earned the highest level of accreditation in the industry. We are headquartered in Indianapolis, IN however; we work on projects all over the US."</t>
  </si>
  <si>
    <t>http://www.DesignsByAE.com</t>
  </si>
  <si>
    <t>mailto:Info@DesignsByAE.com</t>
  </si>
  <si>
    <t>Interior Design Services</t>
  </si>
  <si>
    <t>AECON, Inc.</t>
  </si>
  <si>
    <t>mailto:aecon@aeconinc.com</t>
  </si>
  <si>
    <t>AEII, LLC</t>
  </si>
  <si>
    <t>http://www.aeii.net</t>
  </si>
  <si>
    <t>mailto:Services@aeii.net</t>
  </si>
  <si>
    <t>AEROK Inc.</t>
  </si>
  <si>
    <t>Tradebinding and Related Work</t>
  </si>
  <si>
    <t>AES Services, Inc.</t>
  </si>
  <si>
    <t>="AES Services, Inc. is primarily a transportation firm with emphasis in Structural, Civil Engineering Design, Construction Inspection Services, Traffic Engineering, and Land &amp; Route Survey. AES Services, Inc., is an equal opportunity company, employing highly professional and talented individuals. AES is committed to providing our clients, in the public and private sector, with very timely and innovative solutions. We use our experience and creativity to deliver a work product that we are passionate about. AES’s number one priority is client satisfaction. When working with AES Services, Inc., our clients can be assured that we understand the importance of developing a lasting relationship which mutually benefits both entities. The firm and associates have successfully served local and federal agencies on a repeat basis for the past 25 years by providing professional engineering services to support planning, engineering design, operations, and construction management. Associates"</t>
  </si>
  <si>
    <t>http://www.aesser.com</t>
  </si>
  <si>
    <t>mailto:msaleem@aesser.com</t>
  </si>
  <si>
    <t>AFC International In</t>
  </si>
  <si>
    <t>http://www.afcintl.com</t>
  </si>
  <si>
    <t>mailto:sales@afcintl.com</t>
  </si>
  <si>
    <t>Other Measuring and Controlling Device Manufacturing</t>
  </si>
  <si>
    <t>AFRAM Corporation</t>
  </si>
  <si>
    <t>http://www.aframcorp.com</t>
  </si>
  <si>
    <t>mailto:rakinduro@aframcorp.com</t>
  </si>
  <si>
    <t>AG GIS SOLUTIONS</t>
  </si>
  <si>
    <t>http://www.aggissolutions.com</t>
  </si>
  <si>
    <t>AGI International, Inc</t>
  </si>
  <si>
    <t>http://www.agiintl.com</t>
  </si>
  <si>
    <t>mailto:wfultz@agiintl.com</t>
  </si>
  <si>
    <t>AGRIFLITE SERVICES INC</t>
  </si>
  <si>
    <t>http://www.agriflite.com</t>
  </si>
  <si>
    <t>mailto:dave@agriflite.com</t>
  </si>
  <si>
    <t>Support Activities for Agriculture and Forestry</t>
  </si>
  <si>
    <t>AIDEA Incorporated</t>
  </si>
  <si>
    <t>http://www.aideainc.com - www.myfieldm</t>
  </si>
  <si>
    <t>mailto:dlind@aideainc.com</t>
  </si>
  <si>
    <t>AIDS Task Force, Inc</t>
  </si>
  <si>
    <t>http://www.aidsfortwayne.org</t>
  </si>
  <si>
    <t>mailto:info@aidsfortwayne.org</t>
  </si>
  <si>
    <t>AIDS Taskforce of NW</t>
  </si>
  <si>
    <t>http://NA</t>
  </si>
  <si>
    <t>mailto:tmorrisap@aol.com</t>
  </si>
  <si>
    <t>Administration of Social, Human Resource and Income Maintenance Programs</t>
  </si>
  <si>
    <t>AIDS TaskforceNWI</t>
  </si>
  <si>
    <t>AIMING HIGHER SERVICES LLC</t>
  </si>
  <si>
    <t>Business, Professional, Labor, Political, and Other Organizations</t>
  </si>
  <si>
    <t>AIR MAPS, INC.</t>
  </si>
  <si>
    <t>="Air Maps, Inc. was founded in March of 1966 by the present management. Air Maps, Inc. offers complete photographic and mapping services to fulfill your specific requirements. If your next project involves planning or engineering for land development, water, sewer or street improvements, airports, highways, or gas and electric transmission lines, Air Maps, Inc. can help you save money and valuable time. Air Maps, Inc. offers a full range of conventional photogrammetric mapping services and products with particular attention being paid to quality, service and competitive pricing."</t>
  </si>
  <si>
    <t>mailto:AIRMAPS@ELKHART.NET</t>
  </si>
  <si>
    <t>AIRVAC, INC.</t>
  </si>
  <si>
    <t>http://www.airvac.com</t>
  </si>
  <si>
    <t>mailto:suzieb@airvac.com</t>
  </si>
  <si>
    <t>Sewage Treatment Facilities</t>
  </si>
  <si>
    <t>AIRvan Consulting LLC</t>
  </si>
  <si>
    <t>="AIRvan Consulting LLC provides cost-effective market research for businesses, government and organizations. A senior consultant works directly with each client to develop and implement the most appropriate research for the specific need. We provide custom research solutions combined with personal service from our consultants who have experience in marketing, public relations and market research. We provide qualitative and quantitative research. We conduct research on branding, customer satisfaction and loyalty, empoloyee satisfaction and loyalty, lost customer studies, community relations, public relations messaging and communications related research. We conduct research using telephone, in-person or Internet surveys. We also provide focus group moderation."</t>
  </si>
  <si>
    <t>http://www.airvanconsulting.com</t>
  </si>
  <si>
    <t>mailto:ALICE@AIRVANCONSULTING.COM</t>
  </si>
  <si>
    <t>AJ CONSTRUCTION OF KNOX COUNTY, INC</t>
  </si>
  <si>
    <t>="AJ Construction is a custom home contractor in the the business to provide the highest quality product and service in the industry. We strive to better our customers and community by creating an enjoyable, safe and professional work environment that is financially rewarding for all those involved. We specialize in custom home building, remodeling, framing and roofing. We have the resources and experience to meet any need!"</t>
  </si>
  <si>
    <t>mailto:ajharbin@yahoo.com</t>
  </si>
  <si>
    <t>AJ Logistics</t>
  </si>
  <si>
    <t>="Custom temporary &amp; long term warehousing and last mile logistics for manufacturing, foodservice, retail, hospitality and institutional clients worldwide. Our services include managing materials, furniture, fixtures and equipment for new construction and renovations requiring on time openings. Additional services include installation, overseas shipping and transportation. Our core competency is managing interior packages for renovations and new construction of retail stores, restaurants, hotels, designer homes and institutions worldwide."</t>
  </si>
  <si>
    <t>http://www.ajlog.com</t>
  </si>
  <si>
    <t>mailto:davezych@ajlog.com</t>
  </si>
  <si>
    <t>AJ Long &amp; Associates, LLP</t>
  </si>
  <si>
    <t>="Minority-owned consulting firm provides direct and sub-contracted services to local and state governments and non-profit organizations. Our expertise is in the areas of Government Consulting, Non-Profit Organization Consulting, and Information Technology Consulting."</t>
  </si>
  <si>
    <t>http://www.ajlongandassociates.com</t>
  </si>
  <si>
    <t>mailto:ajlong03@comcast.net</t>
  </si>
  <si>
    <t>AJ's Janitorial Services</t>
  </si>
  <si>
    <t>Other Services (except Public Administration)</t>
  </si>
  <si>
    <t>AJM Consulting Group LLC</t>
  </si>
  <si>
    <t>="We are a Civil Engineering, Land Surveying, and Construction Inspection Firm located in Avon Indiana. We are a Minority Owned Disadvantaged (DBE) firm. Our Principal owner is Mansing Gade. Other owners are Muhammad Ashfaque and Jeff Trout. Mansing Gade is a Civil Engineer, Muhammad Ashfaque is a construction Inspector, and Jeff Trout is a Land Surveyor."</t>
  </si>
  <si>
    <t>mailto:jtrout42@att.net</t>
  </si>
  <si>
    <t>AJP Corporation</t>
  </si>
  <si>
    <t>http://www.ecosurfacesolutions.com</t>
  </si>
  <si>
    <t>mailto:dsweazy@brunk-ajp.com</t>
  </si>
  <si>
    <t>General Freight Trucking, Long-Distance</t>
  </si>
  <si>
    <t>ALC/Marlow, LLC</t>
  </si>
  <si>
    <t>http://www.alcmarlow.com</t>
  </si>
  <si>
    <t>mailto:www.alcmarlow.com</t>
  </si>
  <si>
    <t>ALERT ALARM INC</t>
  </si>
  <si>
    <t>http://Alertalarminc.com</t>
  </si>
  <si>
    <t>mailto:Sales@alertalarminc.com</t>
  </si>
  <si>
    <t>ALL STAR PAVING INC.</t>
  </si>
  <si>
    <t>http://www.allstarpaving.net</t>
  </si>
  <si>
    <t>mailto:kevinh@allstarpaving.net</t>
  </si>
  <si>
    <t>Highway, Street, and Bridge Construction</t>
  </si>
  <si>
    <t>ALL TYPE CONSTRUCTION LLC</t>
  </si>
  <si>
    <t>ALLIED ELECTRICAL SERVICES, INC.</t>
  </si>
  <si>
    <t>="Electrical contracting company specializing in commercial electrical service and installations, service upgrades, remodel work, maintenance, lighting, and voice and data cabling. We are licensed, bonded and insured, and our goal is to provide quality service and customer satisfaction."</t>
  </si>
  <si>
    <t>http://www.alliedelectricalsvcs.com</t>
  </si>
  <si>
    <t>mailto:cabreslin@gmail.com</t>
  </si>
  <si>
    <t>ALLIED EQUIPMENT SERVICE CORP</t>
  </si>
  <si>
    <t>http://www.allied-eq.com</t>
  </si>
  <si>
    <t>mailto:rmize@allied-eq.com</t>
  </si>
  <si>
    <t>Construction, Mining and Forestry Machinery and Equipment Rental and Leasing</t>
  </si>
  <si>
    <t>ALLTUFF Products LLC</t>
  </si>
  <si>
    <t>http://www.alltuff.com</t>
  </si>
  <si>
    <t>mailto:packs@alltuff.com</t>
  </si>
  <si>
    <t>Textile Bag Mills</t>
  </si>
  <si>
    <t>ALM Enterprises, LLC</t>
  </si>
  <si>
    <t>mailto:almenterprisesllc@yahoo.com</t>
  </si>
  <si>
    <t>ALP-Consulting, LLC</t>
  </si>
  <si>
    <t>="ALP-Consulting is an independent, professional services firm dedicated to providing IT compliance, security, and auditing services. We were founded in 2006 by a group of former IT and internal audit professionals. Our firm is dedicated to providing the highest quality IT auditing, IT security, risk assessment and compliance services at highly competitive rates with virtually no overhead. ALP personnel are uniquely qualified to assess the risks facing your organization, identify vulnerabilities, recommend corrective actions and provide assistance strengthening your internal and IT controls. Our partners have an average of twenty-five years experience in auditing, computer and network security, financial analysis, accounting, and forensic data analysis. We have completed IT security and/or Sarbanes-Oxley compliance audits for companies in manufacturing, banking, higher education, financial services, transportation, and healthcare services. Our personnel have CPA’s, CISA’s, C"</t>
  </si>
  <si>
    <t>http://www.alp-consulting.net</t>
  </si>
  <si>
    <t>mailto:dlaakso@alp-consulting.net</t>
  </si>
  <si>
    <t>ALPHA ELECTRIC INC</t>
  </si>
  <si>
    <t>ALSI Inc</t>
  </si>
  <si>
    <t>http://www.advancedlasers.com</t>
  </si>
  <si>
    <t>mailto:sales@advancedlasers.com</t>
  </si>
  <si>
    <t>ALaCarte Communications</t>
  </si>
  <si>
    <t>="A La Carte Communications offers a wide range of services on an as-needed basis to meet the immediate demands of small businesses and non-profit organizations. Whether you need an hour or a month of our time, A La Carte Communications’ services are tailored to complement your schedule and your budget by offering up-front pricing, quick-turnaround and flexible terms. MENU OF SERVICES PRESS RELEASES To keep the media, your customers and the general public informed on new products or programs, upcoming events and accomplishments, A La Carte will write and distribute releases to local and national media outlets, as well as trade publications. BROCHURES A La Carte will develop brochures, sales letters, fact sheets or other marketing materials to help small businesses and non-profit organizations quickly explain who they are and what they do. GRANTS &amp; PROPOSALS Depending on your needs, A La Carte will research, write and develop grant applications and proposals or add "</t>
  </si>
  <si>
    <t>mailto:adye@insightbb.com</t>
  </si>
  <si>
    <t>Public Relations Agencies</t>
  </si>
  <si>
    <t>AM FACILITY SERVICES, INC.</t>
  </si>
  <si>
    <t>="We are commercial building services company specializing in the floor care and janitorial services. Our clients include Kroger and Marsh grocery stores, Schneider International Trucking (truck service, dispatch office facilities). We service grocery/department stores, offices, warehouses. Our services include, but not limited to; - Hard surface floor maintenance and restoration - Janitorial and housekeeping services - Restroom sanitation - Window washing - Pressure washing - High dusting - Construction clean up"</t>
  </si>
  <si>
    <t>http://WWW.AMINCORPORATED.COM</t>
  </si>
  <si>
    <t>mailto:INFO@AMINCORPORATED.COM</t>
  </si>
  <si>
    <t>AMEC Environment &amp; Infrastructure, Inc</t>
  </si>
  <si>
    <t>http://www.amec.com</t>
  </si>
  <si>
    <t>mailto:douglas.noel@amec.com</t>
  </si>
  <si>
    <t>AMERICAN MEDICAL WASTE PROFESSIONALS, LL</t>
  </si>
  <si>
    <t>="American Medical Waste Professionals LLC (AMPRO) was established in March 2006 as a corporation designed to provide infectious waste disposal service to the Northern and Central Indiana healthcare community. AMPRO is a product of two existing Indiana companies creating a new business specifically designed to improve infectious waste management service.616 South 4th Street, Elkhart, IN American Medical Waste Professionals, LLC (AMPRO) currently collects infectious waste from over 750 clients in Indiana, Illinois, and Ohio. AMPRO’s clients include hospitals, large and small clinics and doctors offices, funeral homes, veterinary offices, nursing homes, pharmaceutical manufacturing facilities and other generators of infectious waste. AMPRO purchased a building located at 616 South 4th Street in Elkhart to facilitate a dedicated collection and processing operation for infectious waste generated by AMPRO’s customers using steam sterilization. Sterilization of infectious waste is the s"</t>
  </si>
  <si>
    <t>http://WWW.AMPRO-IN.COM</t>
  </si>
  <si>
    <t>mailto:NCARTER@AMPRO-IN.COM</t>
  </si>
  <si>
    <t>Hazardous Waste Treatment and Disposal</t>
  </si>
  <si>
    <t>AMERICAN PEST PROFESSIONALS</t>
  </si>
  <si>
    <t>="american pest professionals is a pest control company whose headquarters is in muncie, indiana. our employess live in indiana and all of our payroll goes to employees. the majority of our sales come from inside the state of indiana. american pest professionals can handle all types of pest controll both residential and commercial"</t>
  </si>
  <si>
    <t>http://WWW.AMERICANPESTPROS.COM</t>
  </si>
  <si>
    <t>mailto:AMERICANPESTPROS@SBCGLOBAL.NET</t>
  </si>
  <si>
    <t>Services to Buildings and Dwellings</t>
  </si>
  <si>
    <t>AMERICAN PUMP REPAIR &amp; SERVICE</t>
  </si>
  <si>
    <t>http://americanpumprepair.com</t>
  </si>
  <si>
    <t>mailto:apr@americanpumprepair.com</t>
  </si>
  <si>
    <t>Repair and Maintenance</t>
  </si>
  <si>
    <t>AMERICAN REAL ESTATE APPRAISERS, INC</t>
  </si>
  <si>
    <t>http://www.americankokomo.com</t>
  </si>
  <si>
    <t>AMERICAN UNITED LIFE</t>
  </si>
  <si>
    <t>http://www.oneamerica.com</t>
  </si>
  <si>
    <t>mailto:CorporateCommunications.CorpComm@oneamerica.com</t>
  </si>
  <si>
    <t>Insurance Carriers</t>
  </si>
  <si>
    <t>AMERILINK MARKETING LLC</t>
  </si>
  <si>
    <t>="Sales, Service and Installation of Commercial Burglary Alarm, Digital Closed Circuit TV Recording,and Access Control. With our PC Based DVR, you can remote view your cameras from any hi-speed internet connection. Our ViZionCAMCameras allow you to see in the dark - in color. Our professional installation team combines 50+ years in the security industry. Our company has been recogonized by INC Magazine, as #150 in the 500 fastest privately held companies in the US."</t>
  </si>
  <si>
    <t>http://www.sentryguard.net</t>
  </si>
  <si>
    <t>mailto:rsoland@sentryguard.net</t>
  </si>
  <si>
    <t>Security Systems Services (except Locksmiths)</t>
  </si>
  <si>
    <t>AML Enterprises, In</t>
  </si>
  <si>
    <t>http://www.aml-enterprises.com</t>
  </si>
  <si>
    <t>mailto:sales@aml-enterprises.com</t>
  </si>
  <si>
    <t>AMLO, LLC.</t>
  </si>
  <si>
    <t>http://www.amlollc.com</t>
  </si>
  <si>
    <t>mailto:info@amlollc.com</t>
  </si>
  <si>
    <t>AMM and Associates</t>
  </si>
  <si>
    <t>mailto:amunoz8@sbcglobal.net</t>
  </si>
  <si>
    <t>AMO Office Supply</t>
  </si>
  <si>
    <t>="AMO Office Supply, formerly known as O’Reillys Office Supply Company, Inc., is a privately owned and operated company that has been in the office supply industry since 1923. We are proud that we service and support thousands of customers in 22 states across the country. At AMO, our goal is to provide our customers with exceptional customer service. We offer personalized account managers to help ensure the ordering process is as easy and painless as possible. With nationwide next-day delivery (free of charge), 30,000 products to choose from, and dedicated account managers to handle all of your needs, we are confident that we can earn your trust and your business while providing your company with all of your office supply needs. With AMO, the customer truly is always. At AMO we strive to give our customers the most competitive pricing available. If you find lower pricing from one of our competitors, just give us a call and we will customize your pricing to best suite your comp"</t>
  </si>
  <si>
    <t>http://www.goamo.com</t>
  </si>
  <si>
    <t>mailto:lclem@goamo.com</t>
  </si>
  <si>
    <t>AN1 Enterprises LLC</t>
  </si>
  <si>
    <t>="Racer's Edge offers a wide variety of services. We do graphics for cars, trucks, motorcycles, and any other vehicle. We will install pre-made graphics, and also design custom graphics. We also do signs of all shapes, sizes, and materials. We pride ourselves on excellent quality with economical pricing and fast turnaround."</t>
  </si>
  <si>
    <t>mailto:noah@decalUSA.com</t>
  </si>
  <si>
    <t>ANABASIS BUSINESS CONSULTING LLC</t>
  </si>
  <si>
    <t>="Anabasis Business Consulting is a full-service consulting firm offering a wide-range of services to help you start and manage your small business. Our professionals will ensure you are fully equipped with the resources, training, and support you will need to launch and grow a successful business. Administrative Support Advertising Bookkeeping Brand Development Business Plan Creation Human Resource Management Legal Document Coordination Networking Notary Public Office Space Resume Writing Tax Preparation Training and Development Website Development"</t>
  </si>
  <si>
    <t>http://ANABASIS-IN.COM</t>
  </si>
  <si>
    <t>mailto:THOLMES@ANABASIS-IN.COM</t>
  </si>
  <si>
    <t>Business Support Services</t>
  </si>
  <si>
    <t>ANDERSONS SALES &amp; SERVICE INC</t>
  </si>
  <si>
    <t>="Andersons' Sales &amp; Service, Inc. is a family owned and operated outdoor power equipment/powersports dealership. Our premium equipment include the following: -John Deere mowers, tractors, and atv's; Stihl power tools; and Honda atv's, motorcycles, and personal watercraft. Andersons' is also authorized for parts and warranty for the following: Murray/Noma, AYP, Homelite, Lawnboy, Toro, MTD, Dixon, Encore, Briggs &amp; Stratton, and Kohler."</t>
  </si>
  <si>
    <t>http://www.andersonssales.com</t>
  </si>
  <si>
    <t>mailto:andersonssales@adelphia.net</t>
  </si>
  <si>
    <t>Lawn and Garden Equipment and Supplies Stores</t>
  </si>
  <si>
    <t>ANDERSONS SERVICE CENTER INC</t>
  </si>
  <si>
    <t>http://www.andserv.com</t>
  </si>
  <si>
    <t>mailto:andserv@hughes.net</t>
  </si>
  <si>
    <t>ANDY MOHR BUICK PONTIAC GMC</t>
  </si>
  <si>
    <t>mailto:WWW.ANDYMOHR.COM</t>
  </si>
  <si>
    <t>ANDY MOHR TRUCK CENTER</t>
  </si>
  <si>
    <t>mailto:irishladf17@email.com</t>
  </si>
  <si>
    <t>Truck, Utility Trailer, and RV (Recreational Vehicle) Rental and Leasing</t>
  </si>
  <si>
    <t>ANGEL Learning, Inc.</t>
  </si>
  <si>
    <t>="About ANGEL Learning: ANGEL Learning, Inc. develops and markets enterprise elearning software. Our flagship products are the ANGEL Learning Management Suite and the ANGEL ePortfolio system. Our products have been honed by use – with millions of students and instructors served from K to corporate. We enjoy a reputation for creating products with exceptional ease of use, excellent vision into learner progress and for keeping our commitments. ANGEL LMS won the Software &amp; Information Industry Association CODiE award for Best Postsecondary Course Management and is the only product to win the award two years in a row. Having emerged from the academy ourselves, our core values reflect those of our customers well. ANGEL world headquarters are in Indianapolis, Indiana. To learn more about the ANGEL difference, visit us at www.angellearning.com."</t>
  </si>
  <si>
    <t>http://www,angellearning.com</t>
  </si>
  <si>
    <t>mailto:sales@angellearning.com</t>
  </si>
  <si>
    <t>ANOINTED BUSINESS SERVICES LLC</t>
  </si>
  <si>
    <t>="We are a corporation service company, dedicated to servicing you with all of your start-up business or ministry needs. Specializing in for profit/ non profit domestic Indiana corporations, limited liability companies and 501 (c) 3's. Our company is based on the belief that our customers' needs are of the utmost importance. Our entire team is committed to meeting those needs. As a result, a high percentage of our business is from repeat customers and referrals."</t>
  </si>
  <si>
    <t>http://www.anointedbizservices.com</t>
  </si>
  <si>
    <t>mailto:anointed_2serve@yahoo.com</t>
  </si>
  <si>
    <t>ANR Indy Hotel, LLC</t>
  </si>
  <si>
    <t>="We are a full service hotel located at the Indianapolis airport. We have 12,000 sq. ft of flexible meeting space and 258 sleeping rooms including kings, doubles and suites. We have a full service restaurant and lounge. 24 Hour free shuttle service to the airport. Free parking"</t>
  </si>
  <si>
    <t>http://www.radisson.com/indianapolisin_a</t>
  </si>
  <si>
    <t>Hotels (except Casino Hotels) and Motels</t>
  </si>
  <si>
    <t>ANREK GROUP, LLC</t>
  </si>
  <si>
    <t>mailto:bmcgrew@signaramaindy.com</t>
  </si>
  <si>
    <t>AOD Capital Group, LLC</t>
  </si>
  <si>
    <t>http://www.spptees.com</t>
  </si>
  <si>
    <t>mailto:info@spptees.com</t>
  </si>
  <si>
    <t>Outerwear Knitting Mills</t>
  </si>
  <si>
    <t>APEK TECHNOLOGY</t>
  </si>
  <si>
    <t>="THIS IS A SMALL WOMEN OWNED COMPANY THAT CAN PROVIDE VERY COMPETITIVE LOW PRICING ON COMPUTER PARTS: HARDWARE, SOFTWARE. COMPUTER SYSTEMS, WORK STATIONS, SERVERS, LAPTOPS, WIRELESS CONNECTIVITY. ON SITE SUPPORT AND INSTALLATION. WE HAVE GREAT RELATIONSHIPS WITH LOCAL AND OUT OF STATE VENDORS AND WILL BE ABLE TO PASS GREAT SAVING TO OUR CORPORATE AND GOVERNMENT CUSTOMERS."</t>
  </si>
  <si>
    <t>http://WWW.APEKTECH.COM</t>
  </si>
  <si>
    <t>mailto:ALINA@APEKTECH.COM</t>
  </si>
  <si>
    <t>APEX INDUSTRIAL SERVICES LLC</t>
  </si>
  <si>
    <t>="Apex Industrial Services LLC is a DEMOLITION, REMEDIATION and WASTE MANAGEMENT company assisting clients with Complete Structural Demolition, Selective Interior/Exterior Demolition, Concrete/Asphalt Removal, Emergency Demolition &amp; Disaster Clean-up, Smoke Stack Demolition, Elliptical Water Tank Dismantlement, Tank Decommissioning, Hazmat &amp; Environmental Remediation and Disposal Project Management. It is our goal to deliver safe, cost effective solutions to all clients and make every effort to recycle material resulting from our demolition services."</t>
  </si>
  <si>
    <t>mailto:smohr@apexgroupservices.com</t>
  </si>
  <si>
    <t>Site Preparation Contractors</t>
  </si>
  <si>
    <t>API Construction Corp</t>
  </si>
  <si>
    <t>http://WWW.APILAND.NET</t>
  </si>
  <si>
    <t>mailto:INFO@APILAND.NET</t>
  </si>
  <si>
    <t>APS Indy, Inc.</t>
  </si>
  <si>
    <t>mailto:apsindy@sbcglobal.net</t>
  </si>
  <si>
    <t>Plumbing, Heating and Air-Conditioning Contractors</t>
  </si>
  <si>
    <t>APS Investments LLC</t>
  </si>
  <si>
    <t>mailto:woehrle@yahoo.com</t>
  </si>
  <si>
    <t>APZYN, LLC</t>
  </si>
  <si>
    <t>http://www.apzyn.com</t>
  </si>
  <si>
    <t>mailto:info@apzyn.com</t>
  </si>
  <si>
    <t>Other Computer Related Services</t>
  </si>
  <si>
    <t>AQUAFOROS, LLC</t>
  </si>
  <si>
    <t>http://www.aquaforos.com</t>
  </si>
  <si>
    <t>Water and Sewer Line and Related Structures Construction</t>
  </si>
  <si>
    <t>AR Reporting Service</t>
  </si>
  <si>
    <t>mailto:arir@inightbb.com</t>
  </si>
  <si>
    <t>Court Reporting and Stenotype Services</t>
  </si>
  <si>
    <t>ARBORWISE, LTD.</t>
  </si>
  <si>
    <t>http://www.arborwise.com</t>
  </si>
  <si>
    <t>mailto:info@arborwise.com</t>
  </si>
  <si>
    <t>ARC American Inc</t>
  </si>
  <si>
    <t>="ARC American Inc is a multi-faceted electrical and utility contractor. Our services cover a broad spectrum in the utility industry that are not limited to but include turnkey construction, directional boring, storm restoration, re-conductoring new and existing construction, and street lighting."</t>
  </si>
  <si>
    <t>http://www.arcamerican.com</t>
  </si>
  <si>
    <t>mailto:arcamerican@gmail.com</t>
  </si>
  <si>
    <t>Electric Power Distribution</t>
  </si>
  <si>
    <t>ARC JAnitorial Supply Company, Inc.</t>
  </si>
  <si>
    <t>mailto:ARCJAN98@aol.com</t>
  </si>
  <si>
    <t>ARC WELD INC</t>
  </si>
  <si>
    <t>http://WWW.ARCWELDINC.COM</t>
  </si>
  <si>
    <t>mailto:MJENKINS@ARCWELDINC.COM</t>
  </si>
  <si>
    <t>Liquefied Petroleum Gas (Bottled Gas) Dealers</t>
  </si>
  <si>
    <t>ARCHonsortium, LLC</t>
  </si>
  <si>
    <t>mailto:wmsdotson@msn.com</t>
  </si>
  <si>
    <t>AREA FIVE AGENCY ON AGING AND COMMUNITY</t>
  </si>
  <si>
    <t>="We are a social service agency based solely in the state of Indiana. All employees are Indiana residence; therefore 100% of our payroll is also paid to Indiana residents. We provide social services to low income Indiana residents of all ages. We are also a community action agency and an area agency on aging."</t>
  </si>
  <si>
    <t>http://www.areafive.com</t>
  </si>
  <si>
    <t>mailto:areafive@areafive.com</t>
  </si>
  <si>
    <t>ARGO Inc</t>
  </si>
  <si>
    <t>mailto:ARGOinc@aol.com</t>
  </si>
  <si>
    <t>ARK ENGINEERING SERVICES INC</t>
  </si>
  <si>
    <t>="Our company provides environmental consulting &amp; contracting services including site assesments (phase I), subsurface investigation (phase II), above ground (AST) and underground storage tank management (UST), water and wastewater engineering, pollution prevention, SPCC plans, geological evaluation, and contamination remediation."</t>
  </si>
  <si>
    <t>http://WWW.ARK-ESI.COM</t>
  </si>
  <si>
    <t>mailto:WPAUL@ARK-ESI.COM</t>
  </si>
  <si>
    <t>ARMS Reliability Eng</t>
  </si>
  <si>
    <t>="ARMS Reliability Engineers provides reliability engineering consulting, training, and software to improve asset performance. Our combination of simple methods and powerful software makes it possible to create maintenance strategies that optimize equipment performance to the profit and risk needs of the business."</t>
  </si>
  <si>
    <t>http://www.armsus.com</t>
  </si>
  <si>
    <t>mailto:info@armsreliabilityusa.com</t>
  </si>
  <si>
    <t>ARNETT CLINIC LLC</t>
  </si>
  <si>
    <t>http://www.arnett.com</t>
  </si>
  <si>
    <t>All Other Outpatient Care Centers</t>
  </si>
  <si>
    <t>ARNI</t>
  </si>
  <si>
    <t>="The Addiction Resource Network of Indiana (ARNI) is a not for profit, state certified and nationally accredited (CARF) addiction treatment (drugs, alcohol, gambling) managed care network. ARNI has addiction treatment providers located across the state of Indiana that provide a complete continuum of care for addiction treatment. Sliding scale fees are available. Treatment under the Hoosier Assurance Plan for those at 200% of Federal poverty guidelines is also available at all seven ARNI locations across the State."</t>
  </si>
  <si>
    <t>http://www.indianaaddictions.org</t>
  </si>
  <si>
    <t>mailto:cheryl@indianaaddictions.org</t>
  </si>
  <si>
    <t>ARROW SERVICES, INC.</t>
  </si>
  <si>
    <t>="Arrow Services, Inc. was founded in October of 1958 by Everett D. Colvin. Arrow Services is a family owned company that started with a small local town in Plymouth, Indiana and now has grown into one of the largest pest control agencies in the Midwest. Today Arrow is currently serving the level of operations in Indiana, southern Michigan, Ohio and some counties in Illinois with conveniently located offices in each district. Arrow Services strives to provide professionalism in all aspects of the pest control industry. All of Arrow personnel are trained and equipped with the newest and most up to date equipment and control techniques available. Arrow has implemented a continuous employee learning program designed to educate the entire staff. Direct contact with universities, chemical companies, pest control suppliers, plus seminars and conventions are combined with the single Arrow goal; to provide the best possible pest control management available at a fair price."</t>
  </si>
  <si>
    <t>http://www.arrowpestcontrol.com</t>
  </si>
  <si>
    <t>mailto:arrow@arrowpestcontrol.com</t>
  </si>
  <si>
    <t>Exterminating and Pest Control Services</t>
  </si>
  <si>
    <t>ART of Framing, Inc.</t>
  </si>
  <si>
    <t>="ART of Framing, Inc., is a full service frame shop featuring custom designed preservation quality picture framing and a Fine Art Gallery complete with a variety of work by regional artists. Our designers pride themselves on keeping up with current trends in the picture framing industry through continuing education."</t>
  </si>
  <si>
    <t>http://www.artofframinginc.com</t>
  </si>
  <si>
    <t>mailto:janie@artofframinginc.com</t>
  </si>
  <si>
    <t>All Other Home Furnishings Stores</t>
  </si>
  <si>
    <t>ARTISAN TERRAZZO INCORPORATED</t>
  </si>
  <si>
    <t>http://www.artisanterrazzo.com</t>
  </si>
  <si>
    <t>mailto:barbaraandrews@artisanterrazzo.com</t>
  </si>
  <si>
    <t>Floor Laying and Other Floor Contractors</t>
  </si>
  <si>
    <t>AS GOOD AS NEW CLEANING INC</t>
  </si>
  <si>
    <t>mailto:ASGOODASNEWINC2K5@HOTMAIL.COM</t>
  </si>
  <si>
    <t>ASA Engineering Consultants, Inc.</t>
  </si>
  <si>
    <t>="ASA Engineering Consultants, Inc. provides professional engineering services to state, county and local governments as well as to the private sector. Our expertise is in the area of highway, bridges, site development and structural engineering. We also provide engineering services in the area of pavement rehabilitation and maintenance of roadway and parking lot facilities for developers, property owners and office and apartment complexes. Among our clients are the Indiana Department of Transportation, Indianapolis Department of Public Works, Duke Realty and the Gene B. Glick Corporation."</t>
  </si>
  <si>
    <t>mailto:asaconsultants@sbcglobal.net</t>
  </si>
  <si>
    <t>ASAP Identification Security, Inc</t>
  </si>
  <si>
    <t>http://www.asapident.com</t>
  </si>
  <si>
    <t>mailto:sbrown@asapident.com</t>
  </si>
  <si>
    <t>ASC Graphics/SignSource</t>
  </si>
  <si>
    <t>="Full service signage business, specializing in custom vehicle graphics &amp; signage. Established over 30 years ago, ASC Graphics/SignSource meets the client on their terms, with installation available at their location. Fleet graphics, municipal vehicles, banners, and complete sign installations designed to set you apart from the others."</t>
  </si>
  <si>
    <t>http://www.ascgraphics.com</t>
  </si>
  <si>
    <t>mailto:ascgraphics@comcast.net</t>
  </si>
  <si>
    <t>ASH Consulting LLC</t>
  </si>
  <si>
    <t>="Technical Writing for technical and life sciences industries: Proposal Writing for responding to Request for Proposals (RFPS), Grant writing for (grant applications to federal, state and foundation funding) Grant Evaluation or Grant Reviewer for (education and Head Start ) Medical Writing for life sciences, pharmaceutical and medical device companies Translation and Interpretation Services (Spanish and Chinese)"</t>
  </si>
  <si>
    <t>mailto:aletahodge@msn.com</t>
  </si>
  <si>
    <t>Translation and Interpretation Services</t>
  </si>
  <si>
    <t>ASHER AGENCY</t>
  </si>
  <si>
    <t>="Asher Agency is a full-service advertising and marketing communications agency specializing in the successful development and implementation of public awareness campaigns for consumer, governmental, economic development, and education-related initiatives. The Asher team provides public and private sector clients throughout the Midwest with expertise in advertising, public relations, special events marketing, creative services, graphic design, comprehensive research, strategic thinking, media planning and buying, and retail merchandising."</t>
  </si>
  <si>
    <t>http://www.asheragency.com</t>
  </si>
  <si>
    <t>mailto:tkborne@asheragency.com</t>
  </si>
  <si>
    <t>Advertising Agencies</t>
  </si>
  <si>
    <t>ASHRAE FILTERS LLC</t>
  </si>
  <si>
    <t>mailto:doreenlam888@gmail.com</t>
  </si>
  <si>
    <t>ASI LLC</t>
  </si>
  <si>
    <t>mailto:G2WIRED@AOL.COM</t>
  </si>
  <si>
    <t>ASK US</t>
  </si>
  <si>
    <t>mailto:sharon.askus@comcast.net</t>
  </si>
  <si>
    <t>Other Miscellaneous Durable Goods Merchant Wholesalers</t>
  </si>
  <si>
    <t>ASK US FIRST</t>
  </si>
  <si>
    <t>ASP Rehab</t>
  </si>
  <si>
    <t>mailto:asp.rehab@ffni.com</t>
  </si>
  <si>
    <t>Offices of Physical, Occupational and Speech Therapists, and Audiologists</t>
  </si>
  <si>
    <t>ASPIRE INDIANA, INC.</t>
  </si>
  <si>
    <t>http://www.aspireindiana.org</t>
  </si>
  <si>
    <t>Outpatient Mental Health and Substance Abuse Centers</t>
  </si>
  <si>
    <t>ASSOCIATED IMAGES MOVING PICTURE PRODUCT</t>
  </si>
  <si>
    <t>="Associated Images has provided video and motion picture production services for a variety of international, national, regional and local clients since 1984. We provide a full range of production services from scriptwriting through final edit. We provide ""a la carte"" or ""turnkey"" services for projects ranging from the simplest Video News Release to managing large crews for major commercial productions."</t>
  </si>
  <si>
    <t>http://www.associatedimages.net</t>
  </si>
  <si>
    <t>mailto:aimopics@att.net</t>
  </si>
  <si>
    <t>ASTEC Corporation</t>
  </si>
  <si>
    <t>="ASTEC Corporation is a specialty chemical manufacturer headquarted in Indianapolis, Indiana. We have been serving the automotive, construction (including highway construction), and industrial markets since 1988. ASTEC provides innovative solutions in today's cleaning world through biodegradable and environmentally friendly products tailored to each customers needs. We have been going GREEN for over 20 years! ASTEC creates, formulates, and manufactures all the products we sell. This allows us to maintain very competitive pricing and to customize our products to fit each customer's application."</t>
  </si>
  <si>
    <t>http://www.asteccorp.com</t>
  </si>
  <si>
    <t>mailto:gogreenwastec@gmail.com</t>
  </si>
  <si>
    <t>Manufacturing</t>
  </si>
  <si>
    <t>ASTRA DIGITAL, INC</t>
  </si>
  <si>
    <t>http://www.astradigital.com</t>
  </si>
  <si>
    <t>mailto:mary.watson@astradigital.com</t>
  </si>
  <si>
    <t>Internet Service Providers, Web Search Portals, and Data Processing Services</t>
  </si>
  <si>
    <t>AT&amp;T Corp.</t>
  </si>
  <si>
    <t>http://www.att.com</t>
  </si>
  <si>
    <t>ATC Associates, LLC</t>
  </si>
  <si>
    <t>mailto:ckjindy@gmail.com</t>
  </si>
  <si>
    <t>ATC Company, Inc</t>
  </si>
  <si>
    <t>http://www.gilsfourseasons.com</t>
  </si>
  <si>
    <t>mailto:gilb@gilsfourseasons.com</t>
  </si>
  <si>
    <t>ATC Distributors, LCC</t>
  </si>
  <si>
    <t>="AT Conversions specializes in wheelchair trucks and SUVs. We can equip a variety of vehicle makes and models with a smooth and efficient wheelchair lift that will allow you to operate your vehicle while in your wheelchair or mobility device. Passenger side installation is also available. In just 20 seconds, you can be lifted and loaded into your vehicle and ready to hit the road. Our selection of trucks and SUVs offer a great alternative to traditional wheelchair vans."</t>
  </si>
  <si>
    <t>http://www.atconversions.com/</t>
  </si>
  <si>
    <t>mailto:info@atconversions.com</t>
  </si>
  <si>
    <t>Automobile Dealers</t>
  </si>
  <si>
    <t>ATHMANN INDUSTRIAL MEDICAL SUPPLIES, INC</t>
  </si>
  <si>
    <t>http://www.aimsfirstaid.com</t>
  </si>
  <si>
    <t>mailto:customerservice@aimsfirstaid.com</t>
  </si>
  <si>
    <t>Other Miscellaneous Nondurable Goods Merchant Wholesalers</t>
  </si>
  <si>
    <t>ATKINS INC</t>
  </si>
  <si>
    <t>http://www.atkins-intl-foods.com</t>
  </si>
  <si>
    <t>Frozen Bakery Product Manufacturing</t>
  </si>
  <si>
    <t>ATM Protech, Inc.</t>
  </si>
  <si>
    <t>mailto:atmprotech01@verizon.net</t>
  </si>
  <si>
    <t>ATM Solutions of Ind</t>
  </si>
  <si>
    <t>http://www.indyatms.com</t>
  </si>
  <si>
    <t>mailto:tzornes@indyatms.com</t>
  </si>
  <si>
    <t>Other Financial Vehicles</t>
  </si>
  <si>
    <t>AUDREY KIRK</t>
  </si>
  <si>
    <t>AUTO WHEEL &amp; RIM SERVICE CO., INC.</t>
  </si>
  <si>
    <t>http://autowheelandrim.com</t>
  </si>
  <si>
    <t>mailto:jmiller@autowheelandrim.com</t>
  </si>
  <si>
    <t>Motor Vehicle Supplies and New Parts Merchant Wholesalers</t>
  </si>
  <si>
    <t>AUTOMATED ENTRANCES, INC</t>
  </si>
  <si>
    <t>mailto:smithdoor@iquest.net</t>
  </si>
  <si>
    <t>AV Consulting Engineers, Inc.</t>
  </si>
  <si>
    <t>="AV Consulting Engineers Inc. is a minority-owned, full-service Electrical, Civil, Structural, &amp; Technology engineering firm, providing a complete range of high-quality design services for new and existing facilities. Since its inception in 1998, AV Consulting Engineers Inc. has assisted clients in creating and implementing workable, efficient infrastructures of electrical and technology systems. Proficient in Municipal Engineering, Civil/Structural Engineering, site and building distribution systems, we are experts in the areas of harmonic distortion analysis, power quality, emergency power, UPS systems design, Wide Area Network Distribution Systems Design, Local Area Network Building Distribution Systems Design, Telephone Systems Design, Video Distribution Systems Design, Security Distribution Systems Design, and Professional Sound Reinforcement Systems Design. Our electrical engineers and lighting designers follow design recommendations by the Institute of Electrical and Electronic"</t>
  </si>
  <si>
    <t>http://www.avconsultingeng.com</t>
  </si>
  <si>
    <t>mailto:avillalta@consultingeng.com</t>
  </si>
  <si>
    <t>AVANT Group, Inc.</t>
  </si>
  <si>
    <t>="AVANT is a management-owned, environmental consulting firm headquartered in Fort Wayne, Indiana, and incorporated in Indiana. The firm was founded in 1997 to provide science and engineering services to private, industrial, commercial, and governmental clients throughout the midwestern United States. ""AVANT"" means ""in front"" and was chosen to embody our guiding principles of placing service to our clients first and staying at the leading edge of technical and regulatory issues important to them. Since our founding, we have partnered with hundreds of clients, studying their issues, learning their businesses, and working closely with them to find reasonable, common-sense solutions."</t>
  </si>
  <si>
    <t>http://www.avantgrp.com</t>
  </si>
  <si>
    <t>mailto:jking@avantgrp.com</t>
  </si>
  <si>
    <t>AVANZA BILINGUAL SERVICES, LLC</t>
  </si>
  <si>
    <t>mailto:rosalind@avanzatax.com</t>
  </si>
  <si>
    <t>AVI Foodsystems, Inc</t>
  </si>
  <si>
    <t>="AVI is a full service food service provider in vending, dining, catering and office coffee services. AVI has become the largest independently owned and operated food service company in the United States. We operate our own commissary and bakery, distribution and trucking system. AVI serves millions of customers daily from 53 branch offices. We proudly serve some of the most prestigious institutions in America including business and industry, and universities and healthcare facilities. At AVI, our mission is to put the interest of our customer first, by providing the highest quality, most innovative and imaginative food service programs and products in the industry."</t>
  </si>
  <si>
    <t>http://www.avifoodsystems.com</t>
  </si>
  <si>
    <t>mailto:salesdept@avifoodsystems.com</t>
  </si>
  <si>
    <t>Foodservice Contractors</t>
  </si>
  <si>
    <t>AWM Enterprises, Inc.</t>
  </si>
  <si>
    <t>="AWM Enterprises, d.b.a. Adecco services Tippecanoe and the surrounding six county area with temporary work Associates as well as full time placement services. Temporary Associates are available with clerical, accounting, engineering, light technical and light industrial skill sets."</t>
  </si>
  <si>
    <t>mailto:ann.miller@adeccona.com</t>
  </si>
  <si>
    <t>AXIA Consulting</t>
  </si>
  <si>
    <t>="AXIA Consulting is a premier consulting firm that provides technology and business consulting services to local middle-market and Fortune 500 companies as well as government agencies. Focused on real, business oriented results, AXIA consistently delivers tremendous value by accomplishing projects on-time and on-budget while achieving our client’s strategic, operational, and technology objectives."</t>
  </si>
  <si>
    <t>http://www.axiaconsulting.net</t>
  </si>
  <si>
    <t>mailto:info@axiaconsulting.net</t>
  </si>
  <si>
    <t>AYN Architect Studio LLC</t>
  </si>
  <si>
    <t>="An architectural consultancy that can do all phases of construction of the built environment with preservation and the natural environment as a value. With a passion for sustainable and green design, its focus is on all people in realizing and making a built-environment with you, society and the natural world in mind: ecology, economy and efficiency with preservation, health and comfort."</t>
  </si>
  <si>
    <t>http://www.aynarchitect.com</t>
  </si>
  <si>
    <t>mailto:umirza@aynarchitect.com</t>
  </si>
  <si>
    <t>AYNES CUSTOM SEATING INC</t>
  </si>
  <si>
    <t>http://AYNES CUSTOM SEATING INC</t>
  </si>
  <si>
    <t>mailto:DCA@CCRTC.COM</t>
  </si>
  <si>
    <t>Reupholstery and Furniture Repair</t>
  </si>
  <si>
    <t>AZTEC PRINTING INC</t>
  </si>
  <si>
    <t>mailto:azteceaast@choiceonemail.com</t>
  </si>
  <si>
    <t>Quick Printing</t>
  </si>
  <si>
    <t>AZTEC WFR INC</t>
  </si>
  <si>
    <t>http://www.aztecwfrinc.com</t>
  </si>
  <si>
    <t>mailto:aztecwfrinc@att.net</t>
  </si>
  <si>
    <t>Other Foundation, Structure, and Building Exterior Contractors</t>
  </si>
  <si>
    <t>Aadco, Inc.</t>
  </si>
  <si>
    <t>="We are an alarm &amp; communication company that specializes in fire alarm systems. We are a Siemens distributor and we are also a rep for a U.L. list wireless fire alarm system We can also provide card access systems, cctv systems, sound system, security system and intercom systems. We provide CTI, monitoring and 24 hour service. We are US Air Force Veteran owned company."</t>
  </si>
  <si>
    <t>http://www.aadcoinc.com</t>
  </si>
  <si>
    <t>mailto:sales@aadcoinc.com</t>
  </si>
  <si>
    <t>Communication Equipment Repair and Maintenance</t>
  </si>
  <si>
    <t>Aallante Salon &amp; Spa, LLC</t>
  </si>
  <si>
    <t>="Full service salon &amp; spa including hair stying specializing in highlights and color, manciure and pedicures including acrylics, tips, wraps; massage services featuring deep tissue, total body, hot rocks, pre-natal and more, as well as many types of facials, hair removal, and other skin care services."</t>
  </si>
  <si>
    <t>http://www.aallante.com</t>
  </si>
  <si>
    <t>Beauty Salons</t>
  </si>
  <si>
    <t>AarVee Associates</t>
  </si>
  <si>
    <t>http://www.signsbytomorrow.com/indynw</t>
  </si>
  <si>
    <t>mailto:rajesh.patnaik@signsbytomorrow.com</t>
  </si>
  <si>
    <t>Aaron W. Garber Co., Inc.</t>
  </si>
  <si>
    <t>Aaron York's Quality A/C &amp; Htg., Inc.</t>
  </si>
  <si>
    <t>http://Kris Conover, President</t>
  </si>
  <si>
    <t>mailto:kris.conover@yorksqualityair.com</t>
  </si>
  <si>
    <t>Aarons Lawncare &amp; Landscaping, Inc.</t>
  </si>
  <si>
    <t>mailto:aaronslawncare@yahoo.com</t>
  </si>
  <si>
    <t>Abell/Irvin Elevator Service Co.</t>
  </si>
  <si>
    <t>Miscellaneous Manufacturing</t>
  </si>
  <si>
    <t>AbellaTech, Inc.</t>
  </si>
  <si>
    <t>="Regional provider of business intellienge, data warehousing, and information delivery services and products. Partnering with Business Objects, Cognos, and Microsoft, AbellaTech provides the most advanced and cost effective technolgoy solutions to organizations of all sizes seeking to improve their competitive positions via the power of information technology."</t>
  </si>
  <si>
    <t>http://www.abellatech.com</t>
  </si>
  <si>
    <t>mailto:info@abellatech.com</t>
  </si>
  <si>
    <t>Information Services</t>
  </si>
  <si>
    <t>Abernathy, Inc. Realtors</t>
  </si>
  <si>
    <t>http://www.abernathyrealtors.com</t>
  </si>
  <si>
    <t>mailto:j</t>
  </si>
  <si>
    <t>Offices of Real Estate Agents and Brokers</t>
  </si>
  <si>
    <t>Abigail W. Hohmann</t>
  </si>
  <si>
    <t>="Abbe specializes in real estate site selection and disposition for users, developers and property owners and provides knowledgeable guidance in all aspects of commercial transactions. Abbe’s extensive experience in community and civic service distinguishes her among real estate professionals advising her clients about economic development, property management and government approval processes. She is a founding member of Colliers Land Practice Group and its Steering Committee, and is a member of Colliers Life Science Steering Committee and Practice Group. Working primarily in Indiana, Abbe has been involved in over 225 closed transactions and is currently marketing property listings valued at more than $100,000,000."</t>
  </si>
  <si>
    <t>mailto:ahohmann@ctmt.com</t>
  </si>
  <si>
    <t>Abner Drainage</t>
  </si>
  <si>
    <t>mailto:dmfarms@aol.com</t>
  </si>
  <si>
    <t>Water, Sewer, and Pipeline Construction</t>
  </si>
  <si>
    <t>Aboite Behavioral Health Services PC</t>
  </si>
  <si>
    <t>="We are Northeast Indiana's premier source for mental health services. Our staff includes a board-certified general psychiatrist with over thirty years of professional experience, and an advanced nurse practitioner certified in the practice of cognitive-behavioral psychotherapy by Aaron Beck. We have special expertise in psychopharmacology, psychotherapy, addictions counseling, mood disorders, anxiety disorders, personality disorders, post-traumatic syndromes, chronic pain, dissociation, family therapy, marriage counseling, forensic psychiatry, psychoanalytic psychotherapy, attention deficit hyperactivity disorder, bipolar disorder, borderline personality disorder, group therapy, industrial psychiatry and psychology, panic disorder, obsessive compulsive disorder, hospital psychiatry, community mental health, suicide prevention, psychological and psychiatric diagnosis. We are experienced authors and educators."</t>
  </si>
  <si>
    <t>http://www.aboitebehavioralhealth.com</t>
  </si>
  <si>
    <t>mailto:abhs@att.net</t>
  </si>
  <si>
    <t>Offices of Physicians, Mental Health Specialists</t>
  </si>
  <si>
    <t>Abonmarche Consultants of Indiana, LLC</t>
  </si>
  <si>
    <t>http://www.abonmarche.com</t>
  </si>
  <si>
    <t>mailto:jlinn@abonmarche.com</t>
  </si>
  <si>
    <t>Architectural, Engineering and Related Services</t>
  </si>
  <si>
    <t>About Space, LLC</t>
  </si>
  <si>
    <t>http://www.AllAboutSpace.net</t>
  </si>
  <si>
    <t>mailto:Kristina@AllAboutSpace.net</t>
  </si>
  <si>
    <t>Above &amp; Below Ground Resources, LLC</t>
  </si>
  <si>
    <t>="Above and Below Ground Resources, LLC offers a full range of cultural resource services including archaeological and historic investigations; Section 106 compliance; mitigation document negotiation, writing and implementation; NAGPRA compliance; Native American consultation services; NEPA compliance; and compliance with other state and federal laws."</t>
  </si>
  <si>
    <t>mailto:above@abgroundresources.com</t>
  </si>
  <si>
    <t>Research and Development in the Social Sciences and Humanities</t>
  </si>
  <si>
    <t>Above &amp; Beyond Consu</t>
  </si>
  <si>
    <t>mailto:amshields1@juno.com</t>
  </si>
  <si>
    <t>Above All Photograph</t>
  </si>
  <si>
    <t>="Above All Photography, Ltd. performs aerial photography services including georeferenced planimetric photography, oblique photography from both airplane and helicopter, aerial video from both airplane and helicopter, and lower level aerial photography from an aerial bucket truck."</t>
  </si>
  <si>
    <t>http://www.aboveallphoto.com</t>
  </si>
  <si>
    <t>mailto:info@aboveallphoto.com</t>
  </si>
  <si>
    <t>Abrams Trucking Inc</t>
  </si>
  <si>
    <t>mailto:jdabrams1@verizon.net</t>
  </si>
  <si>
    <t>Absocold Corporation</t>
  </si>
  <si>
    <t>="Absocold is a manufacturer of our own brand compact appliances (refrigerators, freezers, and refrigerator/microwave combination units). We are an appliance vendor for GSA, with a federal GSA schedule (contract #GS21F0087H). We also have trade partnerships with Whirlpool, Frigidaire &amp; GE to target and supply government agencies, the collegiate market &amp; and the lodging industry with their full lines of major appliances."</t>
  </si>
  <si>
    <t>http://www.absocold.com</t>
  </si>
  <si>
    <t>mailto:absocold@absocold.com</t>
  </si>
  <si>
    <t>Household Refrigerator and Home Freezer Manufacturing</t>
  </si>
  <si>
    <t>Absolute Care of Hammond, Inc.</t>
  </si>
  <si>
    <t>="A case manager helps people obtain the supports needed to live independently as possible in their community, by finding and coordinating available resources and services to meet the person's needs. Case manager also help to plan, monitor and evaluate the person's services, and assist with the process and necessary paperwork. Case management is provided through the Indiana Medicaid Home and Community Based Waiver Services. General Waiver support activities of this Case Manager: To work with develpmental and disabled individuals and their support team to ensure their needs are being met in the least restrictive environment through: facilitating, developing, and monitoring of the ISP and CCB; to make home visits and face to to visits with the consumer a minimum of every 90 days; to facilitate quarterly team meetings; to advocate for consumer acrossed all services and supports; and to assist him in maintaining all his benefits and waiver requirements. CMGT added to do necessary paper"</t>
  </si>
  <si>
    <t>mailto:plark46320@yahoo.com</t>
  </si>
  <si>
    <t>Absolute Industrial Safety, LLC</t>
  </si>
  <si>
    <t>="Distributor of Safety Equipment and clothing. All types of personal protective equipment. Janitorial supplies, paper, chemicals, Janitorial maintenance equipment. General industrial supplies ie: paints, hand tools, power tools, material handling equipment. First aid supplies."</t>
  </si>
  <si>
    <t>http://www.absolute4safety.com</t>
  </si>
  <si>
    <t>mailto:kelly.daisy@verizon.net</t>
  </si>
  <si>
    <t>Absolute Nursing Incorporated</t>
  </si>
  <si>
    <t>Absolute Title Services, LLC</t>
  </si>
  <si>
    <t>Title Abstract and Settlement Offices</t>
  </si>
  <si>
    <t>Absolute Water Technologies LLC</t>
  </si>
  <si>
    <t>="Absolute Water Technologies based in Indianapolis, Indiana with a service branch located in St. Louis, Missouri is a one-stop shop for all of your ultra high purity water treatment needs, including: Reverse Osmosis Systems (RO) both single and double pass, High Recovery Reverse Osmosis RO Systems, Electronic Deionization (EDI), Dialysis Water Service, Dialysis Water Equipment, Millipore and Elga Lab Water Systems, Ultraviolet (UV), bottleless-water coolers and Portable Service Deionization (SDI/DI) Tank Exchange. We also offer a full service and preventative maintenance program, Absolute Care, validation and sanitization services. We also lease water treatment equipment and service all types of brands (Siemens, US Filter, Culligan etc.)"</t>
  </si>
  <si>
    <t>http://www.absolutewatertech.com</t>
  </si>
  <si>
    <t>mailto:rick@absolutewatertech.com</t>
  </si>
  <si>
    <t>Utilities</t>
  </si>
  <si>
    <t>Absolutely Wonderful Events</t>
  </si>
  <si>
    <t>="Exceptional entertaining with a healthy flair! Absolutely Wonderful Events makes every attempt to use fresh produce, fresh herbs and organic ingredients in our recipes, as well as local meats and produce. We are happy to accommodate special diets such as Gluten or Lactose Free. Let us help you with your next special occasion, business event, a romantic evening for two, or carry-out one of our awesome platters or dishes! It's always a special event with us and your guests will be in A.W.E."</t>
  </si>
  <si>
    <t>http://www.absolutelywonderfulevents.com</t>
  </si>
  <si>
    <t>mailto:info@absolutelywonderfulevents.com</t>
  </si>
  <si>
    <t>Abstract Technology Group, LLC</t>
  </si>
  <si>
    <t>="Abstract Technology Group is the one IT solutions provider that offers businesses with IT systems that aim to help the bottom line by increasing productivity and collaboration because Abstract believes in designing systems curtailed to the client’s needs. We offer IT Consulting from break/fix to Managed services. Whatever your technology need, Abstract can help. Abstract offers walk-in service for computer problems, remote support, and on-site support. We can quote large scale network upgrades, or help you with your email. No project is too big or small for Abstract Technology Group. Check out our website for our certifications and partnerships! We are sure that we can resolve your technology need through our network of technology professionals."</t>
  </si>
  <si>
    <t>http://www.AbstractTechGroup.com</t>
  </si>
  <si>
    <t>mailto:info@abstracttechgroup.com</t>
  </si>
  <si>
    <t>Abundant Life Publications LLC</t>
  </si>
  <si>
    <t>="Abundant Life Publications is your full service design and print company equipped to fulfill all your marketing needs. From the conception of your idea to the manifestation of your idea, our business is growing your business. We provide custom designs for your office stationery, presentation folders, business cards, brochures, newsletters, magazines, event tickets, flyers, and much more. We also provide promotional items such as car door magnets, ink pens, shirts, hats, cups, and much more."</t>
  </si>
  <si>
    <t>http://www.publishinglife.com</t>
  </si>
  <si>
    <t>mailto:publishinglife@yahoo.com</t>
  </si>
  <si>
    <t>Accelerated Care Plus Corp</t>
  </si>
  <si>
    <t>="ACP’s comprehensive programs help Physical and Occupational Therapists treat a broader patient population and more medically complex conditions through state-of-the-art physical agent modalities and advanced therapy techniques. The comprehensive programs provide CEU-approved training, state-of-the-art therapeutic modalities, evidence-based treatment protocols and on-going consultation by ACP’s licensed clinicians. By providing these proven treatment interventions, therapists are able to treat many conditions that may not always respond to traditional therapy techniques alone, such as wounds, urinary incontinence, contractures and neuromuscular dysfunction."</t>
  </si>
  <si>
    <t>http://www.acplus.com</t>
  </si>
  <si>
    <t>mailto:customersupport@acplus.com</t>
  </si>
  <si>
    <t>Health Care and Social Assistance</t>
  </si>
  <si>
    <t>Accelerated Electrical Services, L.L.C</t>
  </si>
  <si>
    <t>mailto:ranamstoops@sbcglobal.net</t>
  </si>
  <si>
    <t>Accent Signs &amp; Graphics, Inc.</t>
  </si>
  <si>
    <t>="Accent Signs and Graphics, Inc. (parent company of WholesaleMagneticSigns.com) was formed in the summer of 2001 by John C. Lindsey (formerly of the Poster Display Company art department) after he realized that affordable graphic and sign materials were not readily available to businesses small and large. After discovering that overhead was the key reason most sign shops were so charging so much for this service, he successfully eliminated this inhibiting factor by the incorporation of several efficient techniques that allow WholesaleMagneticSigns.com to charge up to 70% below most local retail vendors. The company was started in a time of economic downturn in order to provide an affordable outlet for obtaining marketing and advertising materials for emerging and established local and US businesses. Now, with an even greater connection to the small business community this mission is more important than ever."</t>
  </si>
  <si>
    <t>http://www.wholesalemagneticsigns.com</t>
  </si>
  <si>
    <t>mailto:info@accent-graphic.com</t>
  </si>
  <si>
    <t>Accent Signs and Graphics</t>
  </si>
  <si>
    <t>http://www.accent-graphic.com</t>
  </si>
  <si>
    <t>Accent on Indianapolis, LLC</t>
  </si>
  <si>
    <t>http://www.accentindy.com</t>
  </si>
  <si>
    <t>mailto:sgardner@accentindy.com</t>
  </si>
  <si>
    <t>Acceptable Answers to Insurance</t>
  </si>
  <si>
    <t>http://www.acceptableanswers.com</t>
  </si>
  <si>
    <t>mailto:info@acceptableanswers.com</t>
  </si>
  <si>
    <t>Insurance Agencies and Brokerages</t>
  </si>
  <si>
    <t>Access Garage Doors</t>
  </si>
  <si>
    <t>="Access Garage Doors is an Indiana-certified woman-owned business that performs service and installation on all brands of overhead doors, dock equipment, rolling steel, high speed doors, electric gates, and more. Please visit our website for more information on our people and products"</t>
  </si>
  <si>
    <t>http://www.accessgarages.com</t>
  </si>
  <si>
    <t>mailto:jsapp@accessgarages.com</t>
  </si>
  <si>
    <t>Other Building Material Dealers</t>
  </si>
  <si>
    <t>Access Garage Doors, LLC</t>
  </si>
  <si>
    <t>mailto:info@accessgarages.com</t>
  </si>
  <si>
    <t>Access Storage Ventures, LLC</t>
  </si>
  <si>
    <t>http://www.accessstoragenow.com</t>
  </si>
  <si>
    <t>mailto:info@accessstoragenow.com</t>
  </si>
  <si>
    <t>Lessors of Other Real Estate Property</t>
  </si>
  <si>
    <t>Access Therapies, Inc</t>
  </si>
  <si>
    <t>http://www.accesstherapies.com</t>
  </si>
  <si>
    <t>mailto:hdhani@accesstherapies.com</t>
  </si>
  <si>
    <t>Access mobility, Inc.</t>
  </si>
  <si>
    <t>="Sales, installation and repair of the following: home health equipment, accessibility products, vehicle modifications, home modifications and mobility products. Products include grab bars and bathroom safety equipment, wheelchairs and scooters, ramps, walkers and lift chairs, diapers and supports, residential elevators and wheelchair lifts. We have a showroom with many helpful items including ramps, scooters, lift chairs, stair lifts and wheelchairs. Family owned Indiana business since 1971."</t>
  </si>
  <si>
    <t>http://www.accessyourlife.com</t>
  </si>
  <si>
    <t>mailto:john@accesstoday.com</t>
  </si>
  <si>
    <t>Health and Personal Care Stores</t>
  </si>
  <si>
    <t>Accessible Home Design, LLC</t>
  </si>
  <si>
    <t>="Accessible Home Design, LLC helps older persons and those of any age with a disability enjoy a lifetime of independence by designing home modifications adapted to their unique needs. A Certified Aging-In-Place Specialist (CAPS) will assess their home modification needs, design the home modification, prepare line item bid specifications and a cost estimate, solicit bids from licensed, insured and bonded general contractors and monitor the work in progress. MWBE Certification is in process with the State of Indiana."</t>
  </si>
  <si>
    <t>mailto:aess11370@aol.com</t>
  </si>
  <si>
    <t>Accessory Truck Corp</t>
  </si>
  <si>
    <t>="We are a retail and wholesale supplier of Truck, SUV and Van Accessories. We specialize in Seating&amp; Running Boards, Although we also offer: Bed liners, Bed Mats, Toolboxes, Ladder Racks, Roof Racks, Bumpers, Body Parts, Tonneau Covers, Hood Shields, Vent Visors, Fender Flares, Carpeting, Mud Flaps, etc. We would be happy to serve you with your Truck and Van Accessory needs."</t>
  </si>
  <si>
    <t>http://www.accessorytruck.com</t>
  </si>
  <si>
    <t>mailto:ljw198@aol.com</t>
  </si>
  <si>
    <t>Automotive Parts, Accessories and Tire Stores</t>
  </si>
  <si>
    <t>Accidental Discoveries, LLC</t>
  </si>
  <si>
    <t>mailto:accidentaldiscoveries@comcast.net</t>
  </si>
  <si>
    <t>Accolade of London, Inc</t>
  </si>
  <si>
    <t>="Accolade of London, Inc. is an Indianapolis-based, full-service event planning company that is female-owned. We provide full-service event management to local and surrounding communities. Accolade began in 1986 serving the social event market. In 1999, the company expanded into coordinating events in the corporate market and for government agencies. This experience of successfully serving a variety of clients with diverse needs allows Accolade to “speak the language” of a large and diverse group of constituencies and stakeholders in Indianapolis. Accolade can provide the following services: Full and partial event planning service Project management Rental resources – linens, tables, chairs etc Printing – invitations, programs etc. Décor Floral Vendor referral for all services required for any type of event"</t>
  </si>
  <si>
    <t>mailto:acolondon@comcast.net</t>
  </si>
  <si>
    <t>Arts, Entertainment and Recreation</t>
  </si>
  <si>
    <t>Accompia Solutions</t>
  </si>
  <si>
    <t>="Accompia provides the following services to business, state and local governments and Education: grant writing, proposal writing, help desk consulting, change management, strategic planning, human resource services, training design, training delivery, CBT and WBT development"</t>
  </si>
  <si>
    <t>http://www.accompia soutions.com</t>
  </si>
  <si>
    <t>mailto:dixie.gray@gmail.com</t>
  </si>
  <si>
    <t>Management Consulting Services</t>
  </si>
  <si>
    <t>Accountable Solutions, Inc.</t>
  </si>
  <si>
    <t>mailto:Linda_Buskirk@alumni.indiana.edu</t>
  </si>
  <si>
    <t>Professional and Management Development Training</t>
  </si>
  <si>
    <t>Accounting For Growth Inc</t>
  </si>
  <si>
    <t>="Thank you for visiting our Web site. Accounting For Growth, Inc. is a full service accounting and financial consulting firm. Our mission is to provide proactive financial and tax services, implement financial systems solutions, and business solutions to position our clients for continuous growth"</t>
  </si>
  <si>
    <t>http://www.accountingforgrowthinc.com</t>
  </si>
  <si>
    <t>mailto:shelleyafg@hotmail.com</t>
  </si>
  <si>
    <t>Accreditation Services Bureau</t>
  </si>
  <si>
    <t>http://www.l-a-b.com</t>
  </si>
  <si>
    <t>mailto:Sales@l-a-b.com</t>
  </si>
  <si>
    <t>Accu-Dig, Inc.</t>
  </si>
  <si>
    <t>="Hydro Excavation, Pipe Jetting, &amp; CCTV - For Hydro Excavation our Vac truck uses high pressure water to loosen the soil around a utility or in the area of excavation. A Vacuum hose removes the soil from the hole into a holding tank at no risk of damaging utilities. Type of work includes utility pole holes/straighten poles, exploratory, sewer &amp; water repair, digging around foundations, pier foundations, slot trenching, drainage ditches (cleaning redefining), sludge removal, pit cleaning...Pipe Jetting is a process used to remove dirt, grease, roots, and other obstruction that prohibit flow through the pipe. Type of work includes manhole cleaning, catch basins, bypass pumping, industrial process lines, road culverts.... CCTV - Inspect new pipe. Or, if you are not looking forward to excavating along the path of the pipe looking for the problem, we can find the problem quickly with a high resolution camera that is powered by a motorized pan &amp; tilt tractor with a zoom lens."</t>
  </si>
  <si>
    <t>http://accudigservices.com</t>
  </si>
  <si>
    <t>mailto:info@accudigservices.com</t>
  </si>
  <si>
    <t>Other Specialty Trade Contractors</t>
  </si>
  <si>
    <t>Accu-Screen Labs, Inc.</t>
  </si>
  <si>
    <t>http://www.asltesting.com</t>
  </si>
  <si>
    <t>mailto:marketing@asltesting.com</t>
  </si>
  <si>
    <t>Medical Laboratories</t>
  </si>
  <si>
    <t>Accubuilt, Incorporated</t>
  </si>
  <si>
    <t>http://www.accubuilt.com</t>
  </si>
  <si>
    <t>Offices of Other Holding Companies</t>
  </si>
  <si>
    <t>Accuprint of Kentuckiana Inc.</t>
  </si>
  <si>
    <t>="Accuprint of Kentuckiana, Inc. is a commercial printer offering a full array of print, fulfillment, direct mail and support services for our clients. Founded in 1997, our capabilities have grown over the years to include solutions beyond print and we continue to expand to fuel our clients' growth as well. Accuprint's capabilities and services are: Print Solutions - Offset Sheetfed, On Demand Digital, AccuMag Magnet Postcard Mailers, Large Format Support Services - Direct Mail, Mailing Lists, Fulfillment and Mailing, PrePress and Creative Design, Bindery and Finishing, Online Solutions, Digital Signage"</t>
  </si>
  <si>
    <t>http://www.accuprintink.com</t>
  </si>
  <si>
    <t>mailto:gary@accuprintink.com</t>
  </si>
  <si>
    <t>Accur-Cut Machine Co. Inc.</t>
  </si>
  <si>
    <t>http://accur-cut.com</t>
  </si>
  <si>
    <t>mailto:accur-cut@mchsi.com</t>
  </si>
  <si>
    <t>Steel Product Manufacturing from Purchased Steel</t>
  </si>
  <si>
    <t>Accurate General Contractors, LLC</t>
  </si>
  <si>
    <t>Accurate Insulation Inc.</t>
  </si>
  <si>
    <t>="Accurate Insulation Inc. provides commercial and industrial customers with skilled Union insulators to meet there insulation needs. Our job scope includes, and is not limited to; steam piping, chill water piping, domestic water lines, duct work, and boiler walls."</t>
  </si>
  <si>
    <t>mailto:accurateinsulation2@verizon.net</t>
  </si>
  <si>
    <t>Accurate Striping, Inc.</t>
  </si>
  <si>
    <t>http://www.accuratestriping.com</t>
  </si>
  <si>
    <t>mailto:accuratestriping@aol.com</t>
  </si>
  <si>
    <t>Accurate Tax Management Corporation</t>
  </si>
  <si>
    <t>="We’ll lower your property taxes… or it’s free. Our services are performed on a contingency fee basis. This means to you that there are no up front fees or costs for the review of your property taxes. Only when we have completed our work and obtained a tax reduction would there be a fee for our services. This fee is a percentage of the savings obtained. Contact us today for a free analysis of your property tax situation. It is never too soon to start Taking The Pain Out Of Your Property Taxes!"</t>
  </si>
  <si>
    <t>http://www.AccurateTaxMgmt.com</t>
  </si>
  <si>
    <t>mailto:accuratetaxmgmt@aol.com</t>
  </si>
  <si>
    <t>Accusource Inc.</t>
  </si>
  <si>
    <t>="Accusource, Inc. is a small women owned corporation. We are engaged in the business of sourcing and distribution of shipping and industrial supplies. Some of the products we offer includes but is not limited to banding, stretch wraps, tapes, packaging protection items, screws, bolts, nuts, washers, poly bags, janitorial supplies, etc."</t>
  </si>
  <si>
    <t>mailto:kshall4@yahoo.com</t>
  </si>
  <si>
    <t>Accutech Mold &amp; Machine Inc.</t>
  </si>
  <si>
    <t>http://www.accutechmoldinc.com</t>
  </si>
  <si>
    <t>Other Plastics Product Manufacturing</t>
  </si>
  <si>
    <t>Ace Corporation LLC</t>
  </si>
  <si>
    <t>mailto:acejanitor@yahoo.com</t>
  </si>
  <si>
    <t>="Ace Corporation LLC is a family owned business started by me and my husband. Our list of reputable clients includes Eli Lilly, which we serviced for 3 yrs. We're a fairly young start up that is extremely hardworking and financially competitive. We would appreciate any opportunities to compete for your business!"</t>
  </si>
  <si>
    <t>Ace Security Center, Inc.</t>
  </si>
  <si>
    <t>="Installation of commercial and residential alarm systems, fire panels, Closed Circuit TV, Access Control systems,smoke detector testing with smoke detector sensitivity analyzer, installation of high security locks (Mul-T-Lock and Medeco authorized dealers), key duplication and electronic key duplication (Transponder keys), sales of safes."</t>
  </si>
  <si>
    <t>http://www.acesec.com</t>
  </si>
  <si>
    <t>mailto:rhardeman@acesec.com</t>
  </si>
  <si>
    <t>Security Systems Services</t>
  </si>
  <si>
    <t>Ace Sign Systems Inc</t>
  </si>
  <si>
    <t>http://www.acesign.com</t>
  </si>
  <si>
    <t>mailto:rjones@acesign.com</t>
  </si>
  <si>
    <t>Ace Tree Service, Inc.</t>
  </si>
  <si>
    <t>="Locally owned and operated since 1971. Fully insured. Full service tree care company. Providing removal, shaping, maintenance, lot clearing, stump grinding and other tree care services. We have 2 certified arborists and one employee certified to work around electricity on staff. We want to work with you to make your trees a valuable investment. Proper tree care improves property value. Give us a call for all your tree care needs."</t>
  </si>
  <si>
    <t>Ace Welding &amp; Fabric</t>
  </si>
  <si>
    <t>mailto:acewelding@northcc.net</t>
  </si>
  <si>
    <t>Welding and Soldering Equipment Manufacturing</t>
  </si>
  <si>
    <t>Achiever's Institute, Inc.</t>
  </si>
  <si>
    <t>http://www.NitaScoggan.com</t>
  </si>
  <si>
    <t>mailto:nscoggan@att.net</t>
  </si>
  <si>
    <t>Acme Health Services, Inc.</t>
  </si>
  <si>
    <t>http://www.acmehhc.com</t>
  </si>
  <si>
    <t>mailto:andi@acmehhc.com</t>
  </si>
  <si>
    <t>Acme Sports, Inc.</t>
  </si>
  <si>
    <t>http://www.acmesportsinc.com</t>
  </si>
  <si>
    <t>Police Protection</t>
  </si>
  <si>
    <t>Acordia of Indiana, LLC.</t>
  </si>
  <si>
    <t>="Acordia, Inc., is a subsidiary of Wells Fargo &amp; Company; a $334 billion diversified financial services company. Acordia provides insurance brokerage, administrative services, and a wide range of financial and consulting services to thousands of clients from 147 local offices across the nation. Today, its 4,500 insurance professionals place in excess of $6 billion of risk premiums with expertise in property, casualty, life and benefits. We provide customers with experienced professionals and outstanding customer service they cannot get anywhere else. We are national yet locally driven. Acordia is America's Local Insurance Broker."</t>
  </si>
  <si>
    <t>http://www.acordia.com</t>
  </si>
  <si>
    <t>Acoustic Supply, Inc</t>
  </si>
  <si>
    <t>="We are a supplier of building materials. The majority of our sales are to construction contractors in both the commercial and residential markets. Our primary product niches are: 1) drywall, mud, metal framing, insulation, and related products 2) acoustical ceilings, noise control, and related products 3) exterior insulation finish system products, and related 4) specialty items such as toilet partitions, door packages, etc..."</t>
  </si>
  <si>
    <t>http://acousticsupply.com</t>
  </si>
  <si>
    <t>mailto:sales@acousticsupply.com</t>
  </si>
  <si>
    <t>Lumber and Other Construction Materials Wholesalers</t>
  </si>
  <si>
    <t>Acquisition Enterprises LLC</t>
  </si>
  <si>
    <t>="We are a Minority, disabled veteran business that offers Safety Consulting Services. We assist companies with falling in compliance with OSHA and ANZI standard compliance. We offer auditing, consultation, inspections, risk assessments, and any other service to assist in creating a injury and incident free work site. We have vast experience in various areas of construction including but not limited to DOT, Refineries, Power plants, Steel Mills, Alternative energy plants/farms, Manufacturing Plants, Residential and Commercial Developments and more."</t>
  </si>
  <si>
    <t>Acropolis Restaurant &amp; Catering</t>
  </si>
  <si>
    <t>http://www.acropolisevv.com</t>
  </si>
  <si>
    <t>mailto:ellada@acropolisevv.com</t>
  </si>
  <si>
    <t>Full-Service Restaurants</t>
  </si>
  <si>
    <t>Act Development, LLC</t>
  </si>
  <si>
    <t>="Construction management in new construction, remodeling and rehabilitation projects. Supervise work crews in commercial/residential remodeling and new construction projects; coordinate schedules and all trades. Work effectively with architects, engineers, developers, bankers, contractors, inspectors, agents, and home buyers. Order materials and supplies; handle vendor/customer relations and quality control. Provide all necessary permits and inspections. Provide sub contractors in areas of plumbing, HVAC, Electrical and Mechanicals"</t>
  </si>
  <si>
    <t>mailto:act_d@ameritech.net</t>
  </si>
  <si>
    <t>Lessors of Residential Buildings and Dwellings</t>
  </si>
  <si>
    <t>Action Equipment</t>
  </si>
  <si>
    <t>http://www.actionequipmentsales.com</t>
  </si>
  <si>
    <t>mailto:janicet@actionequipmentsales.com</t>
  </si>
  <si>
    <t>Action Pest Control</t>
  </si>
  <si>
    <t>="Full service pest management company serving Indiana, Kentucky and Illinois with pest services, termite control on new and existing buildings, rodent control, fly control programs including complete fly light programs, bird eradication and control including installation of exclusion products such as netting and other devices, fumigation services, educational seminars, consulting services, retail products for individuals and businesses"</t>
  </si>
  <si>
    <t>http://www.actionpest.com</t>
  </si>
  <si>
    <t>Action Temp Service</t>
  </si>
  <si>
    <t>http://www.actiontemporaries.com</t>
  </si>
  <si>
    <t>mailto:actiont@evansville.net</t>
  </si>
  <si>
    <t>Actionet Links Photography, LLC</t>
  </si>
  <si>
    <t>="Actionet Links Photography, LLC is a husband &amp; wife business. We specialize in wedding photography, studio portraits, school and senior pictures, on site events. Complete mobile studio capable of onsite setup. Also, picture retouching &amp; restoration. We have been in business for the last eight years"</t>
  </si>
  <si>
    <t>http://www.actionetlinks.com</t>
  </si>
  <si>
    <t>mailto:actionjackso4622@aol.com</t>
  </si>
  <si>
    <t>Photography Studios, Portrait</t>
  </si>
  <si>
    <t>Activate Healthcare</t>
  </si>
  <si>
    <t>http://activatehealthcare.com</t>
  </si>
  <si>
    <t>mailto:peterdunn@activatehealthcare.com</t>
  </si>
  <si>
    <t>Active Art Salon &amp; Gallery</t>
  </si>
  <si>
    <t>="Active Art Salon &amp; Gallery is a new hair salon and art gallery which is guided by our belief of artistic impression and unparalled service in a unique environment. We specialize in all areas of hair care, with an emphasis on cutting and coloring. We believe our canvas is hair and we strive to create the perfect picture for each client. We also try to achieve a healthy balance, by providing all natural and truly organic hair care products. We Have a Vision: Unparalleled customer service Artistic impression Friendly and comfortable surroundings Health and harmony for hair, body,and soul Honesty Quality products Active Art Salon &amp; Gallery is an enviornment designed for comfort, artistic vision, friendly and excellent service with health, education and fiscal growth being balance points."</t>
  </si>
  <si>
    <t>http://www.ActiveArtSalon.com</t>
  </si>
  <si>
    <t>mailto:ActiveArtSalon1@hotmail.com</t>
  </si>
  <si>
    <t>Active Environmental Services, Inc.</t>
  </si>
  <si>
    <t>Active Life Guide Corporation</t>
  </si>
  <si>
    <t>http://www.activelifeguide.com</t>
  </si>
  <si>
    <t>mailto:epena@activelifeguide.com</t>
  </si>
  <si>
    <t>Advertising and Related Services</t>
  </si>
  <si>
    <t>Aculocity, LLC</t>
  </si>
  <si>
    <t>="With innovative approaches that utilize the latest technologies (Ajax, ASP.NET, SQL Server), Aculocity provides scalable business solutions that facilitate success through increased revenue, sales and user satisfaction. When you call on us to design, develop and implement solutions, you are calling on a company that prides itself on creating visually pleasing applications that provide a positive user experience."</t>
  </si>
  <si>
    <t>http://www.aculocity.com</t>
  </si>
  <si>
    <t>mailto:info@aculocity.com</t>
  </si>
  <si>
    <t>Acureach Consulting, LLC</t>
  </si>
  <si>
    <t>http://www.acureach.com</t>
  </si>
  <si>
    <t>mailto:info@acureach.com</t>
  </si>
  <si>
    <t>Ad Business Promotions/Great Gifts</t>
  </si>
  <si>
    <t>="Ad Business Promotions/Great Gifts custom imprints (gift) items with your logo / information on them for you to use to advertise and promote your business. We work with over 3500 companies and have a product base of over 750,000 items. We sell advertising specialties for trade shows, giveaways, awards, etc.etc. to increase employee retention and motivate personnel, to target new customers and increase brand awareness. They are used to keep your business name and contact information in front of old and new clients and customers. Everyone loves a gift. Advertising with Promotional Products lasts a lot longer than other ways of advertising and targets who you want to target. Pens, Pencils, T-shirts, Mugs, Food Products, Calendars, Lanyards, desk accessories are only a few of the items that can be imprinted and used as advertising give-aways. Whatever your business is or whatever the occassion is, we can find promotional products to help you advertise the event. E-mail us, call us"</t>
  </si>
  <si>
    <t>mailto:gpkurtzindy@yahoo.com</t>
  </si>
  <si>
    <t>Other Direct Selling Establishments</t>
  </si>
  <si>
    <t>Ad Cetera Promotions, Inc.</t>
  </si>
  <si>
    <t>="Ad Cetera Promotions provides creative promotional products to help your business motivate employees, thank a customer, increase market visibility, improve trade show traffic, reward good safety record, etc. Established in 1991, our years of experience can help you design and implement your marketing campaign on time and within your budget."</t>
  </si>
  <si>
    <t>http://www.adceterapromotions.com</t>
  </si>
  <si>
    <t>mailto:marybeth@adceterapromotions.com</t>
  </si>
  <si>
    <t>Ad Valorem Solutions</t>
  </si>
  <si>
    <t>="Ad Valorem Solutions provides consulting as well as professional services to County and Township Assessors throughout the State of Indiana. Services include assessments and appraisals, classroom and public forum lectures, as well as many different statistical, ratio, and work flow studies."</t>
  </si>
  <si>
    <t>http://www.avs-in.com</t>
  </si>
  <si>
    <t>mailto:solutions@avs-in.com</t>
  </si>
  <si>
    <t>AdPoint, Inc.</t>
  </si>
  <si>
    <t>="Full service sign company. Manufacture, install, and repair. Banners, site signs, realestate signs, building identification signs, engraving, sandblasted wood and foam, laser cut acrylic and metal, street signs, directional signs, name plates, decals, and more."</t>
  </si>
  <si>
    <t>http://www.signaramacarmel.com</t>
  </si>
  <si>
    <t>mailto:sales@signaramacarmel.com</t>
  </si>
  <si>
    <t>Adams Building Group, INC</t>
  </si>
  <si>
    <t>="Adams Building Group,INC, is a General Contractor in the state of Indiana that specializes in Residential and Commercial Renovations/ Construction. ABG,INC is steering its path to more STATE and FEDERAL work, It provides services in all disciplines within the construction trade. ABG, INC has the capabilities to both construct and consult within the Residential and Commercial sectors."</t>
  </si>
  <si>
    <t>mailto:adamsbuildinggroup@gmail.com</t>
  </si>
  <si>
    <t>Adams Construction Group, LLC</t>
  </si>
  <si>
    <t>mailto:adamsconstructiongroup@gmail.com</t>
  </si>
  <si>
    <t>Adams Electrical Ser</t>
  </si>
  <si>
    <t>Adams Hubbard Legal Solutions</t>
  </si>
  <si>
    <t>="Adams Hubbard Legal Solutions - We are a modern recruiting and staffing firm offering customized, full-service staffing solutions within the legal marketplace. AHLS specializes in staffing and recruiting legal industry professionals. We work with the following candidates: Temp and temp-to-perm attorneys In-house counsel Paralegals Law clerks Legal assistants and secretaries Legal receptionists Legal marketing professionals Office clerks Full-service investigative solutions Additionally, we staff attorneys for clients' short-term or one-time legal projects, including: drafting contracts; assisting with bankruptcy cases; drafting wills; long-term and short-term disability; and business transactions."</t>
  </si>
  <si>
    <t>http://www.ahlegalsolutions.com</t>
  </si>
  <si>
    <t>mailto:info@ahlegalsolutions.com</t>
  </si>
  <si>
    <t>All Other Legal Services</t>
  </si>
  <si>
    <t>Adams Landscape Management, Inc</t>
  </si>
  <si>
    <t>http://WWW. Adamslmi.com</t>
  </si>
  <si>
    <t>mailto:Adamsoffice@adamslmi.com</t>
  </si>
  <si>
    <t>Adams Party Rental</t>
  </si>
  <si>
    <t>="Ace Party Rental is a family owned party rental company which carries hundreds of items to chose from. We carry tents, tables, chairs, linens, stage, dancefloor, china and much more. We provide complimentary event planning services as well to ensure your event runs smoothly from start to finish."</t>
  </si>
  <si>
    <t>http://www.acepartyandtents.com</t>
  </si>
  <si>
    <t>mailto:info@acepartyandtents.com</t>
  </si>
  <si>
    <t>All Other Consumer Goods Rental</t>
  </si>
  <si>
    <t>AdamsMorgan Group</t>
  </si>
  <si>
    <t>="We provide administrative, management, training and support services to federal, state and local entities. Our special projects division manages diverse projects such as supplying laboratory chemicals, janitorial supplies and building supplies and materials. We also manage asphalt, seal coating,stripping and gravel projects."</t>
  </si>
  <si>
    <t>http://www.adamsmorgangrp.com</t>
  </si>
  <si>
    <t>mailto:skbelle@adamsmorgangrp.com</t>
  </si>
  <si>
    <t>Adamson Insurance Corp</t>
  </si>
  <si>
    <t>="It's our goal to help you protect what's important to you - your autos, home and most importantly, the people you love. At the Adamson Insurance Agency, you will always be treated with respect and you will always receive the personalized customer attention you deserve. We realize that you have many options when it comes to insurance and that you can purchase ""insurance products"" virtually anywhere. At the Adamson Insurance Agency, you'll not only get great insurance coverage - you'll get professional advice from our knowledgeable agents, complete coverage options so you can make an informed business decision and service that is second to none. Whether you are looking for coverage for your Automobiles, Home, Recreational Vehicles, Business, Life Insurance, Saving for College, or Retirement - you deserve the advice and service provided by a licensed professional. Contact us for all of your insurance needs at 317-271-4300!"</t>
  </si>
  <si>
    <t>http://agent.allstate.com/jasper/Welcome</t>
  </si>
  <si>
    <t>mailto:jasper@allstate.com</t>
  </si>
  <si>
    <t>Adaptive Systems</t>
  </si>
  <si>
    <t>http://www.adaptivesys.com</t>
  </si>
  <si>
    <t>mailto:sales@adaptivesys.com</t>
  </si>
  <si>
    <t>Addressing Machines and Supply Co. Inc.</t>
  </si>
  <si>
    <t>="general office equipment, plastic card embossers, metal plate embossers, paper shredders, identification plates, paper cutters, paper folding machines. Sales and service for Fellowes, Martin Yale, Olympia, Duplo, MBM, CIM, Intimus. Our business is located in the Indianapolis area"</t>
  </si>
  <si>
    <t>http://www.addressingmachines.com</t>
  </si>
  <si>
    <t>mailto:styrie@iei.net</t>
  </si>
  <si>
    <t>Admin Assist</t>
  </si>
  <si>
    <t>http://www.AdminAssistStaffing.com</t>
  </si>
  <si>
    <t>mailto:lgranger@adminassiststaffing.com</t>
  </si>
  <si>
    <t>AdminaStar Federal</t>
  </si>
  <si>
    <t>="AdminaStar Federal is a prime contractor for the Department of Health &amp; Human Services and other agencies for services related to Medicare for the past 30 years. With extensive experience is call center operations, claims processing, Part A, Part B, and Durable Medical Equipment operations. Provides technical support services."</t>
  </si>
  <si>
    <t>http://www.adminastar.com</t>
  </si>
  <si>
    <t>Administrative Service Associates</t>
  </si>
  <si>
    <t>="Administrative Services Associates provides administrative services for local companies. It provides the creation of product catalogs, typing contractor bids, designing and printing business cards, invitations, fliers, tickets, as well as other office duties."</t>
  </si>
  <si>
    <t>mailto:teresa_berryhill@live.com</t>
  </si>
  <si>
    <t>Admiral Medical Supply</t>
  </si>
  <si>
    <t>mailto:AdmiralMedicalSupply@Hotmail.com</t>
  </si>
  <si>
    <t>Medical, Dental, and Hospital Equipment and Supplies Merchant Wholesalers</t>
  </si>
  <si>
    <t>Adoption and Family Services, LLC</t>
  </si>
  <si>
    <t>http://adoptionandfamilyservices.com</t>
  </si>
  <si>
    <t>mailto:judy.bannister@outlook.com</t>
  </si>
  <si>
    <t>Advance Construction Services, Inc.</t>
  </si>
  <si>
    <t>="At Advance Construction Services is a General Contracting firm that is specifically focused on furthering the interests of the project owner at all times throughout the construction process. ACS has developed construction methods that confidently enables us to deliver a comprehensive, custom tailored approach to Contracting. ACS maintains a highly trained executive and construction staff in addition to highly qualified teaming and joint venture partners with a wide range of core disciplines including engineering and construction technology. This depth of diversity equips ACS with the necessary tools for achieving the positive results that every project deserves. ACS provides Construction Management Services representing the Owner in the most Efficient and Effective manner. As the Owner's representative, we provide an array of services to include but not limited to; reviewing the program needs with the owner and design team, provide schematic plan evaluation for the construction feas"</t>
  </si>
  <si>
    <t>http://www.advancecs.com</t>
  </si>
  <si>
    <t>mailto:info@advancecs.com</t>
  </si>
  <si>
    <t>Heavy Construction</t>
  </si>
  <si>
    <t>Advance Construction Services, LLC</t>
  </si>
  <si>
    <t>="Advance Construction Services (ACS) is a privately held minority-owned and controlled company providing our clients with General Contracting and Construction Management services. Our philosophy is to provide quality services, on a timely basis, and always within a defined budget. The ACS specializes in government, health care, religious, Institutional, retail, warehouse, corporate office and manufacturing faclity construction. ACS utilizes the latest computerized construction management systems featuring estimating, project cost controls, critical path scheduling, risk analysis, and overall project management. Our senior management team is highly technical and distinguishes the company as a provider of creative and cost effective construction solutions. Please take a few moments to review our website and learn more about the services we provide."</t>
  </si>
  <si>
    <t>mailto:contactus@advancecs.com</t>
  </si>
  <si>
    <t>Industrial Building Construction</t>
  </si>
  <si>
    <t>Advance Material Handling</t>
  </si>
  <si>
    <t>="Material Handling Equipment, Sales and Install , Shelving, Pallet Racking, Conveyor, In-Plant Offices, Gondla, Cabinets, Carts, Lift Equipment, Dock Equipment, Wire Fenching, Wire Carts, Wire Shelving, Tool Cribing, Modular Drawers, Office Equipment, Casters"</t>
  </si>
  <si>
    <t>http://www.amh4.com</t>
  </si>
  <si>
    <t>mailto:info@amh4.com</t>
  </si>
  <si>
    <t>Advance Printer Repair</t>
  </si>
  <si>
    <t>="Advance Printer Repair service HP and Lexmark Printers and faxes, sell Laser Compatabile cartridges and also carry most copier toner supplies. Provide Maintenance Service plans for printer that save you time and money by keeping your equipment in peak condition."</t>
  </si>
  <si>
    <t>http://www.advanceprinterrepair.com</t>
  </si>
  <si>
    <t>mailto:mail@advanceprinterrepair.com</t>
  </si>
  <si>
    <t>Other Electronic and Precision Equipment Repair and Maintenance</t>
  </si>
  <si>
    <t>Advance Protective Coatings Inc</t>
  </si>
  <si>
    <t>="From Truck Bed liners to all your outfitting needs including bed-covers, hitches, step bars to spray-on bed-liners, undercoating and rust proofing. LineX of Indy as great customer service for all your regular and commercial/industrial needs. Whether your needs are for a farm truck, construction truck or even a trailer we can assist you. For years we have helped customers extend their truck, jeep and motorcycle life span using our preventive coatings or upgrading parts. LineX is not just a spray on bed-liner for us, its a way to extend the life and look of your vehicle. LineX is offered in 16 different formulas from standard to chemical resist and even industrial usage. LineX is also offered in several colors and can be color matched for a variety for design. Check out our website www.LineX-Indy.com or facebook page LineX of Indy (truck store or industrial) to see how we go can help you, or come see our showroom at 8448 Moller Rd, Indianapolis, IN"</t>
  </si>
  <si>
    <t>http://www.linex-indy.com/</t>
  </si>
  <si>
    <t>mailto:LineXofIndy@hotmail.com</t>
  </si>
  <si>
    <t>Automotive Body, Paint and Interior Repair and Maintenance</t>
  </si>
  <si>
    <t>Advance Tactics Security, Inc.</t>
  </si>
  <si>
    <t>http://www.advancetacticssecurityinc.com</t>
  </si>
  <si>
    <t>mailto:paulwoods@advancetacticsssecurityinc.com</t>
  </si>
  <si>
    <t>Advance Termite and Pest Management Inc</t>
  </si>
  <si>
    <t>http://www.advance-termite.com</t>
  </si>
  <si>
    <t>mailto:corks@advance-termite.com</t>
  </si>
  <si>
    <t>Pesticide and Other Agricultural Chemical Manufacturing</t>
  </si>
  <si>
    <t>Advanced Alchemy Concepts LLC</t>
  </si>
  <si>
    <t>="Advanced Alchemy Concepts, LLC (AAC) provides onsite or consultant-style services in Quality Management, Project Management, and Energy Security to military and industrial clients. Our knowledge of corporate business functions, energy, and program management activities are extensive. Those skills complement our dedication to customer satisfaction. We differentiate ourselves by adhering to a single MISSION: Satisfying the customers identified requirements"</t>
  </si>
  <si>
    <t>mailto:migharris@comcast.net</t>
  </si>
  <si>
    <t>Advanced Appraisals, LLC</t>
  </si>
  <si>
    <t>mailto:rick@advancedappraisalsllc.com</t>
  </si>
  <si>
    <t>Advanced Auto Care, Inc.</t>
  </si>
  <si>
    <t>Advanced Boiler Control Services, Inc.</t>
  </si>
  <si>
    <t>http://www.advblr.com</t>
  </si>
  <si>
    <t>mailto:rburrink@advblr.com</t>
  </si>
  <si>
    <t>Advanced Coating Specialties, LLC</t>
  </si>
  <si>
    <t>http://ACS-sprayrubber.com</t>
  </si>
  <si>
    <t>mailto:ACSsprayrubber@yahoo.com</t>
  </si>
  <si>
    <t>Advanced Collection Services, Inc</t>
  </si>
  <si>
    <t>http://www.visitacs.com</t>
  </si>
  <si>
    <t>mailto:jmyers@visitacs.com</t>
  </si>
  <si>
    <t>Other Information Services</t>
  </si>
  <si>
    <t>Advanced Concepts, Inc</t>
  </si>
  <si>
    <t>="Audio Production/Promotional Products We are and advertising Agency and certified Hub Zone business located in Bedford Indiana. We specialize in high quality audio production including but not limited to commercial jingles, voice over talent, commercial audio production, music beds, and the like. Also specialize in screen printed , laser engraved and embroidered advertising products such as apparel, writing instruments, drinkware, awards, stationary , novelties and souvinirs."</t>
  </si>
  <si>
    <t>http://kbbestbuys.com</t>
  </si>
  <si>
    <t>mailto:teriturpen@yahoo.com</t>
  </si>
  <si>
    <t>Advanced Concepts, Inc.</t>
  </si>
  <si>
    <t>="Welcome to Advanced Concepts, inc. We specialize in advertising products for any budget and any event. For 11 years we have strived to provide our loyal clients with top notch service and on time delivery of quality products done right the first time. We will find the perfect items for your conferences, golf outings, trade show giveaways and general branding opportunities."</t>
  </si>
  <si>
    <t>mailto:teriturpen@insightbb.com</t>
  </si>
  <si>
    <t>Advanced Engineering Services (AES)</t>
  </si>
  <si>
    <t>mailto:adveng2010@gmail.com</t>
  </si>
  <si>
    <t>Advanced Environmental Pest Solutions</t>
  </si>
  <si>
    <t>http://Www.aepsindy.com</t>
  </si>
  <si>
    <t>mailto:Aepsindy@gmail.com</t>
  </si>
  <si>
    <t>Advanced Fitness Solutions</t>
  </si>
  <si>
    <t>http://advancedfitsolutions.com</t>
  </si>
  <si>
    <t>mailto:shane@advancedfitsolutions.com</t>
  </si>
  <si>
    <t>Fitness and Recreational Sports Centers</t>
  </si>
  <si>
    <t>Advanced Interventional Pain Center</t>
  </si>
  <si>
    <t>="Advanced Interventional Pain Center is the nation's leading pain center in non-narcotic pain treatments. AIPC has provided the best pain care 5 years in a row with greater than 90% success rates. Our center treats every type of pain with a little as 2-3 treatments, and also offers Laser Treatments for pain relief. Most major insurances accepted. Worker's Compensation Injuries are also welcome."</t>
  </si>
  <si>
    <t>http://www.inter-pain.com</t>
  </si>
  <si>
    <t>mailto:info-info@inter-pain.com</t>
  </si>
  <si>
    <t>Advanced Media Integration</t>
  </si>
  <si>
    <t>="For more than two decades, Advanced Media Integration has provided clients with professional DVD &amp; CD Duplication and Replication production. As a leader in CD and DVD manufacturing, Advanced Media Integration specializes in CD replication and DVD replication along with short-run duplication projects. We offer industry leading turnaround times as well as comprehensive print and packaging solutions for all of your production needs."</t>
  </si>
  <si>
    <t>http://www.ahlmedia.com</t>
  </si>
  <si>
    <t>mailto:info@ahlmedia.com</t>
  </si>
  <si>
    <t>Advanced Medical Reviews</t>
  </si>
  <si>
    <t>="As an integrated medical review company, we have developed a streamlined, technological workflow that exceeds the expectations of our clients. We provide quality review services such as: medical necessity; experimental/investigational; standard of care; UR; length of stay; DME review; plan interpretation; rescission review; coding; pharm reviews; PPACA; disability; workers comp; injury/illness and much more. AMR has a proprietary web system in its 4th generation of modification, continually updated to ensure the most secure, user-friendly and speediest components. Data mining capabilities allow users to customize reports and do extensive searches on all reviews. We are qualified to review cases in all 50 states with clients in each. URAC accredited organization; we follow all HIPAA standards. Compliance team ensures that workflows, systems, staff and procedures are in accordance with HIPAA. AMR has over 1,800 experienced, board-certified physicians and professionals in our network."</t>
  </si>
  <si>
    <t>http://www.admere.com</t>
  </si>
  <si>
    <t>All Other Insurance Related Activities</t>
  </si>
  <si>
    <t>Advanced Medical Services, Inc.</t>
  </si>
  <si>
    <t>http://www.advancedmedicalservicesinc.co</t>
  </si>
  <si>
    <t>mailto:dsmithadvmed@aol.com</t>
  </si>
  <si>
    <t>Advanced Networking Group, LLC.</t>
  </si>
  <si>
    <t>="Advanced Networking Group, LLC. provides a variety of consulting, development, and security services to improve and secure the use of technology meeting the goals of business, government and non-profit entities. We offer web and application development, local and wide-area networks, data communications, and remote connectivity. Consulting services include: e-Commerce planning, network and application design, custom programming, implementation, training and systems management in various business environments. Our experienced staff works closely with you to produce customized computer solutions without losing your investment in software and hardware. Our service opportunities range from long-term client-site management to short-term problem resolution. Development services include: Custom database driven application built on web based technology and Web design and Graphic Design. Security Services include : Network Security Audits, Penetration testing, Firewall Rule optimization, Intr"</t>
  </si>
  <si>
    <t>http://www.advnetgroup.net</t>
  </si>
  <si>
    <t>mailto:ang@advnetgroup.net</t>
  </si>
  <si>
    <t>Advanced Nitriding Solutions LLC</t>
  </si>
  <si>
    <t>="Advanced Nitriding Solutions is a commercial ion plasma nitriding company with a new state-of-the-art facility, including a fully equipped metallurgical labaoratory and unique ion plasma nitriding systems with microprocessor controls and computer integration."</t>
  </si>
  <si>
    <t>http://www.ans-ion.net</t>
  </si>
  <si>
    <t>mailto:info@ans-ion.net</t>
  </si>
  <si>
    <t>Metal Heat Treating</t>
  </si>
  <si>
    <t>Advanced Pest Control</t>
  </si>
  <si>
    <t>mailto:kmeservy@sbcglobal.net</t>
  </si>
  <si>
    <t>Advanced Restoration Contractors, Inc.</t>
  </si>
  <si>
    <t>mailto:office@advancedrestco.com</t>
  </si>
  <si>
    <t>Advanced Software Te</t>
  </si>
  <si>
    <t>="Industrial and portable barcode and handheld systems to take inventory, &amp; collect data using batch, RF (wireless) or RFID tecnology. Consulting services, customized software systems, repairs. We sell all types &amp; brands of barcode and handheld devices-PDA's, scanners, printers, labels, and parts. Healthcare, manufacturing, automotive, and emergency response, law enforcement markets."</t>
  </si>
  <si>
    <t>http://www.astconsulting.com</t>
  </si>
  <si>
    <t>mailto:diane@astconsulting.com</t>
  </si>
  <si>
    <t>Advanced Surface Microscopy, Inc.</t>
  </si>
  <si>
    <t>="Analytical service lab specializing in SPM, AFM, MFM and related techniques. Supplier of nm-scale calibration standards, AFM probes, and DiscTrack Plus high-precision measurement software. Buys, refurbishes and sells NanoScope AFMs (Atomic Force Microscopes)."</t>
  </si>
  <si>
    <t>http://www.asmicro.com</t>
  </si>
  <si>
    <t>mailto:info@asmicro.com</t>
  </si>
  <si>
    <t>Advanced Survey Solutions LLC</t>
  </si>
  <si>
    <t>mailto:mg053@aol.com</t>
  </si>
  <si>
    <t>Other Professional Equipment and Supplies Merchant Wholesalers</t>
  </si>
  <si>
    <t>Advanced Systems</t>
  </si>
  <si>
    <t>="As performance improvement business consultants, we work with organizations and individuals to achieve measurable performance improvement in the key areas of financials, leadership or management, customers, growth &amp; innovation. With a demonstrated track record of positive return on investment ranging from 400% to 1,000%, we have and can work with variety of industries from professional services, government to manufacturing. Beginning with strategic planning along with people processes of leadership, management, quality, supervision, sales, customer service, time management and goal setting, we bridge the performance gaps. Services also include communication, diversity, motivation and team building."</t>
  </si>
  <si>
    <t>http://www.processspecialist.com</t>
  </si>
  <si>
    <t>mailto:leanne@processspecialist.com</t>
  </si>
  <si>
    <t>Advanced Tactical Ordnance Systems, LLC</t>
  </si>
  <si>
    <t>http://www.pepperball.com</t>
  </si>
  <si>
    <t>mailto:sales@pepperball.com</t>
  </si>
  <si>
    <t>Ammunition (except Small Arms) Manufacturing</t>
  </si>
  <si>
    <t>Advanced Technology Consultant LLC</t>
  </si>
  <si>
    <t>="ATC Energy is a Smart Grid technology management firm. Our focus is on assisting utilities and advanced technology suppliers with the process of selecting, implementing, managing and maintaining successful AMI and AMR networks and operations with the most efficient and effective results."</t>
  </si>
  <si>
    <t>http://www.atc-energy.com</t>
  </si>
  <si>
    <t>mailto:www.info@atc-energy.com</t>
  </si>
  <si>
    <t>Advanced Turf Solutions</t>
  </si>
  <si>
    <t>http://www.advancedturf.net</t>
  </si>
  <si>
    <t>mailto:ddunham@advancedturf.net</t>
  </si>
  <si>
    <t>Advanced Vacuum Services Inc.</t>
  </si>
  <si>
    <t>="Advanced Vacuum Services Inc. provides industrial cleaning services to the Midwestern region of the US. We jet lines, drains,exhaust fans, stacks and provide industrial vacuum trucks for removal of wet and dry waste. We have a tanker to transport liquid waste and also offer a rolloff service. Our personnel are trained for confined space entry, hazwoper, and 24 hour emergency response for spill cleanup."</t>
  </si>
  <si>
    <t>http://advancedvacuum.com</t>
  </si>
  <si>
    <t>mailto:draver@advancedvacuum.com</t>
  </si>
  <si>
    <t>All Other Miscellaneous Waste Management Services</t>
  </si>
  <si>
    <t>Advanced Vascular Access, LLC.</t>
  </si>
  <si>
    <t>http://www.advancedvascularaccess.com</t>
  </si>
  <si>
    <t>mailto:rchilton@advancedvascularaccess.com</t>
  </si>
  <si>
    <t>Other Ambulatory Health Care Services</t>
  </si>
  <si>
    <t>Advanced Window Cleaning Inc.,</t>
  </si>
  <si>
    <t>="Advanced Window Cleaning Inc., has been in business for almost 30 years and our services include window cleaning, gutter cleaning, power washing, ceiling fans and light fixtures. We offer free estimates to residential and commercial locations in Fort Wayne, IN. and the surrounding areas."</t>
  </si>
  <si>
    <t>http://www.advancedwindowcleaning.com</t>
  </si>
  <si>
    <t>mailto:jigger4@verizon.net</t>
  </si>
  <si>
    <t>Other Personal and Household Goods Repair and Maintenance</t>
  </si>
  <si>
    <t>Advantage Advertising</t>
  </si>
  <si>
    <t>mailto:advantageadvertising8@msn.com</t>
  </si>
  <si>
    <t>Advantage Aerial Photography Inc.</t>
  </si>
  <si>
    <t>http://www.advantageaerial.com</t>
  </si>
  <si>
    <t>mailto:todd@advantageaerial.com</t>
  </si>
  <si>
    <t>Commercial Photography</t>
  </si>
  <si>
    <t>Advantage Business Systems</t>
  </si>
  <si>
    <t>mailto:sales@advantageindy.com</t>
  </si>
  <si>
    <t>Advantage Direct365</t>
  </si>
  <si>
    <t>="Advantage Direct365 is a database marketing company. We can execute direct mail, email, social media, and other campaigns. We have built our own multi-channel marketing system that allows customers to track responses from all forms of marketing to see what is working and to see what is not."</t>
  </si>
  <si>
    <t>http://advantagedirect365.com</t>
  </si>
  <si>
    <t>mailto:cs@advantagedocument.com</t>
  </si>
  <si>
    <t>Advantage Enterprises, Inc</t>
  </si>
  <si>
    <t>Appliance, Television and Other Electronics Stores</t>
  </si>
  <si>
    <t>Advantage Ford L-M</t>
  </si>
  <si>
    <t>http://www.advantagefordsales.com</t>
  </si>
  <si>
    <t>Motor Vehicle and Parts Dealers</t>
  </si>
  <si>
    <t>Advantage Marketing</t>
  </si>
  <si>
    <t>="Advantage is family owned company with over 20 years in the carpet cleaning &amp; disaster restoration industries. We represent the most innovative and leading edge product lines in the industry. Our trained service technicians repair most cleaning &amp; pressure washing equipment. Our motto is ""You Cannot Outperform Your Knowledge"" that is why we are actively involved in industry education. This keeps us knowledgeable on the most up-to-date techniques for carpet cleaning, pressure washing, water, fire, and smoke damage, as well as odor control/elimination."</t>
  </si>
  <si>
    <t>http://www.advantagerestoration.com</t>
  </si>
  <si>
    <t>mailto:info@advantagerestoration.com</t>
  </si>
  <si>
    <t>Merchant Wholesalers, Durable Goods</t>
  </si>
  <si>
    <t>Advantage Medical</t>
  </si>
  <si>
    <t>http://www.advantagemedical.com</t>
  </si>
  <si>
    <t>mailto:skuhn@advantagemedical.com</t>
  </si>
  <si>
    <t>Machinery, Equipment, and Supplies Merchant Wholesalers</t>
  </si>
  <si>
    <t>Advantage Real Estate Sales &amp; Dev. Inc</t>
  </si>
  <si>
    <t>="I own a real estate and development company known as Advantage Real Estate Development Inc. I am most interested in the development of compressed natural gas pumping stations for trucking fleets in the state of Indiana. I feel that I can help make a difference in the energy consumption, converting to clean energy."</t>
  </si>
  <si>
    <t>mailto:brendamyers81@yahoo.com</t>
  </si>
  <si>
    <t>Advantage Staffing</t>
  </si>
  <si>
    <t>mailto:staffad@psci.net</t>
  </si>
  <si>
    <t>Advent Global Solutions,Inc</t>
  </si>
  <si>
    <t>="Advent Global Solutions,Inc is an NMSDC Certified Minority Business Enterprise offering end-to-end staffing services to many Fortune 500 clients and with over $100 Million in annual revenues and over 1500 professional’s located across North America. With our commitment in customer satisfaction, we have been successfully working as a Tier 1 National/Global vendor to many Fortune 500 companies in the United States."</t>
  </si>
  <si>
    <t>Advertising Concepts</t>
  </si>
  <si>
    <t>="At AC Incorporated, our work is the realization of a solid agency/client partnership where we combine marketing and branding expertise with proven strategic and technological methodologies to help reach and exceed your business goals. AC Incorporated features a carefully assembled, experienced, and on-site team of account executives, project coordinators, branding experts, marketing specialists, graphic designers, copywriters, and media personnel to develop marketing that motivates to get results. As a full-service advertising and internet marketing agency, AC Incorporated creates strategic partnerships with our clients, ranging from small to large corporations, associations, and organizations in an array of industries and marketplaces. Our experience, combined with extensive capabilities in both traditional and electronic strategies and tactics, enables us to create the optimum marketing solution for your business needs."</t>
  </si>
  <si>
    <t>http://www.acincorporated.com</t>
  </si>
  <si>
    <t>mailto:rdykes@acincorporated.com</t>
  </si>
  <si>
    <t>Advertising Ideas Unlimited, Inc.</t>
  </si>
  <si>
    <t>="We help companies to promote themselves through the use of promotional products, business gifts, awards and incentive programs. We take the time to listen to our client's needs and then come up with IDEAS based on thier requirements. We have over 3000 suppliers available to us. We pick the best supplier(s) and product(s) to achieve their goals. We have over 18 years of experience and a diverse client base that allows us to be creative in developing winning promotions. The relationships that we have developed with our suppliers allows us to meet critical event dates."</t>
  </si>
  <si>
    <t>http://www.advertising-ideas.com</t>
  </si>
  <si>
    <t>mailto:mgeorg@advertising-ideas.com</t>
  </si>
  <si>
    <t>Advertising Specialties Plus</t>
  </si>
  <si>
    <t>="Advertising Specialties Plus(ASP) provides all promotional products for your advertising needs. ASP specializes in providing the needs of the business, individual and small companies. ASP provides imprinted clothing, wearables, pencils, pens, coffee mugs, tradeshow giveaways, business cards, and more. Catalogs can be provided upon request."</t>
  </si>
  <si>
    <t>mailto:coxmaryml@aol.com</t>
  </si>
  <si>
    <t>AdvizeX</t>
  </si>
  <si>
    <t>http://www.advizex.com</t>
  </si>
  <si>
    <t>mailto:info@advizex.com</t>
  </si>
  <si>
    <t>Advocare, LLC</t>
  </si>
  <si>
    <t>http://uAdvoCare.com</t>
  </si>
  <si>
    <t>Aegis BioRecovery, LLC</t>
  </si>
  <si>
    <t>http://www.aegisbiorecovery.com</t>
  </si>
  <si>
    <t>mailto:sheila@aegisbiorecovery.com</t>
  </si>
  <si>
    <t>Aegis Environmental,Inc.</t>
  </si>
  <si>
    <t>="Environmental Services including Phase 1 ESA, Phase II Site Investigations, Remediation Services, Risk Assessments, Indoor Air Quality, Hazardous Waste Compliance, UST Closures, Energy Audit, Lead Assessment, Asbestos, Methanphetamine assessment and remediation."</t>
  </si>
  <si>
    <t>http://aegisenvironmentalinc.com</t>
  </si>
  <si>
    <t>mailto:Bbultman@aegisenvironmentalinc.com</t>
  </si>
  <si>
    <t>Afamlegy-ITCC, Inc.</t>
  </si>
  <si>
    <t>mailto:afamlegy@yahoo.com</t>
  </si>
  <si>
    <t>Affiliated Steam</t>
  </si>
  <si>
    <t>http://www.affiliatedsteam.com</t>
  </si>
  <si>
    <t>mailto:ganderson@affiliatedsteam.com</t>
  </si>
  <si>
    <t>Industrial Supplies Wholesalers</t>
  </si>
  <si>
    <t>Affiniti</t>
  </si>
  <si>
    <t>mailto:paulaelmore@comcast.net</t>
  </si>
  <si>
    <t>Affinity Graphcis &amp; Tees</t>
  </si>
  <si>
    <t>mailto:MIKE.RIPPETOE@ITSPERSONAL-ONLINE.COM</t>
  </si>
  <si>
    <t>Commercial Screen Printing</t>
  </si>
  <si>
    <t>Affordable Building Supplies, LLC</t>
  </si>
  <si>
    <t>="Full service industrial and commercial supply company. Supplies include concrete accesories, lumber, tools, all MRO items (maintenance repair operations), steel rebar, safety equipment, janitorial and paper products, filters, light bulbs, pumps, electrical wiring, various special order items"</t>
  </si>
  <si>
    <t>http://affordablebuildingsupplies.com</t>
  </si>
  <si>
    <t>mailto:affordablebuilding@sbcglobal.net</t>
  </si>
  <si>
    <t>Affordable Garage Door Inc.</t>
  </si>
  <si>
    <t>http://affordabledoorinc.com</t>
  </si>
  <si>
    <t>mailto:affordoor@aol.com</t>
  </si>
  <si>
    <t>Affordable Home Care LLC</t>
  </si>
  <si>
    <t>="Affordable Home Care is an In-home care service. Our mission is to assist our elderly and disabled individuals of all ages in leading independent, meaningful lives in their own private homes and communities for as long as possible. We work with each of our clients’ individually to ensure their care plan is right for them, thereby avoiding premature or inappropriate nursing facility placement. We are dedicated to helping our clients lead dignified, independent lifestyles in the comfort and safety of their own homes by carefully assessing and fully understanding their needs and selectively placing trained personnel to meet these needs."</t>
  </si>
  <si>
    <t>http://www.IN-ahc.com</t>
  </si>
  <si>
    <t>mailto:infor@in-ahc.com</t>
  </si>
  <si>
    <t>Affordable Lawn Service</t>
  </si>
  <si>
    <t>mailto:chad_brittanysman@yahoo.com</t>
  </si>
  <si>
    <t>Affordable Painting, LLC</t>
  </si>
  <si>
    <t>mailto:affordablepaintingllc@hotmail.com</t>
  </si>
  <si>
    <t>Affordable Sprinklers LLC.</t>
  </si>
  <si>
    <t>http://www.affordablesprinklersllc.com</t>
  </si>
  <si>
    <t>mailto:chripete@ameritech.net</t>
  </si>
  <si>
    <t>After Action Medical and Dental Supply</t>
  </si>
  <si>
    <t>http://www.afteractionmedical.com</t>
  </si>
  <si>
    <t>mailto:sales@afteractionmedical.com</t>
  </si>
  <si>
    <t>AfterMarket Services</t>
  </si>
  <si>
    <t>="AfterMarket Services is a nationwide company dedicated to serving all of your computer, printer and network needs . We service Laser, Ink Jet and dot matrix Printers, and all desktop and laptop computers. We have a team of specialists to service your equipment quickly and expertly with superior results. AMS Designs specializes in creating your unique vision for your presence on the web. When you need a design team with the talent to make your vision a reality, with the time to give you the one-on-one attention you need. Whether you need advanced functionality, content uploads, Flash® graphics or multimedia, we take pride in making your ideas come to life – for much less than you'd expect. Here is a list of services we do: Specialize in IBM/AS400 server - hardware Specialize in IBM 4317 network printer Servicing of all laser and ink jet printers Computer upgrades Installation of computer hardware &amp; software Wireless network installations Wireless network proble"</t>
  </si>
  <si>
    <t>http://www.aftermarketservices.net</t>
  </si>
  <si>
    <t>mailto:ams@aftermarketservices.net</t>
  </si>
  <si>
    <t>Computer and Office Machine Repair and Maintenance</t>
  </si>
  <si>
    <t>Ag Plus, Inc.</t>
  </si>
  <si>
    <t>http://Agplusinc.com</t>
  </si>
  <si>
    <t>mailto:mmang@agplusinc.com</t>
  </si>
  <si>
    <t>Farm Supplies Merchant Wholesalers</t>
  </si>
  <si>
    <t>AgVenture D &amp; M, Inc</t>
  </si>
  <si>
    <t>http://www.agventuredm.com</t>
  </si>
  <si>
    <t>mailto:carolavmd@earthlink.net</t>
  </si>
  <si>
    <t>Postharvest Crop Activities (except Cotton Ginning)</t>
  </si>
  <si>
    <t>Agape Painting</t>
  </si>
  <si>
    <t>http://www.agapepaint.com</t>
  </si>
  <si>
    <t>mailto:agapepaint@comcast.net</t>
  </si>
  <si>
    <t>Agee Concrete &amp; Construction, Inc.</t>
  </si>
  <si>
    <t>="Agee Concrete and Construction, Inc. is minority owned and operated by Cleveland Agee, Jr., a licensed General Contractor in the City of Gary, Indiana at 921 Aetna Street. Established in 1979, Agee Concrete and Construction, Inc. specialize in concrete work including: curbs, driveways, sidewalks, paved side ditches, light concrete paving, highway and various flatworks. We are an equal opportunity employer and currently employ experienced cement finishers, laborers, and a field superintendent. Agee Concrete and Construction, Inc. prides itself in job excellence. We are professional and work to maintain our established reputation reflecting high quality workmanship in Northwest Indiana."</t>
  </si>
  <si>
    <t>mailto:jr4520@sbcglobal.net</t>
  </si>
  <si>
    <t>Aggregate Industries, Inc.</t>
  </si>
  <si>
    <t>http://www.aggregate.com</t>
  </si>
  <si>
    <t>Aggress Revenue Management Solutions</t>
  </si>
  <si>
    <t>mailto:roydgabriel@comcast.net</t>
  </si>
  <si>
    <t>AgileAssets Inc.</t>
  </si>
  <si>
    <t>http://www.agileassets.com</t>
  </si>
  <si>
    <t>mailto:sales@agileassets.com</t>
  </si>
  <si>
    <t>Agility Architects, LLC</t>
  </si>
  <si>
    <t>="Agility Architects transforms companies through facilitation, training, coaching &amp; development of its people to become more agile and strategic to better compete in a rapidly changing, competitive global marketplace. We also work with state, local, and community organizations interested in providing training and education to their community to improve their 'soft' skills to improve employability, and attract jobs to Indiana."</t>
  </si>
  <si>
    <t>mailto:agilityarchitects@indy.rr.com</t>
  </si>
  <si>
    <t>Aging With Grace, Inc</t>
  </si>
  <si>
    <t>mailto:nichefinancial@yahoo.com</t>
  </si>
  <si>
    <t>Aim Right Inc</t>
  </si>
  <si>
    <t>http://www.aimrightinc.com</t>
  </si>
  <si>
    <t>Air Cleaning Experts, Inc.</t>
  </si>
  <si>
    <t>http://www.aircleaningexperts.com</t>
  </si>
  <si>
    <t>mailto:aircleaners@sbcglobal.net</t>
  </si>
  <si>
    <t>Air Cleaning Specialists</t>
  </si>
  <si>
    <t>="Air Cleaning and Purifying: We are in the commercial and industrial air cleaning business. We handle a variety of applications such as tobacco smoke and dust in a commercial environment; to welding smoke, oil mist, body shop dust, wood shop dust in commercial and industrial settings. Filter Replacements: Filter replacements for a variety of dust collectors and air cleaners available (cartridge filters - bag filters - HEPA type filters - etc...) Vehicle Exhaust Removal: We also specialize in the removal of vehicle exhaust fume from fire stations or EMS stations. These specialized systems will move with the vehicle as it enters and exits the station. Hose reels and simple drop systems are also available for garages or anywhere vehicles are started inside an enclosed area. We can provide installation and service for all the systems that we sell. We can also provide equipment and parts for self installation as well."</t>
  </si>
  <si>
    <t>http://www.acscleanair.com</t>
  </si>
  <si>
    <t>mailto:jack@acscleanair.com</t>
  </si>
  <si>
    <t>Air Products and Chemicals, Inc.</t>
  </si>
  <si>
    <t>http://www.airproducts.com</t>
  </si>
  <si>
    <t>Industrial Gas Manufacturing</t>
  </si>
  <si>
    <t>Air-O2 Care Inc</t>
  </si>
  <si>
    <t>mailto:gregmonday@netzero.net</t>
  </si>
  <si>
    <t>Other Commercial and Industrial Machinery and Equipment Rental and Leasing</t>
  </si>
  <si>
    <t>AirVoyance, Inc.</t>
  </si>
  <si>
    <t>http://www.airvoyance.com</t>
  </si>
  <si>
    <t>mailto:steve.chaffee@airvoyance.com</t>
  </si>
  <si>
    <t>Other Telecommunications</t>
  </si>
  <si>
    <t>AirWorx Construction Equipment &amp; Supply</t>
  </si>
  <si>
    <t>http://www.airworxcorp.com</t>
  </si>
  <si>
    <t>mailto:abillhymer@airworxcorp.com</t>
  </si>
  <si>
    <t>Commercial and Industrial Machinery and Equipment Rental and Leasing</t>
  </si>
  <si>
    <t>Aircraft Specialists</t>
  </si>
  <si>
    <t>http://www.asicharter.com</t>
  </si>
  <si>
    <t>mailto:jones@asicharter.com</t>
  </si>
  <si>
    <t>Airport Operations</t>
  </si>
  <si>
    <t>Airport Inn Developers</t>
  </si>
  <si>
    <t>http://www.genhotels.com/</t>
  </si>
  <si>
    <t>mailto:cpia@genhotels.com</t>
  </si>
  <si>
    <t>Aisin Drivetrain, Inc.</t>
  </si>
  <si>
    <t>="A part of Aisin World Corp. (AWA), Aisin Drivetrain was established in Crothersville, IN in 1996. We manufacture drivetrain components for industrial markets, (transmissions, torque converters), brake components for automotive markets (tandem master cylinder with brake assist booster, disk brake caliper), and chassis components for automotive markets (tilt and telescopic steering columns)."</t>
  </si>
  <si>
    <t>http://www. Aisin.com</t>
  </si>
  <si>
    <t>Motor Vehicle Transmission and Power Train Parts Manufacturing</t>
  </si>
  <si>
    <t>Akins Hood and Duct LLC</t>
  </si>
  <si>
    <t>Al Heller Co.</t>
  </si>
  <si>
    <t>="Flags, flagpoles, banners, et al: sales, service, installation. Heller Co. will procure your custom designed flag or banner, and assist in its installation. Heller Co. provides services to residential, corporate, and governmental clients. No flagpole is too small or too large!"</t>
  </si>
  <si>
    <t>mailto:hellerflagco@yahoo.com</t>
  </si>
  <si>
    <t>Facilities Support Services</t>
  </si>
  <si>
    <t>Al Waninger Trucking</t>
  </si>
  <si>
    <t>Automotive Parts and Accessories Stores</t>
  </si>
  <si>
    <t>Al's Construction, Inc.</t>
  </si>
  <si>
    <t>="Al’s Construction, Inc. is a full service general contractor providing residential and commercial construction services. As a commercial contractor, we handle everything from renovation to new construction, specializing in restaurant and food service structures. On the residential side we specialize in custom construction and renovation. We can build anything from a custom kitchen to an entire house. In addition the company fabricates stainless steel for food service applications and does custom iron work such as spiral staircases and ornamental window coverings."</t>
  </si>
  <si>
    <t>http://alsconstruction.com</t>
  </si>
  <si>
    <t>mailto:al@alsconstruction.com</t>
  </si>
  <si>
    <t>Alan Stanley &amp; Associates, Inc</t>
  </si>
  <si>
    <t>="Alan Stanley &amp; Associates, Inc. has been providing surveying services in the State of Indiana for over 60 years. Types of surveys we provide are ALTA land title surveys, boundary surveys, surveyor location reports, route surveys, construction staking and topographical surveys."</t>
  </si>
  <si>
    <t>mailto:asa@cinergymetro.net</t>
  </si>
  <si>
    <t>Alberts Actuarial Consulting, LLC</t>
  </si>
  <si>
    <t>="Actuarial services include: Actuarial consulting services to life insurance companies. Actuarial elements of life insurance company audits and examinations. Financial forecasting and strategic risk analysis for small and medium-sized businesses. Actuarial analysis and comparison of life and health insurance plans for individuals, small and medium-sized businesses. Life insurance actuarial consulting to law firms, including: expert witness testimony, actuarial valuation services."</t>
  </si>
  <si>
    <t>mailto:mark@albertsactuary.com</t>
  </si>
  <si>
    <t>Albright Bowman Computing Professionals</t>
  </si>
  <si>
    <t>http://www.abcpro.net</t>
  </si>
  <si>
    <t>mailto:abcpro@abcpro.net</t>
  </si>
  <si>
    <t>Albright Contractors-The Bridge Doctors</t>
  </si>
  <si>
    <t>mailto:UAlbright@verizonmail.com</t>
  </si>
  <si>
    <t>Alcie Farmer</t>
  </si>
  <si>
    <t>mailto:specialforrcetools@insightbb.com</t>
  </si>
  <si>
    <t>Aldis Associates LLC</t>
  </si>
  <si>
    <t>http://www.aldisassociates.com</t>
  </si>
  <si>
    <t>mailto:jfahlsing@aldisassociates.com</t>
  </si>
  <si>
    <t>Employment Placement Agencies</t>
  </si>
  <si>
    <t>Alebro, LLC</t>
  </si>
  <si>
    <t>="Salt Services is an Indianapolis owned and operated water conditioning salt, bagged and bulk ice melt salt, premium bottled water and firewood distributing company. We are proud to serve businesses all over the Indiana with top quality salts, water and firewood. Our customers receive the best products available for the best value."</t>
  </si>
  <si>
    <t>http://www.salt-services.com</t>
  </si>
  <si>
    <t>mailto:info@salt-services.com</t>
  </si>
  <si>
    <t>Alert Canine Detection Agency LLC</t>
  </si>
  <si>
    <t>="Alert Canine Bed Bug Detection Agency is a canine bed bug inspection company which services apartments, hotels, residential, offices, and retail stores for the presence of bed bug infestation. Using a bed bug dog in conjunction with your pest management company provides quicker and more accurate result. Visual inspections are only 30-50% accurate while the dog has shown to be 98% accurate in detecting even the earliest stages of bed bug problems. Alert Canine Bed Bug Detection Agency services all of Indiana."</t>
  </si>
  <si>
    <t>mailto:alertbedbug@aol.com</t>
  </si>
  <si>
    <t>Alexander And Associates LLC.</t>
  </si>
  <si>
    <t>="Minority Property Management Firm includes residential and commercial management of properties while providing excellent construction rehab in all areas of the building trades industry. Alexander And Associates LLC. Focus is on true property investment that includes managing the maintenance while maximizing the property value. Through cost containment with preventative maintenance and pre-evaluation of the property's value prior to aquiring the property combined with a personal touch makes for a high percent of propable return with little or no risk."</t>
  </si>
  <si>
    <t>mailto:alexcougar@sbcglobal.net</t>
  </si>
  <si>
    <t>Air-Conditioning and Warm Air Heating Equipment and Commercial and Ind. Refrigeration Equip. Mfg.</t>
  </si>
  <si>
    <t>Alexander Chemical Corporation</t>
  </si>
  <si>
    <t>http://www.alexanderchemical.com</t>
  </si>
  <si>
    <t>mailto:info@alexanderchemical.com</t>
  </si>
  <si>
    <t>Other Chemical Product Manufacturing</t>
  </si>
  <si>
    <t>Alexander Electric Inc</t>
  </si>
  <si>
    <t>mailto:susan@alexanderelectric.net</t>
  </si>
  <si>
    <t>Alexander's Camper Sales</t>
  </si>
  <si>
    <t>="Retail sales of truck caps and accessories, hitches and hitch accessories, trailers and RV parts. Installation and repair for truck accessories, hitches, trailers and RV's. Retail sales of used RV's, trailers and trucks when available. Products include running boards, step bars, bed liners, bug shields, vent visors, clearance lights, frame hitches, fifth wheel hitches, gooseneck hitches, RV air conditioners, water heaters and furnaces."</t>
  </si>
  <si>
    <t>http://www.alexanderscampersales.com</t>
  </si>
  <si>
    <t>mailto:james@alexanderscampersales.com</t>
  </si>
  <si>
    <t>Recreational Vehicle Dealers</t>
  </si>
  <si>
    <t>Alexandria's Marketing Company, Inc</t>
  </si>
  <si>
    <t>http://alexandriasmarketing.com</t>
  </si>
  <si>
    <t>mailto:sandy@alexandriasmarketing.com</t>
  </si>
  <si>
    <t>Alexis B. Holt Design Group, LLC</t>
  </si>
  <si>
    <t>http://www.alexisbholtdesigngroupllc.com</t>
  </si>
  <si>
    <t>mailto:adrienne@alexisbholtdesigngroupllc.com</t>
  </si>
  <si>
    <t>Alfred Nickles Bakery Inc.</t>
  </si>
  <si>
    <t>http://NICKLESBAKERY.COM</t>
  </si>
  <si>
    <t>mailto:PBROUYETTE@NICKLESBAKERY.COM</t>
  </si>
  <si>
    <t>Commercial Bakeries</t>
  </si>
  <si>
    <t>Alicia Mckoy</t>
  </si>
  <si>
    <t>="AE Designs is a national full-service Interior Design and Event Planning firm. We are headquartered in Indianapolis, IN. However, we do work all around the United States. We are capable of handling any size project from start to finish. We would love the opportunity to discuss your next project! Designing | Decorating Let AE Designs handle your next big or small interior design project so you can relax and focus on life's more important tasks! We will design the layout &amp; create the drawings, work with the contractors, order the furniture, specify the decor, and much more. We have NCIDQ certified designers on staff to make job execution perform at a higher level. We can also be your coordinator in furniture selections and procurement. Contact us at: 317-201-2436, Ask for Alicia. Visit us at www.AliciaMckoy.com"</t>
  </si>
  <si>
    <t>http://www.AliciaMckoy.com</t>
  </si>
  <si>
    <t>mailto:Alicia@AliciaMckoy.com</t>
  </si>
  <si>
    <t>Alick's Home Medical Equipment, Inc.</t>
  </si>
  <si>
    <t>http://www.alicks.com</t>
  </si>
  <si>
    <t>mailto:info@alicks.com</t>
  </si>
  <si>
    <t>All Other Health and Personal Care Stores</t>
  </si>
  <si>
    <t>Alig And Associates,</t>
  </si>
  <si>
    <t>http://wwwaliginc.com</t>
  </si>
  <si>
    <t>mailto:cferson@aliginc.com</t>
  </si>
  <si>
    <t>Alisa y Holder</t>
  </si>
  <si>
    <t>mailto:me7times@yahoo.com</t>
  </si>
  <si>
    <t>All American Asphalt &amp; Land Development</t>
  </si>
  <si>
    <t>mailto:allamericanre@verizon.net</t>
  </si>
  <si>
    <t>All American Building Systems, LLC</t>
  </si>
  <si>
    <t>http://allamericanbuildings.com</t>
  </si>
  <si>
    <t>mailto:aahinfo@allamericanhomes.com</t>
  </si>
  <si>
    <t>All American Construction and Contractin</t>
  </si>
  <si>
    <t>mailto:allamericancci@yahoo.com</t>
  </si>
  <si>
    <t>All American Girl Contractors Corp.</t>
  </si>
  <si>
    <t>mailto:elle357@aol.com</t>
  </si>
  <si>
    <t>All American Welding Supply, Inc.</t>
  </si>
  <si>
    <t>http://www.all-amer.com</t>
  </si>
  <si>
    <t>mailto:allamer@kconline.com</t>
  </si>
  <si>
    <t>All Amps Electric Incorporated</t>
  </si>
  <si>
    <t>http://www.allampselectricinc.com</t>
  </si>
  <si>
    <t>mailto:allampselectric@gmail.com</t>
  </si>
  <si>
    <t>All Bug Control Services, LLC</t>
  </si>
  <si>
    <t>http://www.allbugcontrol.webstarts.com</t>
  </si>
  <si>
    <t>mailto:allbugcontrol@yahoo.com</t>
  </si>
  <si>
    <t>Building Inspection Services</t>
  </si>
  <si>
    <t>All CIty Supply, Inc.</t>
  </si>
  <si>
    <t>http://www.allcitysupply.com</t>
  </si>
  <si>
    <t>mailto:angela@allcitysupply.com</t>
  </si>
  <si>
    <t>All City Electric Inc</t>
  </si>
  <si>
    <t>="We at All City Electric, located here in Fort Wayne, Indiana service all of the Fort Wayne area. We are Electricians committed to excellence . All City Electric has reached out and helped many lower income families as well as higher income families throughout all of Fort Wayne. All City Electric specializes in custom homes, municipal renovations, new construction, remodels, landscape lighting, and in commercial remodels."</t>
  </si>
  <si>
    <t>mailto:joestewart3@hotmail.com</t>
  </si>
  <si>
    <t>All Doors</t>
  </si>
  <si>
    <t>mailto:jeffc@kiva.net</t>
  </si>
  <si>
    <t>All In All Jantorial</t>
  </si>
  <si>
    <t>mailto:awildernes1@yahoo.com</t>
  </si>
  <si>
    <t>mailto:www.awildernes1@aol.com</t>
  </si>
  <si>
    <t>All Pack Specialists, Inc.</t>
  </si>
  <si>
    <t>="The MUSE: provides:Custom logo wear: golf, woven, polo, denim shirts: jackets, hats, windshirts: t-shirts, sweatshirts: promotional/advertising products: pens &amp; pencils, mouse pads, cups, mugs, sport bags and bottles, picture frames, watches, clocks and more All Pack Specialists, Inc. provides: Custom poly &amp; paper bags, boxes, labels, bows &amp; ribbons and tissue paper: All Pack Specialists, Inc. also provides shipping supplies: stock boxes, stretch film, tape &amp; shipping supplies"</t>
  </si>
  <si>
    <t>http://www.apsandmuse.com</t>
  </si>
  <si>
    <t>mailto:suemuse@apsandmuse.com</t>
  </si>
  <si>
    <t>All Painting +, LLC</t>
  </si>
  <si>
    <t>http://www.allpaintingonline.com</t>
  </si>
  <si>
    <t>mailto:all.painting@insightbb.com</t>
  </si>
  <si>
    <t>All Phaze services</t>
  </si>
  <si>
    <t>mailto:minjeff19@gmail.com</t>
  </si>
  <si>
    <t>All Points Tree Service</t>
  </si>
  <si>
    <t>="All Points Tree Service is a family owned business that has been serving the Indianapolis area for 24 years. We specialize in tree, shrub and hedge trimming; tree and stump removal and chipper service. Diagnostics and treatment for tree and shrub healthcare. Delivery of seasoned firewood and snow removal. Our company is fully insured and provides free estimates. We are available for residential and commercial services. We have an A-1 rating on Angies List and substantial reoccurring loyal customer base."</t>
  </si>
  <si>
    <t>http://www.allpointstreeservice.com</t>
  </si>
  <si>
    <t>mailto:susanfoster09@yahoo.com</t>
  </si>
  <si>
    <t>All Pro Scrap, Inc.</t>
  </si>
  <si>
    <t>="All Pro Scrap, Inc. is a privately held scrap metal company established in 1999. We specialize in the management and consulting of scrap, trash, and environmental waste generated by industrial and manufacturing companies. We do not buy any retail scrap (from the general public). All Pro Scrap is currently servicing the Fort Wayne, LaPorte and Vincennes INDOT districts. We have six tractor/roll-off trucks, over 100 roll-off boxes and capabilities to self-perform this contract. For your convenience, we have two full service industrial locations: 2425 W. Western Avenue South Bend, IN 46619 1905 Lawton Avenue Indianapolis, IN 46203"</t>
  </si>
  <si>
    <t>http://www.allproscrap.com</t>
  </si>
  <si>
    <t>mailto:allproscrap@msn.com</t>
  </si>
  <si>
    <t>Nonferrous Metal (except Aluminum) Production and Processing</t>
  </si>
  <si>
    <t>All Safe Security, Inc.</t>
  </si>
  <si>
    <t>mailto:allsafesecurity@fuse.net</t>
  </si>
  <si>
    <t>All Star Environmental Service</t>
  </si>
  <si>
    <t>="All Star Environmental Service provides commercial and residental services to Indianapolis and Central Indiana. Our primary services include appliance and metals hauling as well as various types of hauling. Our #1 goal is to display exceptional customer service and professional. No job is too big or too small, All Star does it all!"</t>
  </si>
  <si>
    <t>Solid Waste Collection</t>
  </si>
  <si>
    <t>All Things Are Possible Inc</t>
  </si>
  <si>
    <t>="All Things Possible Inc. contractors is a construction business that is skilled in floors, windows, doors, drywall, framing, ashphalt, concrete, brick, stone, dirt, hauling, tree removal, snow removal, lawn care, painting, water proofing, roofing/siding, plumbing, and electrical services."</t>
  </si>
  <si>
    <t>mailto:atap@happen-in.org</t>
  </si>
  <si>
    <t>New Single-Family Housing Construction (except Operative Builders)</t>
  </si>
  <si>
    <t>All Things Considered Awards &amp; Gifts</t>
  </si>
  <si>
    <t>mailto:engravedgifts@earthlink.net</t>
  </si>
  <si>
    <t>All Things Holy LLC</t>
  </si>
  <si>
    <t>http://www.allthingsholy.net</t>
  </si>
  <si>
    <t>mailto:nina@allthingsholy.net</t>
  </si>
  <si>
    <t>All Things Masonry, LLC</t>
  </si>
  <si>
    <t>mailto:allthingsmasonry@yahoo.com</t>
  </si>
  <si>
    <t>Masonry Contractors</t>
  </si>
  <si>
    <t>All West</t>
  </si>
  <si>
    <t>mailto:promote54@yahoo.com</t>
  </si>
  <si>
    <t>Water Supply and Irrigation Systems</t>
  </si>
  <si>
    <t>All West Inc</t>
  </si>
  <si>
    <t>mailto:Clavin62@yahoo.com</t>
  </si>
  <si>
    <t>All-American Carpet Care INC</t>
  </si>
  <si>
    <t>http://www.allamericancleaningserv.com</t>
  </si>
  <si>
    <t>mailto:Allamerican@iendeavor.com</t>
  </si>
  <si>
    <t>Carpentry and Floor Contractors</t>
  </si>
  <si>
    <t>All-Med First Aid &amp; Safety</t>
  </si>
  <si>
    <t>All-Tech Communication, Inc.</t>
  </si>
  <si>
    <t>http://all-techcom.com</t>
  </si>
  <si>
    <t>mailto:atc2007@sbcglobal.net</t>
  </si>
  <si>
    <t>Allan Alexander</t>
  </si>
  <si>
    <t>="Specializing in loading and replacing solid state components onto printed circuit boards, repair damaged PCB traces, and fabricate and repair cables and harnesses to specifications as indicated on engineering designs or schematics. This includes ""Y"" cables, extension cables, BNC cables, power cables and an assortment of other types of custom cables and harnesses. Other types of electronic projects are also considered. I am familiar with and have worked with an assortment of different connector types. I am also comfortable with interpreting engineering designs and schematics. High reliability soldering techniques is a specialty."</t>
  </si>
  <si>
    <t>http://A website is coming.</t>
  </si>
  <si>
    <t>mailto:epfabrications@sbcglobal.net</t>
  </si>
  <si>
    <t>Printed Circuit/Electronics Assembly Manufacturing</t>
  </si>
  <si>
    <t>Allegiant International LLC</t>
  </si>
  <si>
    <t>http://www.allegiantworks.com</t>
  </si>
  <si>
    <t>mailto:info@allegiantworks.com</t>
  </si>
  <si>
    <t>Allegient LLC</t>
  </si>
  <si>
    <t>="Allegient has brought together an unprecedented level of resources and expertise to deliver business solutions to our clients. We have built partnerships with a team of technology firms that allow us to provide best in class solutions to our clients' business problems. Allegient's Alliance Program ensures effective project management, oversight, and quality assurance resulting in high quality project delivery through an efficient delivery process. Allegient is focused on building trusted relationships with our clients and member companies. Allegient offers its clients a single source for the information technology needs of your business. To the members of the Allegient Alliance Network, we facilitate the rapid growth of small to mid-sized Information Technology (IT) consulting organizations. By leveraging the Allegient Alliance Framework, our partners can spend more time working with their clients and less time worrying about managing the daily operations of their firms."</t>
  </si>
  <si>
    <t>http://www.allegient.com</t>
  </si>
  <si>
    <t>mailto:sales@allegient.com</t>
  </si>
  <si>
    <t>Allen Construction &amp; Engineering, Inc.</t>
  </si>
  <si>
    <t>="Allen Construction &amp; Engineering, established in 1987, is a family run company based in Fort Wayne, Indiana. With over 30 years of experience, team members vow to provide quality and trust. The Company is a design build general contractor, a mechanical system installation service provider, including LEED Certified/Commissioned HVAC systems expertise, a construction management firm, and a disabled veteran owned business."</t>
  </si>
  <si>
    <t>http://www.ace-mech.com</t>
  </si>
  <si>
    <t>mailto:info@ace-mech.com</t>
  </si>
  <si>
    <t>Allen Medical Inc</t>
  </si>
  <si>
    <t>Home Health Equipment Rental</t>
  </si>
  <si>
    <t>Allen Precision Equipment, Inc.</t>
  </si>
  <si>
    <t>Other Construction Material Merchant Wholesalers</t>
  </si>
  <si>
    <t>Allen's Snow Removal &amp; Lawn Care Inc.</t>
  </si>
  <si>
    <t>Allen-Kretler Co.</t>
  </si>
  <si>
    <t>mailto:nk@allenkretler.com</t>
  </si>
  <si>
    <t>Alliance Environmental Group, Inc.</t>
  </si>
  <si>
    <t>="Alliance provides innovative and cost effective solutions to environmental compliance issues, including: Phase I Environmental Site Assessments: A Phase I environmental site assessment looks for the possibility and probability of contamination from current and historical site operations and from neighboring facilities. The Phase I may recommend further investigation or determine that further investigation is not necessary. All Phase I environmental site assessments conducted by Alliance are compliant with 40 CFR 312, All Appropriate Inquiry. Subsurface Investigations: Sampling and analysis of soil, rock, groundwater (and sometimes building materials) to determine if contamination is present at a facility. Subsurface investigations are often referred to as “Phase II” investigations. Remediation: Development and implementation of remedial work plans for removal or reduction of contaminants to acceptable levels or hazard mitigation. Indoor Air Quality: Surveys, testing, a"</t>
  </si>
  <si>
    <t>http://www.alliance-envir.com</t>
  </si>
  <si>
    <t>mailto:blong@alliance-envir.com</t>
  </si>
  <si>
    <t>Alliance Group Technologies Company</t>
  </si>
  <si>
    <t>="Alliance Group Technologies Corporation is an important service to the business community. We specialize in outsource partnerships, permanent searches and project overload situations as well as temporary placements to help companies through their peak workloads. Specializing in customized staffing services for our clients, Alliance Group focuses on information technology and engineering personnel, each of whom has been thoroughly screened. Temporary personnel of various technical specialties and levels of experience are available to meet the exact specifications of our client companies. Our services are strictly confidential, and we invite personnel and human resource directors to inquire about our nationwide search capabilities. Engineering and information technology professionals as well as those who are interested in the flexibility, variety and career benefits that temporary employment offers, are encouraged to contact Alliance Group Technologies Corporation regarding availab"</t>
  </si>
  <si>
    <t>http://www.alliancegrouptech.com</t>
  </si>
  <si>
    <t>Alliance PRN Staffin</t>
  </si>
  <si>
    <t>mailto:jroberts@alliance-center.com</t>
  </si>
  <si>
    <t>Nursing Care Facilities</t>
  </si>
  <si>
    <t>Alliance Technology Group, Inc.</t>
  </si>
  <si>
    <t>http://www.alliancetg.com</t>
  </si>
  <si>
    <t>Alliance for Strateg</t>
  </si>
  <si>
    <t>http://ASGcorp.org</t>
  </si>
  <si>
    <t>mailto:mrow@asgcorp.org</t>
  </si>
  <si>
    <t>Employment Services</t>
  </si>
  <si>
    <t>Allied Contractors Inc.</t>
  </si>
  <si>
    <t>Specialized Freight Trucking</t>
  </si>
  <si>
    <t>Allied Home Care</t>
  </si>
  <si>
    <t>Allied Logistical Services</t>
  </si>
  <si>
    <t>mailto:alliedls@hotmail.com</t>
  </si>
  <si>
    <t>Allied Office System</t>
  </si>
  <si>
    <t>http://www.alliedofficesystems.com</t>
  </si>
  <si>
    <t>Allied Petroleum Equipment Corporation</t>
  </si>
  <si>
    <t>http://www.alliedpetroleum.com</t>
  </si>
  <si>
    <t>mailto:n/a</t>
  </si>
  <si>
    <t>Allied Safety svs.</t>
  </si>
  <si>
    <t>mailto:indybart@gmail.com</t>
  </si>
  <si>
    <t>Commercial and Industrial Machinery and Equipment (except Automotive and Electronic) Repair and Mnt.</t>
  </si>
  <si>
    <t>Allison Payment Sys</t>
  </si>
  <si>
    <t>="Allison Payment Systems, LLC is a data processing company that has print/mail/ecommerce as their out put. We print, mail or e-present communications of all types from invoices, to checks, to letters. We are one of the only Print/Mail companies nationally to be ISO and SAS 70 level II certified. Give us a call and see how APS can make a difference for you."</t>
  </si>
  <si>
    <t>http://www.apsllc.com</t>
  </si>
  <si>
    <t>mailto:sales@apsllc.com</t>
  </si>
  <si>
    <t>Commercial Lithographic Printing</t>
  </si>
  <si>
    <t>Allman Johnson Company LLC</t>
  </si>
  <si>
    <t>http://www.allmanjohnson.com</t>
  </si>
  <si>
    <t>mailto:cpa@allmanjohnson.com</t>
  </si>
  <si>
    <t>Alloy Architectural Products, Inc.</t>
  </si>
  <si>
    <t>mailto:MGMNicole@comcast.net</t>
  </si>
  <si>
    <t>Business Associations</t>
  </si>
  <si>
    <t>Allstate Security, Inc.</t>
  </si>
  <si>
    <t>http://allenprotection.com</t>
  </si>
  <si>
    <t>mailto:mfillers@allenprotection.com</t>
  </si>
  <si>
    <t>Alltimate Consulting and Training</t>
  </si>
  <si>
    <t>="Alltimate Consulting provides professional and management development training. We have been in business for four years. The owner holds a MBA from the University of Notre Dame and has 20 plus years of corporate work experience. Training and development is provide of employees of work at all levels and in all positions."</t>
  </si>
  <si>
    <t>mailto:Alltimateone@yahoo.com</t>
  </si>
  <si>
    <t>Alpha 5 Design, LLC</t>
  </si>
  <si>
    <t>="alpha 5 design is an architecture firm focused on providing innovative design solutions that bring high long term value to our clients. Our experience spans from healthcare and higher education to corporate and religious projects. alpha 5 design is led by Andy Fish. Andy is a veteran of the Marine Corps and is able to bring his military life experience, leadership and professionalism along with his 15+ years as an architect to bear on complex projects. He is able to quickly engage projects or situations and provide strategic advice and tactics for carrying even the toughest projects to successful conclusion. Andy knows the true value of team as he has lived it in the face of adversity. He can be relied upon as a professional and highly collaborative member of the design and construction team in all situations - every time… every project."</t>
  </si>
  <si>
    <t>http://www.alpha5design.com</t>
  </si>
  <si>
    <t>mailto:afish@alpha5design.com</t>
  </si>
  <si>
    <t>Alpha Plumbing</t>
  </si>
  <si>
    <t>mailto:alphaplumbingbedford@gmail.com</t>
  </si>
  <si>
    <t>Alpha Rae Personnel, Inc.</t>
  </si>
  <si>
    <t>="Alpha Rae Personnel, Inc. is a Executive Search Firm, Temporary/Contract Labor Staffing Firm and Human Resources Consulting Firm. We assist in staffing Executives, and Temporary/Contract Labor, and Human Resources Consulting in the areas of Government, Small &amp; Large businesses nationwide. We also offer customized training for the following ; Call Centers, Telephone Etiquette for business, Customer Service and Conflict Resolution Training."</t>
  </si>
  <si>
    <t>http://www.alpha-rae.com</t>
  </si>
  <si>
    <t>mailto:customerservice@alpha-rae.com</t>
  </si>
  <si>
    <t>Human Resources and Executive Search Consulting Services</t>
  </si>
  <si>
    <t>Alpha-Omega Contracting, LLC</t>
  </si>
  <si>
    <t>http://www.alpha-omegacontracting.net</t>
  </si>
  <si>
    <t>mailto:bcombs@alpha-omegacontracting.com</t>
  </si>
  <si>
    <t>Alred Incorporated</t>
  </si>
  <si>
    <t>http://www.alredfinancial.com</t>
  </si>
  <si>
    <t>mailto:alredfinancial@yahoo.com</t>
  </si>
  <si>
    <t>Alt &amp; Witzig Engineering, Inc.</t>
  </si>
  <si>
    <t>http://www.altwitzig.com</t>
  </si>
  <si>
    <t>Alta Healthcare, Inc</t>
  </si>
  <si>
    <t>http://www.brightstarhealthcare.com</t>
  </si>
  <si>
    <t>Alterations by Betsy,Inc</t>
  </si>
  <si>
    <t>="We provide all sewing needs on clothing. Including everyday wear to formal wear and tuxes. We also make custom window treatments. We do embroidery of company logos and patches. We sew on patches and name badges and rank for military. We are a full service sewing shop. We can custom make garments. We make skirting for display tables."</t>
  </si>
  <si>
    <t>mailto:Altbybetsy@bluegrass.net</t>
  </si>
  <si>
    <t>Alternative Energy Source</t>
  </si>
  <si>
    <t>mailto:AES.LLC@COMCAST.NET</t>
  </si>
  <si>
    <t>Alternative Housing Solutions</t>
  </si>
  <si>
    <t>="We are residential energy conservation and energy management consultants. Serving Northwest Indiana, we provide high quality home performance consultations, energy conservation plan design, post testing services, and connection with local trade allies. Through our network, we provide the most innovative lighting, electrical and energy management services in our area.At Alternative Housing Solutions, we are committed to establishing trust with our clients through our excellent service and fact based home performance evaluations. We are independent energy consultants providing comprehensive home energy management services to homeowners interested in lowering their utility costs and creating a more energy efficient home. During the Home Performance Evaluation, our technicians can pinpoint problem areas, and determine the best and most affordable ways to solve those problems. At Alternative Housing Solutions, we offer tools to help you identify improvements you can make to save energy."</t>
  </si>
  <si>
    <t>http://temp.ahousingsolutioncom.officeli</t>
  </si>
  <si>
    <t>mailto:rutcla@aol.com</t>
  </si>
  <si>
    <t>Alternatives Incorporated of Madison Co</t>
  </si>
  <si>
    <t>http://alternativesdv.org</t>
  </si>
  <si>
    <t>mailto:alternatives@alternativesdv.org</t>
  </si>
  <si>
    <t>Community Food and Housing, and Emergency and Other Relief Services</t>
  </si>
  <si>
    <t>Aluminum Trailer Com</t>
  </si>
  <si>
    <t>="The Aluminum Trailer Company (ATC) is a custom trailer manufacturer. We build custom trailers from the smallest to the largest jobs. We use a full aluminum frame with an all tube construction to keep the trailer lightweight, yet extremely durable. Check out our website to see more of our World Class; Precision Built trailers."</t>
  </si>
  <si>
    <t>http://www.aluminumtrailer.com</t>
  </si>
  <si>
    <t>mailto:sales@aluminumtrailer.com</t>
  </si>
  <si>
    <t>Travel Trailer and Camper Manufacturing</t>
  </si>
  <si>
    <t>Alva Electric, Inc.</t>
  </si>
  <si>
    <t>="Full service electrical contractor specializing in new construction, rework of existing electrical systems, and a 24/7 service/troubleshooting department in the Industrial, commercial and residential market place. We utilize orginized labor. We are licensed, bonded and insured contractor in Indiana and Kentucky."</t>
  </si>
  <si>
    <t>mailto:alvaelectric@sigecom.net</t>
  </si>
  <si>
    <t>Alvarez Janitorial</t>
  </si>
  <si>
    <t>http://WWW.ALVAREZCLEANING.ORG</t>
  </si>
  <si>
    <t>mailto:MARY@ALVAREZCLEANING.ORG</t>
  </si>
  <si>
    <t>Alvey's Sign Company</t>
  </si>
  <si>
    <t>http://www.alveysigns.com</t>
  </si>
  <si>
    <t>mailto:jmckinney@alveysigns.com</t>
  </si>
  <si>
    <t>Always Employed Staffing LLC</t>
  </si>
  <si>
    <t>="Always Employed Staffing is the premier provider of staffing services. We ensure that our Professional Clients prove to have outstanding work ethics. As apart of our services, and in affiliation with ""Always Exclusive Outreach"" a community organization; our professional clients participate in one, or more of several workshops conducive to fine-tuning and enhancing professionalism."</t>
  </si>
  <si>
    <t>http://www.alwaysemployedstaff.com</t>
  </si>
  <si>
    <t>mailto:alwaysemployed@outlook.com</t>
  </si>
  <si>
    <t>Alyssa Prickett</t>
  </si>
  <si>
    <t>Consumer Lending</t>
  </si>
  <si>
    <t>Amadeus, LLC</t>
  </si>
  <si>
    <t>http://www.flagsinternational.com</t>
  </si>
  <si>
    <t>mailto:sales@flagsinternational.com</t>
  </si>
  <si>
    <t>Amalgaway, Inc.</t>
  </si>
  <si>
    <t>http://Amalgaway.com</t>
  </si>
  <si>
    <t>mailto:jjensen@mgmt-solutions.com</t>
  </si>
  <si>
    <t>Amanda Enterprises, LLC</t>
  </si>
  <si>
    <t>="Locally owned and operated, we provide direct mail opportunities to companies. Using our products - Reach Magazine, the Valpak envelope and Valpak.com - companies are able to deliver offers to consumers which helps increase consumer awareness and drive new business to their locations."</t>
  </si>
  <si>
    <t>http://www.reachusa.com</t>
  </si>
  <si>
    <t>mailto:indianapolis@valpak.com</t>
  </si>
  <si>
    <t>Amanda S White</t>
  </si>
  <si>
    <t>="Whole Professionals is your source for your professional business services. We provide IT, project management, writing and editing services. We specialize in fast, efficient turnaround of your project with your satisfaction guaranteed. Some of our previous experience includes: --Software design and implementation documentation written and edited for multiple clients, including a US Government agency, international media company, and international engine compay. --Online help written for an international machinery client --Proposals written and edited, both for for-profit industries and not-for-profit industries Our software experience and knowledge includes: --The entire Microsoft Office Suite, including PowerPoint and Visio --Multiple programming languages, including HTML, JSP, PHP, and Javascript Our owner is a woman with a degree in Systems Analysis &amp; Engineering whose business experience encompasses all of our functional areas."</t>
  </si>
  <si>
    <t>mailto:amanda@wholeprofessionals.com</t>
  </si>
  <si>
    <t>Independent Artists, Writers, and Performers</t>
  </si>
  <si>
    <t>Amateur Radio of Decatur County, Inc.</t>
  </si>
  <si>
    <t>http://www.qsl.net/kb9kng</t>
  </si>
  <si>
    <t>mailto:we9m@arrl.net</t>
  </si>
  <si>
    <t>Emergency and Other Relief Services</t>
  </si>
  <si>
    <t>Amatra Technologies, Inc</t>
  </si>
  <si>
    <t>http://www.amatra.com</t>
  </si>
  <si>
    <t>mailto:ksiram@amatra.com</t>
  </si>
  <si>
    <t>Amazing Maids LLC</t>
  </si>
  <si>
    <t>="Residential and Commercial Cleaning Service. Amazing Maids stands by our Motto "" Cleaning up Indy one home/business at a time!"" Amazing Maids was started by a hardworking mother, and has now expanded throughout Indianapolis and surrounding areas. We maintain a reputation for being experienced, honest, punctual, and consistent. Our commitment is keeping you, out customer, our top priority. Amazing Maids brings personalized service, lower prices, quality products, these are just a few of the reasons why you should choose Amazing Maids LLC"</t>
  </si>
  <si>
    <t>http://www.amazingmaids.yolasite.com</t>
  </si>
  <si>
    <t>mailto:amazingmaidsindy@yahoo.com</t>
  </si>
  <si>
    <t>Amazing Space, Inc.</t>
  </si>
  <si>
    <t>mailto:amazingspaceinc@yahoo.com</t>
  </si>
  <si>
    <t>Ambassador Travel</t>
  </si>
  <si>
    <t>http://www.ambassadorcruise.com</t>
  </si>
  <si>
    <t>mailto:conniec@ambassadorcruise.com</t>
  </si>
  <si>
    <t>Ambassador, Inc.</t>
  </si>
  <si>
    <t>="Ambassador is a full-service IT consultancy focused on providing technology solutions powered by people. We engage our customers to ensure that our solutions will enable them to achieve measurable business results. Our solutions empower our customers to collaborate, discover, decide, and act. Innovative technology is part of the solution, but the people are at the core. We deliver a broad spectrum of solutions: Strategic Impact Services, Microsoft Solutions, and Expert Services. As a managed Microsoft Gold partner, we specialize in providing enterprise content management solutions, custom .NET solutions, portals, business intelligence solutions, and workflow &amp; collaborative solutions to our customers. Additionally, we are recognized as the go-to partner for what is quickly becoming the center of the business collaboration universe – Microsoft Office SharePoint Server 2007."</t>
  </si>
  <si>
    <t>http://www.ambassadorsolutions.com</t>
  </si>
  <si>
    <t>mailto:ksellery@ambassdorsolutions.com</t>
  </si>
  <si>
    <t>Amber L Allen, MD, PC</t>
  </si>
  <si>
    <t>Offices of Physicians (except Mental Health Specialists)</t>
  </si>
  <si>
    <t>Amberian Corporation</t>
  </si>
  <si>
    <t>="Amberian Corporation specializes in building medium to large e-commerce and B2B solutions for government agencies and private firms. Amberian has extensive experience in building Electronic Labor Exchange Systems (Resume and Job Order Banks), Workforce Development ""One-Stop"" Operating Systems, medical, and health care sites. Amberian Corporation specializes in Enterprise Systems Integration and E-Commerce solutions. Our staff has extensive experience in building medium to large-scale dynamic web sites by providing full support for business process engineering, design and analysis, implementation, and deployment of complex solutions. No matter how complex your problem is, our staff can help you with a solution that maximizes profitability, improves customer service, and enables your business to open new communication channels with partners, affiliates, distributors and end customers."</t>
  </si>
  <si>
    <t>http://www.amberian.com/</t>
  </si>
  <si>
    <t>mailto:information@amberian.com</t>
  </si>
  <si>
    <t>Ambulance Billing Services, Inc.</t>
  </si>
  <si>
    <t>http://www.ambulancebill.us</t>
  </si>
  <si>
    <t>mailto:info@ambulancebill.us</t>
  </si>
  <si>
    <t>Other Accounting Services</t>
  </si>
  <si>
    <t>Amco Elevators, Inc.</t>
  </si>
  <si>
    <t>http://www.amcoelevators.com</t>
  </si>
  <si>
    <t>mailto:info@amcoelevators.com</t>
  </si>
  <si>
    <t>Ameica's Second Harvest of Northwest Ind</t>
  </si>
  <si>
    <t>http://www.foodbanknwi.org</t>
  </si>
  <si>
    <t>mailto:secondharvestnwi@yahoo.com</t>
  </si>
  <si>
    <t>Community Food Services</t>
  </si>
  <si>
    <t>Ameresco, Inc.</t>
  </si>
  <si>
    <t>http://www.ameresco.com</t>
  </si>
  <si>
    <t>AmeriClean, Inc.</t>
  </si>
  <si>
    <t>http://www.americleaninc.com</t>
  </si>
  <si>
    <t>mailto:josh@americleaninc.com</t>
  </si>
  <si>
    <t>AmeriQual Group, LLC</t>
  </si>
  <si>
    <t>="Ameriqual Group, LLC, specializes in the production, packaging, assembly and distribution of shelf-stable food products in flexible pouches, microwaveable bowls and glass jars to the U.S. Department of Defense and to large commercial brand food companies. Ameriqual is a leading supplier of individual and group field rations to the military, and is the largest supplier of Meals-Ready-to-Eat (MRE) to the Department of Defense."</t>
  </si>
  <si>
    <t>http://www.ameriqual.com</t>
  </si>
  <si>
    <t>Specialty Canning</t>
  </si>
  <si>
    <t>America Works Of Indianapolis Inc.</t>
  </si>
  <si>
    <t>="America Works changes people's lives by lifting them from dependence into the productive world of employment. A socially conscious and entrepreneurial company that holds that work is the central social service activity, America Works has operated successful performance based contracts in cities and states across the United States for almost 25 years."</t>
  </si>
  <si>
    <t>http://www.americaworks.com</t>
  </si>
  <si>
    <t>America's Second Harvest of Northwest IN</t>
  </si>
  <si>
    <t>mailto:info@foodbanknwi.org</t>
  </si>
  <si>
    <t>American Advertising LLC</t>
  </si>
  <si>
    <t>="American Advertising sells American &amp; Union made promotional products and clothing. Located in Boonville, Southwest Indiana, we are proud to serve our State in its bidding processes. We are a licensed vendor for Carhartt products as well as thousands of other Made in the USA suppliers. Our company is devoted to growing awareness in Indiana through a variety of vehicles. The best service and products are key to our business model. Thank you for your consideration!"</t>
  </si>
  <si>
    <t>http://www.everything-usa.net</t>
  </si>
  <si>
    <t>mailto:info@everything-usa.net</t>
  </si>
  <si>
    <t>American Armadillo Inc.</t>
  </si>
  <si>
    <t>="American Armadillo is a contemporary fashion organization that specializes in the art of custom handmade fashion accessories. The true nostalgia of style can only be captured in the simplest form of modern-day fashion. At American Armadillo our goal is to help you become a fashion icon through subtlety and design. Our bowties, ascots, vests, scarves, and pocket squares help you to polish off any combination of your wardrobe; giving it the life and energy needed to be branded a true icon. The psychology of our products accentuate your inner most confidence and allow you to control your environment simply by your presence. You will be the “belle” and/or “beau” at the ball!"</t>
  </si>
  <si>
    <t>http://www.americanarmadillo.com</t>
  </si>
  <si>
    <t>mailto:sales@americanarmadillo.com</t>
  </si>
  <si>
    <t>Clothing Accessories Stores</t>
  </si>
  <si>
    <t>American Art Clay Co</t>
  </si>
  <si>
    <t>http://www.brickyardceramics.com</t>
  </si>
  <si>
    <t>mailto:brickyardorders@amaco.com</t>
  </si>
  <si>
    <t>All Other Miscellaneous Manufacturing</t>
  </si>
  <si>
    <t>American Art Mosaic</t>
  </si>
  <si>
    <t>mailto:AmArt1997@aol.com</t>
  </si>
  <si>
    <t>American Automotive</t>
  </si>
  <si>
    <t>="AAP manufactures automotive refinish and industrial coatings. Our principle business is in the manufacture of automotive and fleet refinish coatings but we also manufacture general industrial coatings. We specialize in basecoat / clearcoat coatings, single stage color coatings, fleet finishes, primers and related products. We have matches to existing automotive colors for all automobile manufacturers foreign and domestic. We are capable of creating custom color matches for specific fleet and industtrial colors. We formulate and manufacture all the products we sell and can develope new products for specific applications."</t>
  </si>
  <si>
    <t>mailto:americanap@att.net</t>
  </si>
  <si>
    <t>Paint and Coating Manufacturing</t>
  </si>
  <si>
    <t>American Business Communications, Inc.</t>
  </si>
  <si>
    <t>http://www.getabc.net</t>
  </si>
  <si>
    <t>mailto:info@getabc.net</t>
  </si>
  <si>
    <t>American Business Forms, Inc</t>
  </si>
  <si>
    <t>http://www.abfgroup.net</t>
  </si>
  <si>
    <t>mailto:randy@abfgroup.net</t>
  </si>
  <si>
    <t>American Business Insurance, Inc.</t>
  </si>
  <si>
    <t>http://www.myabi.com</t>
  </si>
  <si>
    <t>mailto:info@myabi.com</t>
  </si>
  <si>
    <t>American Certified Massage School</t>
  </si>
  <si>
    <t>http://hhgi.net</t>
  </si>
  <si>
    <t>mailto:gmiller@netnitco.net</t>
  </si>
  <si>
    <t>Colleges, Universities, and Professional Schools</t>
  </si>
  <si>
    <t>American Concrete Raising</t>
  </si>
  <si>
    <t>http://fixit4me</t>
  </si>
  <si>
    <t>mailto:acri@netnitco.net</t>
  </si>
  <si>
    <t>American Consulting</t>
  </si>
  <si>
    <t>http://safetyandfirstaid.com</t>
  </si>
  <si>
    <t>mailto:americanconsulting@safetyandfirstaid.com</t>
  </si>
  <si>
    <t>American Consulting, Inc.</t>
  </si>
  <si>
    <t>="American Structurepoint, Inc., formerly American Consulting, Inc., began business in Indianapolis in 1966 and has since grown into a respected multi-discipline consulting firm recognized for its experienced professionals, quality work, and customer service. Our clients include numerous city, state, and federal agencies; real estate development companies; contractors; lending institutions; public utilities; and a multitude of private owners. After nearly 41 years of steady growth, we offer complete consulting services. ""We are committed to providing everything necessary to achieve our clients' goals in the built environment. We strive to exceed our customers' expectations through our vision, creativity, enthusiasm, responsiveness, and dedication to quality."""</t>
  </si>
  <si>
    <t>http://www.structurepoint.com</t>
  </si>
  <si>
    <t>mailto:info@structurepoint.com</t>
  </si>
  <si>
    <t>American Contracting &amp; Services, Inc.</t>
  </si>
  <si>
    <t>American Document Management Group, Inc.</t>
  </si>
  <si>
    <t>="American Document Management provides e-Forensics / e-Discovery, litigation support, scanning &amp; indexing, forms processing, hosted retrieval and box storage for businesses in the corporate, private and governmental sectors, thus allowing these entities to concentrate on their core business or mission rather than document technology."</t>
  </si>
  <si>
    <t>http://www.amdoc.com</t>
  </si>
  <si>
    <t>mailto:rhudson@amdoc.com</t>
  </si>
  <si>
    <t>American Eagle Equipment</t>
  </si>
  <si>
    <t>mailto:brian@millersautobodyinc.com</t>
  </si>
  <si>
    <t>American Eagle Restoration</t>
  </si>
  <si>
    <t>http://www.americaneaglerestoration.com</t>
  </si>
  <si>
    <t>mailto:jbrown@americaneaglerestoration.com</t>
  </si>
  <si>
    <t>American Environmental Corporation</t>
  </si>
  <si>
    <t>="American Environmental is a professional consulting, engineering, and contracting firm specializing in environmentally oriented project management. American Environmental has in-house capabilities in the following areas: Environmental Site Assessments (Phase I), Site Characterization (Phase II), Underground Storage Tank Services, Modeling - Groundwater Flow and Contaminant Transport, Remediation: Design, Engineering and Installation, Mobile Remediation Systems, Brownfields Redevelopment, Voluntary Cleanup Programs, RCRA Experience, Industrial Waste Services, Wellhead Protection Plans, Environmental Management Compliance, Air Quality Services, Mold Services, Asbestos Surveys and Abatement Management, Lead-Based Paint Assessments and Abatement Management, Property Condition Assessments, Health &amp; Safety Consulting and Training, Drilling and Probing Services."</t>
  </si>
  <si>
    <t>http://www.americanenvironmental.net</t>
  </si>
  <si>
    <t>mailto:fortune@aecindy.com</t>
  </si>
  <si>
    <t>American Family Pharmacy, LLC</t>
  </si>
  <si>
    <t>http://www.afpharmacy.com</t>
  </si>
  <si>
    <t>mailto:afp1@sbcglobal.net</t>
  </si>
  <si>
    <t>Pharmaceutical Preparation Manufacturing</t>
  </si>
  <si>
    <t>American Fire Company</t>
  </si>
  <si>
    <t>="We are your ONE STOP when it comes to Life Safety systems. We install, service, and repair Fire Alarm Detection Systems in commercial, industrial and residential settings. We also service kitchen hood systems and inspect and service fire extinguishers. We have the capability to have sprinkler systems and backflow preventers inspected and serviced. Between the partners we have three firefighters two of which are paid professional firefighters. We currently have over forty years of combined experience in the business."</t>
  </si>
  <si>
    <t>mailto:msbrettin@comcast.net</t>
  </si>
  <si>
    <t>American Global Management, LLC</t>
  </si>
  <si>
    <t>http://www.americanglobalmgmt.com</t>
  </si>
  <si>
    <t>mailto:henry@americanglobalmgmt.com</t>
  </si>
  <si>
    <t>American Institute of Toxicology, Inc.</t>
  </si>
  <si>
    <t>="The American Institute of Toxicology, Inc. (AIT Laboratories) was formed in 1990 to provide consulting and laboratory services for the analysis of drugs, chemicals and biological compounds using state-of-the-art bioassay methodologies and analytical technologies of chromatography and mass spectrometry. These services are provided to three distinct market segments: the Health Care (Clinical) Industries, the Forensic Professions and the Pharmaceutical Industries."</t>
  </si>
  <si>
    <t>http://www.aitlabs.com</t>
  </si>
  <si>
    <t>mailto:info@aitlabs.com</t>
  </si>
  <si>
    <t>American Janitorial</t>
  </si>
  <si>
    <t>mailto:www.phlpowell@yahoo.com</t>
  </si>
  <si>
    <t>American Lung Association of Indiana, In</t>
  </si>
  <si>
    <t>http://www.lungin.org</t>
  </si>
  <si>
    <t>Health and Welfare Funds</t>
  </si>
  <si>
    <t>American Maintenance</t>
  </si>
  <si>
    <t>mailto:customerservice@americanmaintenanceonline.com</t>
  </si>
  <si>
    <t>Other Building Finishing Contractors</t>
  </si>
  <si>
    <t>American Maintenance,Inc</t>
  </si>
  <si>
    <t>http://www.awc-usa.com</t>
  </si>
  <si>
    <t>mailto:gc@awc-usa.com</t>
  </si>
  <si>
    <t>Other Services to Buildings and Dwellings</t>
  </si>
  <si>
    <t>American Manufacturing Solutions, Inc</t>
  </si>
  <si>
    <t>Special Die and Tool, Die Set, Jig and Fixture Manufacturing</t>
  </si>
  <si>
    <t>American Medical Sup</t>
  </si>
  <si>
    <t>="Amerucab Medical has over 300,000 medical supplies to meet your medical needs. We are dedicated to provide quality service and timely delivery. We offer the following products and more; Ambulatory Aids, Bathroom Safety, Beds and Seatlifts, Incontinence and Urological, Diagnostic Equipment, Wound Care, Orthopedic Supplies, Asthma and Allergy, Support Stockings, Patient Aids, Diabetic Care, Wheelchair, and Scooters,"</t>
  </si>
  <si>
    <t>mailto:American_Medical@comcast.net</t>
  </si>
  <si>
    <t>Medical Equipment and Supplies Manufacturing</t>
  </si>
  <si>
    <t>American Origins LLC DBA Cabin Fever</t>
  </si>
  <si>
    <t>http://www.desinrestorationfabrics@gmail</t>
  </si>
  <si>
    <t>mailto:rausch.connie@gmail.com</t>
  </si>
  <si>
    <t>American Plastic Molding Corp.</t>
  </si>
  <si>
    <t>="APM is a complete project management company that includes custom injection molding, assembly, part distribution, warehousing. We can provide complete supply chain management. We are a distibutor of traffic, pedstrian, constuction, crowd control barricades."</t>
  </si>
  <si>
    <t>http://www.apmc.com</t>
  </si>
  <si>
    <t>mailto:sales@apmc.com</t>
  </si>
  <si>
    <t>Plastics Product Manufacturing</t>
  </si>
  <si>
    <t>American Plastic Molding Corporation</t>
  </si>
  <si>
    <t>All Other Plastics Product Manufacturing</t>
  </si>
  <si>
    <t>American Red Cross</t>
  </si>
  <si>
    <t>="The American Red Cross, a humanitarian organization led by volunteers, guided by its Congressional Charter and the Fundamental Principles of the International Red Cross Movement, will provide relief to victims of disaster and help people prevent, prepare for, and respond to emergencies."</t>
  </si>
  <si>
    <t>http://www.redcross.org</t>
  </si>
  <si>
    <t>mailto:jlyter@redcross-indy.org</t>
  </si>
  <si>
    <t>http://www.evansvilleredcross.org</t>
  </si>
  <si>
    <t>mailto:redcross@arcswin.org</t>
  </si>
  <si>
    <t>All Other Miscellaneous Schools and Instruction</t>
  </si>
  <si>
    <t>American Renters Ins</t>
  </si>
  <si>
    <t>="American Renters provides Renters Insurance for Residents of Apartments. We provide the Property Owner or Property Manager the opportunity to assist their residents with Renters Insurance. This opportunity involves allowing the residents to insure their Personal Property and Personal Liability with American Renters. The Personal Liability benefits the Property Owner/Manager by managing the risk of uninsured losses. That is, 76 % of Residents do not insure their property and do not have personal liability. If the Resident causes damage ( for example an accidental fire) to the apartment unit that risk is on the Property Owner/ Manager or their Commercial Property, it should rest with the Resident's insurance policy. Visit www.rentersinsurnace.com or call 1 800 4renter."</t>
  </si>
  <si>
    <t>http://www.rentersinsurance.com</t>
  </si>
  <si>
    <t>American Safe Seal, Inc.</t>
  </si>
  <si>
    <t>="We are a roofing and coating company. Providing services for repair and replace of roofs. We also provide roof coatings, graffiti removal and protective coating, rust removal and coating, stone and concrete cleaning and sealing. We lead the industry in shingle recycling technologies."</t>
  </si>
  <si>
    <t>http://Americansafeseal.com</t>
  </si>
  <si>
    <t>mailto:youtech@gmail.com</t>
  </si>
  <si>
    <t>American Steel Investment Corporation</t>
  </si>
  <si>
    <t>http://www.awrsling.com</t>
  </si>
  <si>
    <t>mailto:mtuttle@awrsling.com</t>
  </si>
  <si>
    <t>American Tile &amp; Sales Co., Inc.</t>
  </si>
  <si>
    <t>http://www.americantile.net</t>
  </si>
  <si>
    <t>mailto:kathy@americantile.net</t>
  </si>
  <si>
    <t>Resilient Floor Covering Manufacturing</t>
  </si>
  <si>
    <t>American Tree Experts, Inc.</t>
  </si>
  <si>
    <t>="Professional tree care company. Tree pruning, cable, brace, removals, inject for insects, disease, fungus, diagnostic, consulting for new building sites. We have 3 chemical licenses, 3A- ornamental, 3b-turf, and 5 right-a-way. We also do landscaping maintance, tree planting, clearing for new building sites. We are fully insured (comp and liability). We also manufacture bundled firewood."</t>
  </si>
  <si>
    <t>http://www.overlookcabins.com</t>
  </si>
  <si>
    <t>mailto:amtreexp@dmrtc.net</t>
  </si>
  <si>
    <t>Forest Nurseries and Gathering of Forest Products</t>
  </si>
  <si>
    <t>American Ultraviolet Co., Inc</t>
  </si>
  <si>
    <t>="American Ultraviolet has been manufacturing ultraviolet technology since 1960. We currently offer a full line of equipment for ink, coating, and adhesive curing as well as UV Germicidal equipment for air, surface and liquid sterilization. Our equipment is used in industries such as screen printing, medical manufacturing, food and beverage manufacturing, hospitals, aerospace, HVAC air disinfection, and many more."</t>
  </si>
  <si>
    <t>http://www.americanultraviolet.com</t>
  </si>
  <si>
    <t>mailto:mstines@americanultraviolet.com</t>
  </si>
  <si>
    <t>Electrical Equipment, Appliance and Component Manufacturing</t>
  </si>
  <si>
    <t>American United Appraisal Co., Inc.</t>
  </si>
  <si>
    <t>http://www.auarealestate.com</t>
  </si>
  <si>
    <t>mailto:jdallardt@auanoblesville.com</t>
  </si>
  <si>
    <t>American Wholesalers</t>
  </si>
  <si>
    <t>Americas Engineers, Inc.</t>
  </si>
  <si>
    <t>http://www.americasengineers.com</t>
  </si>
  <si>
    <t>mailto:aei@americasengineers.com</t>
  </si>
  <si>
    <t>Amerimex Sales and Service</t>
  </si>
  <si>
    <t>http://amerimexliftingsystems.com</t>
  </si>
  <si>
    <t>mailto:amerimex2010@ymail.com</t>
  </si>
  <si>
    <t>All Other Automotive Repair and Maintenance</t>
  </si>
  <si>
    <t>Amerisoft Technologies Inc.</t>
  </si>
  <si>
    <t>="Amersoft Technologies is an innovative Information Technology consulting company that focuses on delivering value through knowledgeable resources and full life-cycle project management skills. Amerisoft Technologies Inc. provides skilled Information Technology professionals on a contractual or temporary basis and full lifecycle project management expertise. We are committed to provide quality Services and Technology Solutions to your rapidly changing Information Technology needs."</t>
  </si>
  <si>
    <t>http://www.ast-i.com</t>
  </si>
  <si>
    <t>mailto:annie@ast-i.com</t>
  </si>
  <si>
    <t>Amerivet, LLC</t>
  </si>
  <si>
    <t>="Amerivet's manufacturing support services offer complete manufacturing solutions from design and engineering to manufacturing and assembly. Amerivet provides a single, streamlined source of manufactured parts for the aerospace, military, and other industries such as packaging machinery, heavy equipment, and transportation industries."</t>
  </si>
  <si>
    <t>http://Amerivet.us</t>
  </si>
  <si>
    <t>mailto:lewampole@aol.com</t>
  </si>
  <si>
    <t>Fabricated Structural Metal Manufacturing</t>
  </si>
  <si>
    <t>Amerrican Plaque Company</t>
  </si>
  <si>
    <t>="Plaques and Patches is the worlds largest online store of custom made solid wood products for corporations, the U.S. military, law enforcement, fire departments, local, state, national governments and individuals. In business since 1991, we manufacture the highest quality wooden military plaques, seals, desk name plates, podium logo emblems, military shadow boxes, corporate plaques and custom made furniture. We can take any design, shape or size and create the customized product of your dreams! Call our customer support team at 1-877-543-6094 to place your order between 9:00 a.m. - 6:00 p.m. EST or order online 24 hours a day"</t>
  </si>
  <si>
    <t>http://www.plaquesandpatches.com</t>
  </si>
  <si>
    <t>mailto:nwainwright@americanplaquecompany.com</t>
  </si>
  <si>
    <t>All Other Miscellaneous Wood Product Manufacturing</t>
  </si>
  <si>
    <t>Amick Appliance &amp; Rent-to-Own</t>
  </si>
  <si>
    <t>Miscellaneous Store Retailers</t>
  </si>
  <si>
    <t>Amish Furniture Mart</t>
  </si>
  <si>
    <t>="Amish Furniture Mart has three locations. We began our first store in Whitleland, Indiana in 1994. We then opened our second store in Noblesville, Indiana in 1996 and our third store in Gainesville, Georgia in 2002. We deliver our products to all of Indiana, as well as most of Michigan, Ilinois, Kentucky, Ohio and within a 200 mile radius of Gainesville, GA. The ""Simply Amish"" Collection was founded in 1989. We started with five Amish builders and about 50 items. We currently have 90 Amish shops building for us and we now offer more than 2000 unique items. Most items can be built in 7 different woods with up to 12 stain color choices. We can customize most pieces to your specifications if needed. Our furniture is not built on an assembly line or in a factory. Every single piece is built with care and personal attention by Amish craftsman in small shops located on their homesteads. Once the Amish craftsman receives your order, building begins. Before your furniture leaves the"</t>
  </si>
  <si>
    <t>http://www.amishfurn.com</t>
  </si>
  <si>
    <t>mailto:dhance@amishfurn.com</t>
  </si>
  <si>
    <t>Amos-Hill Associates</t>
  </si>
  <si>
    <t>http://www.amoshill.com</t>
  </si>
  <si>
    <t>mailto:amoshill.com</t>
  </si>
  <si>
    <t>Hardwood Veneer and Plywood Manufacturing</t>
  </si>
  <si>
    <t>Amped Inc</t>
  </si>
  <si>
    <t>mailto:nlonsdale@msn.com</t>
  </si>
  <si>
    <t>Clothing and Clothing Accessories Stores</t>
  </si>
  <si>
    <t>Amtech, Inc</t>
  </si>
  <si>
    <t>http://www.amtech-usa.com</t>
  </si>
  <si>
    <t>mailto:info@amtech-usa.com</t>
  </si>
  <si>
    <t>Amvic, Inc.</t>
  </si>
  <si>
    <t>="On-Site Computer Solutions is a full service IT solution provider with a full staff of experienced and certified technology professionals. We provide computer hardware and software, and related services. We carry industry standard computer systems, and provide both proprietary and open source software solutions. We are dedicated to your complete satisfaction. On-Site Computer Solutions also offers a variety of computer services tailored to your needs. • Consulting • Networking • Database Programming • Website Programming • Open Source Solutions • Service and Repair • Personalized Instruction Give us a chance to show you the quality of service that you deserve!"</t>
  </si>
  <si>
    <t>http://www.424help.com</t>
  </si>
  <si>
    <t>mailto:info@424help.com</t>
  </si>
  <si>
    <t>Amy McAdams</t>
  </si>
  <si>
    <t>http://www.amymcadams.com</t>
  </si>
  <si>
    <t>mailto:www.amymcadams.com</t>
  </si>
  <si>
    <t>Amy S. Johnson Consulting Corporation</t>
  </si>
  <si>
    <t>Individual and Family Services</t>
  </si>
  <si>
    <t>An Island LLC</t>
  </si>
  <si>
    <t>="An Island LLC specializes in SAP support, custom program development, hosting and disaster recovery services, and temporary office help. We help medium to large businesses implement and maintain the latest software to optimize their operations. An Island LLC, ""Where the Sun Never Sets""."</t>
  </si>
  <si>
    <t>http://www.anisland.org</t>
  </si>
  <si>
    <t>mailto:todd.self@anisland.org</t>
  </si>
  <si>
    <t>Anaclim LLC</t>
  </si>
  <si>
    <t>http://www.anaclim.com</t>
  </si>
  <si>
    <t>mailto:info@anaclim.com</t>
  </si>
  <si>
    <t>Research and Development in the Life Sciences</t>
  </si>
  <si>
    <t>Analytech Consulting Resources, Inc.</t>
  </si>
  <si>
    <t>http://www.analytech.com</t>
  </si>
  <si>
    <t>mailto:acr@analytech.com</t>
  </si>
  <si>
    <t>Analytical Data Consulting</t>
  </si>
  <si>
    <t>mailto:jwestdyke@analyticaldataconsulting.com or jtw1209@aol.com</t>
  </si>
  <si>
    <t>Anchor Families, L.L.C.</t>
  </si>
  <si>
    <t>mailto:anchorfamilies@hotmail.com</t>
  </si>
  <si>
    <t>Anchor Industries</t>
  </si>
  <si>
    <t>http://www.anchorinc.com</t>
  </si>
  <si>
    <t>Textile Product Mills</t>
  </si>
  <si>
    <t>Anchor Point Technology Resources</t>
  </si>
  <si>
    <t>="Anchor Point Technology Resources is an Indianapolis based firm with expertise in software intergration, middleware consulting, enterprise applications and portals strategy. Discrete focus areas include Web Services, Open Source Platforms, Grid Computing, Portals, and Data Storage and Protection"</t>
  </si>
  <si>
    <t>http://www.anchorpointtr.com</t>
  </si>
  <si>
    <t>mailto:info@moongatetech.com</t>
  </si>
  <si>
    <t>AndFel Corporation</t>
  </si>
  <si>
    <t>http://www.andfel.com</t>
  </si>
  <si>
    <t>mailto:sales@andfel.com</t>
  </si>
  <si>
    <t>Other Miscellaneous Manufacturing</t>
  </si>
  <si>
    <t>Anderson + Bohlander, LLc</t>
  </si>
  <si>
    <t>="Anderson + Bohlander, LLC is an urban design, landscape architecture and planning firm founded by principals Joshua D. Anderson, RLA and Jon Bohlander, RLA, with over twenty years of combined professional experience on significant design, planning and development projects throughout the Midwest. Anderson + Bohlander has provided design leadership for many notable clients and projects, including public and private neighborhood planning and infrastructure improvements, healthcare related planning and design, and transit-oriented development planning and analysis. Anderson + Bohlander, LLC is committed to providing thoughtful, creative and contemporary solutions for our clients that are responsive to our built environment, our neighborhoods and our cities. We look forward to working with you."</t>
  </si>
  <si>
    <t>http://www.andersonbohlander.com</t>
  </si>
  <si>
    <t>mailto:jon@andersonbohlander.com</t>
  </si>
  <si>
    <t>Landscape Architectural Services</t>
  </si>
  <si>
    <t>Anderson Enterprises</t>
  </si>
  <si>
    <t>mailto:aenterprises2@indy.rr.com</t>
  </si>
  <si>
    <t>Anderson Excavating, Inc.</t>
  </si>
  <si>
    <t>Anderson Township Fire Department</t>
  </si>
  <si>
    <t>Fire Protection</t>
  </si>
  <si>
    <t>Anderson University, Inc.</t>
  </si>
  <si>
    <t>="Anderson University is a four-year liberal arts institution of approximately 2,800 undergraduate and graduate students. Established in 1917 by the Church of God, the university offers more than 60 undergraduate majors and graduate programs in theology, business and education. Professional Development Services is a new department for Anderson University, providing training and workforce development to improve the economic viability of our community."</t>
  </si>
  <si>
    <t>http://www.anderson.edu</t>
  </si>
  <si>
    <t>mailto:pds@anderson.edu</t>
  </si>
  <si>
    <t>Anderson's of Indianapolis LLC</t>
  </si>
  <si>
    <t>="Anderson’s of Indianapolis: We offer a broad range of services that can be tailored to meet your needs and our company is fully licensed and insured to give you the confidence that qualified personnel are handling your job. Cleaning is available to fit your needs … • daily • weekly • monthly... Services include: • AC Intake Vent Cleaning • Baseboard Cleaning • Blind Cleaning • Cleaning For Special Events • Construction Final Cleanup • Dusting • Free Quality Control Survey • General Office Cleaning • Janitorial Services • Move In/Out Cleaning • Parking Lot Maintenance • Restroom Cleaning and Sanitization • Vacuuming • ...And Much More Our Guarantee • Competitive and affordable pricing • Confidence that your request will be followed through • Personalized manager or supervisor on duty Advantages • Cost effectiveness reducing overhead expense • Better results • Reduce your company's insurance liability, benefits and taxes • Savings on"</t>
  </si>
  <si>
    <t>mailto:kganderson@prodigy.net</t>
  </si>
  <si>
    <t>Andersons' Sales</t>
  </si>
  <si>
    <t>mailto:info@andersonssales.com</t>
  </si>
  <si>
    <t>Andis Plumbing, Inc.</t>
  </si>
  <si>
    <t>Andrade Multilingual Training &amp; Consulti</t>
  </si>
  <si>
    <t>mailto:andradeservices@inbox.com</t>
  </si>
  <si>
    <t>Andrea Helton</t>
  </si>
  <si>
    <t>http://www.artisticinteriorsky.com</t>
  </si>
  <si>
    <t>mailto:artisticinteriorsky@yahoo.com</t>
  </si>
  <si>
    <t>Andrel Ray &amp; Associates Professional Inv</t>
  </si>
  <si>
    <t>Andrew L Snyder</t>
  </si>
  <si>
    <t>Andry's Fish Farm, LLC</t>
  </si>
  <si>
    <t>="Andry's Fish Farm, LLC. 10923 E. Conservation Club Rd. Birdseye, IN 47513 Phone: 1-812-389-2448 For all your pond stocking needs, give us a call. We carry Channel Catfish, Hybrid Bluegill, Regular Bluegill, Redear, Fathead Minnows, Triploid Grass Carp, Black Crappie, Largemouth Bass, Bullfrog Tadpoles, Koi and Goldfish."</t>
  </si>
  <si>
    <t>mailto:andrysfishfarm@psci.net</t>
  </si>
  <si>
    <t>Finfish Farming and Fish Hatcheries</t>
  </si>
  <si>
    <t>Andy Easley Engineering, Inc.</t>
  </si>
  <si>
    <t>http://easleyengineering.com</t>
  </si>
  <si>
    <t>mailto:easleyengineering.com</t>
  </si>
  <si>
    <t>Andy K. Drummond</t>
  </si>
  <si>
    <t>="Budget Group Professional Janitorial Service Commercial Floor Maintenance Professional Carpet Extraction Expert Window Cleaning Mission: To provide the offices, medical buildings, retailers, &amp; industrial community of Ft. Wayne a lasting solution to all of their janitorial needs by offering a quality option to improve their daily readines, lower their overall maintenance costs, and increase their publics perception."</t>
  </si>
  <si>
    <t>mailto:budgetgroup@hotmail.com</t>
  </si>
  <si>
    <t>Anelena Ackerly</t>
  </si>
  <si>
    <t>="I am a real estate appraiser who has been doing business in Indiana since 1996 and I have worked all over the State since that time. I have been a real estate appraiser for over 20 years (since 1980) and as a result I have come across a wide variety of property types and appraisal problems. I have a strong background in all types of commercial; industrial; residential - multifamily and single-family, including senior retirement and assisted living facilities; and a broad range of special use properties. Assignments have been completed for financial institutions, government and public agencies, developers and attorneys. Market studies and market feasibility studies are also provided."</t>
  </si>
  <si>
    <t>mailto:aackerly@indy.rr.com</t>
  </si>
  <si>
    <t>Angel Abatement, LLC</t>
  </si>
  <si>
    <t>Remediation Services</t>
  </si>
  <si>
    <t>Angel Falls Water Co</t>
  </si>
  <si>
    <t>http://angelfallswater.com</t>
  </si>
  <si>
    <t>mailto:angelfallswater@verizon.net</t>
  </si>
  <si>
    <t>Bottled Water Manufacturing</t>
  </si>
  <si>
    <t>Angel Oak Tree Care - Angel's Touch Lawn</t>
  </si>
  <si>
    <t>http://www.angeloaktreecare.com</t>
  </si>
  <si>
    <t>mailto:scourch576@aol.com</t>
  </si>
  <si>
    <t>Angel's Wings, Inc.</t>
  </si>
  <si>
    <t>="Angel's Wings, Inc. is a non-profit organization dedicated to promoting family preservation by providing alternative residential placement for children of offenders, fostering mentor relationships with pregnant offenders, and assisting female ex-offenders in the successful re-integration into the community"</t>
  </si>
  <si>
    <t>http://www.angelswingsinc.org</t>
  </si>
  <si>
    <t>mailto:info@angelswingsinc.org</t>
  </si>
  <si>
    <t>Angola Lumber Co Inc</t>
  </si>
  <si>
    <t>Animal Protection Coalition Inc</t>
  </si>
  <si>
    <t>http://www.animalprotectioncoalition.org</t>
  </si>
  <si>
    <t>mailto:kathryn@animalprotectioncoalition.org</t>
  </si>
  <si>
    <t>Pet Care (except Veterinary) Services</t>
  </si>
  <si>
    <t>Anita Machine &amp; Tool, Inc.</t>
  </si>
  <si>
    <t>http://www.anitamachine-n-tool.net</t>
  </si>
  <si>
    <t>mailto:amti@comcast.net</t>
  </si>
  <si>
    <t>Anita Williams</t>
  </si>
  <si>
    <t>Ann Henk</t>
  </si>
  <si>
    <t>mailto:ovcarpet@ccrtc.com</t>
  </si>
  <si>
    <t>Floor Covering Stores</t>
  </si>
  <si>
    <t>Ann Marischen</t>
  </si>
  <si>
    <t>Ann Mason</t>
  </si>
  <si>
    <t>mailto:amason@indy.net</t>
  </si>
  <si>
    <t>Ann Overmyer, R.D.</t>
  </si>
  <si>
    <t>Offices of All Other Miscellaneous Health Practitioners</t>
  </si>
  <si>
    <t>Anna Mario's Inc</t>
  </si>
  <si>
    <t>="Anna Mario's All Natural Authentic Pasta Sauce has been sold in Indiana since 1962 in a small meat market and Itallian deli in Elkhart, Indiana. In 2002 we formed a corporation to further the sales of our pasta sauce hopefully world- wide. We make one of the few Heart Accredited pasta sauces in the country. We are all natural, low in sodium, low in carbs and have no fat. Anna Mario's is available for both wholesale and retail purchases."</t>
  </si>
  <si>
    <t>http://annamarios.com</t>
  </si>
  <si>
    <t>mailto:lbell@annamarios.com</t>
  </si>
  <si>
    <t>Grocery and Related Product Wholesalers</t>
  </si>
  <si>
    <t>Annas ALL-STAR Printing</t>
  </si>
  <si>
    <t>mailto:Anna.Hinton@ndwave.com</t>
  </si>
  <si>
    <t>Anne Thompson</t>
  </si>
  <si>
    <t>="Provides organization, team and leadership development services to for profit and non profit organizations. Expertise includes executive coaching, organization diagnosis/analysis/action planning, culture change, leadership development, team development, adult learning, instructional design and delivery"</t>
  </si>
  <si>
    <t>mailto:athomp56@comcast.net</t>
  </si>
  <si>
    <t>Annie's Cafe LLC</t>
  </si>
  <si>
    <t>mailto:annie_engle@yahoo.com</t>
  </si>
  <si>
    <t>Anointed Hands LLC</t>
  </si>
  <si>
    <t>="Anointed Hands provides interpreters for the deaf and hard of hearing in the city of Indianapolis and the state of Indiana. In addition to the interpretation services we also offer signing classes and workshops as well as consulting on how and when to use interpreters."</t>
  </si>
  <si>
    <t>http://ouranointedhands.com</t>
  </si>
  <si>
    <t>mailto:lisa.warren@ouranointedhands.com</t>
  </si>
  <si>
    <t>Anootech, LLC</t>
  </si>
  <si>
    <t>mailto:mayusri@gmail.com</t>
  </si>
  <si>
    <t>Antal Building Corp</t>
  </si>
  <si>
    <t>="I am a general contractor with 19 years of experience in the construction industry, and have owned my own business since 1997. I have a bachelor's degree in Engineering from Purdue University (1990). Construction projects I'm seeking to bid would be in the $50,000 to $2,000,000 price range. Projects would be light commercial to commercial in nature. New construction as well as remodeling work."</t>
  </si>
  <si>
    <t>mailto:abcorp@comcast.net</t>
  </si>
  <si>
    <t>Anthem Insurance Companies, Inc.</t>
  </si>
  <si>
    <t>http://www.anthem.com</t>
  </si>
  <si>
    <t>Anthis Heating &amp; Air</t>
  </si>
  <si>
    <t>http://www.anthisheating.com</t>
  </si>
  <si>
    <t>Anthony Anderson Corporation</t>
  </si>
  <si>
    <t>="Our business is 80% owned by a hispanic Female. We are a non-union construction painting &amp; wallcovering business. We have work for a couple insurance companies workin on hotels. We do major construction projects like the New Hamilton Southeastern School. Columbus Surgery Center project. We are also a maintence painter for Indiana State University. more upon request."</t>
  </si>
  <si>
    <t>Anthony Burkhart</t>
  </si>
  <si>
    <t>mailto:tburkhart@burkhartinsurance.com</t>
  </si>
  <si>
    <t>Real Estate and Rental and Leasing</t>
  </si>
  <si>
    <t>Anthony Joseph Lee Bath</t>
  </si>
  <si>
    <t>="1-877-4GO-JUNK LLC is owned and operated by a veteran and police officer with the Indianapolis Metro Police Department. Our primary service is junk and debris removal but we also do bush hog work and field mowing. We are capable of mowing large tracts of land along interstates and roadways."</t>
  </si>
  <si>
    <t>http://www.gojunkindy.com</t>
  </si>
  <si>
    <t>mailto:info@gojunkindy.com</t>
  </si>
  <si>
    <t>Anthony Pelezo, MD</t>
  </si>
  <si>
    <t>mailto:erdoctor35@aol.com</t>
  </si>
  <si>
    <t>Anthony Wayne Commercial Finance Co</t>
  </si>
  <si>
    <t>mailto:anthonyloans@aol.com</t>
  </si>
  <si>
    <t>Secondary Market Financing</t>
  </si>
  <si>
    <t>Anthony Wayne Rehabilitation &amp; Blind</t>
  </si>
  <si>
    <t>="Post Masters provides a full line of mailing services to include daily first class presort, Intelligent inserting, Inkjet addressing of a variety of mail types, application of wafer seals, metering, collateral fulfillment, CASS certifcation, printing of invoices, statements and a varity of customer laser letters. Highway Safety Specialist is a manufacturer and supplier of a complete line of Highway Safety Products that include, cones, drums , portable signage, barricades, concrete barrier and guardrail delineators and message boards."</t>
  </si>
  <si>
    <t>http://www.AWSUSA.com</t>
  </si>
  <si>
    <t>mailto:garyj@awsusa.com</t>
  </si>
  <si>
    <t>Anthony-Patrick Insurance Corp.</t>
  </si>
  <si>
    <t>mailto:diane@anthonyp.com</t>
  </si>
  <si>
    <t>Antioch PC Doctor</t>
  </si>
  <si>
    <t>http://www.antiochpc.com</t>
  </si>
  <si>
    <t>mailto:kevin@antiochpc.com</t>
  </si>
  <si>
    <t>Antreasian Design, Inc.</t>
  </si>
  <si>
    <t>="Antreasian Design, Inc. (ADI) was established in 1990 by the current owners and operators, Cris and Mark Antreasian. ADI is a manufacturer and designer of fine custom wood and plastic laminate products including: custom furniture, custom cabinetry, architectural millwork, custom bookcases and entertainment centers, store fixtures, conference tables, reception desks, and restaurant and bar casework and millwork. Antreasian Design is a Quality Certified member (QCP) of the Architectural Woodwork Institute (AWI). ADI specializes in customer satisfaction, design expertise and technical support, furniture quality finishing, full manufacturing capability, top quality products at competitive prices, and a complete woodworking package including professional installation and Solid Surface products, if desired. Estimates are available at no charge. ADI is experienced in commercial and residential work. References available. We would appreciate the opportunity to work with you!"</t>
  </si>
  <si>
    <t>http://www.adiarchwood.com</t>
  </si>
  <si>
    <t>mailto:info@adiarchwood.com</t>
  </si>
  <si>
    <t>Custom Architectural Woodwork and Millwork Manufacturing</t>
  </si>
  <si>
    <t>Antz Hill Landscape Corp</t>
  </si>
  <si>
    <t>="Antz Hill Landscape is a full-service landscaping firm that believes in environmental improvement as an extension of character of your home or business. Through professional landscape horticulture our team works cooperatively with customers to design, install, and maintain the highest quality landscapes that provide a comfortable escape from hectic everyday life. Marketing Slogan: Antz Hill Landscape Corp. “Quality Everyone Can Afford”"</t>
  </si>
  <si>
    <t>mailto:antzlandscaping@gmail.com</t>
  </si>
  <si>
    <t>Anylawn</t>
  </si>
  <si>
    <t>mailto:anylawn@insightbb.com</t>
  </si>
  <si>
    <t>Anything For A Buck Services</t>
  </si>
  <si>
    <t>mailto:a1jtp@yahoo.com</t>
  </si>
  <si>
    <t>Wood Product Manufacturing</t>
  </si>
  <si>
    <t>Aon Corporation</t>
  </si>
  <si>
    <t>http://www.aon.com</t>
  </si>
  <si>
    <t>mailto:terry.quinn@aon.com</t>
  </si>
  <si>
    <t>Apex Benefits Group,</t>
  </si>
  <si>
    <t>http://www.apexbenefitsgroup.com</t>
  </si>
  <si>
    <t>mailto:cvitales@apexbenefitsgroup.com</t>
  </si>
  <si>
    <t>Apex Concrete Corp.</t>
  </si>
  <si>
    <t>mailto:apexconcrete1@live.com</t>
  </si>
  <si>
    <t>Apex Medical Supply and Equipment Inc.</t>
  </si>
  <si>
    <t>http://www.apexmedicalproducts.com</t>
  </si>
  <si>
    <t>mailto:lgarner01@hotmail.com</t>
  </si>
  <si>
    <t>Apex Metal Exteriors</t>
  </si>
  <si>
    <t>Apex Vehicle Maintenance, Inc</t>
  </si>
  <si>
    <t>http://www.apexvehiclemaintenance.com</t>
  </si>
  <si>
    <t>mailto:info@apexvehiclemaintenance.com</t>
  </si>
  <si>
    <t>General Automotive Repair</t>
  </si>
  <si>
    <t>Apollo America Corp.</t>
  </si>
  <si>
    <t>="Many of the largest lubricant users, including major automotive manufacturers in the U.S., Japan, and Korea, turn to Apollo America to blend high quality lubricants to exact specifications while utilzing our worldwide resources to meet their diverse needs. Apollo America manufactures lubricants for automotive and off-road vehicles as well as lubricants for maintenance, metalworking, and air conditioning and stationary compressor lubricants for various parts and equipment manufacturers around the world. We are a customer-focused company, totally committed to suppplying the highest quality customer-specific products and services."</t>
  </si>
  <si>
    <t>http://www.apolloamerica.com</t>
  </si>
  <si>
    <t>mailto:info@apolloamerica.com</t>
  </si>
  <si>
    <t>Petroleum Lubricating Oil and Grease Manufacturing</t>
  </si>
  <si>
    <t>Apostolic Christian Children's Home</t>
  </si>
  <si>
    <t>="Apostolic Christian Children’s Home (DBA Gateway Woods) is a 501(c)(3) non profit organization. Founded in 1976, it is dedicated to providing services to abused, neglected, troubled, and parentless children primarily from Northeast Indiana. Gateway Woods is located on a 50- acre campus in Leo, Indiana, and has provided services to hundreds of teens and families since 1976. Our current programs include therapeutic and specialized foster care, an accredited alternative school, home-based services, international and domestic adoption, and residential treatment for troubled and at-risk teens, pregnant teens, and teen mothers."</t>
  </si>
  <si>
    <t>http://www.gatewaywoods.org</t>
  </si>
  <si>
    <t>mailto:mail@gatewaywoods.org</t>
  </si>
  <si>
    <t>Apparatus Service</t>
  </si>
  <si>
    <t>http://apparatus-service.com/</t>
  </si>
  <si>
    <t>mailto:jbrenner@donleysafety.com</t>
  </si>
  <si>
    <t>Consumer Electronics Repair and Maintenance</t>
  </si>
  <si>
    <t>Apparatus, Inc.</t>
  </si>
  <si>
    <t>="Apparatus is a leading provider of managed IT solutions, specializing in collaboration, unified communications, data and mobility services. Each managed services offering includes ongoing live support, remote monitoring, reporting and analysis. The tech-leading company manages Global infrastructure for clients ranging from mid-market to Fortune 500 companies. Apparatus has been recognized as one of the Top Global Managed Service Providers worldwide."</t>
  </si>
  <si>
    <t>http://www.apparatus.net</t>
  </si>
  <si>
    <t>mailto:sales@apparatus.net</t>
  </si>
  <si>
    <t>Computer Facilities Management Services</t>
  </si>
  <si>
    <t>Apple Contracting Corp</t>
  </si>
  <si>
    <t>mailto:Lynnette@bngas.com</t>
  </si>
  <si>
    <t>Apple Contracting, Inc.</t>
  </si>
  <si>
    <t>mailto:schitter@evansville.net</t>
  </si>
  <si>
    <t>Highway and Street Construction</t>
  </si>
  <si>
    <t>Apple Electric Inc.</t>
  </si>
  <si>
    <t>http://www.appleelectric.net</t>
  </si>
  <si>
    <t>mailto:info@appleelectric.net</t>
  </si>
  <si>
    <t>Apple Enterprises LLC</t>
  </si>
  <si>
    <t>="We are a distributor of wire to miltary accounts and commerical accounts.We deal with composite cables, coaxial cables,high temp commerical, hook-up wire ,and miltary hookup wire,UL/CSA hook-up wire,mult-conductor cable and maerospace miltary fiber otics wire.We can usuall get most kind of wire you might need. Aerospace, Military, Building, Electrical, Electronic Wire Cable Aerospace/Airframe Wire Military/Aerospace Fiber Optics BMS, M22759, M25038, M81044 M85045, OC1011, OC1260, OC1381, M81381, M81822 OC1468, OC1698, OC1750, 5M2551 Coaxial Cable Military/Aerospace Multi-conductor Cable Mil-C17, Miniature, RG Boeing S280, M13777, M24640, M24643, "</t>
  </si>
  <si>
    <t>http://www.appleenterprises.net</t>
  </si>
  <si>
    <t>mailto:brad342002@yahoo.com</t>
  </si>
  <si>
    <t>Electrical Apparatus and Equipment, Wiring Supplies, and Related Equipment Merchant Wholesalers</t>
  </si>
  <si>
    <t>AppleCrossing.com LLC</t>
  </si>
  <si>
    <t>="AppleCrossing offers world class repair services specializing in iPads and iPhones. All repairs are backed by an industry-leading 90 day warranty. Some of the repair services we offer include Glass Digitizer Replacement, LCD Repair/Replacement, Volume/Power/Home Button Repair and Speaker/Microphone Repair. We are a locally owned and operated company based in Carmel, IN with a presence in Canton, MI. We believe in giving back to the community and are involved in a number of charities such as Shepherds of Hamilton County, Miles for Mankind, and Team World Vision. Here at AppleCrossing, we pride ourselves on “doing what is right” and try to apply this to all relationships with our customers, partners, team members and anyone else connected to AppleCrossing."</t>
  </si>
  <si>
    <t>http://www.AppleCrossingRepair.com</t>
  </si>
  <si>
    <t>mailto:support@applecrossing.com</t>
  </si>
  <si>
    <t>Nonstore Retailers</t>
  </si>
  <si>
    <t>Applebaum Enterprises LLC</t>
  </si>
  <si>
    <t>="Renue Systems has over 30 years of experience in the deep restorative cleaning industry. Whether it is carpet cleaning, drapes and upholstery cleaning, tile and grout restoration, or marble/natural stone restoration, we have the knowledge and the equipment to get the job done right."</t>
  </si>
  <si>
    <t>http://www.renuesystems.com</t>
  </si>
  <si>
    <t>mailto:alan.applebaum@renuesystems.com</t>
  </si>
  <si>
    <t>Applegate's Seed House</t>
  </si>
  <si>
    <t>All Other Miscellaneous Crop Farming</t>
  </si>
  <si>
    <t>Applied Coatings Inc</t>
  </si>
  <si>
    <t>Applied Logistics Services, Inc.</t>
  </si>
  <si>
    <t>http://applied-logistics-services.com</t>
  </si>
  <si>
    <t>mailto:wolf.als@centurytel.net</t>
  </si>
  <si>
    <t>Applied Optimization Incorporated</t>
  </si>
  <si>
    <t>http://www.applied-optimization.com</t>
  </si>
  <si>
    <t>mailto:vijay@applied-optimization.com</t>
  </si>
  <si>
    <t>Applied Technology</t>
  </si>
  <si>
    <t>="Applied Technology, Inc. (ATI) is a Certified MBE with ISO14001/9001 Certification providing Environmental Management Services to the government and private industry for over 15 years. ATI provides Remediation Services, and Waste Management Services, to include site management, labpacking, waste characterization, and compliance assistance."</t>
  </si>
  <si>
    <t>http://www.apptechinc.com</t>
  </si>
  <si>
    <t>mailto:toatess@apptechinc.com</t>
  </si>
  <si>
    <t>Applied Technology Group, Inc.</t>
  </si>
  <si>
    <t>http://ATGfw.com</t>
  </si>
  <si>
    <t>mailto:Sales@ATGfw.com</t>
  </si>
  <si>
    <t>Appraisal Resource</t>
  </si>
  <si>
    <t>mailto:appraisalresource@earthlink.net</t>
  </si>
  <si>
    <t>Appraisal Services Group, Inc.</t>
  </si>
  <si>
    <t>http://ww.getqualityappraisals.com</t>
  </si>
  <si>
    <t>mailto:kimely@earthlink.net</t>
  </si>
  <si>
    <t>Appraisal Services of Jefferson Co., Inc</t>
  </si>
  <si>
    <t>http://www.appraisalservicesofjeffco.com</t>
  </si>
  <si>
    <t>mailto:tabasham@hotmail.com</t>
  </si>
  <si>
    <t>Appraisal Services of Lafayette, Inc</t>
  </si>
  <si>
    <t>http://N/A</t>
  </si>
  <si>
    <t>mailto:JanAbney@comcast.net</t>
  </si>
  <si>
    <t>Appraisals Unlimited of Indiana, LLC</t>
  </si>
  <si>
    <t>http://www.auoi.com</t>
  </si>
  <si>
    <t>mailto:jfife11@comcast.net</t>
  </si>
  <si>
    <t>Appraisers, Inc.</t>
  </si>
  <si>
    <t>Appraising Indiana</t>
  </si>
  <si>
    <t>="Certified General Appraiser providing commercial, right-of-way (eminent domain), and residential appraisal services. Right-of-way and commercial, statewide coverage. Approved through the State of Indiana as a qualified appraiser and review appraiser for local and state projects."</t>
  </si>
  <si>
    <t>http://www.appraisingindiana.net</t>
  </si>
  <si>
    <t>mailto:jwest@appraisingindiana.net</t>
  </si>
  <si>
    <t>Appreciate Carpet Cleaning &amp; Janitorial</t>
  </si>
  <si>
    <t>="We clean carpets using a new revoloutionary dry foam which breaks down stubborn stains with a rotary brush and restores old carpet fibers. We also offer janitorial services with packages that include our carpet cleaning methods. Our slogan is 'We're working to make you Appreciate Carpet Cleaning'. We care enough for a result and will most certainly attain it!"</t>
  </si>
  <si>
    <t>http://www.appreciatecarpetcleaning.com</t>
  </si>
  <si>
    <t>mailto:appreciatecarpetcleaning@yahoo.com</t>
  </si>
  <si>
    <t>Apria Healthcare, Inc.</t>
  </si>
  <si>
    <t>="Our company is now among the nation's largest integrated homecare companies providing the most comprehensive range of services available to patients in 50 states. Apria Healthcare directly provides infusion therapy service, all levels of respiratory care, and home medical equipment."</t>
  </si>
  <si>
    <t>http://www.apria.com</t>
  </si>
  <si>
    <t>mailto:agreements@apria.com</t>
  </si>
  <si>
    <t>April Beach</t>
  </si>
  <si>
    <t>mailto:dustbunnies4u@sbcglobal.net</t>
  </si>
  <si>
    <t>April Eichenberg</t>
  </si>
  <si>
    <t>="Full service graphic designer, providing creative concepts from design to final production for marketing materials such as: - packaging - manuals - brochures - trade show graphics - retail signage - ads - logos - stationery Additional Services: -photo retouch and outlining -layout of packages lines and marketing materials following established graphic guidelines -production of existing design files to ensure proper printing -correspondence and collaboration with outside print vendors to achieve desired print quality"</t>
  </si>
  <si>
    <t>mailto:eichenbergapril@gmail.com</t>
  </si>
  <si>
    <t>Aprimo</t>
  </si>
  <si>
    <t>="Aprimo provides an integrated suite of software products that is designed for the marketing function. By offering a web based integrated suite of software modules Aprimo provides solutions for Planning and Financial Management, Production Management, Fulfillment and Delivery, Campaign and Lead Management. Aprimo has deployed our application to over 75 global companies across 11 verticals."</t>
  </si>
  <si>
    <t>http://www.aprimo.com</t>
  </si>
  <si>
    <t>mailto:info@aprimo.com</t>
  </si>
  <si>
    <t>Apropos Custom Products &amp; Marketing</t>
  </si>
  <si>
    <t>="Apropos Custom Products specializes in best quality products at competitive pricing due to our low overhead. Creative design, top notch customer service and attention to detail. Apropos uses promotional products in creative ways to support advertising and marketing programs for businesses of all sizes, schools, churches, sports teams &amp; special events. Our creativity maximizes budgets small and large. Contact us today."</t>
  </si>
  <si>
    <t>http://www.aproposcustomproducts.com</t>
  </si>
  <si>
    <t>mailto:anne@aproposcustomproducts.com</t>
  </si>
  <si>
    <t>Apsurge Inc.</t>
  </si>
  <si>
    <t>http://www.apsurge.com</t>
  </si>
  <si>
    <t>mailto:contact@apsurge.com</t>
  </si>
  <si>
    <t>Aqua Utility Services LLC</t>
  </si>
  <si>
    <t>http://www.ausllc.com</t>
  </si>
  <si>
    <t>mailto:stolliver@hughesgrp.com</t>
  </si>
  <si>
    <t>Water, Sewage and Other Systems</t>
  </si>
  <si>
    <t>AquaScapes</t>
  </si>
  <si>
    <t>http://www.aquascapepaddler.com</t>
  </si>
  <si>
    <t>mailto:mateo@aquascapepaddler.com</t>
  </si>
  <si>
    <t>All Other Amusement and Recreation Industries</t>
  </si>
  <si>
    <t>Aquatic Control, Inc.</t>
  </si>
  <si>
    <t>http://www.aquaticcontrol.com</t>
  </si>
  <si>
    <t>mailto:sales@aquaticcontrol.com</t>
  </si>
  <si>
    <t>Other Chemical and Allied Products Merchant Wholesalers</t>
  </si>
  <si>
    <t>Aquatic Weed Control</t>
  </si>
  <si>
    <t>http://www.aquaticweedcontrol</t>
  </si>
  <si>
    <t>mailto:jim@aquaticweedcontrol.com</t>
  </si>
  <si>
    <t>Arbor Glen Cabinet Company</t>
  </si>
  <si>
    <t>http://www.arborglencabinets.com</t>
  </si>
  <si>
    <t>mailto:bob@arborglencabinets.com</t>
  </si>
  <si>
    <t>Arborterra Consulting Inc.</t>
  </si>
  <si>
    <t>="ArborTerra Consulting provides expert consulting services and products in forestry and erosion control systems. CONSULTING SERVICES -Forestry Consulting Forest Management Planning-----Reforestation Tree Planting-----Timber Inventory &amp; Appraisal-----Timber Stand Improvement-----Timber Marketing &amp; Sales Administration-----Riparian Buffer Establishment-----Invasive weed management -----Tree seedlings -Erosion Control Planning Erosion Control products such as straw blankets and cover crop seed-----Planning &amp; Review-----Conservation Compliance Management-----Project Management &amp; Oversight-----Implementation of Erosion &amp; Sediment Control Measures -Wetlands Consulting Design and Creation-----Restoration-----Bioengineering -Urban Forest Management Preservation &amp; Protection of Existing Resources-----Street Tree Inventory &amp; Assessment-----Topsoil Management-----Insurance Appraisal----- Reduce Forest Fragmentation"</t>
  </si>
  <si>
    <t>http://www.arborterra.com</t>
  </si>
  <si>
    <t>mailto:mwarner@arborterra.com</t>
  </si>
  <si>
    <t>Support Activities for Forestry</t>
  </si>
  <si>
    <t>Arc Rehab Services</t>
  </si>
  <si>
    <t>="Provide social services for children and adults in greater Boone County. Services include food vouchers and nutrition education for women, infants and children through WIC; daily living skill training for adults with intellectual and developmental disabilities and work skill training for adults with disabilities."</t>
  </si>
  <si>
    <t>http://www.thearcgbc.org</t>
  </si>
  <si>
    <t>mailto:info@thearcgbc.org</t>
  </si>
  <si>
    <t>Arc Welding Supply Company Inc.</t>
  </si>
  <si>
    <t>="At Arc Welding Supply Co. we sell welding, industrial, safety products from all of the major manufacturers. It is our goal to provide the highest quality products and services to our customers. We build our inventory around the needs of our customers, and ship at a 92 to 98 percent rate.Although we are a small company, we take pride in being price competitive, efficient and courteous. We will always return your calls and email promptly and any questions you have will be answered to the best of our knowledge."</t>
  </si>
  <si>
    <t>http://www.arcweldsupply.com</t>
  </si>
  <si>
    <t>mailto:sales@arcweldsupply.com</t>
  </si>
  <si>
    <t>ArcLine Solutions LLC</t>
  </si>
  <si>
    <t>="We are a Service Disabled Veteran Owned Small Business. We specialize in the commercial and industrial electrical fields, but have additional expertise in general contracting, project management, heavy and highway construction. We are also an electrical wiring harness and connector factory distributor, as well as electrical control panels, standby power generation install and maintenance. Additionally, we have deep industry knowledge of green and alternative technology applications."</t>
  </si>
  <si>
    <t>http://www.arclinesolutions.pcriot.com</t>
  </si>
  <si>
    <t>mailto:info@arclinesolutions.pcriot.com</t>
  </si>
  <si>
    <t>Arcea Zapata de Aston</t>
  </si>
  <si>
    <t>="Languages &amp; Culture In Action offers the following services: Language Instruction: Immersion, Private, and Group, All ages Kinder Language (9 Months &amp; up, Kids/Parents or Kids Only) Tutoring English as a second language instruction Translation and interpreting Editing Narration Workplace Based Instruction Special Need Language Classes: Medical, Legal, Business, Banking, etc. Language and Culture Workshops Educational Material Design Cultural Awareness in the Workplace Seminars Hispanic Culture In Business Seminars Cultural &amp; Inter-cultural Communication Workshops Hispanic/Latino community Survey &amp; Research in the Evansville area Hispanic/Latino community Event Organization Language Course Design Service Learning &amp; Community Service Courses &amp; Project Development &amp; Administration"</t>
  </si>
  <si>
    <t>mailto:arcea.zapata@gmail.com</t>
  </si>
  <si>
    <t>Archanet Technologies</t>
  </si>
  <si>
    <t>http://www.archanet.com</t>
  </si>
  <si>
    <t>mailto:mike@archanet.com</t>
  </si>
  <si>
    <t>Archer Interiors, In</t>
  </si>
  <si>
    <t>mailto:Archerintinc@aol.com</t>
  </si>
  <si>
    <t>Drywall and Insulation Contractors</t>
  </si>
  <si>
    <t>Architectural Glass Systems, Inc.</t>
  </si>
  <si>
    <t>http://www.agsglassinc.com</t>
  </si>
  <si>
    <t>mailto:aarondrysdale@comcast.net</t>
  </si>
  <si>
    <t>Glass and Glazing Contractors</t>
  </si>
  <si>
    <t>Architectural High Performance Products</t>
  </si>
  <si>
    <t>="We fabricate aluminum and steel and apply a Kynar 500 bake-on paint that is warranty for up to 20 years to not fade, chip and/or peel. We also weld aluminum tig and mig. Fabricate; Coping, downspouts, fascia, gutters, panels, canopies etc. If it's aluminum we can fabricate it and paint it!"</t>
  </si>
  <si>
    <t>mailto:mgmnicolee@aol.com</t>
  </si>
  <si>
    <t>Sheet Metal Work Manufacturing</t>
  </si>
  <si>
    <t>Architectural Openings, LLC</t>
  </si>
  <si>
    <t>Architectural Sprayers inc</t>
  </si>
  <si>
    <t>="Through the application of polyurethane foams, we provide ultra energy efficient insulation and create cleaner, quieter, more comfortable structures that use less energy. With a professional engineering firm as a partner, we deliver a systems solution to the challenges of properly insulating various structures."</t>
  </si>
  <si>
    <t>mailto:foamhome@sbcglobal.net</t>
  </si>
  <si>
    <t>Architectural Technology Services LLC</t>
  </si>
  <si>
    <t>mailto:dbardash@aol.com</t>
  </si>
  <si>
    <t>Architecture Trio, Inc</t>
  </si>
  <si>
    <t>http://www.archtrio.com</t>
  </si>
  <si>
    <t>mailto:pat@archtrio.com</t>
  </si>
  <si>
    <t>Architura Corporation</t>
  </si>
  <si>
    <t>="Architectural &amp; Engineering Design Firm: Our mission at Architura is to provide design excellence and quality products with an emphasis on personal services delivered with integrity, knowledge and skill. Our company provides architectural and engineering services for a variety of needs, with an expert focus on commercial, institutional, historic, religious, indusstrial and private projects. Our diverse staff provides a variety of international language and cultural skills, as well as an advanced use of digital presentation and graphic techniques. Our office in the historic Circle Tower Building overlooks beautiful Monument Circle on the corner of East Market and Monument Circle a the Crossroads of America."</t>
  </si>
  <si>
    <t>http://www.archituracorp.com</t>
  </si>
  <si>
    <t>mailto:lynn@archituracorp.com</t>
  </si>
  <si>
    <t>Ardizzone Enterprises, Inc.</t>
  </si>
  <si>
    <t>http://ardizzoneenterprises.com</t>
  </si>
  <si>
    <t>mailto:toatess@ardizzoneenterprises.com</t>
  </si>
  <si>
    <t>Area Wide Electric</t>
  </si>
  <si>
    <t>Arena Surveying, LLC</t>
  </si>
  <si>
    <t>Arexco, Inc.</t>
  </si>
  <si>
    <t>mailto:arexco@hughes.net</t>
  </si>
  <si>
    <t>Argent Financial Services, LLC</t>
  </si>
  <si>
    <t>Argo Consulting Engineers, Inc.</t>
  </si>
  <si>
    <t>http://www.argoce.com</t>
  </si>
  <si>
    <t>mailto:argo@argoce.com</t>
  </si>
  <si>
    <t>Aries Professional Cleaning dbaJani-King</t>
  </si>
  <si>
    <t>="I am an authorized franchise owner of an international cleaning company, Jani-King. My business performs general cleaning duties for offices, doctors offices, hospitals, schools,and post-construction clean-up etc. Additionally I offer floor stripping and waxing, along with carpet and furniture cleaning. Furthermore, with my professional cleaning services, customer satisfaction with good communications is another top priority! That's my ""White Glove Service""."</t>
  </si>
  <si>
    <t>http://www.Jani-King.com</t>
  </si>
  <si>
    <t>mailto:pspearmon@aol.com</t>
  </si>
  <si>
    <t>Ark IT Solutions LLC</t>
  </si>
  <si>
    <t>="Ark IT Solutions provides business software technology consulting and integration services. We specialize in providing strategic information technology consulting along with turn-key implementation services in website application development, custom software design and Enterprise Resource Planning solutions management. Our season experts with over fifteen years of experience bring a depth of knowledge and expertise that sets us apart from other technology firms. Our flexible, scalable methodology ensures that each client is treated uniquely and that a custom experience and product is delivered that incorporates seamlessly into the existing technology infrastructure. Ark IT has also partnered with several strategic partners locally to ensure that most needs of a client are met with an engagement with our team."</t>
  </si>
  <si>
    <t>http://www.ark-itsolutions.com</t>
  </si>
  <si>
    <t>mailto:info@ark-itsolutions.com</t>
  </si>
  <si>
    <t>Armada Optical Services,Inc</t>
  </si>
  <si>
    <t>http://www.armadaoptical.com</t>
  </si>
  <si>
    <t>mailto:lmiller@armadaoptical.com</t>
  </si>
  <si>
    <t>Ophthalmic Goods Manufacturing</t>
  </si>
  <si>
    <t>Armando Hernandez</t>
  </si>
  <si>
    <t>Armed Forces Construction Group LLC</t>
  </si>
  <si>
    <t>http://armedforcesconstruction.com</t>
  </si>
  <si>
    <t>mailto:armedforcesconstruction@gmail.com</t>
  </si>
  <si>
    <t>Armor Facility Management, LLC</t>
  </si>
  <si>
    <t>mailto:dmblain30@aol.com</t>
  </si>
  <si>
    <t>Armor Metal Group Madison, Inc.</t>
  </si>
  <si>
    <t>http://www.armormetal.com</t>
  </si>
  <si>
    <t>mailto:dbarbeau@armormetal.com</t>
  </si>
  <si>
    <t>Fabricated Metal Product Manufacturing</t>
  </si>
  <si>
    <t>Armstrong Flowers</t>
  </si>
  <si>
    <t>="Flowers, Plants, Gift items- local personalized creative floral designers with delivery to local areas and networked for all over the world. Same Armstrong family owned since 1943 on Indiana soil. Greenhouse, comfort throws, events, wedding &amp; funeral specialists, high style also."</t>
  </si>
  <si>
    <t>http://www.armstrongflower.com</t>
  </si>
  <si>
    <t>Florists</t>
  </si>
  <si>
    <t>Arnell Chevrolet, Inc.</t>
  </si>
  <si>
    <t>http://www.Arnellmotors.com</t>
  </si>
  <si>
    <t>mailto:ppumroy@arnellmotors.com</t>
  </si>
  <si>
    <t>New Car Dealers</t>
  </si>
  <si>
    <t>Arnell Chrysler</t>
  </si>
  <si>
    <t>http://arnellmotors.com</t>
  </si>
  <si>
    <t>Arnett HMO, INc.</t>
  </si>
  <si>
    <t>http://arnettplans.com</t>
  </si>
  <si>
    <t>Arnt Asphalt Sealing, Inc</t>
  </si>
  <si>
    <t>http://arntasphaltco.com</t>
  </si>
  <si>
    <t>mailto:arntasphaltco.com</t>
  </si>
  <si>
    <t>Arone Enterprises,Inc</t>
  </si>
  <si>
    <t>Hardware Stores</t>
  </si>
  <si>
    <t>Arris Environmental Consulting LLC</t>
  </si>
  <si>
    <t>mailto:tamra-reece@indy.rr.com</t>
  </si>
  <si>
    <t>Arrow Co.</t>
  </si>
  <si>
    <t>Arrow Container LLC</t>
  </si>
  <si>
    <t>="ARROW CONTAINER LLC IS A 28 YEAR OLD MANUFACTURING COMPANY ON THE SOUTH SIDE OF INDIANAPOLIS. WE SPECIALIZE IN CORRUGATED PLASTIC AND PAPER BOXES. WE MANUFACTURE CUSTOM BOXES AS WELL AS STOCK ITEMS. WE HAVE ONE PLANT AND RUN 3 SHIFTS. OFFERING A VARIETY OF STOCK BOXES, BAGS AND TUBES FOR EMERGENCIES IN VERY IMPORTANT TO OUR CUSTOMERS. PLEASE SEE OUR WEBSITE FOR A COMPLETE LISTING OF ALL THE ITEMS WE MAKE AND SUPPLY WWW.ARROWCONTAINER.COM SINCERELY, ANGIE JOHNSON 317-289-0190"</t>
  </si>
  <si>
    <t>http://WWW.ARROWCONTAINER.COM</t>
  </si>
  <si>
    <t>mailto:creitmeier@arrowcontainer.com</t>
  </si>
  <si>
    <t>Corrugated and Solid Fiber Box Manufacturing</t>
  </si>
  <si>
    <t>Arrow Sealcoating &amp; Striping, LLC</t>
  </si>
  <si>
    <t>mailto:blairsealcoat@ccrtc.com</t>
  </si>
  <si>
    <t>Arrow Tool Rental Corp.</t>
  </si>
  <si>
    <t>mailto:jeff0401@aol.com</t>
  </si>
  <si>
    <t>Rental and Leasing Services</t>
  </si>
  <si>
    <t>Art Imagesd by Kelly Lynn</t>
  </si>
  <si>
    <t>http://www.artimagesbykellylynn.com</t>
  </si>
  <si>
    <t>Photographic Services</t>
  </si>
  <si>
    <t>Art Store, The</t>
  </si>
  <si>
    <t>mailto:cthomas@indyartstore.com</t>
  </si>
  <si>
    <t>Art Dealers</t>
  </si>
  <si>
    <t>Art by Design</t>
  </si>
  <si>
    <t>="As an art broker Art by Design provides artwork: Paintings, Sculptures, Framed Posters and Custom Framing to Corporations, Hospitals, Hospitality and Commerical Offices. This includes new buildings as well as renovated buildings. Indiana artists as well as national and international artists are availiable. Other services include: Asset Management Control — Interviewing the principal developing the art program for direction and feedback. — Surveying the project and facilities to determine the type of services and products required. — Developing a theme and direction for the art program. — Establishing a budget for the project as well as budgeting for each area/piece of artwork. — Updating inventory of existing pieces and incorporating them into the new program. — Provide the most comprehensive and diverse art options for each site. — Access to an extensive slide registry featuring local and internationally acclaimed artists."</t>
  </si>
  <si>
    <t>mailto:art-lady@comcast.net</t>
  </si>
  <si>
    <t>Art2link</t>
  </si>
  <si>
    <t>="Art2link is a BizTalk integrator. We have the ability to work with large and small companies across the globe. As a Microsoft Gold Application Integration Partner and an ORACLE Gold Partner we have the best combination of expertise to help you integrate with your Oracle products."</t>
  </si>
  <si>
    <t>http://www.art2link.com</t>
  </si>
  <si>
    <t>mailto:michele.c@art2link.com</t>
  </si>
  <si>
    <t>Artemis Search Partners, Inc.</t>
  </si>
  <si>
    <t>="Artemis Search Partners is a WBE Certified, professional level search firm that provides unique employment solutions. With nearly 20 years of successful and proven experience in the recruitment industry, Artemis Search Partners continues to serve as a true recruitment partner and valuable employment resource to top industry employers. Artemis Search Partners is proud to be WBE Certified with the City of Indianapolis and State of Indiana."</t>
  </si>
  <si>
    <t>http://www.artemissearchpartners.com</t>
  </si>
  <si>
    <t>mailto:melissa.coss@artemissearchpartners.com</t>
  </si>
  <si>
    <t>Arthur McKinley</t>
  </si>
  <si>
    <t>http://amckinley@intergate.com</t>
  </si>
  <si>
    <t>mailto:amckinley@intergate.com</t>
  </si>
  <si>
    <t>Other Heavy and Civil Engineering Construction</t>
  </si>
  <si>
    <t>Articode, Inc.</t>
  </si>
  <si>
    <t>="Systems analysis, system conversion assistance, and applications design, coding, testing, maintenance and support on multiple hardware and operating system platforms. The company’s specialty is mainframe application design and maintenance. Legacy systems conversion assistance, including data mining/analysis and data extraction/reformatting."</t>
  </si>
  <si>
    <t>mailto:articode@hotmail.com</t>
  </si>
  <si>
    <t>Artistic Photography</t>
  </si>
  <si>
    <t>http://www.artisticphotographyinc.biz</t>
  </si>
  <si>
    <t>mailto:heather@artisticphotographyinc.biz</t>
  </si>
  <si>
    <t>As I Am Photography</t>
  </si>
  <si>
    <t>http://www.asiamphotography.com</t>
  </si>
  <si>
    <t>Ascend Behavioral Health &amp; Counseling</t>
  </si>
  <si>
    <t>="Ascend behavioral health and counseling services is an agency founded upon the concept that each person posses unique gifts and strengths. These gifts and strengths are the tools needed to help positively navigate through difficult times in life. Our professional staff are committed to the idea that with guidance each person can utilize their strengths and gifts to build a foundation that allows for positive outcomes, personal growth, and fulfillment . Services include: Behavior therapy, Couples Counseling, Crisis Intervention, Family counseling, Group Counseling, Individual therapy. Mental health assessment and referral, Needs assessment and referral, Suicide Alertness training, Referral To Community Resources. Parenting Advocacy And Support Groups, School-based counseling"</t>
  </si>
  <si>
    <t>mailto:ascendbhcs@yahoo.com</t>
  </si>
  <si>
    <t>Offices of Mental Health Practitioners (except Physicians)</t>
  </si>
  <si>
    <t>Ascend Solutions, LLC</t>
  </si>
  <si>
    <t>="Ascend Solutions provides IT Services related to software development, implementation, customization, upgrades, troubleshooting and other software related services pertaining to both off the shelf implementations as well as completely custom solutions. Ascend Solutions also provides services related to database sql optimization, data mining, custom reports and other database related services including Oracle and SQL Server platforms."</t>
  </si>
  <si>
    <t>http://www.ascendsolutions.info</t>
  </si>
  <si>
    <t>mailto:AscendSolutionsPatrick@gmail.com</t>
  </si>
  <si>
    <t>Asher Realty &amp; Appraisals, Inc.</t>
  </si>
  <si>
    <t>http://asher-realtygroup.net</t>
  </si>
  <si>
    <t>mailto:sasher25@yahoo.com</t>
  </si>
  <si>
    <t>Ashford TRS Lessee II LLC</t>
  </si>
  <si>
    <t>http://sheraton.com/indianapoliscitycent</t>
  </si>
  <si>
    <t>Ashley Kersh-Fletcher</t>
  </si>
  <si>
    <t>http://www.proassetsonline.com</t>
  </si>
  <si>
    <t>mailto:proassets@mcremc.net</t>
  </si>
  <si>
    <t>Internet Service Providers</t>
  </si>
  <si>
    <t>Ashley Mullen Creative Consulting, LLC</t>
  </si>
  <si>
    <t>="Graphic Design There are many different graphic designers out there, but they may not have the experience you need. My name is Ashley, and as the owner of Ashley Mullen Creative Consulting, I make your dreams a reality. Image Consulting Take your business to the next level when you hire me for image consulting. Whether you're a singer, model, or an actress, I help you create an image that's sure to attract your target audience. Event Planning Throw a party that your guests will be talking about for years to come. As your creative expert, I help you choose the best themes and decorative elements for your special gathering."</t>
  </si>
  <si>
    <t>http://www.amcreativeconsulting.com</t>
  </si>
  <si>
    <t>mailto:ashley@amcreativeconsulting.com</t>
  </si>
  <si>
    <t>Ashton Inc</t>
  </si>
  <si>
    <t>mailto:ycodle@msn.com</t>
  </si>
  <si>
    <t>Ashwood Financial Inc</t>
  </si>
  <si>
    <t>="Ashwood Financial is a nationwide collection agency since 1992, offering a variety of services to our clients while maintaining a successful recovery rate on their accounts. Operations are handled in Indianapolis, Indiana. We are well-versed in all facets of the collection process and ""Fair Debt Collections Act."""</t>
  </si>
  <si>
    <t>http://www.ashwoodfinancial.com</t>
  </si>
  <si>
    <t>Ashworth-Train</t>
  </si>
  <si>
    <t>http://www.ashworthtrain.com</t>
  </si>
  <si>
    <t>mailto:sales@ashworthtrain.com</t>
  </si>
  <si>
    <t>Aspect Supportability Consultants LLC</t>
  </si>
  <si>
    <t>="Aspect LLC provides Integrated Logistics Support (ILS) services for both Defense and Commercial Industry covering the disciplines of Supportability Analysis (SA). Our vastly experienced workforce can deliver a cost effective, timely and quality service utilizing knowledge and skills developed over many years during the provision of ILS services. From initial design through development, production to disposal, Aspect LLC can play a valuable role in helping to deliver an affordable, available and effective product with a robust, relevant and optimized support system."</t>
  </si>
  <si>
    <t>http://www.aspect-support.us.com</t>
  </si>
  <si>
    <t>mailto:info@aspect-support.us.com</t>
  </si>
  <si>
    <t>Aspen Impact LLC</t>
  </si>
  <si>
    <t>="Aspen Impact's specialty is guiding clients to look better and run better. The firm focuses on executives and staff who seek to transform their organizations. Clients emerge with more lucid strategies, more compelling communications, and more productive structures. As an Indiana-based firm, Aspen Impact serves the state's health industry leaders, Mayor's Offices, and professional service firms. However, the firm applies expertise from around the world. Led by an Ivy League-trained president and MBA, Aspen Impact has led projects for businesses and governments on three continents. The firm is best suited for clients who are serious about aligning strategic goals with effective communication systems and leadership structures."</t>
  </si>
  <si>
    <t>http://www.aspenimpact.com</t>
  </si>
  <si>
    <t>mailto:info@aspenimpact.com</t>
  </si>
  <si>
    <t>Asphalt Equipment Co. Inc.</t>
  </si>
  <si>
    <t>="ALmix manufactures all equipment associated with the production of asphalt and any controls of systems relating to the production of asphalt. ALmix sells Cold feed bin systems, dryers, mixers, slat conveyors, burners, ac tanks, storage silos, burner controls and batch and continuous mix control systems."</t>
  </si>
  <si>
    <t>http://www.almix.com</t>
  </si>
  <si>
    <t>mailto:gshurtz@almix.com</t>
  </si>
  <si>
    <t>Aspire Industries</t>
  </si>
  <si>
    <t>mailto:aspireind@aol.com</t>
  </si>
  <si>
    <t>Asplundh Tree Expert</t>
  </si>
  <si>
    <t>http://www.asplundh.com</t>
  </si>
  <si>
    <t>mailto:jduncan@asplundh.com</t>
  </si>
  <si>
    <t>Assistive Technology Through Action In I</t>
  </si>
  <si>
    <t>="Provides assistive technology programs and services to Hoosiers with disabilities. Programs and services include, assistive technology equipment exchange, assistive technology device lending program, loan program, free computer program, training, education and device demonstrations."</t>
  </si>
  <si>
    <t>http://www.attaininc.org</t>
  </si>
  <si>
    <t>mailto:info@attaininc.org</t>
  </si>
  <si>
    <t>Associated Appraisal Group, Inc.</t>
  </si>
  <si>
    <t>mailto:twatson@associatedappraisals.org</t>
  </si>
  <si>
    <t>Associated Boiler Systems, Inc.</t>
  </si>
  <si>
    <t>http://www.associatedboilersystems.com</t>
  </si>
  <si>
    <t>mailto:d.snyder@associatedboilersystems.com</t>
  </si>
  <si>
    <t>Plumbing and Heating Equipment and Supplies (Hydronics) Merchant Wholesalers</t>
  </si>
  <si>
    <t>Associated Dealers Supply</t>
  </si>
  <si>
    <t>Associated Reporting, Inc.</t>
  </si>
  <si>
    <t>http://www.associated-reporting.com</t>
  </si>
  <si>
    <t>mailto:edharriman@associated-reporting.com</t>
  </si>
  <si>
    <t>Associated Right of Way Services, Inc.</t>
  </si>
  <si>
    <t>="Our firm is a full-service real estate acquisition compay. We provide land acquisition services for the State of Indiana, local public agencies, private developers and airports. Our firm is comprised of three Land Acquisition Specialists that are INDOT approved, one Relocation Agent that is INDOT approved, one in-house Attorney, and a support staff of three. Our firm also provides project management and relocation services. Associated Right-of-Way Services has proudly been serving its clients and Indiana property owners for the past 16 years."</t>
  </si>
  <si>
    <t>mailto:hchristian@arows.biz</t>
  </si>
  <si>
    <t>Association Metrics, Inc.</t>
  </si>
  <si>
    <t>="Association Metrics is a research and consulting firm that specializes in assessing the performance and member relationships of associations. Through a combination of assessments (performance, member loyalty, member needs, member benefits, staff), Association Metrics provides strategic and tactical solutions that enable associations to strengthen member relationships, which lead to an increase in member loyalty and member retention."</t>
  </si>
  <si>
    <t>http://www.associationmetrics.com</t>
  </si>
  <si>
    <t>mailto:larry@associationmetrics.com</t>
  </si>
  <si>
    <t>Association of Telecom Mgmt Professional</t>
  </si>
  <si>
    <t>="AOTMP is a membership organization dedicated to telecom managers, directors, analysts, specialists and others involved in the telecom management process. AOTMP helps it members succeed by providing a telecom management knowledge base, a certification program, a cost and service inventory focused newsletter and numerous peer to peer discussion opportunities. AOTMP provides it's members with the information, education and knowledge they need to succeed in their organizations and with their careers."</t>
  </si>
  <si>
    <t>http://www.aotmp.com</t>
  </si>
  <si>
    <t>mailto:tlybrook@aotmp.com</t>
  </si>
  <si>
    <t>Assurance Janitorial</t>
  </si>
  <si>
    <t>Assured Nursing, Inc.</t>
  </si>
  <si>
    <t>http://www.assurednursing.com</t>
  </si>
  <si>
    <t>mailto:nora@assurednursing.com</t>
  </si>
  <si>
    <t>Astbury Water Technology, Inc.</t>
  </si>
  <si>
    <t>="Our company operates, maintains, and provides upgrades for wastewater and drinking water systems of all sizes and types. We provide environmental field services, including water / wastewater sampling and analysis, flow measurement, and treatment consulting. We also perform sewer-related maintenance and industrial water treatment services."</t>
  </si>
  <si>
    <t>http://www.astburywater.com</t>
  </si>
  <si>
    <t>mailto:dastbury@astburygroup.com</t>
  </si>
  <si>
    <t>Astro*Tech.STS,Inc.</t>
  </si>
  <si>
    <t>Transportation Equipment Manufacturing</t>
  </si>
  <si>
    <t>Atlantis Distribution &amp; Supply, Inc.</t>
  </si>
  <si>
    <t>mailto:pambuchanan@sbcglobal.net</t>
  </si>
  <si>
    <t>Atlas Appraisals, LLC</t>
  </si>
  <si>
    <t>mailto:atlasappraisalsllc@gmail.com</t>
  </si>
  <si>
    <t>Atlas Constructors, Inc.</t>
  </si>
  <si>
    <t>="Atlas is a Woman owned Business enterprise (WBE) in the Electrical (NAICS 238210), Plumbing and HVAC (NAICS 238220), and Medium and High Voltage Utility Electrical (NAICS 237130) industries. Atlas specializes in commercial, industrial, institutional, and utility service, maintenance and construction. We are licensed in Indiana and other jurisdictions throughout the United States."</t>
  </si>
  <si>
    <t>http://www.atlas-constructors.com</t>
  </si>
  <si>
    <t>mailto:info@atlas-constructors.com</t>
  </si>
  <si>
    <t>Atlas Daylighting, LLC</t>
  </si>
  <si>
    <t>mailto:Jimm@atlasexcavating.com</t>
  </si>
  <si>
    <t>Atlas Excavating Inc</t>
  </si>
  <si>
    <t>mailto:wbe@AtlasExcavating.com</t>
  </si>
  <si>
    <t>Atlas Foundry Company Inc</t>
  </si>
  <si>
    <t>="Atlas Foundry is a jobbing and production foundry specializing in Class 20, 25, 30, and 35 Gray Iron Castings weighing less than 50 pounds. We utilize Disamatic Molding Machines to produce castings. Production volumes range from 100 to 1,000,000 parts. Our foundry is located in Marion, Indiana about 60 miles to the northeast of Indianapolis. Some of the major markets Atlas Foundry serves include trucking, agriculture, construction, pumps, valves, compressors, bearings, stadium seating, marine, and industrial equipment. Since 1893, Atlas Foundry has been owned and operated by the Gartland family. We have continued to grow by providing high quality gray iron castings, plus needed support services such as pattern development and storage services, metal testing and evaluation, prototyping, part finishing, machining, coating, heat treating, and much more."</t>
  </si>
  <si>
    <t>http://www.atlasfdry.com</t>
  </si>
  <si>
    <t>mailto:atlas@atlasfdry.com</t>
  </si>
  <si>
    <t>Iron Foundries</t>
  </si>
  <si>
    <t>Atlas Landscaping LLC</t>
  </si>
  <si>
    <t>http://atlaslawcare.org</t>
  </si>
  <si>
    <t>mailto:atlasinc14@gmail.com</t>
  </si>
  <si>
    <t>Atlas Management LLC</t>
  </si>
  <si>
    <t>http://www.atlas-mgmt-in.com</t>
  </si>
  <si>
    <t>mailto:tchadwick@atlas-mgmt-in.com</t>
  </si>
  <si>
    <t>Atlas Restaurant Sup</t>
  </si>
  <si>
    <t>http://www.atlasrestaurantsupply.com</t>
  </si>
  <si>
    <t>mailto:patr@atlasrs.com</t>
  </si>
  <si>
    <t>Atom Chemical Inc.</t>
  </si>
  <si>
    <t>="As industry looks to suppliers for innovative solutions to increase productivity, Atom Chemical is focused on optimizing production processes. Atom Chemical has a proven effective system for eliminating down time, protecting expensive capital equipment, reducing costs, and insuring product integrity. Atom Chemical utilizes the most advanced chemical techniques to resolve industry’s water treatment problems. Atom Chemical continues to develop cutting edge products for your industrial water treatment needs, and at the same time offering unmatched hands on service. We have raised the bar on the service standard in our industry and we will continue to offer more ways to serve your water treatment needs. By combining cutting edge technology and old fashioned hands on service we have created the perfect chemistry."</t>
  </si>
  <si>
    <t>http://www.atomchemical.com</t>
  </si>
  <si>
    <t>Atsco Energy</t>
  </si>
  <si>
    <t>mailto:pmlawrence@insightbb.com</t>
  </si>
  <si>
    <t>Bituminous Coal and Lignite Surface Mining</t>
  </si>
  <si>
    <t>Attic Design Collective, LLC</t>
  </si>
  <si>
    <t>="Attic is a design firm specializing in design research and development, messaging, and implementation. We will get your message to the right audience in the most effective way and we'll back up our efforts by qualitative research intended to understand your audience's needs and interests. We will write copy, develop imagery, and choose a method of delivery; all based on our understanding of what you want to say and who you want to say it to."</t>
  </si>
  <si>
    <t>http://www.whosintheattic.com</t>
  </si>
  <si>
    <t>mailto:courtney@whosintheattic.com</t>
  </si>
  <si>
    <t>Auburn Birthing Center, LLC</t>
  </si>
  <si>
    <t>http://auburnbirthingcenter.com</t>
  </si>
  <si>
    <t>Auburn Concrete Products, Inc.</t>
  </si>
  <si>
    <t>mailto:rons@auburnconcrete.net</t>
  </si>
  <si>
    <t>Other Concrete Product Manufacturing</t>
  </si>
  <si>
    <t>Auburn Manufacturing, Inc.</t>
  </si>
  <si>
    <t>http://www.auburnmanufacturing.com</t>
  </si>
  <si>
    <t>mailto:crishorton@auburnmanufacturing.com</t>
  </si>
  <si>
    <t>Speed Changer, Industrial High-Speed Drive and Gear Manufacturing</t>
  </si>
  <si>
    <t>Auburn Marketing</t>
  </si>
  <si>
    <t>mailto:Auburnmktg@aol.com</t>
  </si>
  <si>
    <t>Auctor Corporation</t>
  </si>
  <si>
    <t>="Legacy System Modernization - automated tools for documentation and conversion of legacy systems. Mobile Applications. Child Support Enforcement Software. IV&amp;V. Change Management - education, coaching and implementation. Application Design and Development. Programming. Workflow Analysis. Documentation and Training."</t>
  </si>
  <si>
    <t>http://www.auctor.com</t>
  </si>
  <si>
    <t>mailto:weberb@auctor.com</t>
  </si>
  <si>
    <t>Audio Visual Int.</t>
  </si>
  <si>
    <t>="Audio Visual Integration, Inc. is a world-class, award-winning provider of corporate communication and technology solutions, integrating audio and video products and services to meet the needs of our customers. We offer a wide range of products and services, including live event production, customized design and integration of audio and video equipment, rentals, video production, and electronic cinematography. Also provide barco bulbs"</t>
  </si>
  <si>
    <t>http://www.audiovisualintegration.com</t>
  </si>
  <si>
    <t>mailto:DCostanza@teamavi.com</t>
  </si>
  <si>
    <t>Audio and Video Equipment Manufacturing</t>
  </si>
  <si>
    <t>August Mack Environmental, Inc.</t>
  </si>
  <si>
    <t>="August Mack Environmental, Inc. specializes in environmental, health and safety compliance; environmental due diligence; and investigation/remediation/closure services to the industrial, legal, financial, healthcare, and government sectors throughout North America. For more information on the company’s products and services, call 317.579.7400 or visit www.augustmack.com."</t>
  </si>
  <si>
    <t>http://www.augustmack.com</t>
  </si>
  <si>
    <t>Augustus Services In</t>
  </si>
  <si>
    <t>="Augustus Services Inc. provides maintenance managment assistance, computerized maintenace management system assistance. Wray's service Company provides heating and cooling installation and repair. Air filters, Water softners and filters, installs softners, water heaters and filters."</t>
  </si>
  <si>
    <t>http://www.wrays-svc.com</t>
  </si>
  <si>
    <t>mailto:Dannyc@augustus-services.com</t>
  </si>
  <si>
    <t>Aura Graphic Design, LLC</t>
  </si>
  <si>
    <t>="Aura Graphic Design offers you simple alternatives in conceptual design and affordable printing services. We believe ""image is everything."" It is our job to present each customer with relative, effective graphic solutions. We can keep your business graphics from resembling clipart, by taking you into the realm of quality design. Whatever your needs may be, we are prepared to fulfill your design demands. Our creative services will help create success for your business, because we offer highly personalized graphic design services and work to your satisfaction. We focus on getting straight to the point and delivering you what you need, on time and in full. Sure, we could spend more time on fluff– trying to impress you with insignificant criteria. However, we'd rather spend time developing and delivering quality concepts for you. If you are serious about high-quality original graphics, then contact us about a quote on your project."</t>
  </si>
  <si>
    <t>http://www.auragraphicdesign.com</t>
  </si>
  <si>
    <t>mailto:info@auragraphicdesign.com</t>
  </si>
  <si>
    <t>Aurora Lumber Co Inc</t>
  </si>
  <si>
    <t>http://aurora.doitbest.com</t>
  </si>
  <si>
    <t>mailto:aurora@mydoitbest.com</t>
  </si>
  <si>
    <t>AusLar Global Supply</t>
  </si>
  <si>
    <t>="AusLar Global Suppliers offers concessionary goods, such as: potato chips, chewing gum, fruity candy and chocolate candy bars, popcorn, fountain syrups, nuts &amp; seeds. General paper products are also available, ( toilet paper, paper towels, facial tissue, etc.)"</t>
  </si>
  <si>
    <t>mailto:DrRLT@comcast.net</t>
  </si>
  <si>
    <t>Miscellaneous Nondurable Goods Wholesalers</t>
  </si>
  <si>
    <t>AusmanBody Shop</t>
  </si>
  <si>
    <t>Austgen Recycling, Inc.</t>
  </si>
  <si>
    <t>mailto:recycling@austgen.com</t>
  </si>
  <si>
    <t>Waste Management and Remediation Services</t>
  </si>
  <si>
    <t>Autism Society of Indiana</t>
  </si>
  <si>
    <t>="ASI is a leading resource in Indiana for connecting people who live with autism, and those who care about them, with resources, support, advocacy and information tailored to their unique needs. ASI strives to create communities throughout the state in which people on the autism spectrum and their families are empowered, supported and fully embraced by their community. Through a variety of programs around Indiana, ASI works with the community to understand the “state of autism in Indiana” and develops programs and collaborations based on those specific gaps in services. Programs include the Indiana Allies (provide individual support at no cost to families), training, advocacy, support, outreach, and autism awareness."</t>
  </si>
  <si>
    <t>http://www.inautism.org</t>
  </si>
  <si>
    <t>mailto:info@inautism.org</t>
  </si>
  <si>
    <t>Autman Heating and Air Conditioning Inc.</t>
  </si>
  <si>
    <t>http://autmanair.com</t>
  </si>
  <si>
    <t>mailto:ahaa4you@yahoo.com</t>
  </si>
  <si>
    <t>Auto Research Center</t>
  </si>
  <si>
    <t>="The Auto Research Center provides the following research and development services: Aerodynamic Consulting Services, Vehicle Dynamics Consulting Services, Wind Tunnel Program Management, 7 Post Rig Program Management, Custom Model Design, Reverse Engineering, Rapid Prototyping, Computational Fluid Dynamics, Full Vehicle Dynamics Simulation, and Vehicle Lap Time Simulation. The Auto Research Center is dedicted to pushing forward the boundaries of motor racing and our new facility is a testament to the best technical practices available today. Please visit our website at www.arcindy.com"</t>
  </si>
  <si>
    <t>http://www.arcindy.com</t>
  </si>
  <si>
    <t>mailto:curban@arcindy.com</t>
  </si>
  <si>
    <t>Auto X 10'D, Inc</t>
  </si>
  <si>
    <t>http://www.Ziebart.com</t>
  </si>
  <si>
    <t>Autocar, LLC</t>
  </si>
  <si>
    <t>http://www.autocartruck.com</t>
  </si>
  <si>
    <t>mailto:info@autocartruck.com</t>
  </si>
  <si>
    <t>Motor Vehicle Manufacturing</t>
  </si>
  <si>
    <t>Automated Controls &amp; Electrical Supply</t>
  </si>
  <si>
    <t>http://www.electricalaces.com</t>
  </si>
  <si>
    <t>mailto:jeff@electricalaces.com</t>
  </si>
  <si>
    <t>Automated Doors &amp; Access, Inc.</t>
  </si>
  <si>
    <t>http://www.qualityisautomatic.com</t>
  </si>
  <si>
    <t>mailto:jgambrel@qualityisautomatic.com</t>
  </si>
  <si>
    <t>Automated Mail Processing, Inc.</t>
  </si>
  <si>
    <t>="Automated Mailing Equipment is a Women Owned Business that has been in Indiana for 18 years. We pride ourselves on our excellent Service Department. We sell Mailing &amp; Shipping Equipment, Inventory tracking &amp; ""DCS"" Postage Saving Custom Software, saving companies up to 45% on their postage bills, Inserters, Ink Jet Addressing Equipment and more. We can also design a mailroom with furniture and all equipment needs. Please give us a call and speak to one of our Sales representatives to receive any information you may need."</t>
  </si>
  <si>
    <t>http://www.ame-mail.com</t>
  </si>
  <si>
    <t>mailto:ksmith@ame-mail.com</t>
  </si>
  <si>
    <t>Automated Office Solutions, Inc</t>
  </si>
  <si>
    <t>="Automated Office Solutions is a computer system integrator and Value Added Reseller. We specialize in WAN networking using CISCO and 3COM equipment, MICOROSFT OPERATING SYSTEMS, 3COM NBX IP telephones, and COMPUTER CERTIFCATION TRAINING. We also provide SECURITY products and services and STORAGE products and services."</t>
  </si>
  <si>
    <t>http://www.aos-evv.com</t>
  </si>
  <si>
    <t>mailto:rgp@aos-evv.com</t>
  </si>
  <si>
    <t>Automation Consultants, Inc.</t>
  </si>
  <si>
    <t>http://www.automacon.com</t>
  </si>
  <si>
    <t>mailto:info@automacon.com</t>
  </si>
  <si>
    <t>Automotive Fleet Solutions LLC</t>
  </si>
  <si>
    <t>http://www.autofleetsolutions.com</t>
  </si>
  <si>
    <t>mailto:susan@autofleetsolutions.com</t>
  </si>
  <si>
    <t>Administrative and Support Services</t>
  </si>
  <si>
    <t>Avance, LLC</t>
  </si>
  <si>
    <t>http://www.avancedesign.com</t>
  </si>
  <si>
    <t>mailto:tony@avancedesign.com</t>
  </si>
  <si>
    <t>Industrial Design Services</t>
  </si>
  <si>
    <t>Avant &amp; Company Inc.</t>
  </si>
  <si>
    <t>http://avantandcompany.com</t>
  </si>
  <si>
    <t>mailto:avant@avantandcompany.com</t>
  </si>
  <si>
    <t>Avant Enterprises L.L.C.</t>
  </si>
  <si>
    <t>mailto:avantenterprisesllc@yahoo.com</t>
  </si>
  <si>
    <t>Avant-Garde Systems</t>
  </si>
  <si>
    <t>http://www.avant-gardesystems.com</t>
  </si>
  <si>
    <t>mailto:ericmager@avant-gardesystems.com</t>
  </si>
  <si>
    <t>Avery Insurance Agy.</t>
  </si>
  <si>
    <t>mailto:skavery@scican.net</t>
  </si>
  <si>
    <t>Aviation Core Matrix, LLC</t>
  </si>
  <si>
    <t>="Aviation Skills Matrix is a web based application, and is the culmination of input from aviation professionals involved in various aspects of the aeronautic industry. These industry professionals include technicians, inspectors, instructors, and managers; all came together with their own ideas and “wish lists” of fundamental changes that could transform this vital yet turbulent industry. ASM aspires to be the conduit by which this industry is brought to a higher level of competency and efficiency with resultant increases in product safety and reliability. It is through expanded communication of personal capabilities, training histories, and technician to task matching that ASM means to accomplish this. Designed by aviation professionals to specifically meet industry needs and built by IT professionals in collaboration with DePauw University, We maintain a staff assembled to provide industry insight, technical knowledge and customer service.128 bit encryption ensures security."</t>
  </si>
  <si>
    <t>http://www.aviationskills.com</t>
  </si>
  <si>
    <t>mailto:lawayne@aviationskills.com</t>
  </si>
  <si>
    <t>Avodah Business Communications, Inc.</t>
  </si>
  <si>
    <t>http://www.fundz4biz.org</t>
  </si>
  <si>
    <t>mailto:avodah@fundz4biz.org</t>
  </si>
  <si>
    <t>Avon Auto LLC</t>
  </si>
  <si>
    <t>Passenger Car Leasing</t>
  </si>
  <si>
    <t>Avon Builders Supply</t>
  </si>
  <si>
    <t>mailto:avonbuilders@sbcglobal.net</t>
  </si>
  <si>
    <t>Avon RV and Trailer</t>
  </si>
  <si>
    <t>Avram Transportation, LLC</t>
  </si>
  <si>
    <t>="Avram Transportation Inc. is a growing Third Party Logistics provider. We offer complete 24/7 logistical solutions with capacity to move our customers' products quickly, safely and most importantly on-time. We take your logistical concerns and allow you to focus on what you do best. Avram Transportation is a M/WBE ( minority, woman owned business enterprise) with extensive experience in transportation, warehousing, logistics and supply chain solutions. Avram Transportation provides distribution and warehousing services to customers of all shapes and sizes, with needs that vary as much as their individual businesses. Avram's unique approach to distribution and warehousing starts with integrating our systems into our customers’ inventory/tracking systems. We make Avram's systems talk with yours, negating costly re-configuration of your data functionalities."</t>
  </si>
  <si>
    <t>http://www.avramtransportation.com</t>
  </si>
  <si>
    <t>mailto:msharon@avramtransportation.com</t>
  </si>
  <si>
    <t>Awards &amp; Screen Printers Incorporated</t>
  </si>
  <si>
    <t>="Screen Printed shirts, hats, jackets, political and real estate signs. Banners, magnetic signs, vehicile lettering and graphics. Racecar, boat, airplane, motorcycle graphics. Decals and bumper stickers. Sand blasted and wood signs. Custom made stained glass. Window and door lettering."</t>
  </si>
  <si>
    <t>mailto:asp1@ameritch.net</t>
  </si>
  <si>
    <t>Away-on-Weekend Vacations</t>
  </si>
  <si>
    <t>mailto:jmlhharris@frontier.com</t>
  </si>
  <si>
    <t>Awnings and Signs Online LLC</t>
  </si>
  <si>
    <t>http://www.awningsandsignsonline.com</t>
  </si>
  <si>
    <t>mailto:dcrooke@awningsandsignsonline.com</t>
  </si>
  <si>
    <t>Canvas and Related Product Mills</t>
  </si>
  <si>
    <t>Aztec Aviation Inc.</t>
  </si>
  <si>
    <t>Azteca Staffing, LLC</t>
  </si>
  <si>
    <t>="Azteca Staffing, LLC endeavors to match employers with short and long term labor needs with eager, willing, and able individuals. Azteca focuses primarily on the construction sector, providing manufacturing, industrial, commercial, and residential operations with appropriate labor. Azteca handles all payroll (including withholdings and matching employer taxes and insurance), deductions, insurance (including workers compensation) and benefits for the employee."</t>
  </si>
  <si>
    <t>Professional Employer Organizations</t>
  </si>
  <si>
    <t>B &amp; B Business Solutions, LLC</t>
  </si>
  <si>
    <t>mailto:bandbbs@gmail.com</t>
  </si>
  <si>
    <t>B &amp; B Casino Hotel Services Inc</t>
  </si>
  <si>
    <t>Industrial Launderers</t>
  </si>
  <si>
    <t>B &amp; C Enterprises LLC</t>
  </si>
  <si>
    <t>mailto:stopandshred96thstreet@gmail.com</t>
  </si>
  <si>
    <t>B &amp; E Painting &amp; Son, Inc.</t>
  </si>
  <si>
    <t>B &amp; G Vending</t>
  </si>
  <si>
    <t>mailto:bsims311@aol.com</t>
  </si>
  <si>
    <t>Vending Machine Operators</t>
  </si>
  <si>
    <t>B &amp; H Industrial Products, Inc.</t>
  </si>
  <si>
    <t>="Manufacturers Representatives for Industrial Process Equipment, Material Handling Equipment, and Filtration / Separation Equipment for Industrial Applications. B &amp; H was founded over 25 years ago and we continue to represent the highest quality manufacturers and products; offering custom solutions to your processing requirements. We represent the following manufacturers: Eriez (Magnetic Separation, Metal Detection, Vibratory Feeding / Screening), Metalfab (Bin Activators, Screw Feeders, Screw Conveyors), Thayer Scale (Loss In Weight Feeders, Weight Belt Feeder, Belt Conveyor Scale), Control &amp; Metering (Bulk Bag Handling Equipment), Pneu-Con Pneumatic Conveying Equipment, Flex-Kleen Dust Collection Systems (Dust Collectors, Cyclones, Bin Vents, filter bags and cartridges), Dollinger Filtration, Tate Andale Pipeline Strainers and Liquid Bag Filters, and more. Please visit our detailed website at www.bhindust.com."</t>
  </si>
  <si>
    <t>http://www.bhindust.com</t>
  </si>
  <si>
    <t>mailto:sales@bhindust.com</t>
  </si>
  <si>
    <t>Industrial Machinery and Equipment Wholesalers</t>
  </si>
  <si>
    <t>B &amp; J Construction</t>
  </si>
  <si>
    <t>mailto:j_taylor58@yahoo.com</t>
  </si>
  <si>
    <t>B &amp; K Building~Maintenance LLC</t>
  </si>
  <si>
    <t>mailto:bkbuildmain@aol.com</t>
  </si>
  <si>
    <t>B &amp; L Tractor Sales, Inc.</t>
  </si>
  <si>
    <t>http://www.zimmertractor.com</t>
  </si>
  <si>
    <t>mailto:gzimmer@zimmertractor.com</t>
  </si>
  <si>
    <t>Farm and Garden Machinery and Equipment Merchant Wholesalers</t>
  </si>
  <si>
    <t>B &amp; M Plastics, Inc.</t>
  </si>
  <si>
    <t>http://www.bmplastics.com</t>
  </si>
  <si>
    <t>mailto:resins@bmplastics.com</t>
  </si>
  <si>
    <t>Plastics Material and Resin Manufacturing</t>
  </si>
  <si>
    <t>B &amp; P Supply Co, Inc.</t>
  </si>
  <si>
    <t>="Supplier of the following products Division 3 Rubber water stops Division 4 Clay brick, glazed clay brick, burnished CMU, Fly Ash Brick, natural stone, masonry modular fireplaces, new and restoration cleaning chemicals, masonry reinforcement accessories, mortars, flashing. Division 7 Urethane, silicone and polysulfide joint sealants, backer rod, preformed joint seals, 2% neoprene adhesive, siloxane water repellents, fluid-applied waterproofing, and bentonite waterproofing system Division 9 Ceramic, porcelain and natural stone tile, tunnel tile, thin-set tile systems Division 32 Tactile warning surfacing (Armor-Tile), clay and concrete brick unit pavers, segmental retaining wall Miscellaneous Diamond tools"</t>
  </si>
  <si>
    <t>mailto:MikeVannatter@sigecom.net</t>
  </si>
  <si>
    <t>Monetary Authorities - Central Bank</t>
  </si>
  <si>
    <t>B &amp; R Construction</t>
  </si>
  <si>
    <t>mailto:rhonda.lennon@yahoo.com</t>
  </si>
  <si>
    <t>B &amp; S CLEANING SERVICE</t>
  </si>
  <si>
    <t>http://beautifusistaz@yahoo.com</t>
  </si>
  <si>
    <t>mailto:beautifulsistaz@yahoo.com</t>
  </si>
  <si>
    <t>B Resources LLC</t>
  </si>
  <si>
    <t>="I have put together a team with a combined more than 35 years in the coating and concrete design business. We do projects of all sizes and kinds; Decorative, Commercial, Industrial, no job is to big or small. We'll estimate your project at no cost or obligation. We specialize in Resinous Floor Coatings, Staining, Polishing, Re-surfacing. We also do Custom Design Concrete Countertops for homes or commerical use."</t>
  </si>
  <si>
    <t>http://www.dcicrete.com</t>
  </si>
  <si>
    <t>mailto:b.resources@yahoo.com</t>
  </si>
  <si>
    <t>B X Financial Services, Inc.</t>
  </si>
  <si>
    <t>="Business, management and tax consulting. Expertise in assisting small and medium sized companies to achieve cost reductions and improve profits. Experienced in analysis and recommending improvements to collection management operations, including government entities."</t>
  </si>
  <si>
    <t>B&amp;B Tool and Die Co.</t>
  </si>
  <si>
    <t>http://www.bbtool.net</t>
  </si>
  <si>
    <t>mailto:kjones@bbtool.net</t>
  </si>
  <si>
    <t>B&amp;D Managment, LLC.</t>
  </si>
  <si>
    <t>Lessors of Nonresidential Buildings (except Miniwarehouses)</t>
  </si>
  <si>
    <t>B&amp;J Mechanicnal, Inc</t>
  </si>
  <si>
    <t>http://bandjmechaincal.com</t>
  </si>
  <si>
    <t>mailto:b_jmechanical@att.net</t>
  </si>
  <si>
    <t>B&amp;L Engineering, Inc</t>
  </si>
  <si>
    <t>="Diversified company for a variety of industrial needs. The following are some of many services we have to offer: Machining, including CNC machining centers, complete welding &amp; fabrication, rigging, portable boring &amp; shaft turning, custom machine building, Nucor Building distributor, warehousing, crane, hoist &amp; lift rental"</t>
  </si>
  <si>
    <t>http://www.bandlengineering.com</t>
  </si>
  <si>
    <t>mailto:jeannie@bandlengineering.com</t>
  </si>
  <si>
    <t>B&amp;O Investments of Indianapolis LLC</t>
  </si>
  <si>
    <t>http://Www.blakelyosullivan.com</t>
  </si>
  <si>
    <t>Investment Advice</t>
  </si>
  <si>
    <t>B&amp;S Plumbing &amp; Heating, Inc.</t>
  </si>
  <si>
    <t>mailto:bill@bandsplumbing.com</t>
  </si>
  <si>
    <t>B&amp;W EQUIPMENT CO., INC.</t>
  </si>
  <si>
    <t>="THE COMPANY IS A DEALER OF CRANES FOR LINK-BELT, DAEWOO AND TEREX AMERICAN. RECOGNIZED AS ONE OF THE BEST KNOWN PRICE SETTERS FOR USED CRANNES IN THE USA. ONE OF THE LARGEST COMPANIES IN THE WORLD SPECIALIZING IN REBUILDING LIFT, SCRAP AND DRAGLINE CRANES FROM 25-150 TONS, FOR MORE THAN 25 YEARS. THEY ARE ALSO ONE OF THE LARGEST IN THE DISMANTLING OF CRANES FOR USED PARTS AND BOOM. THEY SHIP NEW AND REBUILT CRANES AND PARTS THROUGHOUT THE USA AND TO CANADA AND MEXICO, AND HAVE ALSO EXPORTED PARTS AND MACHINES TO ISRAEL, ARAB, EMIRATES, SOUTH AMERICA, ITALY, GUADELOUPE, IRAN AND SOUTH AMERICA. THEY ALSO CARRY A LARGE STOCK OF LBS BOOM AND PARTS, BOTH OEM AND AFTERMARKET FOR THE LINES OF CRANES AND EXCAVATORS THAT THEY SELL. THE COMPANY ALSO DOES OSHA CRANE CERTIFICATIONS AND HAS FACTORY TRAINED MECHANICS FOR SHOP AND FIELD REPAIRS."</t>
  </si>
  <si>
    <t>http://bandwequipment.com</t>
  </si>
  <si>
    <t>mailto:bandwequipment.com</t>
  </si>
  <si>
    <t>B&amp;W Specialized Drilling Inc.</t>
  </si>
  <si>
    <t>B-POD ENTERPRISE INC DBA: ACE HARDWARE</t>
  </si>
  <si>
    <t>="We are a full service hardware store selling all types of hardware, plumbing, electrical, paint, lawn and garden, flowers, mulch, power tools construction stools, and pool supply. we carry over 70,000 items in our warehouse. Our store has been in Tipton for over 30 years our average employee has 10 years experience. We compete successfully with large big box and multi national companies. We are famous for outstanding service and pricing."</t>
  </si>
  <si>
    <t>mailto:BASETON1@AOL.COM</t>
  </si>
  <si>
    <t>B. C. Welding, Inc.</t>
  </si>
  <si>
    <t>http://www.bcwelding.net</t>
  </si>
  <si>
    <t>mailto:bcweldgusdive@sbcglobal.net</t>
  </si>
  <si>
    <t>Industrial Nonbuilding Structure Construction</t>
  </si>
  <si>
    <t>B. Walter &amp; Co., Inc.</t>
  </si>
  <si>
    <t>http://www.bwalter.com</t>
  </si>
  <si>
    <t>mailto:pgoyette@bwalter.com</t>
  </si>
  <si>
    <t>Metal Stamping</t>
  </si>
  <si>
    <t>B.A. Romines</t>
  </si>
  <si>
    <t>mailto:brent@lightningnet.net</t>
  </si>
  <si>
    <t>B.E Property Management LLC</t>
  </si>
  <si>
    <t>mailto:4beproperty@gmail.com</t>
  </si>
  <si>
    <t>Residential Property Managers</t>
  </si>
  <si>
    <t>B.J. Bischoff</t>
  </si>
  <si>
    <t>="Over 27 years of experience providing workforce performance improvement strategies; communication training; leadership development; organizational planning; training for trainers; training program design; performance evaluation; project management; meeting facilitation; grant proposal development; and keynote presentations for State of Indiana government agencies, businesses, and non-profit organizations."</t>
  </si>
  <si>
    <t>http://www.bjbischoff.com</t>
  </si>
  <si>
    <t>mailto:bjbischoff@bjbischoff.com</t>
  </si>
  <si>
    <t>B.L. Anderson Co.</t>
  </si>
  <si>
    <t>http://www.blanderson.com</t>
  </si>
  <si>
    <t>BABSCO Supply, Inc.</t>
  </si>
  <si>
    <t>http://www.babsco.com</t>
  </si>
  <si>
    <t>mailto:babsco@babsco.com</t>
  </si>
  <si>
    <t>BACHOFNER CONSULTING INC</t>
  </si>
  <si>
    <t>mailto:bacho@prodigy.net</t>
  </si>
  <si>
    <t>BAILEYS DISCOUNT CENTER INC</t>
  </si>
  <si>
    <t>="Everyone loves to save money! Bailey’s Discount Center of North Judson, Indiana, is a kitchen and bathroom distributor and countertop specialist committed to saving you money—without sacrificing quality. Our patented “ABSOLUTELY UNBEATABLE PRICES” are created by our buying power—we are a non-borrowing company purchasing cabinets by the truckload at volume discounts, paying for all cabinets upon receiving. All these savings are passed on to our customers, saving you big money!"</t>
  </si>
  <si>
    <t>http://BAILEYSCABINETS.COM</t>
  </si>
  <si>
    <t>mailto:INFO@BAILEYSCABINETS.COM</t>
  </si>
  <si>
    <t>All Other General Merchandise Stores</t>
  </si>
  <si>
    <t>BAKER &amp; DANELS, LLP</t>
  </si>
  <si>
    <t>http://www.bakerdaniels.com</t>
  </si>
  <si>
    <t>Offices of Lawyers</t>
  </si>
  <si>
    <t>BALLOONATIX</t>
  </si>
  <si>
    <t>http://www.balloonatix.net</t>
  </si>
  <si>
    <t>mailto:balloonatix1@gmail.com</t>
  </si>
  <si>
    <t>Other Support Services</t>
  </si>
  <si>
    <t>BALOGH OFFICE SUPPLY, INC</t>
  </si>
  <si>
    <t>BAM Tree Inc</t>
  </si>
  <si>
    <t>http://www.bamoutdoorinc.com</t>
  </si>
  <si>
    <t>mailto:info@bamoutdoorinc.com</t>
  </si>
  <si>
    <t>BAO &amp; ASSOCIATES INC</t>
  </si>
  <si>
    <t>http://CROWNSTAFFING.ORG</t>
  </si>
  <si>
    <t>mailto:ANTOINETTE81538@AOL.COM</t>
  </si>
  <si>
    <t>BAR Flooring INC</t>
  </si>
  <si>
    <t>http://www.barflooring.com</t>
  </si>
  <si>
    <t>mailto:mark.r@barflooring.com</t>
  </si>
  <si>
    <t>BAR Flooring Inc</t>
  </si>
  <si>
    <t>mailto:barflooring@verizon.net</t>
  </si>
  <si>
    <t>Flooring Contractors</t>
  </si>
  <si>
    <t>BARRISTER PERSONNEL/PROFESSIONAL OFFICE</t>
  </si>
  <si>
    <t>="Barrister Personnel, a 22-year specialist in the placement of legal personnel, has expanded into other exciting staffing areanas as well. Today we enjoy robust growth in the world of administrative, corporate, sales, banking and managerial services. Locally owned and operated by a native Hoosier female with Indiana WBE certification."</t>
  </si>
  <si>
    <t>http://www.barristerpersonnel.com</t>
  </si>
  <si>
    <t>mailto:barristerindy@aol.com</t>
  </si>
  <si>
    <t>BARRY, CO, INC</t>
  </si>
  <si>
    <t>http://www.barrycompany.net</t>
  </si>
  <si>
    <t>mailto:jim.barry@barrycompany.net</t>
  </si>
  <si>
    <t>Plumbing and Heating Equipment and Supplies (Hydronics) Wholesalers</t>
  </si>
  <si>
    <t>BARTH ELECTRIC CO INC</t>
  </si>
  <si>
    <t>http://www.barthelectric.com</t>
  </si>
  <si>
    <t>BARTLETT &amp; ASSOCIATES</t>
  </si>
  <si>
    <t>http://BARTLETTANDASSOCIATES.COM</t>
  </si>
  <si>
    <t>mailto:BARTLETT@SIGECOM.NET</t>
  </si>
  <si>
    <t>BATTERIES PLUS (BPI INC)</t>
  </si>
  <si>
    <t>="We are a single source provider for any type of batteries. From watches to trucks and everything in between. We sell batteries for camcorders, back-up systems, cell phones, and many more things. Even just regular dry cell batteries like AA and AAA. If you are looking for batteries give us try."</t>
  </si>
  <si>
    <t>http://www.batteriesplus.com</t>
  </si>
  <si>
    <t>mailto:sales@battplusbpi.com</t>
  </si>
  <si>
    <t>Wholesale Trade, Durable Goods</t>
  </si>
  <si>
    <t>BATTLE SHIELD CORPORATION</t>
  </si>
  <si>
    <t>mailto:battleshield@fastmail.fm</t>
  </si>
  <si>
    <t>Industrial Mold Manufacturing</t>
  </si>
  <si>
    <t>BBC Pump and Equipment Company, Inc.</t>
  </si>
  <si>
    <t>http://www.bbcpump.com</t>
  </si>
  <si>
    <t>mailto:sales@bbcpump.com</t>
  </si>
  <si>
    <t>BC Awards, Inc</t>
  </si>
  <si>
    <t>http://www.bcawardsinc.com</t>
  </si>
  <si>
    <t>mailto:randy.bc@sbcglobal.net</t>
  </si>
  <si>
    <t>BC COUNTERTOPS Inc</t>
  </si>
  <si>
    <t>http://www.beyondcountertops.com</t>
  </si>
  <si>
    <t>BC DOMINGUEZ GROUP, LLC</t>
  </si>
  <si>
    <t>="BC Dominguez Group, LLC is a hispanic owned construction and related services group located in Indianapolis, Indiana and serves the Indiana Region. The industries we work in inlcude: Industrial, Office, Retail, Educational, Institutional | Religious, Education and Health and Life."</t>
  </si>
  <si>
    <t>mailto:bodo6t@gmail.com</t>
  </si>
  <si>
    <t>BC Designs, Inc.</t>
  </si>
  <si>
    <t>BC Heavy Truck &amp; Electric, Inc.</t>
  </si>
  <si>
    <t>="Truck Parts for semis, dump trucks, van trucks DEKA Batteries, New Starters and Alternators, Starter, Alternator, and magneto Repair Lubricants (Engine Oil, Hydraulic Oil, Gear Oils, Grease) Battery Charging Equipment Hand Tools Serving commercial, industrial, trucking fleets, mining and individual customers"</t>
  </si>
  <si>
    <t>mailto:jarrod.steiner@bcheavytruck.com</t>
  </si>
  <si>
    <t>BCA Restaurant Corp.</t>
  </si>
  <si>
    <t>http://www.oasiseventsindy.com</t>
  </si>
  <si>
    <t>mailto:sales@oasiseventsindy.com</t>
  </si>
  <si>
    <t>BCC Products, Inc.</t>
  </si>
  <si>
    <t>http://www.bccproducts.com</t>
  </si>
  <si>
    <t>mailto:darrell@bccproducts.com</t>
  </si>
  <si>
    <t>Asphalt Shingle and Coating Materials Manufacturing</t>
  </si>
  <si>
    <t>BCLR Acquisition Company, Inc.</t>
  </si>
  <si>
    <t>mailto:sales@qualityglass.com</t>
  </si>
  <si>
    <t>Automotive Body, Paint, Interior and Glass Repair</t>
  </si>
  <si>
    <t>BCT Construction and Renovation</t>
  </si>
  <si>
    <t>BDI Marketing</t>
  </si>
  <si>
    <t>http://www.bdi-marketing.com</t>
  </si>
  <si>
    <t>mailto:mcox@bdi-marketing.com</t>
  </si>
  <si>
    <t>BDM Properties, LLC</t>
  </si>
  <si>
    <t>mailto:bryanm@seiremc.com</t>
  </si>
  <si>
    <t>BEASLEY FOOD SERVICE</t>
  </si>
  <si>
    <t>http://www.beasleyfoodservice.com</t>
  </si>
  <si>
    <t>mailto:nlewis@beasleyfoodservice.com</t>
  </si>
  <si>
    <t>Food Service Contractors</t>
  </si>
  <si>
    <t>BEAUCHAMP MCSPADDEN</t>
  </si>
  <si>
    <t>="As one of Indiana's leading independent insurance agencies Beauchamp &amp; McSpadden provides personal, non profit, agriculture, medical malpractice, commercial, life, health, annuity, retirement, and group benefit insurance packages tailored to fit individual or company needs."</t>
  </si>
  <si>
    <t>http://www.bmins.com; www.insureyourfarm</t>
  </si>
  <si>
    <t>mailto:info@bmins.com</t>
  </si>
  <si>
    <t>BEDFORD TRUCKING LLC</t>
  </si>
  <si>
    <t>mailto:bedfordtrucking@yahoo.com</t>
  </si>
  <si>
    <t>BEE ENVIRONMENTAL MGMT INC</t>
  </si>
  <si>
    <t>http://www.beeenviro.com</t>
  </si>
  <si>
    <t>mailto:BeeEM1@msn.com</t>
  </si>
  <si>
    <t>BELCHER HEATING AND COOLING L.L.C.</t>
  </si>
  <si>
    <t>BELL INDUSTRIES INC</t>
  </si>
  <si>
    <t>="As the largest business group of Bell Industries, Inc. (AMEX: BI), the Tech.logix Group is a middle market provider of technology lifecycle services including strategic sourcing, technology integration, and product support . The Group offers quality services to organizations by leveraging more than 20 years of deep technology industry expertise, solid partnerships with leading technology vendors, and strong financial support from its parent company. Headquartered in Indianapolis, the Tech.logix Group provides technology support throughout the United States with its professional staff and Technology Center investments."</t>
  </si>
  <si>
    <t>http://www.belltechlogix.com</t>
  </si>
  <si>
    <t>mailto:cwilkins@bellind.com</t>
  </si>
  <si>
    <t>BELTONE-BLACK &amp; ASSOC. INDIANA LLC</t>
  </si>
  <si>
    <t>http://www.beltone.com</t>
  </si>
  <si>
    <t>mailto:newcastlebeltone@yahoo.com</t>
  </si>
  <si>
    <t>BENDER LUMBER CO</t>
  </si>
  <si>
    <t>http://www.benderlumber.com</t>
  </si>
  <si>
    <t>mailto:rmorin@benderlumber.com</t>
  </si>
  <si>
    <t>Home Centers</t>
  </si>
  <si>
    <t>BENNETT'S GREENHOUSE</t>
  </si>
  <si>
    <t>http://www.bennettsgreenhouse.com</t>
  </si>
  <si>
    <t>mailto:plants@bennettsgreenhous.com</t>
  </si>
  <si>
    <t>BEST ENVIROMENTAL, LLC</t>
  </si>
  <si>
    <t>http://www.bestenviro.net</t>
  </si>
  <si>
    <t>mailto:rhoskins@bestenviro.net</t>
  </si>
  <si>
    <t>BEST ONE TIRE &amp; SERV</t>
  </si>
  <si>
    <t>="WE ARE AN INDEPENDANT BRIDGESTONE FIRESTONE DEALER. WE ARE BASED OUT OF PRINCETON IN. WE ARE MEMBERS OF A NATIONAL GROUP OF OVER 250 STORES STRONG. WE ARE ALSO AND MECHANICAL REPAIR FACILITY. WE ARE ALSO A MULTI TIRE LINE SHOP WITH THE BUYING POWER OF OVER 250 LOCATIONS"</t>
  </si>
  <si>
    <t>http://BESTONETIRE.COM</t>
  </si>
  <si>
    <t>mailto:BRADER77@VERIZON.NET</t>
  </si>
  <si>
    <t>BEST ONE TIRE AND SERVICE OF SOUTH BEND</t>
  </si>
  <si>
    <t>http://www.bestonesb.com</t>
  </si>
  <si>
    <t>mailto:apietsch@bestonesb.com</t>
  </si>
  <si>
    <t>BEST VALUE WAREHOUSE LLC</t>
  </si>
  <si>
    <t>http://www.bestvaluemattress.com</t>
  </si>
  <si>
    <t>mailto:ken@bestvaluemattress.com</t>
  </si>
  <si>
    <t>BESTvisits</t>
  </si>
  <si>
    <t>="BESTvisits connects “every prisoner with family and loved ones safely, economically – virtually”. Using the latest in internet and webcam technology, BESTvisits provides a secure environment for virtual visitation between incarcerated persons and their loved ones. BESTvisits units are provided free of charge to prisons and have only hard drive and monitor components along with a number key pad for inmates to log into the system. This eliminates access to inappropriate websites. A live person greets both parties at the beginning of the session to ensure both parties are successfully connected and can see one another clearly. This reduces confusion for persons unfamiliar with the technology and increases the likelihood for a successful visit."</t>
  </si>
  <si>
    <t>mailto:bryantedu@ameritech.net</t>
  </si>
  <si>
    <t>All Other Business Support Services</t>
  </si>
  <si>
    <t>BETHLEHEM PACKAGING &amp; DIECUTTING, INC</t>
  </si>
  <si>
    <t>="STEEL RULE DIECUTTING CONVERTING CORRUGATED, CHIPBOARD, FOAM AND OTHER NONFERROUS MATERIALS INTO CUSTOM PARTS PRIMARILY USED IN PACKAGING IE PARTITIONS, PADS, TRAYS, ETC. CUSTOM BOXES, ONE COLOR LONG &amp; SHORT RUN. PLASTIC RETURNABLES. DIPLOMA COVERS, EASELS AND OTHER TURNED EDGE PRODUCTS."</t>
  </si>
  <si>
    <t>http://WWW.BETHPAC.COM</t>
  </si>
  <si>
    <t>mailto:VICKYD@BETHPAC.COM</t>
  </si>
  <si>
    <t>Converted Paper Product Manufacturing</t>
  </si>
  <si>
    <t>BEX Screen Printing, Inc.</t>
  </si>
  <si>
    <t>http://bexscreenprinting.com/default.asp</t>
  </si>
  <si>
    <t>mailto:bex95@sbcglobal.net</t>
  </si>
  <si>
    <t>BF Interprises, Inc.</t>
  </si>
  <si>
    <t>http://www.astrofacilitymgmt.com</t>
  </si>
  <si>
    <t>mailto:info@astrofacilitymgmt.com</t>
  </si>
  <si>
    <t>BFF Alliance, Inc</t>
  </si>
  <si>
    <t>mailto:meechiefaire@yahoo.com</t>
  </si>
  <si>
    <t>Tobacco and Tobacco Product Merchant Wholesalers</t>
  </si>
  <si>
    <t>BGI Fitness</t>
  </si>
  <si>
    <t>http://www.bgifitnesscommercial.com</t>
  </si>
  <si>
    <t>mailto:commercialsales@bgindy.com</t>
  </si>
  <si>
    <t>Sporting Goods Stores</t>
  </si>
  <si>
    <t>BH Contracting, LLC</t>
  </si>
  <si>
    <t>="Residental and Commercial Remodeling. All aspects of remodeling which include but are not limited to painting, drywall, vinyl, electrical, plumbing, framing, kitchen and bath remodels, carpeting, ceramic tile, wood floors, HVAC, pressure washing, general contractor duties, ceiling repairs and installs, door installations, etc."</t>
  </si>
  <si>
    <t>mailto:mmazza23@sbcglobal.net</t>
  </si>
  <si>
    <t>BH&amp;R Electrical Contractors, Inc.</t>
  </si>
  <si>
    <t>="Provide and install electrical distribution, cable, raceways, lighting, devices, fire alarm, security, voice data, sound, nurse call, etc. for construction and remodel. Remodel and design builds for residential, commercial, healthcare, and industrial projects. Supply electrical equipment and material."</t>
  </si>
  <si>
    <t>mailto:natalieelle@aol.com</t>
  </si>
  <si>
    <t>BI Incorporated</t>
  </si>
  <si>
    <t>http://www.bi.com</t>
  </si>
  <si>
    <t>Other Communications Equipment Manufacturing</t>
  </si>
  <si>
    <t>BI Voyage, LLC</t>
  </si>
  <si>
    <t>http://BIVoyage.com</t>
  </si>
  <si>
    <t>mailto:info@bivoyage.com</t>
  </si>
  <si>
    <t>BIEHLE ELECTRIC INC</t>
  </si>
  <si>
    <t>http://www.biehleinc.com</t>
  </si>
  <si>
    <t>mailto:infor@biehleinc.com</t>
  </si>
  <si>
    <t>BISCO SYSTEMS</t>
  </si>
  <si>
    <t>="We offer a complete line of replacement filters including but not limited to: Machinery Filters HVAC Filters Compressor Filters Air Cleaner Filters Paint Booth Filters Fleet Filters Liquid Process Filters Vacuum Filters Turbine Filters Dust Collector Filters Coolant System Filters Etc. These are made in a wide range of styles to match OEM specifications. Bag Filters Cartridge Filters HEPA Filters Spin-on Style Intake Filters Hydraulic Filters Panel Filters Polyester Pads Ring Panels Mini Pleated Filters Oil Filters Fuel Filters Coalescing Metal Mesh Filters Carbon Filters Suction Strainers Air/Oil Separators Ashrea Cells Coolant Media Filter Elements Water Filters Media Rolls String Wound Breather Filters Pocket Filters Absorption Filter Diffusion Media Etc. Can be crossed by part number, or sample filter. We will be more than happy to visit your facility to review y"</t>
  </si>
  <si>
    <t>http://www.biscosystems.com/</t>
  </si>
  <si>
    <t>mailto:sales@biscosystems.com</t>
  </si>
  <si>
    <t>Air Purification Equipment Manufacturing</t>
  </si>
  <si>
    <t>BIT Consultahts, LLC</t>
  </si>
  <si>
    <t>mailto:bitconsultantsllc@yahoo.com</t>
  </si>
  <si>
    <t>Data Processing, Hosting, and Related Services</t>
  </si>
  <si>
    <t>BITWISE SOLUTIONS INC</t>
  </si>
  <si>
    <t>http://www.bitwisesolutions.com</t>
  </si>
  <si>
    <t>mailto:marketing@bitwisesolutions.com</t>
  </si>
  <si>
    <t>BJ'S LAWN CARE</t>
  </si>
  <si>
    <t>Public Administration</t>
  </si>
  <si>
    <t>BK BATH &amp; KITCHEN PLUS LLC</t>
  </si>
  <si>
    <t>http://www.bathandkitchenplus.com</t>
  </si>
  <si>
    <t>mailto:Jimlampke@aol,com</t>
  </si>
  <si>
    <t>BK Royston Publishing LLC</t>
  </si>
  <si>
    <t>="BK Royston Publishing is a publishing company established in 2008 to publish high quality and enjoyable inspirational materials for all ages. BK Royston Publishing has assisted several authors with receiving the guidance, information and services necessary to complete and publish a high quality publication. BK Royston Publishing stays on the cutting edge of publishing by providing publications in multiple formats including paperback, hard back, eBook, Kindle, Sound Recordings and mobile device."</t>
  </si>
  <si>
    <t>http://www.bkroystonpublishing.com</t>
  </si>
  <si>
    <t>mailto:bkroystonpublishing@gmail.com</t>
  </si>
  <si>
    <t>Book Publishers</t>
  </si>
  <si>
    <t>BKD, LLP</t>
  </si>
  <si>
    <t>="BKD, LLP, a national CPA and advisory firm, can help businesses and individuals realize their goals. Our dedicated professionals offer solutions for clients in all 50 states and internationally. BKD and its subsidiaries offer clients a variety of services in accounting, audit and assurance, tax, risk management, technology, corporate finance, forensic and valuation services and wealth management. We combine the insight and ideas of multiple disciplines to provide solutions in a wide range of industries, including health care, manufacturing, distribution, financial services, construction and real estate, as well as government entities, higher education institutions and not-for-profit organizations."</t>
  </si>
  <si>
    <t>http://www.bkd.com</t>
  </si>
  <si>
    <t>BLOOMFIELD CORPORATION</t>
  </si>
  <si>
    <t>="SINCE 1984, WE HAVE BEEN A 100% WOMAN-OWNED UNION SHEET METAL CONTRACTOR LOCATED IN PORTAGE, INDIANA, JUST OVER THE STATE LINE FROM CHICAGO, ILLINOIS. COMMERCIAL AND INDUSTRIAL HVAC ARE OUR PRIMARY CONTRACTS. WE HAVE A STRONG DESIGN-BUILD TEAM WITH IN-HOUSE DRAFTING CAPABILITIES AND AN ENGINEER ON STAFF.SERVICE AND PREVENTATIVE MAINTENANCE CONTRACTS ARE AVAILABLE WITH 24-HOUR RESPONSE WITHIN NORTHERN INDIANA, CHICAGOLAND AREA AND LOWER MICHIGAN. ARE OUR PRIMARY"</t>
  </si>
  <si>
    <t>http://bloomfieldmechanical.com</t>
  </si>
  <si>
    <t>mailto:info@bloomfieldmechanical.com</t>
  </si>
  <si>
    <t>BLUE MATRIX GROUP INC</t>
  </si>
  <si>
    <t>BLUE PRIDE TRANSPORTATION INC</t>
  </si>
  <si>
    <t>mailto:BLUEPRIDEINC@ATT.NET</t>
  </si>
  <si>
    <t>Other Transit and Ground Passenger Transportation</t>
  </si>
  <si>
    <t>BMB, Inc.</t>
  </si>
  <si>
    <t>mailto:ronl@bmbevansville.com</t>
  </si>
  <si>
    <t>Land Subdivision</t>
  </si>
  <si>
    <t>BMG Aviation Inc.</t>
  </si>
  <si>
    <t>="BMG Aviation, Inc. is a Fixed Base Operator offering refueling services to all types of aircraft, flight instruction, rental planes, repair and maintenance of jets, helicopters, hot air balloons, and piston planes. We also have 2 airplanes on part 135 air charter thru Solutions AIr Charter which we are director of maintenance for that company."</t>
  </si>
  <si>
    <t>http://www.bmgaviation.com</t>
  </si>
  <si>
    <t>mailto:info@bmgaviation.com</t>
  </si>
  <si>
    <t>Support Activities for Air Transportation</t>
  </si>
  <si>
    <t>BMG CONSTRUCTION LLC</t>
  </si>
  <si>
    <t>mailto:bmgcon@yahoo.com</t>
  </si>
  <si>
    <t>BMO HOME HEALTH CARE, INC.</t>
  </si>
  <si>
    <t>="The purpose of BMO Home Health Care, Inc., is to provide qualitly, cost effective and safe delivery of Home Health Services to individuals and families of every race, creed, nationality, diagnostic and social economic categories in need of Home Health Services. We are committed to the provision of Home Health care services that are guided by a quality and risk management program in order to ensure the delivery of quality, safe and cost effective home management program. We provide: Skilled Nursing, Home Health Aides, Physical Therapy, Medical Social Worker, Homemakers, Attentant Care Services."</t>
  </si>
  <si>
    <t>BNA Painting Inc</t>
  </si>
  <si>
    <t>mailto:bnapaintinginc@gmail.com</t>
  </si>
  <si>
    <t>BOATLAND INC</t>
  </si>
  <si>
    <t>http://www.boatland.com</t>
  </si>
  <si>
    <t>mailto:sales@boatland.com</t>
  </si>
  <si>
    <t>Boat Dealers</t>
  </si>
  <si>
    <t>BOB LUEGERS MOTORS INC</t>
  </si>
  <si>
    <t>="Bob Luegers Motors was formed in 1962 by the late Robert W. Luegers who acquired franchises for Buick, Pontiac, GMC and Jeep in Jasper. The company is currently owned and operated by the five sons of the founder, who, along with sixty employees, continue to provide for the automotive needs of customers in Southern Indiana. Today, customers at Bob Luegers Motors can always count on an excellent selection of new Buicks, Pontiacs, GMC Trucks and Jeep vehicles. Bob Luegers also maintains a large inventory of top-quality, late-model used cars and trucks, including GM and Chrysler factory and special program vehicles."</t>
  </si>
  <si>
    <t>http://www.bobluegers.com</t>
  </si>
  <si>
    <t>mailto:bobluegers@bobluegers.com</t>
  </si>
  <si>
    <t>BOB SCHWARTZ FORD, INC</t>
  </si>
  <si>
    <t>http://bobschwartzford.com</t>
  </si>
  <si>
    <t>BOE Inc.</t>
  </si>
  <si>
    <t>http://www.beckleys.com</t>
  </si>
  <si>
    <t>mailto:sales@beckleys.com</t>
  </si>
  <si>
    <t>BOILERMASTERS INC</t>
  </si>
  <si>
    <t>http://www.boilermasters.com</t>
  </si>
  <si>
    <t>mailto:cs@boilermasters.com</t>
  </si>
  <si>
    <t>BOLES CHEVROLET INC</t>
  </si>
  <si>
    <t>BOLT LIMITED</t>
  </si>
  <si>
    <t>http://www.getbolt.com</t>
  </si>
  <si>
    <t>mailto:getbolt.com</t>
  </si>
  <si>
    <t>BONA VISTA PROGRAMS INC</t>
  </si>
  <si>
    <t>="Bona Vista Industries is an integrated workshop providing industrial subcontracting services such as parts sanding, grinding, soldering; quality sorts and inspections; product bag assembly; parts/components assembly; large capacity industrial parts washing; and product re-pack. We also provide a variety of document management services-secure document shredding, bulk mailings, scanning, faxing and copying services. We custom-build hardwood pallets and crates and supply grade stakes/lathes. We also package and sell custom first aid kits and biohazard spill kits."</t>
  </si>
  <si>
    <t>http://www.bonavista.org</t>
  </si>
  <si>
    <t>mailto:kronk@bonavista.org</t>
  </si>
  <si>
    <t>BORSHOFF Inc.</t>
  </si>
  <si>
    <t>="Effective communication is half art, half science. And we work hard to be the best at bringing both halves together. We've been perfecting strategic, creative communications since 1984 — with passion, innovation, integrity and diligence. Our team brings together the top professionals in the business — in marketing, advertising, public relations — to serve clients in a wide range of industries, including health care, education, financial services, arts and culture, sports, entertainment, manufacturing, utilities, professional services, real estate, construction and retail."</t>
  </si>
  <si>
    <t>http://www.borshoff.biz</t>
  </si>
  <si>
    <t>mailto:contact@borshoff.biz</t>
  </si>
  <si>
    <t>BOSMA INDUSTRIES FOR THE BLIND, INC.</t>
  </si>
  <si>
    <t>="Since 1915, Bosma Enterprises has been navigating blindness by providing employment training and placement and rehabilitation for people, from adolescents to seniors. We are Indiana's only provider of programs and services solely focused on people who are blind or visually impaired. In addition to our rehabilitation programs, Bosma is Indiana's largest employer of people with vision loss through several lines of business. They include health and safety items, printing, warehousing and contract packaging, hearing aids, Independent Living Store and Ice Melt."</t>
  </si>
  <si>
    <t>http://www.bosma.org</t>
  </si>
  <si>
    <t>mailto:danb@bosma.org</t>
  </si>
  <si>
    <t>BOWERS ENVELOPE COMPANY INC</t>
  </si>
  <si>
    <t>http://www.bowersenvelope.com</t>
  </si>
  <si>
    <t>mailto:bowers@envrus.com</t>
  </si>
  <si>
    <t>Envelope Manufacturing</t>
  </si>
  <si>
    <t>BOYD, PINEGAR &amp; ASSOCIATES, P.C.</t>
  </si>
  <si>
    <t>BPB #202 Anderson LLC</t>
  </si>
  <si>
    <t>="At Batteries Plus Bulbs, you'll find everything you need. We offer personal service along with access to over 45,000 unique battery and light bulb products. Batteries Plus Bulbs has become the single-source supplier for all battery and light bulb power needs."</t>
  </si>
  <si>
    <t>http://Batteriesplus.com</t>
  </si>
  <si>
    <t>mailto:bp202@batteriesplus.net</t>
  </si>
  <si>
    <t>BPI ENTERPRISES LLC</t>
  </si>
  <si>
    <t>mailto:csd@battplusbpi.com</t>
  </si>
  <si>
    <t>All Other Miscellaneous Store Retailers</t>
  </si>
  <si>
    <t>BRADLEY CONSLTING &amp; MANAGEMENT INC</t>
  </si>
  <si>
    <t>="We provide medical disability management services for Worker's Compensation, Group Health, Long-Term and Short-Term disabilities. Our services include Medical Case Management, Independent Medical Exams, Medical Bill Review, Life Care Plans and Medicare Set-Asides."</t>
  </si>
  <si>
    <t>http://www.bradleycm.com</t>
  </si>
  <si>
    <t>mailto:hgott@bradleycm.com</t>
  </si>
  <si>
    <t>BRAND ELECTRIC INC</t>
  </si>
  <si>
    <t>http://www.brandelectric.com</t>
  </si>
  <si>
    <t>mailto:ejohns@brandelectric.com</t>
  </si>
  <si>
    <t>BRASIL BOUND, LLC</t>
  </si>
  <si>
    <t>http://www.brasilbound.com</t>
  </si>
  <si>
    <t>mailto:rward@brasilbound.com</t>
  </si>
  <si>
    <t>BRAZIL AUTOPLEX INC.</t>
  </si>
  <si>
    <t>="BRAZIL GM AUTOPLEX IS A NEW AND PRE-OWNED AUTOMOBILE DEALERSHIP WITH NEW CHEVROLET,PONTIAC,BUICK AND OLDSMOBILE, AND PRE-OWNED VEHICLES OF MANY MAKES AND MODELS WE ARE A FULL SERVICE DEALERSHIP WITH COMPLETE SALES,LEASING,SERVICE DEPARTMENTS AND STATE OF THE ART BODY SHOP"</t>
  </si>
  <si>
    <t>http://WWW.BRAZILAUTOPLEX.COM</t>
  </si>
  <si>
    <t>mailto:GERALDLONG@JOINK.COM</t>
  </si>
  <si>
    <t>BRENNTAG MID-SOUTH.IN</t>
  </si>
  <si>
    <t>="Brenntag provides customers in the upper Midwest with the following advantages: Full Product lines Local customer service Local management World Scale Capabilities Brenntag Great Lakes is Part of the Brenntag-Group, the global market leader in full-line chemical distribution (based on most recent market data). Linking chemical manufacturers and chemical users, Brenntag provides business-to-business distribution solutions for industrial and specialty chemicals globally. With over 10,000 products and a vast supplier base, Brenntag offers one-stop shop solutions to more than 150,000 customers. The value-added services include just-in-time delivery, product mixing, formulation, repackaging, inventory management, drum return handling as well as technical services. Headquartered in Mülheim an der Ruhr, Germany, Brenntag operates a global network with more than 400 locations in over 60 countries."</t>
  </si>
  <si>
    <t>http://brenntag.com</t>
  </si>
  <si>
    <t>mailto:mlee@brenntag.com</t>
  </si>
  <si>
    <t>Chemical and Allied Products Merchant Wholesalers</t>
  </si>
  <si>
    <t>BRIC Speedway LLC</t>
  </si>
  <si>
    <t>http://bricmanagement.net</t>
  </si>
  <si>
    <t>mailto:csw-speedway@ori.net</t>
  </si>
  <si>
    <t>BRIGHT IDEAS IN BROAD RIPPLE</t>
  </si>
  <si>
    <t>="Bright Ideas in Broad Ripple, Inc. is a WBE in business since 1983. As a promotional advertising company, we imprint and embroider all merchandise imaginable under the sun! We're located just north of Broad Ripple at 7425 Westfield Blvd. Our Showroom is open from 8:30 to 5:00, Monday through Friday and a friendly Sales Person is always available to assist you."</t>
  </si>
  <si>
    <t>http://www.bright-ideas.org</t>
  </si>
  <si>
    <t>mailto:bev.middaugh@bright-ideas.org</t>
  </si>
  <si>
    <t>BRIGHT SPOT CLEANING</t>
  </si>
  <si>
    <t>http://www.brightspotcleaninginc.com</t>
  </si>
  <si>
    <t>mailto:bbrightspot@gmail.com</t>
  </si>
  <si>
    <t>BROOKS FOOD</t>
  </si>
  <si>
    <t>BROWN LEO CONSTRUCTION COMPANY INC</t>
  </si>
  <si>
    <t>BRS Company Inc</t>
  </si>
  <si>
    <t>http://www.seri-graphics.com</t>
  </si>
  <si>
    <t>mailto:rbarry@seri-graphics.com</t>
  </si>
  <si>
    <t>BRYTON CORPORATION</t>
  </si>
  <si>
    <t>="Bryton Corporation is a designs, manufacturers, packages and supplies durable medical equipment, shelving, stainless steel equipment, clinical furntirue &amp; patient area furniture, office furniture, operating room accessories &amp; supplies, cushions &amp; pads for durable medical equipment, stretchers, OR tables; Bryton also provides custom fabrication stainless equipment, work tables, carts for hospital central processing, SPD and the Operating Room."</t>
  </si>
  <si>
    <t>http://www.brytoncorp.com</t>
  </si>
  <si>
    <t>mailto:mitz@brytoncorp.com</t>
  </si>
  <si>
    <t>BSA FM, LLC</t>
  </si>
  <si>
    <t>="BSA FM provides comprehensive, integrated facilities management services to hospitals, life sciences organizations and manufacturing facilities. It uses a variety of applications, including customized Web-based programs and top-rated Archibus software products, to help clients of all sizes manage the equipment, facilities and processes that make their organizations run. To complement these services, the firm also offers document management services as well as the ability to print and send drawings, renderings, sketches and reports. BSA FM compiles critical information about a facility, including record documents, facility assessments, occupancy data, operations manuals and maintenance schedules, just to name a few. The resulting knowledge base allows facility managers to make smart business decisions that increase an organization's productivity and profitability. In other words, we help your facility and your people work more efficiently."</t>
  </si>
  <si>
    <t>http://www.bsafm.com</t>
  </si>
  <si>
    <t>BSA LIFESTRUCTURES INC.</t>
  </si>
  <si>
    <t>="One of the leading architectural, engineering, planning and interior design firms in the country, BSA LifeStructures recognizes that buildings must work for people - that they must foster an environment that improves lives. To achieve this goal, the environment at BSA LifeStructures allows all disciplines to work together, so that our design team can focus on building a structure that exceeds client expectations. Headquartered in Indianapolis, with an additional office in Chicago, BSA LifeStructures is a leader in designing structures for healthcare, education and research and technology and has been recognized for its leadership by such publications as Modern Healthcare, World Architecture, Building Design and Construction Magazine."</t>
  </si>
  <si>
    <t>http://www.bsalifestructures.com</t>
  </si>
  <si>
    <t>BSI Traffic Control Products, LLC</t>
  </si>
  <si>
    <t>http://BSITRAFFICCONTROLPRODUCTSLLC.COM</t>
  </si>
  <si>
    <t>mailto:bs27@earthlink.net</t>
  </si>
  <si>
    <t>BTI Crushed Stone Sales LLC.</t>
  </si>
  <si>
    <t>Crushed and Broken Limestone Mining and Quarrying</t>
  </si>
  <si>
    <t>BUCHANAN AUTOMOTIVE INC.</t>
  </si>
  <si>
    <t>BUD,S COLLISION SVC</t>
  </si>
  <si>
    <t>BUILDING &amp; PROPERTY MAINTENANCE</t>
  </si>
  <si>
    <t>="My business as an authorized distributor for Pace Products, Inc will be to provide a de-icing product-P-49 (Propellant 49) and other maintenance products from the company. A description of the P-49 product is as follows: Propellant 49 chemical de-icer This incredible chemical pellet melts ice and snow 36 times faster ... prevents accidents ... reduces snow shoveling ... completely eliminates ice chipping! They said it couldn't be done - but PROPELLANT 49 completely solves winter ice and snow removal problems. The combination of three chemicals into an amazing pelletized form of heat energy makes this possible. By sprinkling the pellets lightly over frozen surfaces, this intense heat is unlocked, the ice and snow thaws by exothermic action ... then continues to work as an ice melter for up to 36 hours with its Controlled Melting Action!"</t>
  </si>
  <si>
    <t>http://TBD</t>
  </si>
  <si>
    <t>mailto:winstonhenry317@att.net</t>
  </si>
  <si>
    <t>BULLERDICK FURNITURE, INC</t>
  </si>
  <si>
    <t>mailto:bullerdicksales@parallax.ws</t>
  </si>
  <si>
    <t>BUNKER HILL HARDWARE</t>
  </si>
  <si>
    <t>mailto:QPH@QPH.COM</t>
  </si>
  <si>
    <t>BUSBY AUSTIN</t>
  </si>
  <si>
    <t>http://www.busbyaustin.com</t>
  </si>
  <si>
    <t>mailto:sipes@bacf.com</t>
  </si>
  <si>
    <t>BUSINESS FURNITURE SPECIALISTS, INC.</t>
  </si>
  <si>
    <t>="We offer space planning, product specification, project management, delivery, installation, user training and quick ship. We also provoide drapery manufacturing and custom framing services. Our furniture lines include Kimball, Harpers, National, KI, American Seating, Chromcraft and others. We offer commercial floorcovering from distributors such as Less, Shaw and Mohawk."</t>
  </si>
  <si>
    <t>http://busenvir.structuredchannel.com</t>
  </si>
  <si>
    <t>mailto:busenvir@evansville.net</t>
  </si>
  <si>
    <t>BUTLERS FLOWERS &amp; PLANTS</t>
  </si>
  <si>
    <t>Greenhouse, Nursery and Floriculture Production</t>
  </si>
  <si>
    <t>BUTTON MOTORS INC</t>
  </si>
  <si>
    <t>http://www.buttondodge.com</t>
  </si>
  <si>
    <t>mailto:ashoultz@buttondodge.com</t>
  </si>
  <si>
    <t>BWC,INC.</t>
  </si>
  <si>
    <t>Other Commercial and Service Industry Machinery Manufacturing</t>
  </si>
  <si>
    <t>Babcock Paving</t>
  </si>
  <si>
    <t>Asphalt Paving Mixture and Block Manufacturing</t>
  </si>
  <si>
    <t>Backdraft Construction and Landscaping</t>
  </si>
  <si>
    <t>mailto:jenny_hollinger01@yahoo.com</t>
  </si>
  <si>
    <t>Bacompt Services</t>
  </si>
  <si>
    <t>http://www.bacompt.com</t>
  </si>
  <si>
    <t>mailto:greg.allen@bacompt.com</t>
  </si>
  <si>
    <t>Bad Boy Bikes &amp; Trikes Inc</t>
  </si>
  <si>
    <t>http://www.badboybikesandtrikes.com</t>
  </si>
  <si>
    <t>mailto:contactus@badboybikesandtrikes.com</t>
  </si>
  <si>
    <t>Motorcycle Dealers</t>
  </si>
  <si>
    <t>Bader Mechanical, Inc.</t>
  </si>
  <si>
    <t>http://www.badermechanicalinc.com/</t>
  </si>
  <si>
    <t>mailto:Dukemax1953@aol.com</t>
  </si>
  <si>
    <t>Baere Aerospace Consulting, Inc.</t>
  </si>
  <si>
    <t>http://www.baereaerospace.com</t>
  </si>
  <si>
    <t>mailto:MelanieAThom@cs.com</t>
  </si>
  <si>
    <t>Bailey Construction</t>
  </si>
  <si>
    <t>http://www.baileyconstructions.com</t>
  </si>
  <si>
    <t>mailto:builder689172@yahoo.com</t>
  </si>
  <si>
    <t>Baize Contracting Inc.</t>
  </si>
  <si>
    <t>mailto:baizecontracting@yahoo.com</t>
  </si>
  <si>
    <t>Baker Specialty &amp; Supply Co., Inc.</t>
  </si>
  <si>
    <t>Baker Specialty &amp; Supply Company</t>
  </si>
  <si>
    <t>Baker Street Office Furnishings, Corp.</t>
  </si>
  <si>
    <t>http://www.bakerstreetof.com</t>
  </si>
  <si>
    <t>mailto:greg@bakerstreetof.com</t>
  </si>
  <si>
    <t>Bakers Septic Services, Inc.</t>
  </si>
  <si>
    <t>mailto:bakersportalets@tds.net</t>
  </si>
  <si>
    <t>Balanced Legal Solutions, LLC</t>
  </si>
  <si>
    <t>http://www.balancedlegalsolutions.com</t>
  </si>
  <si>
    <t>mailto:info@balancedlegalsolutions.com</t>
  </si>
  <si>
    <t>Bales Motor Company, Inc</t>
  </si>
  <si>
    <t>http://balesmotors.com</t>
  </si>
  <si>
    <t>mailto:bales@balesmotors.com</t>
  </si>
  <si>
    <t>Automobile and Other Motor Vehicle Merchant Wholesalers</t>
  </si>
  <si>
    <t>Ball &amp; Associates, LLC</t>
  </si>
  <si>
    <t>="CPA firm offering services in the areas of bookkeeping, compilations and reviews, accounting systems customization, taxes (corporate, individual, payroll, state sales, etc), business coaching, and assistance with estates and trusts. We also offer payroll processing."</t>
  </si>
  <si>
    <t>http://www.northstarcpa.com</t>
  </si>
  <si>
    <t>mailto:NorthStarAcct@verizon.net</t>
  </si>
  <si>
    <t>Ball Executive Servi</t>
  </si>
  <si>
    <t>="Business provides short term and long term executive leadership during transitions or internal organizational change. Can provide organizational development, staff development &amp; training, research services, human resource services, project management, program development, evaluation, management, documentation, grant writing, desktop publishing, and other project specific services."</t>
  </si>
  <si>
    <t>mailto:cindyball@sbcglobal.net</t>
  </si>
  <si>
    <t>Ball Memorial Hospital, Inc.</t>
  </si>
  <si>
    <t>http://www.accesschs.org/ball_memorial_h</t>
  </si>
  <si>
    <t>mailto:msandrick@chsmail.org</t>
  </si>
  <si>
    <t>General Medical and Surgical Hospitals</t>
  </si>
  <si>
    <t>Ball State University</t>
  </si>
  <si>
    <t>http://www.bsu.edu</t>
  </si>
  <si>
    <t>mailto:sponsoredprojectsadmin@bsu.edu</t>
  </si>
  <si>
    <t>Ballet nternationale-Indianapolis</t>
  </si>
  <si>
    <t>="Founded in 1973, Ballet Internationale-Indianapolis is the only professional ballet company in the state of Indiana, offering world-class Russian ballet to the audiences of Indianapolis and the surrounding area. With four productions a year at the Murat, international touring, and gold medal winning dancers, this company is truely unnique to the arts community of Indianapolis. Ballet Internationale has been moving and inspiring children and adults alike through dance, and its professional dance school (the Clara R. Noyes Academy) is a nationally acclaimed academy of dance."</t>
  </si>
  <si>
    <t>http://www.balletinternationale.org</t>
  </si>
  <si>
    <t>mailto:info@balletinternationale.org</t>
  </si>
  <si>
    <t>Dance Companies</t>
  </si>
  <si>
    <t>Ballistix, Inc.</t>
  </si>
  <si>
    <t>http://www.ballistix.biz</t>
  </si>
  <si>
    <t>mailto:john@ballistix.biz</t>
  </si>
  <si>
    <t>Balloons By Design</t>
  </si>
  <si>
    <t>mailto:balloons.by.design@sbcglobal.net</t>
  </si>
  <si>
    <t>Bamar Plastics, Inc.</t>
  </si>
  <si>
    <t>="Bamar Plastics is a small precision custom injection molder with in-house mold making capabilities. Processing a wide range of engineering grade thermoplastics, our lean, highly efficient molding operation includes sprue picking robots and automated material handling systems. The results are aggressively competitive rates with exceptional quality and delivery to help your bottom line! Contact us for a free quotation."</t>
  </si>
  <si>
    <t>http://www.bamarplastics.com</t>
  </si>
  <si>
    <t>mailto:info@bamarplastics.com</t>
  </si>
  <si>
    <t>Bamberger, Foreman, Oswald and Hahn, LLP</t>
  </si>
  <si>
    <t>http://www.bamberger.com</t>
  </si>
  <si>
    <t>mailto:info@bamberger.com</t>
  </si>
  <si>
    <t>Bane Equipment Sales, Inc</t>
  </si>
  <si>
    <t>="Bane Equipment is a Case IH Agricultural Implement Dealer also carrying other allied brands such has Woods, Bush Hog, Kubota, Dixie Chopper, etc... in addition to the Case IH brand. The company was founded in Wingate, IN and currently operates 6 retail stores within the state. Bane Equipment is a family owned business that employs approximately 100 individuals."</t>
  </si>
  <si>
    <t>http://www.baneequipment.com</t>
  </si>
  <si>
    <t>mailto:jason.everman@baneequipment.com</t>
  </si>
  <si>
    <t>Bane-Clene Corp.</t>
  </si>
  <si>
    <t>http://baneclene.com</t>
  </si>
  <si>
    <t>mailto:bane@baneclene.com</t>
  </si>
  <si>
    <t>Bane-Welker Equipment LLC</t>
  </si>
  <si>
    <t>http://www.bane-welker.com</t>
  </si>
  <si>
    <t>mailto:ethan.myers@bane-welker.com</t>
  </si>
  <si>
    <t>Banfich Interiors</t>
  </si>
  <si>
    <t>http://www.banfichinteriors.com</t>
  </si>
  <si>
    <t>mailto:peter.banfich@gmail.com</t>
  </si>
  <si>
    <t>Furniture and Home Furnishings Stores</t>
  </si>
  <si>
    <t>mailto:info@banfichinteriors.com</t>
  </si>
  <si>
    <t>Bangura Medical Serv</t>
  </si>
  <si>
    <t>Banks Car Rental Corporation</t>
  </si>
  <si>
    <t>Banning Engineering PC</t>
  </si>
  <si>
    <t>http://www.banningengineering.com</t>
  </si>
  <si>
    <t>mailto:banning@banning-eng.com</t>
  </si>
  <si>
    <t>Barada Associates</t>
  </si>
  <si>
    <t>="Barada Associates, established in 1979, is a full-service professional employment screening company. We supply reference reports, verifications and background checks to companies in Indiana and nationwide. Our professional reports and thorough research give our clients a clear hiring advantage, and we pledge to provide prompt and personal customer service. All of our services can be ordered and retrieved through our user-friendly online system, and there is no account set up fee or minimum usage requirement. We work with our clients to evaluate their screening needs and establish a package of services that's best for each individual client."</t>
  </si>
  <si>
    <t>http://www.baradainc.com</t>
  </si>
  <si>
    <t>mailto:assignments@baradainc.com</t>
  </si>
  <si>
    <t>Barb Mollys (General Partnership)</t>
  </si>
  <si>
    <t>="Awe Shucks! Hot Tamales specializes in Delta Style Tamales. Our hot tamales can be purchased online, at local Farmer's Markets, and by catering orders. They are a great snack or meal, and are perfect for your next party. Check out our website to learn more about the history of Delta Style Hot Tamales!"</t>
  </si>
  <si>
    <t>http://www.awshuxx.com</t>
  </si>
  <si>
    <t>mailto:info@awshuxx.com</t>
  </si>
  <si>
    <t>Barbara Spies Labus</t>
  </si>
  <si>
    <t>http://www.junebird.com</t>
  </si>
  <si>
    <t>mailto:barbspieslabus@gmail.com</t>
  </si>
  <si>
    <t>Barber Tool Rental</t>
  </si>
  <si>
    <t>Bardach Awards, Inc.</t>
  </si>
  <si>
    <t>="Bardach Awards, Inc. is one of the largest awards companies in the Midwest serving corporations and organizations globally. Our family of companies includes Bardach Awards, Broad Ripple Trophy Center, Bardach Awards Chicago, and Greenwood Trophy Center. Family owned and operated for over 37 years, we believe in the highest quality product with expert customer service. To learn more about Bardach Awards, please visit our online corporate catalog. Showcase achievement with our spectacular pieces made from the world's purest crystal, hand polished woods, brilliant acrylics, and natural marbles. All exquisitely designed by skilled craftsmen to recognize, reward and honor... when words are not enough! ©Copyright 2004 Bardach Awards All Rights Reserved, 910 Broad Ripple Avenue, Indianapolis, IN 46220, 888.387.0466, 317.257.7444, Fax: 317.257.7481, Contact Us for more information."</t>
  </si>
  <si>
    <t>http://www.bardachawards.com</t>
  </si>
  <si>
    <t>mailto:dbardach@bardachawards.com</t>
  </si>
  <si>
    <t>Barger Contracting</t>
  </si>
  <si>
    <t>mailto:jim.barger@bargercontracting.com</t>
  </si>
  <si>
    <t>Barile Ford, Inc.</t>
  </si>
  <si>
    <t>http://www.barileford.com</t>
  </si>
  <si>
    <t>mailto:barileford@aol.com</t>
  </si>
  <si>
    <t>Baristas, LLC</t>
  </si>
  <si>
    <t>mailto:smoran@kielbros.com</t>
  </si>
  <si>
    <t>Snack and Nonalcoholic Beverage Bars</t>
  </si>
  <si>
    <t>Barnes &amp; Thornburg LLP</t>
  </si>
  <si>
    <t>http://www.btlaw.com</t>
  </si>
  <si>
    <t>Barnes Cadwell, LLP</t>
  </si>
  <si>
    <t>="Barnes Cadwell, LLP is an Indiana Law Firm focused on Estate Planning, Probate, Probate Administration, Debt Collection and Legal Services to Government Entities with a particular focus on extending the reach of Medicaid Services to all who are qualified by aiding in the recovery of Medicaid costs and expenditures. Placing the Client center stage and keeping a laser sharp focus on the needs of our clients are the hallmarks of Barnes Cadwell, LLP. The partners in Barnes Cadwell have maintained a consistent track record of uncompromising ethics and attention to detail and we use modern techniques and methods allowing Barnes Cadwell to prosecute our client’s issues effectively and efficiently- keeping legal fees at a minimum while delivering value and service to our clients."</t>
  </si>
  <si>
    <t>http://www.barnescadwell.com</t>
  </si>
  <si>
    <t>mailto:info@barnescadwell.com</t>
  </si>
  <si>
    <t>Barnes Concepts LLC dba Create VIPS</t>
  </si>
  <si>
    <t>http://www.CreateVIPS.com</t>
  </si>
  <si>
    <t>mailto:antuan@createvips.com</t>
  </si>
  <si>
    <t>Barns Built Better</t>
  </si>
  <si>
    <t>http://betterbuiltbarns.us</t>
  </si>
  <si>
    <t>mailto:barnsbuiltbetter@yahoo.com</t>
  </si>
  <si>
    <t>Barrett Supplies &amp; Equipment, Inc.</t>
  </si>
  <si>
    <t>http://www.emsinc.com</t>
  </si>
  <si>
    <t>mailto:areddick@emsinc.com</t>
  </si>
  <si>
    <t>Barrier Windows of Lafayette, Inc</t>
  </si>
  <si>
    <t>http://barrierwindows.net</t>
  </si>
  <si>
    <t>mailto:win@barrierwindows.net</t>
  </si>
  <si>
    <t>Barry Consulting Group LLC</t>
  </si>
  <si>
    <t>="The Barry Consulting Group brings marketing, advertising and sales experience from throughout the country. We listen to you and your team to identify cost effective marketing solutions on strategy. Experienced in b-to-b and consumer media, BMC delivers guidance for creative, media, and budget. Working with us is easy. We are both working for you to win in the marketplace. It's that simple. Services: Strategic planning &amp; analysis, competitive market analysis and research, creative development, local, regional, national media analysis &amp; planning. - Print - direct mail, brochures, sales material, newspaper, outdoor, etc. - Video and audio – short and long form commercials, marketing tools, education and training, delivered and distributed via TV, Radio, Cable, Internet, cd, DVD, etc. - Internet – usage on a current site, or develop a new site. - Events – create events that launch, salute, educate, or sell. Specialty products, incentives, and gifts."</t>
  </si>
  <si>
    <t>http://www.barryconsulting.net</t>
  </si>
  <si>
    <t>mailto:question@barryconsulting.net</t>
  </si>
  <si>
    <t>Bartco Inc</t>
  </si>
  <si>
    <t>http://www.thefoodguys.net</t>
  </si>
  <si>
    <t>mailto:events@thefoodguys.net</t>
  </si>
  <si>
    <t>Bartlett Sales &amp; Service</t>
  </si>
  <si>
    <t>Base Electrical Services, LLC</t>
  </si>
  <si>
    <t>mailto:office@baseelectric.com</t>
  </si>
  <si>
    <t>Baseline NXC LLC</t>
  </si>
  <si>
    <t>="Baseline NXC LLC specializes in: underground directional boring, trenchless boring, aerial construction, fiber optic and copper communications, mainline construction, communication manhole systems, building interconnects, structured systems, network wiring, IT and telephone systems, paging systems, infrastructure, computer systems, servers, layer 2, layer 3, wireless, cellular amplification, IT and communications consulting, IT auditing, cellular site provisioning, maintenance."</t>
  </si>
  <si>
    <t>http://www.bnxc.net</t>
  </si>
  <si>
    <t>mailto:info@bnxc.net</t>
  </si>
  <si>
    <t>Power and Communication Line and Related Structures Construction</t>
  </si>
  <si>
    <t>Bassemiers Fireplace and Patio, Inc.</t>
  </si>
  <si>
    <t>http://www.bassemiers.com</t>
  </si>
  <si>
    <t>mailto:james@bassemiers.com</t>
  </si>
  <si>
    <t>Batteries Plus</t>
  </si>
  <si>
    <t>mailto:bill.erwin@batteriesplus.net</t>
  </si>
  <si>
    <t>Bauble Board, Inc.</t>
  </si>
  <si>
    <t>http://www.baubleboard.com</t>
  </si>
  <si>
    <t>mailto:mitzi@baubleboard.com</t>
  </si>
  <si>
    <t>Bauer Ford-Mercury I</t>
  </si>
  <si>
    <t>http://WWWBAUERFORD.COM</t>
  </si>
  <si>
    <t>mailto:WAYNE.BAUER@BAUERFORD.COM</t>
  </si>
  <si>
    <t>Baumnett, LLC</t>
  </si>
  <si>
    <t>="general contractor and construction management/supplier. We specialize in divisions 5, 9, 10 and 12 (steel, finishes, specialties and furnishings): steel products, restroom buildout, flooring, tile, carpet, lockers, flagpoles, furniture, shades, door mats, mirrors, etc."</t>
  </si>
  <si>
    <t>http://www.baumnett.com</t>
  </si>
  <si>
    <t>mailto:eddie@baumnett.com</t>
  </si>
  <si>
    <t>Building Finishing Contractors</t>
  </si>
  <si>
    <t>Baynes Consulting</t>
  </si>
  <si>
    <t>http://www.baynesconsulting.net</t>
  </si>
  <si>
    <t>mailto:lbaynes@baynesconsulting.net</t>
  </si>
  <si>
    <t>Be Bold Productions</t>
  </si>
  <si>
    <t>http://www.beboldproductions.com</t>
  </si>
  <si>
    <t>mailto:meredith@beboldproductions.com</t>
  </si>
  <si>
    <t>Be Prepared! EPT, In</t>
  </si>
  <si>
    <t>mailto:beprepared@mchsi.com</t>
  </si>
  <si>
    <t>Be Real Enterprises</t>
  </si>
  <si>
    <t>mailto:bknight1@wowway.com</t>
  </si>
  <si>
    <t>Beach Automotive Services, Inc.</t>
  </si>
  <si>
    <t>="Beach Automotive is a complete automotive mechanical and electrical repair facility. We perform routine maintenance, analyze drivability concerns, and repair both domestic and foreign vehicles. Our specialty area would include difficult electrical system issues and elusive drivability concerns. We are an AC Delco Auto Center and a Napa AutoCare Center. We are a Blue Seal of Excellence recognized business and our team of technicians are ASE certified. All technicians participate in regular training sessions to be current on all aspects of automotive repair."</t>
  </si>
  <si>
    <t>http://n/a</t>
  </si>
  <si>
    <t>Beachfront Development, LLC</t>
  </si>
  <si>
    <t>="Beachfront Development is a residential home builder located in Northwest Indiana. The company builds using the modular building system. The company is a registered Energy Star builder focused on ""Green Building"". Our homes are intrinsically energy efficient. The company will build throughout Indiana and the Chicagoland area. The company is working with redevelopment agencies to rebuild inner cities in the state."</t>
  </si>
  <si>
    <t>http://www.ourmodelhome.com</t>
  </si>
  <si>
    <t>mailto:BFDHomes@aol.com</t>
  </si>
  <si>
    <t>Residential Building Construction</t>
  </si>
  <si>
    <t>Beachler's, Inc.</t>
  </si>
  <si>
    <t>http://www.beachlersfurniture.com</t>
  </si>
  <si>
    <t>mailto:beachler@ori.net</t>
  </si>
  <si>
    <t>Beacon Hill Technologies</t>
  </si>
  <si>
    <t>="Beacon Hill Technologies, Beacon Hill Staffing Group’s technology specialty division, is a national IT staffing organization, operating across industries, that provides contract, direct (permanent), consulting and project management services to top companies and their IT departments. From staff augmentation and project/business specific solutions to direct (permanent) placement services, Beacon Hill Technologies’ dedicated team of recruiting and staffing experts consistently delivers quality IT professionals, covering all the latest technologies, on a time-sensitive basis. Whether start-ups or the Fortune 500, Beacon Hill Technologies matches world class talent with exceptional opportunities keeping all involved way ahead of the curve in the dynamic IT marketplace."</t>
  </si>
  <si>
    <t>http://www.beaconhillsg.com</t>
  </si>
  <si>
    <t>mailto:Indianapolis@beaconhillsg.com</t>
  </si>
  <si>
    <t>Beacon Industries</t>
  </si>
  <si>
    <t>http://beacon-industries.com</t>
  </si>
  <si>
    <t>mailto:beacon@beacon-industries.com</t>
  </si>
  <si>
    <t>Coating, Engraving, Heat Treating, and Allied Activities</t>
  </si>
  <si>
    <t>Beacon X-Ray Testing, Inc.</t>
  </si>
  <si>
    <t>mailto:Beacon.xray@att.net</t>
  </si>
  <si>
    <t>All Other Miscellaneous Ambulatory Health Care Services</t>
  </si>
  <si>
    <t>Beam, Longest and Neff, LLC</t>
  </si>
  <si>
    <t>http://www.b-l-n.com</t>
  </si>
  <si>
    <t>mailto:bln@b-l-n.com</t>
  </si>
  <si>
    <t>Beams of Grace Press</t>
  </si>
  <si>
    <t>http://www.beamsofgrace.com</t>
  </si>
  <si>
    <t>mailto:beamsofgrace@kconline.com</t>
  </si>
  <si>
    <t>Beck Printing L.L.C.</t>
  </si>
  <si>
    <t>mailto:beckprinting@sbcglobal.net</t>
  </si>
  <si>
    <t>Beck Toyota Scion</t>
  </si>
  <si>
    <t>http://WWW.BECKTOYOTA.COM</t>
  </si>
  <si>
    <t>mailto:BECKAUTOGROUP@YAHOO.COM</t>
  </si>
  <si>
    <t>Beck n'Call</t>
  </si>
  <si>
    <t>="Beck n'Call LLC provides consulting services including, but not limited to: Business start-up, business management, general management, strategic planning, and telehealth implementation. Specific areas of expertise include telemedicine and new business development."</t>
  </si>
  <si>
    <t>mailto:beckncall@indy.rr.com</t>
  </si>
  <si>
    <t>Beckett Bronze Co. Inc.</t>
  </si>
  <si>
    <t>="Custom Manufacturer of cast bronze bushings, bearings, sleeves, rings, valve guides, hydraulic cylinder packing glands, gear blanks, seals and other precision machined O.E.M. parts. Also, manufacture continuous cast bronze bars and tubes in many alloys. 50 employees. $8 million sales. No debt. Established 1913."</t>
  </si>
  <si>
    <t>http://beckettbronze.com</t>
  </si>
  <si>
    <t>mailto:info@beckettbronze.com</t>
  </si>
  <si>
    <t>Copper Foundries</t>
  </si>
  <si>
    <t>Becton Dickinson and Company</t>
  </si>
  <si>
    <t>="BD (Becton, Dickinson and Company) is a medical technology company that serves healthcare institutions, life science researchers, clinical laboratories, industry and the general public. Organized by three segments: BD Biosciences, BD Diagnostics, and BD Medical, BD manufactures and sells a broad range of medical supplies, devices, laboratory equipment and diagnostic products."</t>
  </si>
  <si>
    <t>http://www.BD.com</t>
  </si>
  <si>
    <t>mailto:state_bids@bd.com</t>
  </si>
  <si>
    <t>Bed Techs, Inc.</t>
  </si>
  <si>
    <t>="Bed Techs, Inc. is a leading global supplier and the largest producer of reconditioned Hill-Rom® beds, stretchers and replacement bed parts for hospitals. Our comprehensive line of products is used by health care providers around the world in acute care, long-term care, academic institutions, and in home-care settings. Best of all, our customers save 20% to 50%!"</t>
  </si>
  <si>
    <t>http://www.bedtechs.com</t>
  </si>
  <si>
    <t>mailto:gmerkle@bedtechs.com</t>
  </si>
  <si>
    <t>Furniture Merchant Wholesalers</t>
  </si>
  <si>
    <t>Bedel Financial Consulting, Inc.</t>
  </si>
  <si>
    <t>="Bedel Financial Consulting, Inc., is a wealth management firm that provides fee-only financial planning and investment management services for individuals, consulting services for corporate retirement plans, and investment advisory for institutions and endowments. As a fee-only firm, Bedel Financial Consulting does not sell products or receive commissions from third parties. All revenue of the firm consists of fees paid directly by clients for services received."</t>
  </si>
  <si>
    <t>http://www.BedelFinancial.com</t>
  </si>
  <si>
    <t>mailto:bedel@bedelfinancial.com</t>
  </si>
  <si>
    <t>Bedell Plumbing, Inc.</t>
  </si>
  <si>
    <t>http://bedellplumbinginc.com</t>
  </si>
  <si>
    <t>mailto:bedellplumbing@att.net</t>
  </si>
  <si>
    <t>Bedford Tom SalesInc</t>
  </si>
  <si>
    <t>="Spring water distributer representing Walnut Grove Springs selling 5 gallon returnable containers of spring water, cups, and hot and cold water dispenser/cooler to factories, offices, resorts, health clubs, select neighborhoods, and any other interested parties."</t>
  </si>
  <si>
    <t>mailto:budboy@kiva.net</t>
  </si>
  <si>
    <t>Bee Electronics LLC</t>
  </si>
  <si>
    <t>="Service and repair of Consumer Electronics, Computer, Networking, Professional Audio and Consumer Major Appliances. This would include but not be limited to Television, LCD, Plasma, DLP, PC's, Laptops, Printers, wired and wireless networking, Amps, mixing boards, PA systems, Washers, dryers, cooktops, refrigerators, diswashers, etc.. We offer In-Home/On-Site, within a 50 mile radius of our location, as well as carry-in or depot service. We are the Samsung Field Enginner Center for Southern Indiana."</t>
  </si>
  <si>
    <t>http://www.Bee-Electronics.com</t>
  </si>
  <si>
    <t>mailto:Service@Bee-Electronics.com</t>
  </si>
  <si>
    <t>BeeHive Diversity Group, LLC</t>
  </si>
  <si>
    <t>="We helps companies build diversity programs and provide tools to make the procurement professional's job easier. SUPPLIER CLASSIFICATION SYSTEM: Our uniqueness comes from adding accuracy to the process. We capture supplier profile information directly from the suppliers and not from unsubstantiated third party resources. This allows the client to feel comfortable about the accuracy of the numbers they report. Additional online features include: supplier profiles, certification documents, standardized tier-2 reporting and buyer tracking. SUPPLIER RATING SYSTEM: This system allows members to rate suppliers and search for suppliers. The environment promotes sharing of quality suppliers throughout various industries and holds a supplier accountable. SUPPLIER DIVERSITY DEVELOPMENT: We seek out companies looking to improve their supplier diversity program. We work with individuals involved in shaping company direction and executing company protocol."</t>
  </si>
  <si>
    <t>http://www.beehivedg.com</t>
  </si>
  <si>
    <t>mailto:jclark@beehivedg.com</t>
  </si>
  <si>
    <t>Other Management Consulting Services</t>
  </si>
  <si>
    <t>Beemsterboer Slag Corp.</t>
  </si>
  <si>
    <t>mailto:Jill@beemslag.com</t>
  </si>
  <si>
    <t>Material Handling Equipment Manufacturing</t>
  </si>
  <si>
    <t>Beeson Mechanical Service, Inc.</t>
  </si>
  <si>
    <t>="Beeson Mechanical Service, Inc. services and installs heating, cooling, piping, electrical, refrigeration, and commercial dehumidifier products. We specialize in and install the York HVAC products, but service all brands. We are locally owned and operated in Whiteland, just south of Indianapolis. We serve Indianapolis and the surrounding areas."</t>
  </si>
  <si>
    <t>http://www.beesonco.com</t>
  </si>
  <si>
    <t>mailto:beesonco@beesonco.com</t>
  </si>
  <si>
    <t>Behavior NetWorks, LLC</t>
  </si>
  <si>
    <t>="Behavior NetWorks is an evidence-based multidisciplinary practice that specializes in helping individuals achieve their highest potential. From intensive early intervention for children with severe neurological challenges such as autism to corporate executives wanting to increase productivity within themselves and their team, Behavior NetWorks customizes evidence-based practices to develop effective intervention programs with measurable results. Open to all ages, offering both Center-based and site-based services."</t>
  </si>
  <si>
    <t>http://www.behaviornetworks.com</t>
  </si>
  <si>
    <t>mailto:kim@behaviornetworks.com</t>
  </si>
  <si>
    <t>Beiser Excavating and MGMT LLC</t>
  </si>
  <si>
    <t>mailto:Beiser.exandman@mail.com</t>
  </si>
  <si>
    <t>Belden CDT</t>
  </si>
  <si>
    <t>="Belden CDT Electronics Division is a leading manufacturer of speciality cable products for a wide range of communications, broadcast, industrial, network, and sound, security and alarm applications. Product lines includes multi-conductor, fiber optics, coaxial, high performance twisted pair, high temperature, flat cable, hook-up and lead wire and molded cable assemblies."</t>
  </si>
  <si>
    <t>http://www.belden.com</t>
  </si>
  <si>
    <t>mailto:info@belden.com</t>
  </si>
  <si>
    <t>Copper Rolling, Drawing and Extruding</t>
  </si>
  <si>
    <t>Bell Street Designs, Inc.</t>
  </si>
  <si>
    <t>="We are a wholesale company that manufactures GREEN home decor and gift items, hand poured soy candles, as well as, retails awards, gifts, trophies, and provides laser engraving services for personalization, gifts, industrial and military applications. The products we create and wholesale are proudly using only American made components, as well as, recycled and/or re-purposed materials."</t>
  </si>
  <si>
    <t>http://www.leftbraincandlecompany.com (a</t>
  </si>
  <si>
    <t>mailto:jamie@precisionlaserexpressions.com</t>
  </si>
  <si>
    <t>Home Furnishing Merchant Wholesalers</t>
  </si>
  <si>
    <t>Bella Communities</t>
  </si>
  <si>
    <t>http://www.bellacommunities.org</t>
  </si>
  <si>
    <t>mailto:kpham@bellacommunities.org</t>
  </si>
  <si>
    <t>Bella Villa Realtors LLC</t>
  </si>
  <si>
    <t>Bellinger Geo Services</t>
  </si>
  <si>
    <t>http://bellingergeo.com</t>
  </si>
  <si>
    <t>mailto:nathan@bellingergeo.com</t>
  </si>
  <si>
    <t>Bellsom Electric Inc</t>
  </si>
  <si>
    <t>mailto:bellsom@sbcglobal.net</t>
  </si>
  <si>
    <t>Beltrame Leffler Advertising LLC</t>
  </si>
  <si>
    <t>="Beltrame Leffler Advertising is a full-service advertising agency which specializes in brand-building. Strong on design and creativity built on strategic insight. Experienced in all phases of advertising and communications with consumer-based and business-to-business customers both local and national. We were founded with the idea that effective communications are based on a good understanding of the thinking behind the objectives, and a complete understanding of the target audiences and their dynamics. Because we tackle these critical areas with enthusiasm and understanding, we have a lot of success stories and a lot of satisfied customers. We have helped companies by starting with various aspects of branding including brand audits, positioning, and name/logo development. Other times, we are simply asked to develop or update materials but give them a fresh new look. In any case, we keep the intended audience in mind and develop materials that are appropriate to the audience."</t>
  </si>
  <si>
    <t>http://www.bladv.com</t>
  </si>
  <si>
    <t>mailto:info@bladv.com</t>
  </si>
  <si>
    <t>Ben Freight Trucking</t>
  </si>
  <si>
    <t>mailto:benftrucking@yahoo.com</t>
  </si>
  <si>
    <t>Benchmark Mechanical Inc.</t>
  </si>
  <si>
    <t>="Benchmark Mechanical is a union contractor. Along with installing, repairing and troubleshooting plumbing and HVAC, we also specialize in temperature control, boilers, chillers, and backflow preventers. We primarily service instutional, industrial and commercial customers."</t>
  </si>
  <si>
    <t>http://benchmarkmechanical.com</t>
  </si>
  <si>
    <t>mailto:crush@benchmarkmechanical.com</t>
  </si>
  <si>
    <t>Benefit Specialist Associates</t>
  </si>
  <si>
    <t>="Benefit Specialist Associates provides service in two ways. First, we are a benefit retrieval organization. We represent persons who have been denied Social Security disability benefits through the appeals process to receive all benefits to which they are entitled. Second, we will provide computer skills training for blind individuals in the office and in the client’s home. We also do Braille Translation ."</t>
  </si>
  <si>
    <t>mailto:esolomon1@sbcglobal.net</t>
  </si>
  <si>
    <t>Bennett Group and Associates, INC.</t>
  </si>
  <si>
    <t>="HOLDWORKS has been providing informative messages for on hold marketing to a full range of successful business nationally since 1990. From fortune 500 companies with hundreds of locations to smaller companies with one or two employees, we provide a turnkey solutions to your on hold needs. We are confident that we can create a cost-effective solution for your specific needs. We offer creative and unique script writing, licensed music and professional voice talent resulting in a highly effective way to inform callers while on hold. We pride ourselves in making sure that your needs are met by providing attention to detail and service after the sale. Call 800-214-2757 and ask a representative how we can help your business today!!! We also provide voice and data solutions, web audio, in store promotions and Dish Network Business Solutions."</t>
  </si>
  <si>
    <t>http://www.holdworks.com</t>
  </si>
  <si>
    <t>mailto:info@holdworks.com</t>
  </si>
  <si>
    <t>Bennett Motors, Inc.</t>
  </si>
  <si>
    <t>http://craigauto.com</t>
  </si>
  <si>
    <t>mailto:craigauto@hotmail.com</t>
  </si>
  <si>
    <t>Benson Inc.</t>
  </si>
  <si>
    <t>http://buildwithbenson.com</t>
  </si>
  <si>
    <t>mailto:office@buildwithbenson.com</t>
  </si>
  <si>
    <t>Carpentry Contractors</t>
  </si>
  <si>
    <t>Berdina Van Cleave Gamble</t>
  </si>
  <si>
    <t>mailto:berdinagamble@yahoo.com</t>
  </si>
  <si>
    <t>Berg's Garage, INC</t>
  </si>
  <si>
    <t>Automotive Repair and Maintenance</t>
  </si>
  <si>
    <t>Berglund Construction Company</t>
  </si>
  <si>
    <t>="Since 1911, Berglund has delivered a hands-on, partnering spirit that comes with being one of the most experienced family-owned companies in North America. We collaborate with our clients, consultants, subcontractors and communities to deliver building solutions of the highest standard. With more than 350 employees across the Midwest, Berglund generated revenues exceeding $150 million in 2014 and has had the honor to be named one of the Top 400 Contractors in the US. Berglund has dramatically set new standards for quality, innovation and craftsmanship, effective project management, cost control and worker and public safety."</t>
  </si>
  <si>
    <t>http://www.berglundco.com</t>
  </si>
  <si>
    <t>mailto:jdyer@berglundco.com</t>
  </si>
  <si>
    <t>Bergman Design LLC</t>
  </si>
  <si>
    <t>="Bergman Design LLC provides master planning and site design services for commercial, institutional, churches, and recreational properties. Bergman Design LLC's list of completed projects include site plans for several retirement communities, hardware stores and other retail projects, day care facilities, and churches. With over 20 years of experience with landscape architecture, civil engineering, and surveying firms, owner Michael Bergman's experience also includes municipal park design, streetscapes, and university campus design."</t>
  </si>
  <si>
    <t>mailto:michaelbergman@comcast.net</t>
  </si>
  <si>
    <t>Bergman Irrigation LLC</t>
  </si>
  <si>
    <t>Berkut Logistics, Inc.</t>
  </si>
  <si>
    <t>mailto:berkutinc@msn.com</t>
  </si>
  <si>
    <t>General Freight Trucking</t>
  </si>
  <si>
    <t>Bernard Trucking Inc</t>
  </si>
  <si>
    <t>Berne Apparel</t>
  </si>
  <si>
    <t>http://www.bernedirect.com</t>
  </si>
  <si>
    <t>mailto:jeffclark@berneapparel.com</t>
  </si>
  <si>
    <t>Apparel Manufacturing</t>
  </si>
  <si>
    <t>Berner and Co Inc</t>
  </si>
  <si>
    <t>mailto:bernerinsurance@comcast.net</t>
  </si>
  <si>
    <t>Berry Plastics Corp</t>
  </si>
  <si>
    <t>http://www.berryplastics.com</t>
  </si>
  <si>
    <t>Plastics and Rubber Products Manufacturing</t>
  </si>
  <si>
    <t>Bertrand Electronics Incorp.</t>
  </si>
  <si>
    <t>mailto:tomotto_1@msn.com</t>
  </si>
  <si>
    <t>Bessert &amp; Associates LLC</t>
  </si>
  <si>
    <t>="Our agency specializes in employer sponsored plans, including medical, dental, prescription drugs, vision, short and long term disability, COBRA, HIPAA, legal and Section 125 cafeteria plans. We work very hard to provide alternatives that meet the objectives of you, the employer and your employees."</t>
  </si>
  <si>
    <t>mailto:paulalaw@bessert.net</t>
  </si>
  <si>
    <t>Best Buy Gov, LLC</t>
  </si>
  <si>
    <t>="~ Complete computer labs- including furniture, computers, monitors, and software ~ GPS, 2-Way Radios/Walkie-talkies, Surveillance, etc. ~ Any Audio Visual needs, projectors, TV, VCR, DVD units and screens ~ Digital Camera and Camcorders ~ Conference Room Supplies, speakerphones, chairs, tables etc. ~ Break room supplies- Refrigerators, microwaves, tables, ADA furnature/Appliances, etc. ~ Facilities cleaning supplies- Vacuums, carpet cleaners, etc."</t>
  </si>
  <si>
    <t>http://www.bestbuygov.com</t>
  </si>
  <si>
    <t>mailto:govedsupport@bestbuy.com</t>
  </si>
  <si>
    <t>Electronics and Appliance Stores</t>
  </si>
  <si>
    <t>Best Carpet Care</t>
  </si>
  <si>
    <t>="Carpet cleaning using the latest technology. Carpets are rinsed completely, no soap residue is left behind. Demonstrations welcome. Best Carpet Care is certifed by the IICRC. Best Carpet Care is Bio-Cleaning certified by the ASCR. We are listed on Angie's List and have earned the 2002 and 2003 Super Service Award. Best Carpet Care is also certifed in odor control, uphostery cleaning and damage restoration."</t>
  </si>
  <si>
    <t>mailto:robert314159265@yahoo.com</t>
  </si>
  <si>
    <t>Best Ever Supplies</t>
  </si>
  <si>
    <t>Best Kitchen Service and Parts</t>
  </si>
  <si>
    <t>mailto:best_kitchen@ameritech.net</t>
  </si>
  <si>
    <t>Best Rentals</t>
  </si>
  <si>
    <t>="Best Rentals/A Classic Expo Design provides party rental equipment &amp; exposition goods/services. We are valuable for meetings, picnics, carnivals, corporate gatherings, room dividers(pipe &amp; drape), tables, chairs, linens, china, flatware, glassware, staging &amp; much more for any event. Our pricing is very competitive &amp; our service is outstanding."</t>
  </si>
  <si>
    <t>http://www.bestrentals.net</t>
  </si>
  <si>
    <t>mailto:bestrent@sbcglobal.net</t>
  </si>
  <si>
    <t>Best Way of Indiana, Inc.</t>
  </si>
  <si>
    <t>mailto:jhull@bestway-disposal.com</t>
  </si>
  <si>
    <t>BestScape Lawn Care</t>
  </si>
  <si>
    <t>mailto:BestScapeLawnCare@yahoo.com</t>
  </si>
  <si>
    <t>Bestco, Inc</t>
  </si>
  <si>
    <t>mailto:jmilo28@hotmail.com</t>
  </si>
  <si>
    <t>Beta Graphics</t>
  </si>
  <si>
    <t>http://www.ardantgroup.com</t>
  </si>
  <si>
    <t>mailto:pam@ardantgroup.com</t>
  </si>
  <si>
    <t>Beth &amp; I Trucking</t>
  </si>
  <si>
    <t>mailto:cwebx6@insightbb.com</t>
  </si>
  <si>
    <t>Beth Cullom</t>
  </si>
  <si>
    <t>mailto:culco@att.net</t>
  </si>
  <si>
    <t>Beth's Office Connection</t>
  </si>
  <si>
    <t>http://www.britlink.com/officeconnection</t>
  </si>
  <si>
    <t>mailto:officeconnection@charter.net</t>
  </si>
  <si>
    <t>Beth's Trucking</t>
  </si>
  <si>
    <t>mailto:brariden@sbcglobal.net</t>
  </si>
  <si>
    <t>Truck Transportation</t>
  </si>
  <si>
    <t>Bethany Christian Services of Central IN</t>
  </si>
  <si>
    <t>http://www.bethany.org/indiana</t>
  </si>
  <si>
    <t>mailto:bcsindianapolis@bethany.org</t>
  </si>
  <si>
    <t>Better Hearing Services, Inc.</t>
  </si>
  <si>
    <t>="Hearing testing plus Sales and Service for all types of Hearing Aids within the State of Indiana. Business has been in operation 16 years. Board Certified in Hearing Instrument Sciences. Quality Provider reputation within sales area. Offices in Portage and Valparaiso."</t>
  </si>
  <si>
    <t>mailto:moseleyh@hotmail.com</t>
  </si>
  <si>
    <t>Betts Innovations Limited</t>
  </si>
  <si>
    <t>="* Custom Software Development, including Oracle Databases, XML Databases, thin and thick client Applications; Electronic Data Interchange (EDI) systems using XML or custom EDI formats; Custom User/Customer-driven Data Import/Export formats with full error checking/reporting * Spatial/GIS data integration with ESRI ArcView mapping technology data via custom MapObjects interfaces. * Data Integration from multiple data sources into relational database structure with automated, full error checking/reporting * Advanced interface design for simple-to-use data search/mining capabilities * Software Unit/Integration Testing, Full Database Structural Verification Services * Software Document Preparation, including User Manuals, System Manuals, Software Requirements Documents, and Software Design Documents, and Software Unit/Integration Test (SUIT) Documents"</t>
  </si>
  <si>
    <t>mailto:kbetts3851@earthlink.net</t>
  </si>
  <si>
    <t>Between the Buns of South Bend, Inc.</t>
  </si>
  <si>
    <t>="Full service sports themed restaurant with full bar. Capable of catering parties at your location, with or without bar. Can cater buffet or special orders. Great service. Billing / invoicing available for businesses. Proudly located near Notre Dame in South Bend. Other locations in Mishawaka and Osceola. Award winning burgers, chili, fries, wings, and chicken strips. We use fresh product so you get great product. Give us a try.....You won't regret it."</t>
  </si>
  <si>
    <t>Http://www.BetweentheBuns.com</t>
  </si>
  <si>
    <t>mailto:BunsSB@comcast.net</t>
  </si>
  <si>
    <t>Betz Brothers Building Supply</t>
  </si>
  <si>
    <t>http://www.betzbros.com</t>
  </si>
  <si>
    <t>mailto:betzbros@psci.net</t>
  </si>
  <si>
    <t>Betz Nursing Home, I</t>
  </si>
  <si>
    <t>http://www.betzinc.com</t>
  </si>
  <si>
    <t>mailto:lgerig@betzinc.com</t>
  </si>
  <si>
    <t>Beulah, Inc.</t>
  </si>
  <si>
    <t>mailto:christina_nevill@hotmail.com</t>
  </si>
  <si>
    <t>Rubber Product Manufacturing</t>
  </si>
  <si>
    <t>Beutter Brick,Patio's and Beyond</t>
  </si>
  <si>
    <t>Beverly A Couts</t>
  </si>
  <si>
    <t>mailto:simplythebestym@aol.com</t>
  </si>
  <si>
    <t>Beverly Samuel</t>
  </si>
  <si>
    <t>="Technical and soft skills training for youth, professionals, consultants, small business owners. Soft-skills Training: Creating a professional image, business etiquette &amp; civility, nonverbal communication, poise and posture, children’s etiquette. Training people how to project an image of confidence and competence. Marketing Coaching for consultants, coaches, professionals: Taking the overwhelming marketing information you already have and creating an action plan that can be implemented in bite-sized pieces. Technical Training: FDA 21CFR 820 training, Product Development Process for Medical Devices, including Design Reviews, Configuration Management, Verification and Validation, DOORS."</t>
  </si>
  <si>
    <t>http://www.PhoenixImageInstitute.com</t>
  </si>
  <si>
    <t>mailto:Beverly@PhoenixImageInstitute.com</t>
  </si>
  <si>
    <t>Beyond Payroll Services, Inc.</t>
  </si>
  <si>
    <t>="BEYOND Payroll Service$, Inc. provides services to any business, whether they employ one or one hundred employers. And we offer much more flexibility with no hidden costs. We want to be your payroll processor. It is what we do best and allows you to do what you do best, manage your business."</t>
  </si>
  <si>
    <t>mailto:beyondpay@comcast.net</t>
  </si>
  <si>
    <t>Payroll Services</t>
  </si>
  <si>
    <t>Beyond Words, Inc.</t>
  </si>
  <si>
    <t>mailto:beyondwords@comcast.net</t>
  </si>
  <si>
    <t>Bibbs Enterprises LLC</t>
  </si>
  <si>
    <t>http://bibbsenterprises.com</t>
  </si>
  <si>
    <t>mailto:karlabibbs@aol.com</t>
  </si>
  <si>
    <t>Bibbs Hauling LLC</t>
  </si>
  <si>
    <t>="Introduction Bibbs Hauling, LLC. is a small start up company created to do heavy hauling for construction, excavation and potential government contracts. The company is dedicated to providing the highest quality service, meeting the needs of its clients according to specified dates in a timely manner. The Company Bibbs Hauling, LLC. is located in Indianapolis, Indiana and licensed to do business throughout the state. The company is a limited liability and is new to the trucking industry. The owner, Richard K. Bibbs, is currently employed with another company with the goal of making Bibbs Hauling, LLC. a success by years end 2007, and therefore affording him the opportunity to dedicate all of his time and energy solely on the business. For the first two years of operation, Bibbs Hauling, LLC. will pseudo-partnership with D Transport. D Transport is a 15 year old company based also in Indianapolis, Indiana, who has agreed to assist Bibbs Hauling, LLC in establishing itself as a p"</t>
  </si>
  <si>
    <t>mailto:bibbshauling@yahoo.com</t>
  </si>
  <si>
    <t>Bieber Lawncare</t>
  </si>
  <si>
    <t>="Bieber Lawn Care is a family owned local Lawn Mowing and Lawn Maintenance service for the past 22 years. We are insured, dependable, and professional. Bieber Lawn Service is the premiere total lawn maintenance / lawn care service in the Tri-state area. Our goal is to provide the level of service that simply is not available through your typical lawn care company. We do one time service calls or can tailor a lawn service contract to fit your needs. We offer monthly billing. No more worrying about getting a check to the yard people while they are there and you are not! Bieber Lawn Care serves all Tri-State areas. Bieber Lawn Care includes mowing, edging, weed-eating, trimming of shrubs and low-hanging branches, mulching and blowing. We only use the best high-quality equipment and keep all equipment meticulously maintained so no added stress from dull mower blades is ever transferred to the yard &amp; lawns we maintain."</t>
  </si>
  <si>
    <t>https://bieberlawncare.com</t>
  </si>
  <si>
    <t>mailto:bieberlawncare@gmail.com</t>
  </si>
  <si>
    <t>Big C Lumber Co., Inc.</t>
  </si>
  <si>
    <t>http://www.bigclumber.com</t>
  </si>
  <si>
    <t>Big G Supply, Inc</t>
  </si>
  <si>
    <t>Big J Design &amp; Construction LLC</t>
  </si>
  <si>
    <t>mailto:bigj@blueriver.net</t>
  </si>
  <si>
    <t>Big Red's Diesel Repair</t>
  </si>
  <si>
    <t>="Diesel Truck Fleet Service of Indiana is a Full Service Diesel Repair Facility equipped with OEM Computer Diagnostic Equipment. We work on ANYTHING diesel as well as GAS engines too. Our computer diagnostics cover CUMMINS, DETROIT,CAT,INTERNATIONAL,VOLVO,MACK &amp; ALLISON. We do Alignments on all types of Trucks, Tractors &amp; Trailers. We have a complete fabrication shop and certified welders. Our shop is ASME certified. We work on all class 1-8 trucks as well as heavy equipment, busses, fire trucks etc. We do DOT inspections and PM's as well as Tires, Oil Changes, Engine Rebuilds and much more."</t>
  </si>
  <si>
    <t>http://www.dtfsindiana.com</t>
  </si>
  <si>
    <t>mailto:dwdtfs@sbcglobal.net</t>
  </si>
  <si>
    <t>Bikeport, LLC</t>
  </si>
  <si>
    <t>="Bikeport, LLC provides products and services that encourage commuting by bicycle. Products include inverted U bike racks, fully-enclosed, secure bicycle lockers and signage indicating that a location is an INBikePort location. Bikeport, LLC also provides installation services for the above products."</t>
  </si>
  <si>
    <t>http://www.INBikePort.org</t>
  </si>
  <si>
    <t>mailto:rclark@bgindy.com</t>
  </si>
  <si>
    <t>Bill Lawrence Co., Inc.</t>
  </si>
  <si>
    <t>http://blcoinc.net</t>
  </si>
  <si>
    <t>mailto:angie@blcoinc.com</t>
  </si>
  <si>
    <t>Bill McCoy Ford</t>
  </si>
  <si>
    <t>http://www.mccoyford.com</t>
  </si>
  <si>
    <t>mailto:info@mccoyford.com</t>
  </si>
  <si>
    <t>Bill Schneider Trucking</t>
  </si>
  <si>
    <t>mailto:b_jexpress97@yahoo.com</t>
  </si>
  <si>
    <t>Bill's Circle Mowers</t>
  </si>
  <si>
    <t>="Sales and service of outdoor power equipment for commercial or home user. . Product lines include Dixon, Dixie Chopper, Echo, Oregon, Toro, Kohler, Honda, Kawasaki, Briggs &amp; Stratton, and Tecumseh. Commercial and residential mowing service. Steep hillside mowing also available."</t>
  </si>
  <si>
    <t>http://www.bills-circle-mowers.com</t>
  </si>
  <si>
    <t>mailto:boehning@home.ffni.com</t>
  </si>
  <si>
    <t>Billy R. Payton</t>
  </si>
  <si>
    <t>http://pandpgolfcars.com</t>
  </si>
  <si>
    <t>mailto:mlpayton@earthlink.net</t>
  </si>
  <si>
    <t>All Other Motor Vehicle Dealers</t>
  </si>
  <si>
    <t>Bingle Research Group, Inc.</t>
  </si>
  <si>
    <t>="Marketing research consulting. Helping companies and organizations to build their Brand through research. 30+ years experience with both consumer and b2b research including both qualitative focus groups and in-depth interviewing and larger scale quantitative studies."</t>
  </si>
  <si>
    <t>http://www.bingleresearchgroup.com</t>
  </si>
  <si>
    <t>mailto:fbingle@binglerg.com</t>
  </si>
  <si>
    <t>Binzer's Custom Framing</t>
  </si>
  <si>
    <t>http://www.binzerscustomframing.com</t>
  </si>
  <si>
    <t>mailto:chiptheframer@msn.com</t>
  </si>
  <si>
    <t>BioConvergence LLC</t>
  </si>
  <si>
    <t>="BioConvergence provides contract services to companies and entities seeking to development, manufacture, store and distribute pharmceuticals - including drugs, biotechnology products, and vaccines. We have expertise and experience in the product development of sterile injectable products, cGMP materials management including cold chain storage and logistics and associated consulting services. BioConvergence is a privately held, small, women-owned business headquartered in Bloomington, IN."</t>
  </si>
  <si>
    <t>http://www.bioc.us</t>
  </si>
  <si>
    <t>mailto:info@bioc.us</t>
  </si>
  <si>
    <t>Research and Development in the Physical, Engineering, and Life Sciences</t>
  </si>
  <si>
    <t>BioScrip Pharmacy, Inc.</t>
  </si>
  <si>
    <t>="BioScrip Pharmacy, is a nationwide network of community-based specialty pharmacies with 30 retail locations. The goal of our team of experts is to provide understanding and clinical care tailored to the unique needs of each community and each individual. We work with AIDS service organizations, physician practices, clinics, and drug research programs because we believe that working as a team within local medical communities helps us to better serve our patients."</t>
  </si>
  <si>
    <t>http://www.bioscrip.com</t>
  </si>
  <si>
    <t>mailto:info@bioscrip.com</t>
  </si>
  <si>
    <t>Pharmacies and Drug Stores</t>
  </si>
  <si>
    <t>Bisco Systems</t>
  </si>
  <si>
    <t>Black &amp; White Investments, LLc</t>
  </si>
  <si>
    <t>="BWI LLC is a Woman &amp; Minority owned business specializing in commercial and multi-family construction and property management. Our goal is to please our customer by providing top notch project management and exceptional quality of construction services. BWI LLC, founded in 2005, is headquartered in Indianapolis, IN."</t>
  </si>
  <si>
    <t>http://www.bwillc.com</t>
  </si>
  <si>
    <t>mailto:lori@bwillc.com</t>
  </si>
  <si>
    <t>Black Box Cake Company, LLC</t>
  </si>
  <si>
    <t>http://www.blackboxcakecompany.com</t>
  </si>
  <si>
    <t>Black Car Service LLC</t>
  </si>
  <si>
    <t>="Welcoming those who reside or visit Indiana with our executive style passenger transportation by utilizing a fleet of executive sedans, SUVS, passenger vans and with access to mini and motor coaches. Our services are for simple transfers, such as airport, meetings, work, appointments, and safe, responsible evenings out, or to special events. The ease of catering to high profile clients such as entertainers, athletes, domestic and foreign dignitaries, with ample practicle experience makes our company a confident choice."</t>
  </si>
  <si>
    <t>http://www.theblackcarservice.com</t>
  </si>
  <si>
    <t>mailto:info@theblackcarservice.com</t>
  </si>
  <si>
    <t>Limousine Service</t>
  </si>
  <si>
    <t>Black Females Initiative</t>
  </si>
  <si>
    <t>Black I, Inc.</t>
  </si>
  <si>
    <t>mailto:blackiinc@sbcglobal.net</t>
  </si>
  <si>
    <t>Black Wolf Corp.</t>
  </si>
  <si>
    <t>http://www.gwscorp.com</t>
  </si>
  <si>
    <t>mailto:gws@gwscorp.com</t>
  </si>
  <si>
    <t>BlackBox Creative LLC</t>
  </si>
  <si>
    <t>="BlackBox Creative llc. is a full service creative marketing agency. We provide strategy driven multimedia campaigns that increase brand awareness and product engagement for our clients and their brands. Driven by our passion for design, technology, and imagination our arsenal includes digital, print, video, mobile, and social platforms."</t>
  </si>
  <si>
    <t>http://www.blackboxcreative.biz</t>
  </si>
  <si>
    <t>mailto:info@blackboxcreative.biz</t>
  </si>
  <si>
    <t>BlackJack Uniforms</t>
  </si>
  <si>
    <t>mailto:judith_Crowell@hotmail.com</t>
  </si>
  <si>
    <t>BlackPearl IT Solutions, LLC</t>
  </si>
  <si>
    <t>mailto:blackpearl_its@yahoo.com</t>
  </si>
  <si>
    <t>Blackard and Geiger</t>
  </si>
  <si>
    <t>="Personal property appraisals for Insurance, Damage and Loss, Probate, Estates, Divorce, Litigation and Charitable Donation: residential and commercial contents, including Fine Art, Oriental Art, Paintings/Prints, Sculptures, China, Silver, Crystal/Glassware, Pottery/Porcelan, Furs, Antiques, Clocks, Cars, Guns, Books, Collectibles, Memorabilia, Furniture, Quilts, Textiles, Toys, Dolls, and Office Furniture and Equipment."</t>
  </si>
  <si>
    <t>mailto:keller@indy.net</t>
  </si>
  <si>
    <t>Blackbird Clinical Services</t>
  </si>
  <si>
    <t>="Drugs of abuse screening services including urine and hair for pre-employment, random, post accident and follow up. We are DATIA certified. We provide DOT physical services and insurance physical services. We provide DNA testing services. We provide blood lab services as well as limited physician services."</t>
  </si>
  <si>
    <t>http://Blackbirdclinicalsvs.com</t>
  </si>
  <si>
    <t>mailto:Hathaway1300@aol.com</t>
  </si>
  <si>
    <t>Blackburn Architects Inc</t>
  </si>
  <si>
    <t>http://www.blackburnarchitects.com</t>
  </si>
  <si>
    <t>mailto:jmoore@blackburnarchitects.com</t>
  </si>
  <si>
    <t>Blackmore and Buckner Roofing, LLC</t>
  </si>
  <si>
    <t>="We provide services for commercial, industrial and institutional roofing and sheet metal needs with roof asset management, emergency leak services, maintenance schedules and repair, and the best in industry installations of most all roofing and sheet metal products and systems."</t>
  </si>
  <si>
    <t>http://www.blackmorebuckner.com</t>
  </si>
  <si>
    <t>mailto:info@blackmorebuckner.com</t>
  </si>
  <si>
    <t>Blackwater Detective Agency, LLC</t>
  </si>
  <si>
    <t>http://blackwaterdetectiveagency.com</t>
  </si>
  <si>
    <t>mailto:rblack8801@gmail.com</t>
  </si>
  <si>
    <t>National Security</t>
  </si>
  <si>
    <t>Blair &amp; Klingenbergenberger Inc. PC</t>
  </si>
  <si>
    <t>mailto:jerry@blairandklingenberger.com</t>
  </si>
  <si>
    <t>Blakeley Electric</t>
  </si>
  <si>
    <t>mailto:blakeleyelectric@wildblue.net</t>
  </si>
  <si>
    <t>Blakley's</t>
  </si>
  <si>
    <t>Blalock &amp; Brown, Inc.</t>
  </si>
  <si>
    <t>http://www.blalock-and-brown.com</t>
  </si>
  <si>
    <t>mailto:support@blalock-and-brown.com</t>
  </si>
  <si>
    <t>Blankenberger Brothers, Inc.</t>
  </si>
  <si>
    <t>="Blankenberger Brothers, Inc. is a family owned excavation company founded in 1961. Blankenberger Brothers, Inc. offers over 30 years experience in the construction of highways, bridges, water infrastructures, general construction, excavating, &amp; commercial land development."</t>
  </si>
  <si>
    <t>http://www.blankenbergerbros.com</t>
  </si>
  <si>
    <t>mailto:info@bbidigs.com</t>
  </si>
  <si>
    <t>BlarneyStone PC LLC</t>
  </si>
  <si>
    <t>="We are a family owned &amp; operated computer services business with 19 years professional experience in a variety of corporate environments. Our technicians are experienced and certified. We take pride in providing prompt, courteous, knowledgable services in the following areas; maintenance, diagnostics &amp; repair, a full range of networking services, upgrades, rebuilds, custom designed systems, servers and networks, volume roll-outs and cabling/wiring to residential and business customers. Our standard rates are $50.00 per half hour for the first half hour, $25.00 per quarter hour thereafter. A discount of 10% is given to Indpls. Chamber of Commerce members and 15% to senior citizens (65 &amp; over). Business Service Palns are offered to small and mid-sized business with loyalty discount pricing from 10% to 25% offf standard billable rates.BlarneyStone PC is a member of the Indpls. Chamber of Commerce."</t>
  </si>
  <si>
    <t>http://www.blarneystonepc.com</t>
  </si>
  <si>
    <t>mailto:blarneystonepc@yahoo.com</t>
  </si>
  <si>
    <t>Blaze Fabrication and Supply, Inc.</t>
  </si>
  <si>
    <t>="We specialize in Prefabricated Bathroom Carrier Groups for the Commercial/Industrial Construction Industry. We perform any &amp; all Prefabrication for construction projects so as to cut time &amp; labor in the field, in turn cutting cost and risk for the contractor."</t>
  </si>
  <si>
    <t>Fabricated Pipe and Pipe Fitting Manufacturing</t>
  </si>
  <si>
    <t>Bledsoe Environmental Systems Testing</t>
  </si>
  <si>
    <t>="Bledsoe Environmental/Bledsoe Bldg. Commissioning provides Professional services in addition to the Arch/Eng./CM by providing NEBB Certified Commissioning of New and/or Existing Bldgs. Blesdsoe has LEED AP, LEED AP O&amp;M , WBE and NEBB certifications. We are also a member of the USGBC. Bledsoe is NEBB Certified for Test and Balance of HVAC Systems, with staff certified by NEBB as technicians or Supervisors. Members of our staff are controls certified and have undergone training for most of todays software used in commercial bldgs and schools.Our Professional services also include Indoor Air Quality and Thermal Imaging which bring added value to any project. Bledsoe has over 45 yrs. combined experience in the construction industry."</t>
  </si>
  <si>
    <t>mailto:cbledsoe@bledsoe-bbc.com</t>
  </si>
  <si>
    <t>Bledsoe Riggert &amp; Guerrettaz, Inc.</t>
  </si>
  <si>
    <t>="Three offices in Indiana (Bloomington, Bedford &amp; Paoli) that provide land surveying &amp; civil engineering services, inclouding, but not limited too: Boundary, Topographic, ALTA/LTS, Legal &amp; Cadastral Surveys; Construction Layout; Rule 5 Grading &amp; Erosion Control Permitting Services; Residential, Commercial, Industrial &amp; Institutional Site Design; Road Design; Sanitary &amp; Storm Sewer Design; Water Distribution Design."</t>
  </si>
  <si>
    <t>http://www.brgcivil.com</t>
  </si>
  <si>
    <t>mailto:shelli@brgcivil.com</t>
  </si>
  <si>
    <t>Blinds and Designs</t>
  </si>
  <si>
    <t>="Blinds and Designs helps you with all of your window treatment needs. Including faux wood, real wood, mini blinds aluminum 1"" and 2"", cellular shades, pleated shades, roman shades, vertical blinds, sun shades, roller shades, luminette, silhouette, shutters, remote control blinds, mecco shades, custom window treatments, valances, cornices, cubicle curtains and track. Also some window treatments meets fire ratings for commercial construction. We come with 20 + years of experience. We have installation specialists on staff to help with all types of blind installations. All blinds also come with a 3 year warranty.We also have an interior designer on staff to help with all color and blind type questions. We would love to help you with any of your window covering needs."</t>
  </si>
  <si>
    <t>mailto:jasmine96801@yahoo.com</t>
  </si>
  <si>
    <t>Window Treatment Stores</t>
  </si>
  <si>
    <t>Bliss Cookie Company LLC</t>
  </si>
  <si>
    <t>http://blisscookiecompany.com</t>
  </si>
  <si>
    <t>mailto:info@blisscookiecompany.com</t>
  </si>
  <si>
    <t>Food Manufacturing</t>
  </si>
  <si>
    <t>Bloomington Auto, Inc.</t>
  </si>
  <si>
    <t>http://www.royalontheeastside.com</t>
  </si>
  <si>
    <t>mailto:royal@royalontheeastside.com</t>
  </si>
  <si>
    <t>Bloomington Ford Inc</t>
  </si>
  <si>
    <t>="We are the leading State of Indiana procurement source for Government-purchase vehicles, such as law enforcement, emergency, street and highway departments, utilities, parks/rec, community corrections, and any other variety of automotive fleet vehicle needs. We also provide fleet service, parts, and new tires at competitive national pricing."</t>
  </si>
  <si>
    <t>http://www.bloomingtonfordinc.com</t>
  </si>
  <si>
    <t>mailto:PoliceCarSam@gmail.com</t>
  </si>
  <si>
    <t>Bloomington Hospital of Orange County</t>
  </si>
  <si>
    <t>="Bloomington Hospital of Orange County, Inc. is a 25 bed critical access hospital located in Paoli, Indiana. The hospital specializes in rural community-based services including: visiting specialist clinics, general surgery, ambulance, emergency room, obstetrics, rehabilitation, laboratory, radiology and inpatient health services. Community outreach programs are also provided."</t>
  </si>
  <si>
    <t>http://bloomingtonhospital.org</t>
  </si>
  <si>
    <t>Bloomington Ink, Inc</t>
  </si>
  <si>
    <t>="We refill and remanufacture inkjet and laser toner cartridges for printers. We save customers up to 50% off the price of new cartridges. Our product is fully guaranteed. Local (Bloomington) businesses receive free pick up and delivery. We will ship orders outside of Bloomington (with free shipping for large orders)."</t>
  </si>
  <si>
    <t>http://www.cartridgeworldusa.com/store60</t>
  </si>
  <si>
    <t>mailto:julie.thomas@cartridgeworldusa.com</t>
  </si>
  <si>
    <t>Bloomington Quality Heating &amp; A/C, Inc.</t>
  </si>
  <si>
    <t>="We install and service American Standard and WaterFurnace HVAC equipment. We also perform Blower Door tests, Duct Blaster tests, and use our Infrared camera to determine the envelope of a home. We staff a Certified Building Analyst and a Certified Green Professional. Our technicians have all cleared government background checks."</t>
  </si>
  <si>
    <t>http://www.qcomfort.com</t>
  </si>
  <si>
    <t>mailto:qualityheat@sbcglobal.net</t>
  </si>
  <si>
    <t>Blue &amp; Co., LLC</t>
  </si>
  <si>
    <t>http://www.blueandco.com</t>
  </si>
  <si>
    <t>mailto:blue@blueandco.com</t>
  </si>
  <si>
    <t>Blue Ace Media</t>
  </si>
  <si>
    <t>="Full creative services for all forms of media production - for Advertising, Marketing, Training, Corporate Communications and Meetings. Video (DV &amp; Beta), film (16/35), digital photos, graphics, audio. Extensive experience in both commercials and coporate long form. Scriptwriting, coordination, production and Non-linear editing."</t>
  </si>
  <si>
    <t>http://www.blueacemedia.com</t>
  </si>
  <si>
    <t>mailto:jo@blueacemedia.com</t>
  </si>
  <si>
    <t>Blue Chip Trng &amp; Consltg Solutions, Inc.</t>
  </si>
  <si>
    <t>mailto:rowilli@hotmail.com</t>
  </si>
  <si>
    <t>Blue Horseshoe Solutions, Inc.</t>
  </si>
  <si>
    <t>="Blue Horseshoe helps mid-market companies improve business through Enterprise Applications and Supply Chain Management. When you meet us, you will know. Blue Horseshoe is different. Simply put, we will do whatever it takes to get the job done. That is a promise. It is this attribute of extreme reliability that sets us apart – and satisfies our customers. At Blue Horseshoe, we never forget the magnitude of your decision – or the faith you put in us. This knowledge guides every decision we make on your behalf. In fact, if something does not improve your business, we do not do it. Our sole motivation is to help you reach your ultimate objective: to make your business more efficient, more agile, more competitive, more profitable. We are a powerful ally. We go beyond just providing a solution. We offer advice. We give answers. We are your agent for success."</t>
  </si>
  <si>
    <t>http://www.bhsolutions.com</t>
  </si>
  <si>
    <t>mailto:contactus@bhsolutions.com</t>
  </si>
  <si>
    <t>Blue Marble Design, LLC</t>
  </si>
  <si>
    <t>="Blue Marble Design is a landscape architecture firm based in Indianapolis. We have experience in many project types including commercial, campus, civic and residential. This includes public plazas, streetscapes, land planning, green infrastructure, and planting design."</t>
  </si>
  <si>
    <t>http://www.bluemarbledesign.com</t>
  </si>
  <si>
    <t>mailto:info@bluemarbledesign.com</t>
  </si>
  <si>
    <t>Blue Metal Works, LLC</t>
  </si>
  <si>
    <t>mailto:ferrolie@bluemetalworks.com</t>
  </si>
  <si>
    <t>Ornamental and Architectural Metal Work Manufacturing</t>
  </si>
  <si>
    <t>Blue Moon Farm Limited Liability Company</t>
  </si>
  <si>
    <t>http://www.bluemoonperennials.com</t>
  </si>
  <si>
    <t>mailto:kate@bluemoonperennials.com</t>
  </si>
  <si>
    <t>Nursery and Floriculture Production</t>
  </si>
  <si>
    <t>Blue Mountain Company, Inc.</t>
  </si>
  <si>
    <t>mailto:gawaing@c-tdesign.com</t>
  </si>
  <si>
    <t>Blue Oceans Enterprises, Inc.</t>
  </si>
  <si>
    <t>http://www.xcelclean.com</t>
  </si>
  <si>
    <t>mailto:ddezelan@xcelclean.com</t>
  </si>
  <si>
    <t>Blue Pillar, Inc.</t>
  </si>
  <si>
    <t>="Blue Pillar is a leading provider of critical power and energy management solutions for complex single site and centralized multisite facilities that leverage the power of asset connectivity, control, and data management to help organizations improve energy resiliency, efficiency, and overall facility operations. Blue Pillar’s innovative solutions include Aurora®, a turnkey protocol and vendor agnostic platform for creating a Digital Energy Internet of Things network for connecting, controlling, and data acquisition of core facility mechanical and electrical equipment; Avise InsiteTM, a single site critical power and energy management application software specifically designed for critical and complex facilities; and Avise ForesiteTM, an enterprise software solution designed to support centralized facility management and energy management within geographically dispersed, multi-facility organizations."</t>
  </si>
  <si>
    <t>http://www.bluepillar.com</t>
  </si>
  <si>
    <t>mailto:info@bluepillar.com</t>
  </si>
  <si>
    <t>Blue Print Specialties</t>
  </si>
  <si>
    <t>="We are a reprographics firm specializing in large format digital printing, scanning,and archiving for the Architectural/Construction/and Engineering industries. We also sale large format plotters and engineering copiers (analog and digital) and supplies along with the traditional drafting supplies and furniture."</t>
  </si>
  <si>
    <t>http://www.blueprintspecialties.net</t>
  </si>
  <si>
    <t>mailto:neil@blueprintspecialties.net</t>
  </si>
  <si>
    <t>Other Business Service Centers (including Copy Shops)</t>
  </si>
  <si>
    <t>Blue River Career Programs</t>
  </si>
  <si>
    <t>http://www.brcp.net</t>
  </si>
  <si>
    <t>mailto:sshaw@brcp.k12.in.us</t>
  </si>
  <si>
    <t>Elementary and Secondary Schools</t>
  </si>
  <si>
    <t>Blue River Enterprises, Inc.</t>
  </si>
  <si>
    <t>Blue River Services, Inc.</t>
  </si>
  <si>
    <t>http://www.brsinc.org</t>
  </si>
  <si>
    <t>mailto:brfrdir@brsinc.org</t>
  </si>
  <si>
    <t>Blue Sky Engineering, Inc.</t>
  </si>
  <si>
    <t>="Blue Sky Engineering provides civil, environmental and manufacturing engineering services. Civil / environmental engineering services include permit writing, plan writing, design work and regulatory consulting. Manufacturing engineering includes engineering analysis, quality systems and process development."</t>
  </si>
  <si>
    <t>http://www.blueskyengineering.biz</t>
  </si>
  <si>
    <t>mailto:amartin@blueskyengineering.biz</t>
  </si>
  <si>
    <t>Bluebird Solution Inc</t>
  </si>
  <si>
    <t>http://www.bluebirdsolutions.com</t>
  </si>
  <si>
    <t>mailto:bluebird9115@att.net</t>
  </si>
  <si>
    <t>Bluefish Wireless, Inc.</t>
  </si>
  <si>
    <t>http://www.bluefishwireless.net</t>
  </si>
  <si>
    <t>Radio, Television and Other Electronics Stores</t>
  </si>
  <si>
    <t>Bluegrass LED Lighting, LLC</t>
  </si>
  <si>
    <t>="Bluegrass LED Lighting, LLC is a distributor of Seesmart LED for the State of Indiana. We specialize in working with commercial companies and municipalities to reduce their energy and maintenance costs. Seesmart LED bulbs and fixtures are designed to reduce energy costs a minimum of 50%, are rated for up to 50,000 hours and are backed by a manufacturer’s warranty of up to seven years. Seesmart LED products contain no mercury, emit no harmful UV or CFC’s, operate cool to the touch and are manufactured in accordance with ETL and UL testing."</t>
  </si>
  <si>
    <t>http://www.bluegrassledlighting.com</t>
  </si>
  <si>
    <t>mailto:llanham@bluegrassledlighting.com</t>
  </si>
  <si>
    <t>Commercial, Industrial and Institutional Electric Lighting Fixture Manufacturing</t>
  </si>
  <si>
    <t>Blueprint Holdings LLC</t>
  </si>
  <si>
    <t>http://www.mediasauce.com</t>
  </si>
  <si>
    <t>mailto:kim@mediasauce.com</t>
  </si>
  <si>
    <t>Blueprint Property Management Group, LLC</t>
  </si>
  <si>
    <t>="Blueprint Property Management Group, LLC provides residential and non-residential property management for businesses and individuals. We strive to provide all encompassing services that include tenant management (find and screen tenants, collect rent, cleaning properties, etc.) and residential/non-residential landscaping and lawncare maintenance."</t>
  </si>
  <si>
    <t>mailto:Blueprintgroup1@gmail.com</t>
  </si>
  <si>
    <t>BoMar Pneumatics, Inc.</t>
  </si>
  <si>
    <t>="BoMar Pneumatics is a specialty house offering superior pneumatic assembly and foundry tools, as well as DC electric tools and controllers and other lines that complement manufacturing. We repair the tools that we sell and also service other pneumatic and DC electric tools and hoists. BoMar is renowned for the high quality of its tool lines and its excellent, customer-responsive service."</t>
  </si>
  <si>
    <t>http://www.bomarpneumatics.com</t>
  </si>
  <si>
    <t>mailto:info@bomarpneumatics.com</t>
  </si>
  <si>
    <t>Power-Driven Hand Tool Manufacturing</t>
  </si>
  <si>
    <t>Board of Monroe County Commissioners</t>
  </si>
  <si>
    <t>http://co.monroe.in.us</t>
  </si>
  <si>
    <t>mailto:xxjcockerill@co.monroe.in.us</t>
  </si>
  <si>
    <t>Bob &amp; Boots</t>
  </si>
  <si>
    <t>http://www.bobandboots.com</t>
  </si>
  <si>
    <t>mailto:brenda@bobandboots.com</t>
  </si>
  <si>
    <t>Bob Block Fitness Equipment</t>
  </si>
  <si>
    <t>http://www.bobblockfitness.com</t>
  </si>
  <si>
    <t>mailto:brendan.crews@bobblockfitness.com</t>
  </si>
  <si>
    <t>Other Amusement and Recreation Industries</t>
  </si>
  <si>
    <t>Bob Schwartz Chrysler-Dodge-Jeep, Inc.</t>
  </si>
  <si>
    <t>="New car dealership - sells Chrysler, Dodge, and Jeep vehicles. Highest dealership/customer satisfaction rating given - Elite 5-Star Dealership. Service Department - services all makes and models Body Shop Department - repairs all makes and models Parts Department - sells Mopar parts and accessories"</t>
  </si>
  <si>
    <t>http://schwartzcdj.com</t>
  </si>
  <si>
    <t>mailto:mail@schwartzcdj.com</t>
  </si>
  <si>
    <t>Bob Woodard Construction, Inc.</t>
  </si>
  <si>
    <t>Bobbie's Security</t>
  </si>
  <si>
    <t>mailto:wkodba@aol.com</t>
  </si>
  <si>
    <t>Bobby Light</t>
  </si>
  <si>
    <t>Bodacious Inc DBA ServiceMaster</t>
  </si>
  <si>
    <t>="We realize our service is only as good as the service teams that provide it. By recruiting, training and equipping a diverse group of dedicated, motivated professionals, we can assure you the finest janitorial services. We communicate effectively with our teams, conveying customer concerns and closely monitoring each project's progress. We encourage them to actively seek out new ways to improve the quality of the service they provide. The clean you expect. The service you deserve."</t>
  </si>
  <si>
    <t>mailto:2harsh@comcast.net</t>
  </si>
  <si>
    <t>Bodner Properties 2, LLC</t>
  </si>
  <si>
    <t>mailto:gwhite@thebabco.com</t>
  </si>
  <si>
    <t>Boeckman's Furniture Inc</t>
  </si>
  <si>
    <t>mailto:boeckman@fullnet.com</t>
  </si>
  <si>
    <t>Bohlsen Group LLC</t>
  </si>
  <si>
    <t>="Bohlsen Group offers organizations the best of all worlds: all the benefits of an independent agency – direct access to proven professionals, focused attention on needs and budget, well-rounded strategic experience and quick response – with the connections, resources and reach of a global PR and marketing company. Starting from clearly defined objectives, we counsel clients on creative solutions to achieve project goals that ultimately support their strategic direction. We keep realistic and firm schedules, remain within budget, and sustain communication with clients and their target audiences. From events to individuals and nonprofits to global companies, Bohlsen Group works smartly and efficiently to increase your brand awareness and drive revenue."</t>
  </si>
  <si>
    <t>http://www.bohlsengroup.com</t>
  </si>
  <si>
    <t>mailto:info@bohlsengroup.com</t>
  </si>
  <si>
    <t>Bohlsen PR LLC</t>
  </si>
  <si>
    <t>="Bohlsen Group offers organizations the best of all worlds: all the benefits of an independent agency - direct access to proven professionals, focused attention on needs and budget, well-rounded strategic experience and quick response - with the connections, resources and reach of a global PR and marketing company. Starting from clearly defined objectives, we counsel clients on creative solutions to achieve project goals that ultimately support their strategic direction. We keep realistic and firm schedules, remain within budget, and sustain communication with clients and their target audiences. From events to individuals and nonprofits to global companies, Bohlsen Group works smartly and efficiently to increase your brand awareness and drive revenue."</t>
  </si>
  <si>
    <t>Boice Enterprises, LLC</t>
  </si>
  <si>
    <t>http://www.boice.net</t>
  </si>
  <si>
    <t>mailto:info@boice.net</t>
  </si>
  <si>
    <t>Boland Enterprises</t>
  </si>
  <si>
    <t>http://www.b-e.com</t>
  </si>
  <si>
    <t>mailto:mike@b-e.com</t>
  </si>
  <si>
    <t>Boland Technology Solutions, Inc.</t>
  </si>
  <si>
    <t>http://www.bolandtech.com</t>
  </si>
  <si>
    <t>mailto:info@bolandtech.com</t>
  </si>
  <si>
    <t>Bolts and Nuts of Hancock County, Inc.</t>
  </si>
  <si>
    <t>mailto:317-462-1450</t>
  </si>
  <si>
    <t>Bon Advertising</t>
  </si>
  <si>
    <t>http://www.bch.com</t>
  </si>
  <si>
    <t>mailto:bch@bch.com</t>
  </si>
  <si>
    <t>Bonar &amp; Associates, Inc. d/b/a Bonar Gro</t>
  </si>
  <si>
    <t>="Since 1976, Bonar Group has helped municipalities and businesses throughout the Midwest implement solutions to combat various engineering, planning, and surveying challenges. Today, with offices in Indiana (Fort Wayne, Indianapolis, Valparaiso, Plymouth, and Scottsburg) and Ohio (Defiance), the firm specializes in serving the engineering, surveying, and planning needs of municipalities and businesses. Bonar Group provides design engineering and surveying services for transportation, water, wastewater, stormwater, landscape architecture, parks, airports and various other municipal projects. The firm offers a full range of planning services for master plans, economic development and related studies, parks, and environmental studies. Bonar Group also provides a full range of customized GIS planning and software tools through our Mapping and Integrated Technology Services Division"</t>
  </si>
  <si>
    <t>http://www.bonargroup.com</t>
  </si>
  <si>
    <t>mailto:info@bonargroup.com</t>
  </si>
  <si>
    <t>Bond Holdings</t>
  </si>
  <si>
    <t>="Indiana's oldest on site document destruction company, serving Indianapolis &amp; central Indiana since 1994. This woman owned &amp; operated business uses a fleet of state-of-art equipment providing the most effective regular or clean-out service available (see: www.indyshred.com)."</t>
  </si>
  <si>
    <t>http://www.indyshred.com</t>
  </si>
  <si>
    <t>mailto:info@indyshred.com</t>
  </si>
  <si>
    <t>Bonnie Arnold</t>
  </si>
  <si>
    <t>mailto:bjarnold44@msn.com</t>
  </si>
  <si>
    <t>BookNation</t>
  </si>
  <si>
    <t>mailto:booknation@earthlink.net</t>
  </si>
  <si>
    <t>Book Stores</t>
  </si>
  <si>
    <t>Bookkeeping Plus, Inc.</t>
  </si>
  <si>
    <t>="Our business works with a large number of clients across a multitude of industries, from retail and service companies to medical and construction firms. We also work with not-for-profit organizations, including charter schools. Our services include full service bookkeeping, payroll including all tax filings, budgeting and forecasting, financial software set-up, cash flow and analysis, accounting training and procedures, financial statements and analysis."</t>
  </si>
  <si>
    <t>http://www.BookPlusInc.com</t>
  </si>
  <si>
    <t>mailto:bethr@bookplusinc.com</t>
  </si>
  <si>
    <t>Boonville Body Shop Inc</t>
  </si>
  <si>
    <t>mailto:boonvillebodyshop@peoplepc.com</t>
  </si>
  <si>
    <t>Boosterville</t>
  </si>
  <si>
    <t>="Boosterville is a mobile payment platform which saves money for merchants by offering reduced payment processing fees. We also provide loyalty program and data capture for our participating merchants. A portion of each transaction benefits a charity selected by the purchaser."</t>
  </si>
  <si>
    <t>http://www.boosterville.com</t>
  </si>
  <si>
    <t>mailto:pam.cooper@boosterville.com</t>
  </si>
  <si>
    <t>Financial Transactions Processing, Reserve, and Clearinghouse Activities</t>
  </si>
  <si>
    <t>Booth &amp; Associates, LLC</t>
  </si>
  <si>
    <t>mailto:mbooth@mibor.net</t>
  </si>
  <si>
    <t>Border Magic of NWI</t>
  </si>
  <si>
    <t>="Install custom decorative concrete landscape borders, pathways, &amp; sidewalks with the look and feel of brick or stone. 26 different sizes and shapes, 19 different patterns, unlimited color combinations. We do what others can't. Also offer Holiday lighting for all occasions!"</t>
  </si>
  <si>
    <t>http://www.Bordermagic.com</t>
  </si>
  <si>
    <t>mailto:Bordermagicnwi@comcast.net</t>
  </si>
  <si>
    <t>Borel Construction Co., Inc.</t>
  </si>
  <si>
    <t>http://www.BorelConstruction.com</t>
  </si>
  <si>
    <t>mailto:jborel3@yahoo.com</t>
  </si>
  <si>
    <t>Borshoff, Inc.</t>
  </si>
  <si>
    <t>="Borshoff is a strategic, creative communications agency whose professionals deliver results through public relations, marketing communications and advertising, including strategic planning, media relations, crisis communications, public affairs, branding and identity development, special events and Web sites and mutli-media."</t>
  </si>
  <si>
    <t>mailto:matthew.stuteville@borshoff.biz</t>
  </si>
  <si>
    <t>Bose Public Affiars Group</t>
  </si>
  <si>
    <t>="Bose Public Affairs Group LLC is a comprehensive government affairs and strategic communications firm. As trusted advisors, our professionals develop winning strategies to achieve powerful results for clients using our experience, leadership and relationships."</t>
  </si>
  <si>
    <t>http://www.bosepublicaffairs.com</t>
  </si>
  <si>
    <t>mailto:jping@bosepublicaffairs.com</t>
  </si>
  <si>
    <t>Bottom Line</t>
  </si>
  <si>
    <t>="Bottom Line specializes in complex business writing and graphic design for not-for-profit organizations and public agencies. Our emphasis on relationship-building public relations campaigns distinguishes Bottom Line from ad agencies. Bottom Line is qualified as a veteran-owned business with a service-connected disability."</t>
  </si>
  <si>
    <t>http://www.betterprideas.com</t>
  </si>
  <si>
    <t>mailto:ideas1@gte.net</t>
  </si>
  <si>
    <t>Boulevard Place Consulting</t>
  </si>
  <si>
    <t>="Boulevard Place Consulting is focused on implementing social media, digital communication and marketing programs to create a measurable increase in your business. Services include: Social Media &amp; Digital Communications - Strategy development to align with new or existing programs -Existing program evaluation -New program development &amp; implementation -Program maintenance -Metrics tracking and interpretation -Resource training Out-Source Marketing “Director” -Develop marketing plan and strategy -Implement marketing tactics -Create ROI and metrics reports -Integrated Marketing Plans Evaluation of current marketing programs -Develop recommendations on integration between all marketing tactics (specifically social media, digital communication and traditional tactics) -Implementation of integration recommendations"</t>
  </si>
  <si>
    <t>http://boulevardplaceconsulting.com</t>
  </si>
  <si>
    <t>mailto:susanappel@boulevardplaceconsulting.com</t>
  </si>
  <si>
    <t>Bourbon Computer Solutions, Inc.</t>
  </si>
  <si>
    <t>="Bourbon Computer Solutions functions as a systems integrator, managed service provider, and value added reseller of information technology systems designed for government. We specialize in delivering unified communications and Microsoft's Citizen Service Platform and related infrastructure (security, networking, etc.) for state &amp; local government agencies. BCS also delivers many PSAP oriented solutions including NG911 CPE and WAVE public safety radio solutions."</t>
  </si>
  <si>
    <t>http://www.bcslive.biz</t>
  </si>
  <si>
    <t>mailto:info@bcsinnovations.net</t>
  </si>
  <si>
    <t>Bowen Productions, Inc.</t>
  </si>
  <si>
    <t>http://www.bowentechnovation.com</t>
  </si>
  <si>
    <t>mailto:jeffb@bowentechnovation.com</t>
  </si>
  <si>
    <t>Bowman &amp; Bowman Investments</t>
  </si>
  <si>
    <t>http://www.bowmanscleaningandhauling.com</t>
  </si>
  <si>
    <t>mailto:bchs@bowmanscleaningandhauling.com</t>
  </si>
  <si>
    <t>Bowman Backflow Services</t>
  </si>
  <si>
    <t>mailto:mldorsey3@gmail.com</t>
  </si>
  <si>
    <t>Bowman's Inc.</t>
  </si>
  <si>
    <t>mailto:bowmanstranserv@cs.com</t>
  </si>
  <si>
    <t>School and Employee Bus Transportation</t>
  </si>
  <si>
    <t>Bowman's Tin Shop, Inc.</t>
  </si>
  <si>
    <t>mailto:86tinshop@embarqmail.com</t>
  </si>
  <si>
    <t>Bowne of South Bend, Inc.</t>
  </si>
  <si>
    <t>mailto:john.jancosek@bowne.com</t>
  </si>
  <si>
    <t>Boyd Electric LLC</t>
  </si>
  <si>
    <t>="Boyd Electric is a commercial and residential electrical contractor located in southwest Indiana. Boyd Electric is a WBE. We perform routine services in existing homes as well as new home construction. The same can be said of commercial work, We work on new commercial construction, remodeling and ""active remodels"" where the business stays open during the work.,"</t>
  </si>
  <si>
    <t>http://www.boydelectric.net</t>
  </si>
  <si>
    <t>mailto:kathy.boyd@boydelectric.net</t>
  </si>
  <si>
    <t>Boyer Technologies</t>
  </si>
  <si>
    <t>http://www.boyertech.com</t>
  </si>
  <si>
    <t>mailto:sbordenkecher@boyertech.com</t>
  </si>
  <si>
    <t>Boys &amp; Girls Clubs</t>
  </si>
  <si>
    <t>http://WWW.FCCIN.ORG</t>
  </si>
  <si>
    <t>Boys &amp; Girls Clubs of Indianapolis</t>
  </si>
  <si>
    <t>="The Boys &amp; Girls Clubs of Indianapolis believes that every young person deserves to live a life filled with hope and opportunity. Because we care about our young people, we provide a safe, educational and positive atmosphere where they can prosper and reach their full potential."</t>
  </si>
  <si>
    <t>http://www.bgcindy.org</t>
  </si>
  <si>
    <t>mailto:info@bgcindy.org</t>
  </si>
  <si>
    <t>Brachts Custom Cabinets, Inc</t>
  </si>
  <si>
    <t>mailto:brachtscabinets2@aol.com</t>
  </si>
  <si>
    <t>Braden Business Sysy</t>
  </si>
  <si>
    <t>="Braden Business Systems is a locally owned company specializing in imaging solutions for companies and organizations of all sizes. These solutions include, but are not limited to, copiers, printers, fax machines, color devices, image retrieval systems, and machine supplies. We offer service and support on all of our solutions with service statewide. We are an authorized dealer for Konica Minolta, Sharp, and InfoDynamics."</t>
  </si>
  <si>
    <t>http://www.bradenonline.com</t>
  </si>
  <si>
    <t>mailto:dchilders@bradenonline.com</t>
  </si>
  <si>
    <t>Bradley Drafting</t>
  </si>
  <si>
    <t>mailto:bradleydrafting@sbcglobal.net</t>
  </si>
  <si>
    <t>Drafting Services</t>
  </si>
  <si>
    <t>Brads-Ko Engineering &amp; Surveying, Inc.</t>
  </si>
  <si>
    <t>="A professional engineering and surveying firm licensed in Indiana providing services to a base of clients since 1968. These services include land surveying, civil design in residential, commercial and industrial projects. Topographic, right of way and route surveys for city and county agencies for their design as well as our own design of specific projects. Construction engineering for general contractors of INDOT, County and City projects."</t>
  </si>
  <si>
    <t>http://www.bradsko.com</t>
  </si>
  <si>
    <t>mailto:info@bradsko.com</t>
  </si>
  <si>
    <t>Brain Performance LLC</t>
  </si>
  <si>
    <t>mailto:corbyb@yahoo.com</t>
  </si>
  <si>
    <t>Branches of Life Treatment Foster Care</t>
  </si>
  <si>
    <t>="Provide foster care services which include temporary homes and case management services for children with an open CHINS case whom are deemed by DCS as neglected and or abused. Home-based Services are also provided for the families with open CHINS/Probation Cases."</t>
  </si>
  <si>
    <t>Brand Electric, Inc.</t>
  </si>
  <si>
    <t>mailto:wwhite@brandelectric.com</t>
  </si>
  <si>
    <t>Brand International, LLC</t>
  </si>
  <si>
    <t>mailto:brandilynn02@gmail.com</t>
  </si>
  <si>
    <t>Brandt Construction Inc</t>
  </si>
  <si>
    <t>http://www.brandtconstruction.com</t>
  </si>
  <si>
    <t>Brandwidth, LLC</t>
  </si>
  <si>
    <t>="Founded in December of 2006, Brandwidth brings together – under one roof – a wealth of web marketing and integrated marketing experience. From web design and development to search optimization to targeted direct marketing to traditional integrated marketing and advertising, Brandwidth offers more of what either traditional ad agencies or web agencies provide. Because we’re neither. And we’re both"</t>
  </si>
  <si>
    <t>http://www.morebrandwidth.com</t>
  </si>
  <si>
    <t>mailto:contact@morebrandwidth.com</t>
  </si>
  <si>
    <t>Brandywine Construction</t>
  </si>
  <si>
    <t>mailto:skermode_construction@yahoo.com</t>
  </si>
  <si>
    <t>Brant Construction, LLC</t>
  </si>
  <si>
    <t>http://www.brantco.com</t>
  </si>
  <si>
    <t>mailto:bcm@brantco,com</t>
  </si>
  <si>
    <t>Brassell Enterprises</t>
  </si>
  <si>
    <t>http://www.brassellenterprises.com</t>
  </si>
  <si>
    <t>mailto:customerservice@brassellenterprises.com</t>
  </si>
  <si>
    <t>Bravura Finance, LLC</t>
  </si>
  <si>
    <t>="Bravura Finance is a full service commercial finance company offering small business Accounts Receivable Financing, as well as funeral funding and insurance factoring services. At Bravura Finance, we are dedicated to assisting our customers with the highest level of prompt and detailed attention to their needs. Our passion for service helps to increase your business performance, growth and efficiency. We understand firsthand how important it is to have a company you can count on. Let Bravura Finance provide you with the quality service you deserve."</t>
  </si>
  <si>
    <t>http://bravurafinance.com</t>
  </si>
  <si>
    <t>mailto:michael.covington@bravurafinance.com</t>
  </si>
  <si>
    <t>Sales Financing</t>
  </si>
  <si>
    <t>Brayko LLC</t>
  </si>
  <si>
    <t>Breathing Space Yoga and Meditation, Inc</t>
  </si>
  <si>
    <t>="Breathing Space, Indianapolis' first by-donation yoga and meditation studio, is making yoga accessible to everyone with our humble team of qualified teachers. Located just south of I-465 and I-69, we offer daily yoga classes, workshops, and foundations of yoga series."</t>
  </si>
  <si>
    <t>http://www.breathingspaceindy.com</t>
  </si>
  <si>
    <t>mailto:namaste@breathingspaceindy.com</t>
  </si>
  <si>
    <t>Bregenzer Group, LLC</t>
  </si>
  <si>
    <t>="The Bregenzer Group, LLC is an American multinational conglomerate holding company headquartered in Indianapolis, Indiana that oversees and manages a number of subsidiary companies. We provide organizations with professional business services such as supplies procurement, staffing, training and management consulting services."</t>
  </si>
  <si>
    <t>http://bregenzergroup.com/</t>
  </si>
  <si>
    <t>mailto:sales@bregenzergroup.com</t>
  </si>
  <si>
    <t>Brehob Corporation</t>
  </si>
  <si>
    <t>http://brehob.com</t>
  </si>
  <si>
    <t>mailto:brehob@brehob.com</t>
  </si>
  <si>
    <t>Brelan Enterprises</t>
  </si>
  <si>
    <t>http://www.indyrhino.com</t>
  </si>
  <si>
    <t>mailto:brent@indyrhino.com</t>
  </si>
  <si>
    <t>Bremen Castings, Inc.</t>
  </si>
  <si>
    <t>="Bremen Castings (BCI) is a gray and ductile iron foundry providing raw and machined castings that may include coatings and assembly. BCI strives to provide value added services including, supply chain management, casting design, conversions from fabrications to castings, to name a few. BCI works as a tier 1 or support supplier for OEM's in diverse industies such as construction, agriculture, pumps, valves, heavy truck and military. We just celebrated 69 years of operations in Indiana and look foward to having you join us on the journey for the next 69 years."</t>
  </si>
  <si>
    <t>http://www.bremencastings.com</t>
  </si>
  <si>
    <t>mailto:sales@bremencastings.com</t>
  </si>
  <si>
    <t>Brenda L Havens</t>
  </si>
  <si>
    <t>="FINDING A BETTER WAY Using standardized, off-the-shelf software has numerous benefits, but it also has one big drawback – the software companies are targeting the “standard” business... and that doesn’t always fit your business. Digital Runes was formed out of the need to “find a better way” to utilize standardized software to meet the needs of your company. Digital Runes focuses on how we can improve the way you do business. If you think there is a better way to perform some routine task... you're probably right!"</t>
  </si>
  <si>
    <t>http://www.digitalrunes.com</t>
  </si>
  <si>
    <t>mailto:info@digitalrunes.com</t>
  </si>
  <si>
    <t>Brenda Staples Photography</t>
  </si>
  <si>
    <t>mailto:bstaples13@comcast.net</t>
  </si>
  <si>
    <t>Bret Kleeman Masonry, Inc.</t>
  </si>
  <si>
    <t>Masonry and Stone Contractors</t>
  </si>
  <si>
    <t>Brett Harbour</t>
  </si>
  <si>
    <t>Brewer &amp; Associates</t>
  </si>
  <si>
    <t>http://www.brewermassoc.com</t>
  </si>
  <si>
    <t>mailto:brewerassociates@yahoo.com</t>
  </si>
  <si>
    <t>Brewer &amp; Associates,</t>
  </si>
  <si>
    <t>="Brewer &amp; Associates, Inc. provides comprehensive fund development services to community-based and faith-based organizations throughout the Midwest, as well as business development services to for-profit corporations. For over a decade, Brewer &amp; Associates, Inc. has provided progressive management experience. Through services such as program development/management, project management, grant management/administration, board development, strategic planning, training, event planning and coalition building. In addition, Brewer &amp; Associates provides services such as proposal writing, completion of certifications and targeted proposal research for for-profit businesses. Brewer &amp; Associates, Inc. has generated over $20 million dollars on behalf of nonprofit organizations. Our team of professionals has partnered with academic, faith-based, municipalities, cultural, technology, marketing and human service corporations."</t>
  </si>
  <si>
    <t>http://www.fbaresources.com</t>
  </si>
  <si>
    <t>mailto:fbrewer@fbaresources.com</t>
  </si>
  <si>
    <t>Brian Stutts</t>
  </si>
  <si>
    <t>="Cinagro Distributions is primarily a wholesale beverage distribution company. We are a minority owned family business. We primarily sell our products to and through retail grocery, food, and convenience stores. However we are in the process of developing our own e-commerce website. We also sell directly to consumers through word-of-mouth sells. We have been trying to make arrangements with several business partners to promote our products to their customers. We are located in the USA in Indianapolis, IN which is located in the midwestern part of the country. Currently our sells have been somewhat limited due to our size and limited ability to compete with larger wholesale and retail operations. Part of this is also due to our limited ability to sell goods at wholesale to retailers far enough below the larger conglomerates to allow for our operations to make a decent profit."</t>
  </si>
  <si>
    <t>mailto:info@cinagro.info</t>
  </si>
  <si>
    <t>Brick House Fitness</t>
  </si>
  <si>
    <t>http://www.brickhousefitness.com</t>
  </si>
  <si>
    <t>mailto:brickhousefitness@live.com</t>
  </si>
  <si>
    <t>Diet and Weight Reducing Centers</t>
  </si>
  <si>
    <t>Brigadoon Fitness</t>
  </si>
  <si>
    <t>="Brigadoon Fitness sells, installs and services commercial fitness equipment and accessories throughout Indiana and nationwide. We have equipped more than 20,000 fitness centers in a variety of industries, including governmental, military, hotels, multi-family, corporate wellness, education, police and fire, and health clubs."</t>
  </si>
  <si>
    <t>http://www.BrigadoonFitness.com</t>
  </si>
  <si>
    <t>mailto:Info@BrigadoonFitness.com</t>
  </si>
  <si>
    <t>Bright Equipment Corp.</t>
  </si>
  <si>
    <t>http://WWW.BOBCATOFANDERSON.COM</t>
  </si>
  <si>
    <t>mailto:INFO@BOBCATOFANDERSON.COM</t>
  </si>
  <si>
    <t>Bright Sheet Metal C</t>
  </si>
  <si>
    <t>="Bright Sheet Metal is a full service sheet metal contractor performing commercial and industrial projects for the last fifty years. Our manufacturing facility is equipped with the latest manufacturing equipment providing the end-user with the best value for production and quality."</t>
  </si>
  <si>
    <t>mailto:bsm@in.net</t>
  </si>
  <si>
    <t>Bright Solutions Janitorial Service, LLC</t>
  </si>
  <si>
    <t>="COMPLETE JANITORIAL SERVICES *Facilities Serviced: Schools, Office Buildings, Banks, Churches, Retail Centers, Call Centers, Manufacturing facilities, Health Care facilities, Universities, Malls *Floor Care Service: Stripping and re-coating service, Scrub and re-coat services, Scrub and buffing, Stain removal, Customer specific programs *Carpet Care: Extraction Cleaning, Swift-vac application, Odor treatment. Bonnet Cleaning. Spot Cleaning carpet *Specialized Projects: Customized service programs, Construction Final clean-up and Other Projects *After Event clean-up"</t>
  </si>
  <si>
    <t>mailto:brightsolutionsllc@yahoo.com</t>
  </si>
  <si>
    <t>Bright Star Consul</t>
  </si>
  <si>
    <t>="Bright Star Consulting Inc. is a small woman owned business. Bright Star Consulting Inc. services include: Identity Management and Identity Management SW Implementation and Change, HIPAA Security Compliance and Assessment support, Contact Center System and Process Enhancement, Call Center Operations Management. Program and Project Management Services with over 10 years of insurance and health industry experience. ""Bright People Working for You to Achieve $tellar Results"""</t>
  </si>
  <si>
    <t>http://brightstarconsultinginc</t>
  </si>
  <si>
    <t>mailto:brilliant1951@yahoo.com</t>
  </si>
  <si>
    <t>Brightwork Inc.</t>
  </si>
  <si>
    <t>="We clean floors just like yours. Brightwork Inc offers the very best in carpet, upholstery, VCT, ceramic &amp; stone care. When you need a clean proffesional appearance of your workspace cal Brightwork Inc. We specialize in commercial facilties . For mor information just call Brightwork inc. at 812-754-1447"</t>
  </si>
  <si>
    <t>mailto:j.sweetland@insightbb.com</t>
  </si>
  <si>
    <t>Briljent, LLC</t>
  </si>
  <si>
    <t>http://www.briljent.com</t>
  </si>
  <si>
    <t>mailto:info@briljent.com</t>
  </si>
  <si>
    <t>Brinkman Law Office</t>
  </si>
  <si>
    <t>Brite Systems Inc</t>
  </si>
  <si>
    <t>="Brite systems is a provider of Engineering and Information Technology solutions.We have worked with clients in computer software and IT services. We at Brite systems are comitted to delivering innovation and quality IT services to help our clients, to enliven their businesses.We work with our clients in fulling their IT needs,finding the rite people,rite technology and skills to boost our client's performance"</t>
  </si>
  <si>
    <t>http://www.britesys.com</t>
  </si>
  <si>
    <t>mailto:jay@britesys.com</t>
  </si>
  <si>
    <t>Brix Masonry and Restoration</t>
  </si>
  <si>
    <t>http://www.brixmasonry.com</t>
  </si>
  <si>
    <t>mailto:brixindy@yahoo.com</t>
  </si>
  <si>
    <t>Brix, LLC</t>
  </si>
  <si>
    <t>http://www.brixzionsville.com</t>
  </si>
  <si>
    <t>mailto:info@brixzionsville.com</t>
  </si>
  <si>
    <t>Broadstroke Consulting</t>
  </si>
  <si>
    <t>="Broadstroke Consulting provides a broad range of data management services to help small, medium or large companies develop, maintain, &amp; optimize their SQL Server environment. The company combines professionalism, project and data management expertise to deliver the right solution in a cost effective and timely manner while utilizing industry best practices."</t>
  </si>
  <si>
    <t>http://www.broadstrokeconsulting.com</t>
  </si>
  <si>
    <t>Broadway PC, Inc</t>
  </si>
  <si>
    <t>http://www.broadwaypc.com</t>
  </si>
  <si>
    <t>mailto:tara@broadwaypc.com</t>
  </si>
  <si>
    <t>Brock Construction, Inc.</t>
  </si>
  <si>
    <t>http://brockconstructioninc.com</t>
  </si>
  <si>
    <t>mailto:dennis@brockconstructioninc.com</t>
  </si>
  <si>
    <t>Brolis Print</t>
  </si>
  <si>
    <t>http://www.preciseprinttoner.com</t>
  </si>
  <si>
    <t>mailto:smeskis@preciseprinttoner.com</t>
  </si>
  <si>
    <t>Professional and Commercial Equipment and Supplies Merchant Wholesalers</t>
  </si>
  <si>
    <t>Bronze Management LLC</t>
  </si>
  <si>
    <t>="Bronze Management offers a variety of professional business services to support your administrative business needs. With nearly 20 years experience we are happy to build a service package tailored to your specific business needs. We offer: Assistant Services (typing, data entry, calendar keeping, travel arrangements), Professional Administrative Services (creating PowerPoint presentations, Word or Excel documents), Production jobs (printing, mass mailings, etc.) Personal Assistant Services: Work closely with property management staff to ensure needs are met (ie: housekeeping staff management, gardening, lawn/sprinkler service, general service staff maintenance), pick up/drop off dry cleaning or laundry service, alterations (drop off/pick-up), dog walking, grocery shopping, schedule personal appointments."</t>
  </si>
  <si>
    <t>mailto:Bronzejlc@me.com</t>
  </si>
  <si>
    <t>Document Preparation Services</t>
  </si>
  <si>
    <t>Brooks Electric Company Incorporated</t>
  </si>
  <si>
    <t>Brooks Hayden Electric</t>
  </si>
  <si>
    <t>http://www.brooks-hayden.com</t>
  </si>
  <si>
    <t>mailto:nbrooks@brooks-hayden.com or mhayden@brooks-hayden.com</t>
  </si>
  <si>
    <t>Brooks Service II,</t>
  </si>
  <si>
    <t>mailto:brooksservice2@sbcglobal.net</t>
  </si>
  <si>
    <t>Motor Vehicle Towing</t>
  </si>
  <si>
    <t>Brookshire Management INC</t>
  </si>
  <si>
    <t>http://www.travelleadersindy.com</t>
  </si>
  <si>
    <t>mailto:tomd@carefreetravel.net</t>
  </si>
  <si>
    <t>Travel Arrangement and Reservation Services</t>
  </si>
  <si>
    <t>Brother Nature Enterprises, LLC</t>
  </si>
  <si>
    <t>mailto:capmike@hughes.net</t>
  </si>
  <si>
    <t>Brothers Concrete Services, Inc.</t>
  </si>
  <si>
    <t>mailto:brothersconcrete@sbcglobal.net</t>
  </si>
  <si>
    <t>Brown Advanced Manufacturing, LLC</t>
  </si>
  <si>
    <t>mailto:sales@bammfg.com</t>
  </si>
  <si>
    <t>Brown County Schools</t>
  </si>
  <si>
    <t>http://www.brownco.k12.in.us/</t>
  </si>
  <si>
    <t>mailto:cscbc@brownco.k12.in.us</t>
  </si>
  <si>
    <t>Brown Equipment Co., Inc.</t>
  </si>
  <si>
    <t>http://www.brownequipment.net</t>
  </si>
  <si>
    <t>mailto:sales@brownequipment.net</t>
  </si>
  <si>
    <t>Brown Ink, LLC</t>
  </si>
  <si>
    <t>http://www.brownink.us.com</t>
  </si>
  <si>
    <t>mailto:jenny@brownink.us.com</t>
  </si>
  <si>
    <t>Brown Tape Products</t>
  </si>
  <si>
    <t>http://www.browntapeproducts.com</t>
  </si>
  <si>
    <t>mailto:janbrown@browntapeproduts.com</t>
  </si>
  <si>
    <t>Brown and Joseph of Indiana LLC</t>
  </si>
  <si>
    <t>="As the economy continues to challenge Corporate  America, City and State governments on a daily basis, we have found that Accounts Receivable is an area of growing concern and focus:  DSO and Pass Due Dollar Reduction Goals, Bad Debt Reduction Goals, Workflow Efficiency (FTE Redeployment or Reduction), Deduction/Dispute issues, cash application issues, etc.  Our firm is performance driven to impact these goals and issues in a positive direction and manner.  No one firm in the U.S. today has the complete Credit to Cash Solution that we have developed with proven success."</t>
  </si>
  <si>
    <t>http://www.brownandjoseph.com</t>
  </si>
  <si>
    <t>mailto:cjohnston@brownandjoseph.com</t>
  </si>
  <si>
    <t>Brown and Pratt, Inc.</t>
  </si>
  <si>
    <t>="With over 59 years of experience in the Packaging industry, Brown &amp; Pratt is your single-source for all of your packaging needs. We remain dedicated to speedy delivery, excellence in customer service, and top quality products at competitive prices. From Bags to Boxes, and Stretch Film to Tape we have the products you need to meet your Packaging &amp; Shipping Supply needs."</t>
  </si>
  <si>
    <t>http://www.brownandpratt.com</t>
  </si>
  <si>
    <t>mailto:gilsmith@brownandpratt.com</t>
  </si>
  <si>
    <t>Unsupported Plastics Bag Manufacturing</t>
  </si>
  <si>
    <t>Bruce A. Resteau</t>
  </si>
  <si>
    <t>mailto:2wayfm@netnitco.net</t>
  </si>
  <si>
    <t>Communications Equipment Manufacturing</t>
  </si>
  <si>
    <t>Bruce Hall Body Shop</t>
  </si>
  <si>
    <t>mailto:bhbs@sit-co.net</t>
  </si>
  <si>
    <t>Bruce Litton</t>
  </si>
  <si>
    <t>http://www.BruceLitton.com</t>
  </si>
  <si>
    <t>mailto:info@BruceLitton.com</t>
  </si>
  <si>
    <t>Motorcycle, Boat and Other Motor Vehicle Dealers</t>
  </si>
  <si>
    <t>Brugos Automotive</t>
  </si>
  <si>
    <t>="Brugos Automotive, Inc. provides all types of mechanical repairs on all types of vehicles. From every day maintenance to a major overhaul, we work on your new vehicle or your prized ""oldie"" and everything in between. Brugos Automotive, Inc. not only works on privately owned vehicles, but, also does work for corporate fleets. We take pride in being a family owned and operated business because that's our name on the door."</t>
  </si>
  <si>
    <t>mailto:brugosautomotive@aol.com</t>
  </si>
  <si>
    <t>Brulin &amp; Co., Inc.</t>
  </si>
  <si>
    <t>="Established in 1935, we manufacture over 200 products in 3 product areas: Commercial (industry leader in product &amp; program development for facility maintenance &amp; virtually every conceivable housekeeping needs), Industrial/Process (targeted solutions addressing manufacturing needs &amp; environmental concerns), Health Care (offering innovative products such as a unique low pH disinfectant chemistry)."</t>
  </si>
  <si>
    <t>http://www.brulin.com</t>
  </si>
  <si>
    <t>mailto:smattingly@brulin.com</t>
  </si>
  <si>
    <t>Soap and Other Detergent Manufacturing</t>
  </si>
  <si>
    <t>Brumond Smith Nursery, Inc.</t>
  </si>
  <si>
    <t>="Muncie's largest nursery with over 80 acres of locally grown Evergreen trees, shrubs, perennials and water plants. We have been in the same location since 1945. We grow and sale trees in all sizes up to 6 to 8 inches in diameter. We offer professional landscape design consultation. We have a garden shop. Options include do it yourself, delivery and placement or complete installation. We also do certified spraying."</t>
  </si>
  <si>
    <t>Nursery and Tree Production</t>
  </si>
  <si>
    <t>Bruns Lawnscape Inc.</t>
  </si>
  <si>
    <t>http://www.en-scape.com</t>
  </si>
  <si>
    <t>mailto:www.en-scape.com</t>
  </si>
  <si>
    <t>Bruns-Gutzwiller, Inc.</t>
  </si>
  <si>
    <t>http://www.bruns-gutzwiller.com</t>
  </si>
  <si>
    <t>mailto:mssmith@bruns-gutzwiller.com</t>
  </si>
  <si>
    <t>Brunsman Graphic Design</t>
  </si>
  <si>
    <t>="PRINTING &gt;Envelopes &gt;Letterhead &gt;Business Cards &gt;Offset printing, news letter printing and folding, scoring &gt;Tickets &gt; Labels &gt;Magnetic Signs &gt;Booklet making &gt;Color digital printing, &gt;Carbon less forms, business forms &gt;Checks &gt;Signs, promotional items &gt;Complete Graphic Design Service from concept to finished product."</t>
  </si>
  <si>
    <t>http://WWW.BRUNSMANGRAPHICDESIGN.COM</t>
  </si>
  <si>
    <t>mailto:BRUNSMANGRAPHIC@COMCAST.NET</t>
  </si>
  <si>
    <t>Bryan Associates</t>
  </si>
  <si>
    <t>="Grantmaking identification, application preparation, and administration services; Assist client efforts to evaluate infrastructure needs and develop financing options for implementing infrastructure, economic and community development goals; prepare and present educational programs on selected topics for clients utilizing PowerPoint™; identify potential funding sources; prepare federal, state, and private foundation grant proposals; assist with grant administration; oversee project implementation to ensure that staff activities coincide with project or grant award terms and conditions. Ensure that technical staff communication with clients and public is understandable and effective. Particular expertise has focused on brownfield redevelopment projects. Accredited community development block grant administrator."</t>
  </si>
  <si>
    <t>mailto:bryanassociates@hotmail.com</t>
  </si>
  <si>
    <t>Bryan E Gramlin</t>
  </si>
  <si>
    <t>mailto:bryanshauling@blueriver.net</t>
  </si>
  <si>
    <t>Bryant-Taylor, Incorporated</t>
  </si>
  <si>
    <t>="Electronics Design and Development Services - Specializing in Software and Hardware for Automotive Embedded Controller Development, familiarity and experience with all Automotive Protocols. Other services offered are custom PC Application development, test development, device and system prototype and production assembly, custom Engineering Development tool design for product development applications. Visit us at www.BTIElectronics.com."</t>
  </si>
  <si>
    <t>http://www.btielectronics.com</t>
  </si>
  <si>
    <t>mailto:tony.l.taylor@btielectronics.com</t>
  </si>
  <si>
    <t>Buchanan &amp; Bruggenschmidt, P.C.</t>
  </si>
  <si>
    <t>http://www.bbinlaw.com</t>
  </si>
  <si>
    <t>mailto:kathryn@bbinlaw.com</t>
  </si>
  <si>
    <t>Bucher &amp; Christian Consulting, Inc</t>
  </si>
  <si>
    <t>="Bucher + Christian Consulting is one of the fastest growing, Midwestern information technology consulting firms. Using only the most skilled and experienced consultants and the latest technology, Bucher + Christian is able to provide premier solutions for companies in a wide variety of industry verticals -- from Application Development and Data Warehousing (DW) within the health and life sciences industries to Business Intelligence (BI) and Enterprise Resource Planning (ERP) in state government and higher education. Bucher + Christian delivers and manages its core competencies on a rock solid platform consisting of four pillars: People, Processes, Technology and Organizational Structure. Our core competencies include: ERP, Data Warehousing, Business Intelligence, CRM, SCM, EAI, EDI, e-Business, database and application development, QA, IT strategy and Project and Program Management."</t>
  </si>
  <si>
    <t>http://www.bucherandchristian.com</t>
  </si>
  <si>
    <t>mailto:jchristian@bucherandchristian.com</t>
  </si>
  <si>
    <t>Buck's Suzuki and Yamaha, Inc</t>
  </si>
  <si>
    <t>http://www.buckspowersports.com</t>
  </si>
  <si>
    <t>mailto:buckspowersports@verizon.net</t>
  </si>
  <si>
    <t>Buckaroo Technology Group, Inc.</t>
  </si>
  <si>
    <t>http://www.buckaroomnm.com and www.bucka</t>
  </si>
  <si>
    <t>mailto:dldaily@buckaroomnm.com</t>
  </si>
  <si>
    <t>Buckeye International, Inc</t>
  </si>
  <si>
    <t>http://www.buckeyeinternational.com</t>
  </si>
  <si>
    <t>mailto:jcracraft@buckeyeinternational.com</t>
  </si>
  <si>
    <t>Polish and Other Sanitation Good Manufacturing</t>
  </si>
  <si>
    <t>Buckler Realty, LLC</t>
  </si>
  <si>
    <t>http://www.bucklerrealty.com</t>
  </si>
  <si>
    <t>mailto:info@bucklerrealty.com</t>
  </si>
  <si>
    <t>Buckley Security Services and Solutions</t>
  </si>
  <si>
    <t>="Buckley Security Services &amp; Solutions, Inc. is a locally owned and operated. We are proud to be a MBE certified company. We have more than a decade of combined expertise in the services we provide. We believe in customizing a security plan for the specific needs of each client. Our excellence service is executed by our professional and acknowledgeable team members."</t>
  </si>
  <si>
    <t>mailto:travazz21@yahoo.com</t>
  </si>
  <si>
    <t>Buckner Distributing</t>
  </si>
  <si>
    <t>Buddy Covers, Inc.</t>
  </si>
  <si>
    <t>="Buddy Covers, Inc. is an Indiana corporation. Buddy Covers, Inc. manufactures an innovative and revolutionary patented and trademarked, high-grade multifuntional, lightweight,washable, water repellant, and tear resistant, line of protective spandex covers for helmets and other outdoor sports equipment."</t>
  </si>
  <si>
    <t>http://buddycovers.com</t>
  </si>
  <si>
    <t>mailto:buddycovers@indy.rr.com</t>
  </si>
  <si>
    <t>Buddy L Transport</t>
  </si>
  <si>
    <t>http://www.buddyltrucking.com</t>
  </si>
  <si>
    <t>mailto:buddyltransport@aol.com</t>
  </si>
  <si>
    <t>Buddycat LLC</t>
  </si>
  <si>
    <t>http://www.bobcatoffortwayne.net</t>
  </si>
  <si>
    <t>mailto:bofw@bobcat-of-fort-wayne.com</t>
  </si>
  <si>
    <t>Construction and Mining (except Oil Well) Machinery and Equipment Merchant Wholesalers</t>
  </si>
  <si>
    <t>Budget Construction Group</t>
  </si>
  <si>
    <t>mailto:budget@aye.net</t>
  </si>
  <si>
    <t>Budget Graphics</t>
  </si>
  <si>
    <t>http://www.budgetgraphics.com</t>
  </si>
  <si>
    <t>mailto:transservice@sbcglobal.net</t>
  </si>
  <si>
    <t>Budget Services and Supplies, LLC</t>
  </si>
  <si>
    <t>="Budget Services and Supplies, LLC capabilities are janitorial/custodial services, ground maintenance and landscaping service, construction and remodeling, interior/exterior pest control services, green cleaning, recycling services, solid management, sanitation of laboratories, snow and ice removal."</t>
  </si>
  <si>
    <t>Buehler Enterprises, Inc</t>
  </si>
  <si>
    <t>Buente Buente Architects, P.C.</t>
  </si>
  <si>
    <t>="Buente Buente Architects P.C. was re-established in 2015 by Charline Buente. The firm was previously in business in Indiana from 1997 - 2010. The firm provides professional architectural services including facility programming, historic preservation &amp; rehabilitation design, architectural and interior design, contract document preparation, bidding and construction administration services. The firm specializes in commercial architectural design."</t>
  </si>
  <si>
    <t>mailto:cbuente@buentearchitects.com</t>
  </si>
  <si>
    <t>Bugs B Gone</t>
  </si>
  <si>
    <t>http://www.bugsbgone.info</t>
  </si>
  <si>
    <t>mailto:matt.preston@bugsbgone.info</t>
  </si>
  <si>
    <t>Build to Suit, LLC</t>
  </si>
  <si>
    <t>mailto:buildtosuitllc@aol.com</t>
  </si>
  <si>
    <t>Building Blocks in Education, Inc.</t>
  </si>
  <si>
    <t>="Building Blocks in Education is committed to providing dignified, ethical and high quality services to our clients. We believe in empowering our clients through a team approach, where as practitioners and clients develop quantitative goals to strengthen families. We are family centered. Our practitioners use a non-judgmental, unbiased approach to maintain ethical and honest interactions with our clients. We are dedicated to producing healthy relationships as strong cornerstones on which families can build their future."</t>
  </si>
  <si>
    <t>http://www.bbeinc.org/</t>
  </si>
  <si>
    <t>mailto:info@bbeinc.org</t>
  </si>
  <si>
    <t>Building Control Systems, Inc.</t>
  </si>
  <si>
    <t>http://www.buildingcontrolsystems.com</t>
  </si>
  <si>
    <t>mailto:bcs@buildingcontrolsystems.com</t>
  </si>
  <si>
    <t>Building Service Maintenance</t>
  </si>
  <si>
    <t>http://www.bsmaintenance.com</t>
  </si>
  <si>
    <t>mailto:kferrell@bsmaintenance.com</t>
  </si>
  <si>
    <t>Buis &amp; Associates</t>
  </si>
  <si>
    <t>mailto:buisassoc@in-motion.net</t>
  </si>
  <si>
    <t>Personal Care Services</t>
  </si>
  <si>
    <t>Bulldog Consulting Services, LLC</t>
  </si>
  <si>
    <t>="Bulldog Consulting Services, LLC is a small business located in Leo, Indiana. We provide three key services to enhance your business: Process Assessment &amp; Improvements, Program/Project Management, and Process Documentation and Training. During Process Assessment &amp; Improvements, we analyze the current work flow, identify process improvement opportunities, and then initiate and manage the project based on our assessment. In managing the program or project, we follow the complete lifecycle of the project from planning activities and requirements identification to the design, build, testing, and implementation. We then partner with the business to create standard operating procedures and prepare and carry out the applicable training. Bulldog Consulting Services streamlines internal business processes to increase efficiency and reduce operating expenses. We also implement standardization and structure that our clients then own for future business initiatives."</t>
  </si>
  <si>
    <t>http://www.BulldogMeansBusiness.com</t>
  </si>
  <si>
    <t>mailto:smiller@bulldogmeansbusiness.com</t>
  </si>
  <si>
    <t>Bulldog Occupational Safety Training, LL</t>
  </si>
  <si>
    <t>="We provide CPR/AED, First Aid and Forklift training. We also provide training and maintenance on Fire Extinguishers and Boom and Scissor Lifts. Our instructor has been a Firefighter/EMT since 1992 and is currently Assistant Chief of our local fire department."</t>
  </si>
  <si>
    <t>http://www.trainingbybulldog.com</t>
  </si>
  <si>
    <t>mailto:info@trainingbybulldog.com</t>
  </si>
  <si>
    <t>Bulldog Trucking</t>
  </si>
  <si>
    <t>http://www.BulldogTrucking.net</t>
  </si>
  <si>
    <t>mailto:vanado3@aol.com</t>
  </si>
  <si>
    <t>Bumgarner Welding &amp; Inspection Inc</t>
  </si>
  <si>
    <t>http://www.bwi-inc.com</t>
  </si>
  <si>
    <t>mailto:info@bwi-inc.com</t>
  </si>
  <si>
    <t>Bundy Brothers &amp;Sons</t>
  </si>
  <si>
    <t>mailto:bundybrothers@agristar.net</t>
  </si>
  <si>
    <t>Farm Supplies Wholesalers</t>
  </si>
  <si>
    <t>Bunker Chev-Cad</t>
  </si>
  <si>
    <t>="Retail Chevrolet-Cadillac dealership located in Marion, Indiana. Barry Bunker Chevrolet-Cadillac, Inc. specializeds in servicing and selling consumer and commercial (fleet) automobiles and light and medium duty trucks. Special finance arrangements available subject to qualification."</t>
  </si>
  <si>
    <t>http://barrybunker.com</t>
  </si>
  <si>
    <t>mailto:dealer@barrybunker.com</t>
  </si>
  <si>
    <t>Bunny Trucking, Inc.</t>
  </si>
  <si>
    <t>mailto:whitaker4@msn.com</t>
  </si>
  <si>
    <t>Bur Law Construction</t>
  </si>
  <si>
    <t>Burch Enterprises In</t>
  </si>
  <si>
    <t>mailto:tuckernew2@bluemarble.net</t>
  </si>
  <si>
    <t>Burd Automotive Inc.</t>
  </si>
  <si>
    <t>http://www.burdford.com</t>
  </si>
  <si>
    <t>mailto:burdford.com</t>
  </si>
  <si>
    <t>Burford Industrial Solutions</t>
  </si>
  <si>
    <t>http://www.burfordindsol.com</t>
  </si>
  <si>
    <t>mailto:chris@burfordindsol.com</t>
  </si>
  <si>
    <t>Support Activities for Oil and Gas Operations</t>
  </si>
  <si>
    <t>Burke Spring, Inc.</t>
  </si>
  <si>
    <t>http://www.burkespring.com</t>
  </si>
  <si>
    <t>mailto:chris.clevenger@burkespring.com</t>
  </si>
  <si>
    <t>Burkett Consulting</t>
  </si>
  <si>
    <t>="TechEd Skills provides Certification-based Training Solutions to Education and Industry. Our certification-based training programs are recognized by industry and align with state and national educational standards. We offer hands-on and computer-based training equipment and curriculum solutions for high schools, career centers, community colleges, universities and industry. We also have a specialty in Digital Interactive Presentation Technologies such as interactive whiteboards, bluetooth wireless tablets and tablet monitors."</t>
  </si>
  <si>
    <t>mailto:kevin@techedskills.com</t>
  </si>
  <si>
    <t>Burkhart Cain Assoc</t>
  </si>
  <si>
    <t>="Burkhart Cain Associates, Inc. is a full-service marketing, advertising and PR firm specializing in the successful development and implementation of public awareness campaigns for consumer, business and government initiatives. The BCA team of creative solutions partners provides public and private sector clients throughout the Midwest with expertise in strategic thinking, branding, creative graphic design, advertising media procurement, public relations, event planning &amp; promotions, comprehensive market research, relational database development, direct response fulfillment, retail merchandising, website design, and production of marketing collateral."</t>
  </si>
  <si>
    <t>http://www.burkhartcain.com</t>
  </si>
  <si>
    <t>mailto:paul@burkhartcain.com</t>
  </si>
  <si>
    <t>Burning Candle Entertainment</t>
  </si>
  <si>
    <t>="Indy Jazz CD Calligraphy by DeMorris Smith is Home in Indiana again! After 3 World Tours with Artist like Anita Baker, Luther Vandross, The Bar-kays, ZZ Hill, Manchild, The Deele, Bootsie, and Baby face. He plays at Hometown INDY scene at Slippery Noodle, Madame CJ Walker, New Orleans, The Post, The Grand, The Chatterbox, The Arts Garden, Speakeasy, Zodiac Lounge, Climax, Wild Wings, Weddings and Church's ""Calligraphy"" on sale NOW~ City Music, Karma Records, Luna Music, Unity Bookstore 635-4066, 907 Delaware, Indianapolis, IN 46204 and online!"</t>
  </si>
  <si>
    <t>http://jazzitup4me2.com</t>
  </si>
  <si>
    <t>mailto:jazzitup4me2@aol.com</t>
  </si>
  <si>
    <t>Musical Groups and Artists</t>
  </si>
  <si>
    <t>Burp-n-Baby Accessories Co</t>
  </si>
  <si>
    <t>http://www.burpnbaby.com</t>
  </si>
  <si>
    <t>mailto:customerservice@burpnbaby.com</t>
  </si>
  <si>
    <t>Other Apparel Accessories and Other Apparel Manufacturing</t>
  </si>
  <si>
    <t>Burrows Consulting LLC</t>
  </si>
  <si>
    <t>Burts Termite and Pest Control, Inc.</t>
  </si>
  <si>
    <t>http://www.burtspestcontrol.com</t>
  </si>
  <si>
    <t>Busch Landscaping LLC</t>
  </si>
  <si>
    <t>="Busch Landscaping, LLC, provides landscaping services (including custom designed landscaping using a variety of plants and Indiana grown trees; preparing lawns, sodding, and hydroseeding; hardscapes--walls and paver patios/sidewalks/steps; and waterscapes) for commercial, contract, and residential clients. Snow removal is also available."</t>
  </si>
  <si>
    <t>mailto:mabusch@nalu.net</t>
  </si>
  <si>
    <t>Busch Nursery</t>
  </si>
  <si>
    <t>BusinEssence Solutions, LLC</t>
  </si>
  <si>
    <t>http://www.bessence.com</t>
  </si>
  <si>
    <t>mailto:paul.solomon@bessence.com</t>
  </si>
  <si>
    <t>Business &amp; Gaming Technologies, Inc</t>
  </si>
  <si>
    <t>http://WWW.CDMCOMPUTERSTORE.COM</t>
  </si>
  <si>
    <t>mailto:robin@cdmcomputerstore.com</t>
  </si>
  <si>
    <t>Business Communications Solutions</t>
  </si>
  <si>
    <t>="Business Communications Solutions sells, installs, and maintains business telephone systems. BCS offers traditional and Voice Over IP (VoIP) systems by Vodavi and 3COM. The following services are also provided: Voicemail Systems, Data/Voice Cabling, Wireless Network Connections, Overhead Paging and Sound, and Local and Long Distance Dial Tone."</t>
  </si>
  <si>
    <t>http://www.bcsservice.com</t>
  </si>
  <si>
    <t>mailto:info@bcsservice.com</t>
  </si>
  <si>
    <t>Business Continuity &amp; Growth Solutions,</t>
  </si>
  <si>
    <t>="BCG Solutions is a training and business consultancy specializing in the development of entrepreneurs, world class leaders, career growth, and Not for Profit sustainability. Bringing over 40 years of combined experience, our facilitators are experts in developing strong, confident leaders. Our success in the classroom is built on the principles of experiential learning, one-on-one coaching and a learner-led environment."</t>
  </si>
  <si>
    <t>http://www.bcgsolutions.com</t>
  </si>
  <si>
    <t>mailto:twatson@bcgsolutions.com</t>
  </si>
  <si>
    <t>Business Equipment Supply Technology,Inc</t>
  </si>
  <si>
    <t>="BEST is a business services provider selling business equipment, supplies and outsourced business services to small, medium sized and major account businesses. BEST specializes in Xerox equipment, Managed Print Services, CentriLogic Cloud Computing, Hybrid Hosting, IT Managed Services and Systems Maintenance Services providing top IT Maintenance programs for all business markets, K-12, state and local as well as federal customers in southern Indiana, southern Illinois and northern Kentucky areas."</t>
  </si>
  <si>
    <t>http://www.BEST-Inc-1101.net</t>
  </si>
  <si>
    <t>mailto:best.inc.1101@gmail.com</t>
  </si>
  <si>
    <t>Office Administrative Services</t>
  </si>
  <si>
    <t>mailto:Best.Inc.1101@gmail.com</t>
  </si>
  <si>
    <t>Business Furniture LLC</t>
  </si>
  <si>
    <t>http://www.businessfurniture.net</t>
  </si>
  <si>
    <t>mailto:businessfurniture@bfcindy.com</t>
  </si>
  <si>
    <t>Business Health Solutions, PC</t>
  </si>
  <si>
    <t>="Leader in occupational and environmental health nursing and safety services, providing cutting edge strategies to business and industry to manage and contain absenteeism, injury and illness rates, health care costs, and other benefit programs - such as FML and disability. Our solutions enhance employee productivity and morale, company profitability and longevity, providing customers with competitive edge in the marketplace."</t>
  </si>
  <si>
    <t>http://www.bhspc.net</t>
  </si>
  <si>
    <t>mailto:kstevens@bhspc.net</t>
  </si>
  <si>
    <t>Ambulatory Health Care Services</t>
  </si>
  <si>
    <t>Business Ink, llc</t>
  </si>
  <si>
    <t>="printed materials for businesses including letterhead, business cards, envelopes, forms, checks, brochures, flyers, tags, presentation folders, labels, integrated forms, combination forms -- long run and short run. promotional products such as pens, pencils, apparel, mugs, bags, trinkets, anything with your company logo."</t>
  </si>
  <si>
    <t>mailto:Pam@BusinessInkllc.com</t>
  </si>
  <si>
    <t>Business Management Specialists, Inc.</t>
  </si>
  <si>
    <t>Business Purchasing Solution, LLC</t>
  </si>
  <si>
    <t>="E-procurement is one of the most effective tools available today to help companies manage their spend. BPS takes e-procurement to the next level, giving you more control over and more visibility into your entire organizations procure-to-pay process. It’s affordable, simple to use and best of all, produces a quick ROI that strengthens your bottom line. As an Internet-hosted, vendor-neutral solution, BPS simplifies e-procurement by eliminating your need for internal IT support, while offering all the features of a more expensive software-based product. Include quick and easy implementation and efficient customer service, and BPS makes e-procurement the best solution for any company looking to simplify and maximize its spend management."</t>
  </si>
  <si>
    <t>http://www.bpslive.com</t>
  </si>
  <si>
    <t>mailto:sales@bpslive.com</t>
  </si>
  <si>
    <t>Business Security Solutions</t>
  </si>
  <si>
    <t>Business Services</t>
  </si>
  <si>
    <t>mailto:Businessservicessolutions@yahoo.com</t>
  </si>
  <si>
    <t>Business Systems Integrators, Inc.</t>
  </si>
  <si>
    <t>="Business Systems Integrators is an information technology (IT) design-to-end user services company providing a comprehensive range of services. These services would include but are not limited to: Local and Wide Area Networking (LAN/WAN), Custom Configured Computer Systems, Build-to-Suit File Servers, Network Design and Installation, Graphics Design, Document Scanning/Imaging, Color Printing and Copying, Web Site Hosting and Design, Custom Programming for Microsoft Access, and e-Commerce Solutions. Business Systems Integrators has become a pioneer in the development and implementation of fully integrated systems. Aligned with the industry's top companies, Business Systems Integrators is a leading reseller in computer systems, storage, networking and communications. Some key partners include Equus Computer Systems, Novell, Microsoft, Xerox, Hewlett-Packard, Intel and many others."</t>
  </si>
  <si>
    <t>http://www.BuSys.com</t>
  </si>
  <si>
    <t>mailto:Sales@BuSys.com</t>
  </si>
  <si>
    <t>Busler Enterprises Inc.</t>
  </si>
  <si>
    <t>mailto:highman@evansville.net</t>
  </si>
  <si>
    <t>Busy Bees Cleaning Inc</t>
  </si>
  <si>
    <t>="Busy Bees Cleaning Inc is cleaning and janitorial service. We serve Residential and Commercial customers, providing cleaning. We are 95% owned and operated by women. Our hours of operation are: Residential Mon-Fri 8am-6pm/Sat 8am-12 noon Commercial Mon-Sun 24 hours"</t>
  </si>
  <si>
    <t>http://www.busybeescleaninginc.com</t>
  </si>
  <si>
    <t>mailto:idget012003@yahoo.com</t>
  </si>
  <si>
    <t>Butler Construction</t>
  </si>
  <si>
    <t>mailto:wallyb@seidata.com</t>
  </si>
  <si>
    <t>Butler Maid LLC</t>
  </si>
  <si>
    <t>mailto:cgardenour@earthlink.net</t>
  </si>
  <si>
    <t>Butler Sales and Service LLC</t>
  </si>
  <si>
    <t>http://www.butlersales.biz</t>
  </si>
  <si>
    <t>mailto:mandy@butlersales.biz</t>
  </si>
  <si>
    <t>Electrical and Electronic Appliance, Television, and Radio Set Merchant Wholesalers</t>
  </si>
  <si>
    <t>Butler Warehouse</t>
  </si>
  <si>
    <t>http://www.butlerwarhouse.com</t>
  </si>
  <si>
    <t>mailto:www.butlerwarehouse.com</t>
  </si>
  <si>
    <t>Butler and Crowley</t>
  </si>
  <si>
    <t>mailto:pgcrowley@sbcglobal.net</t>
  </si>
  <si>
    <t>Butler, Fairman and Seufert, Inc.</t>
  </si>
  <si>
    <t>="Butler, Fairman and Seufert, Inc., is an Indianapolis-based firm founded in 1961. We also have offices in Merrillville, Jeffersonville and Bluffton, Indiana to better service our clients in the northwestern, northeastern and southern portions of the State. Our initial areas of specialization were primarily road and bridge design. Throughout the years, our list of services has grown to include survey, environmental studies, environmental engineering, stormwater management, airports, right-of-way engineering and management, site development, trails and greenways, and construction engineering. Correspondingly, our current staff size of approximately 120 people has grown steadily over the past 46 years. We have provided professional services for numerous clients throughout the State of Indiana, including many towns, cities, counties, private owners and developers, and state agencies, such as the Indiana Departments of Transportation and Indiana Department of Natural Resources."</t>
  </si>
  <si>
    <t>http://www.bfsengr.com</t>
  </si>
  <si>
    <t>mailto:bfs@bfsengr.com</t>
  </si>
  <si>
    <t>Buttercup Supply</t>
  </si>
  <si>
    <t>mailto:acundiff@hotmail.com</t>
  </si>
  <si>
    <t>Button Nose Kidz, LLC</t>
  </si>
  <si>
    <t>="Present live action mascot shows at elementary schools throughout the country, mascot appearances at events throughout the country, retail merchandise online and at school shows &amp; events, wholesale merchandise to larger retail enterprises, license characters to appropriate partners, filmed episodes for internet and television distribution, music production and distribution"</t>
  </si>
  <si>
    <t>http://www.thebuttonnosekidz.com</t>
  </si>
  <si>
    <t>mailto:ButtonNoseKidz@yahoo.com</t>
  </si>
  <si>
    <t>Other Performing Arts Companies</t>
  </si>
  <si>
    <t>By The Glass Productions LLC</t>
  </si>
  <si>
    <t>http://www.bytheglassproductions.com</t>
  </si>
  <si>
    <t>mailto:andieredwine@gmail.com</t>
  </si>
  <si>
    <t>Byers Construction Inc.</t>
  </si>
  <si>
    <t>http://www.byersconstruction.com</t>
  </si>
  <si>
    <t>mailto:ronbyers@byersconstruction.com</t>
  </si>
  <si>
    <t>Byers, Inc</t>
  </si>
  <si>
    <t>Bynum Fanyo Utilities Inc.</t>
  </si>
  <si>
    <t>http://bynumfanyo.com</t>
  </si>
  <si>
    <t>mailto:rcoppock@bynumfanyo.com</t>
  </si>
  <si>
    <t>Bytecafe, Inc.</t>
  </si>
  <si>
    <t>="Out target market is the small to medium size businesses. One stop shop for your computer needs. We are a Microsoft shop and have been a partner for 5 years. We also support the following vendors and their products Compaq, HP, Dell, CISCO, Watchguard, Check Point, Symantec and Norton, Microsoft Office with Access, Excel, Word, Power Point, and Microsoft Sharepoint. We handle computer infrastructure design, voice and data cabling, wireless and wired cabling, computer hardware and software maintenance, data backup and recovery, internet security, anti-virus and spy ware control, and routers and firewalls. We are your complete computer vendor that will work with you and your budget. Outsource your information technology IT requirements today."</t>
  </si>
  <si>
    <t>http://www.bytecafe.net</t>
  </si>
  <si>
    <t>mailto:rick@bytecafe.net</t>
  </si>
  <si>
    <t>C &amp; A Tool Engineeri</t>
  </si>
  <si>
    <t>http://catool.com</t>
  </si>
  <si>
    <t>mailto:sales@catool.com</t>
  </si>
  <si>
    <t>C &amp; C Billiards, Inc</t>
  </si>
  <si>
    <t>mailto:jschoonvel@aol.com</t>
  </si>
  <si>
    <t>C &amp; C Cleaning, Inc.</t>
  </si>
  <si>
    <t>mailto:jcdegler@aol.com</t>
  </si>
  <si>
    <t>C &amp; C In Home Assistance, Inc</t>
  </si>
  <si>
    <t>="We are a Home Care Agency that provides a wide range of daily personal services including: Bathing, Grooming and Hygiene, Transfers, Meal Preparation, Medication Reminders, Safety Supervision, Transportations and Errands, Chore Servives and Light Housekeeping, Family Respite."</t>
  </si>
  <si>
    <t>http://www.comforcare.com</t>
  </si>
  <si>
    <t>mailto:centralindy@comforcare.com</t>
  </si>
  <si>
    <t>C &amp; C M Enterprises, LLC</t>
  </si>
  <si>
    <t>http://www.candcmenterprises.com</t>
  </si>
  <si>
    <t>mailto:candcme@sbcglobal.net</t>
  </si>
  <si>
    <t>C &amp; D Williams Company, Inc.</t>
  </si>
  <si>
    <t>http://www.williamsrandall.com</t>
  </si>
  <si>
    <t>C &amp; E Environmental, Inc.</t>
  </si>
  <si>
    <t>mailto:ehett1@dishmail.net</t>
  </si>
  <si>
    <t>C &amp; F Fabricating, LLC</t>
  </si>
  <si>
    <t>="Small Sheet Metal Fabricating business, in Crawfordsville, IN. We Provide fabrication of: Stainless Steel, Structural, Carbon Steel, Aluminum, &amp; Galvanized metals. We also offer: Tig/Mig Welding, Industrial Piping, Dust Collection fabrication, CNC Plasma Cutting, Shear up to 3/8"", Sheet &amp; Plate Bending, Hole Punching, &amp; Metal Sales."</t>
  </si>
  <si>
    <t>http://cffabricating.com</t>
  </si>
  <si>
    <t>mailto:nikki@cffabricating</t>
  </si>
  <si>
    <t>C &amp; H Mowing, Inc.</t>
  </si>
  <si>
    <t>C &amp; H/M Excavating Inc</t>
  </si>
  <si>
    <t>mailto:chm@seidata.com</t>
  </si>
  <si>
    <t>C &amp; J SERVICES AND SUPPLIES, INC</t>
  </si>
  <si>
    <t>="C &amp; J Services specializes in contract procurement and procurement through buying groups. We specialize in helping mid to large companies streamline their purchasing through contract negotiations and buying groups. We also contract with the defense department continuously while consistently delivering outstanding service and products."</t>
  </si>
  <si>
    <t>mailto:CANDJSERVICES@GOTOWN.NET</t>
  </si>
  <si>
    <t>C &amp; R Catering, LLC</t>
  </si>
  <si>
    <t>mailto:c-rcateringllc.sbcglobal.net</t>
  </si>
  <si>
    <t>C &amp; R Construction and Consulting LLC.</t>
  </si>
  <si>
    <t>mailto:lacycrosier@yahoo.com</t>
  </si>
  <si>
    <t>C &amp; W Ink'd</t>
  </si>
  <si>
    <t>http://www.cwinkd.com</t>
  </si>
  <si>
    <t>mailto:traci@cwinkd.com</t>
  </si>
  <si>
    <t>C - One Photography Studio, Inc.</t>
  </si>
  <si>
    <t>mailto:lcsc@maplenet.net</t>
  </si>
  <si>
    <t>C A Whittaker &amp; Associates, LLC</t>
  </si>
  <si>
    <t>mailto:whittaker1@ameritech.net</t>
  </si>
  <si>
    <t>C B Printing</t>
  </si>
  <si>
    <t>mailto:rcbrookfarm@bloomingdaletel.com</t>
  </si>
  <si>
    <t>C Cat, Inc.</t>
  </si>
  <si>
    <t>http://www.c-cat.com</t>
  </si>
  <si>
    <t>mailto:kjohnson@c-cat.com</t>
  </si>
  <si>
    <t>C E KEMP CO</t>
  </si>
  <si>
    <t>mailto:store@kempsofficecity.com</t>
  </si>
  <si>
    <t>C Squared Designs LLC</t>
  </si>
  <si>
    <t>="We are a full service graphic design company with services including: Logo Designs Business Cards/Stationary Designs Brouchure Designs Postcard Designs Poster Designs Banner Designs Package Designs Catalog Designs Website Designs Web Banner Designs Flash Animations Illustrations Limited Photography"</t>
  </si>
  <si>
    <t>http://www.csquareddesigns.com</t>
  </si>
  <si>
    <t>mailto:chrissy@csquareddesigns.com</t>
  </si>
  <si>
    <t>C&amp;A Express Inc</t>
  </si>
  <si>
    <t>http://caexpressinc.com</t>
  </si>
  <si>
    <t>C&amp;C Services</t>
  </si>
  <si>
    <t>mailto:harpc@sbcglobal.net</t>
  </si>
  <si>
    <t>C&amp;C Sheet Metal, LLC</t>
  </si>
  <si>
    <t>="C&amp;C Sheet Metal,LLC is a custom heating and cooling ventilation contractor with a full fabrication shop to handle any sheet metal or installation job. Our focus is commercial and industral HVAC projects as well as custom sheet metal fabrication projects. We have been providing quality sheet metal work since 1969."</t>
  </si>
  <si>
    <t>C&amp;D Engineering d/b/a/ Central Indiana W</t>
  </si>
  <si>
    <t>mailto:ste5ve@earthlink.net</t>
  </si>
  <si>
    <t>C&amp;D Enterprise, Inc.</t>
  </si>
  <si>
    <t>C&amp;G Technologies, Inc.</t>
  </si>
  <si>
    <t>="C&amp;G Technologies is a leading provider for refurbished GE and Toshiba CT Systems, Parts and Service. For over 19 years, C&amp;G Technologies has made it our mission to provide customers with the absolute best quality CT systems, CT Parts and CT Service available. Thanks to our experienced professional staff, state-of-the-art facility located in Jeffersonville, Indiana that includes 20 dedicated staging bays, a multi-million dollar parts inventory and dedicated board repair room, an internal shipping department and our team of in-house service engineers. With additional service and parts hubs in Fort Myers, Florida and Phoenix, Arizona, C&amp;G can provide customers with quick response times locally or across the nation. For all your CT systems, parts and service needs, turn to a company with experience you can count on. Turn to C&amp;G."</t>
  </si>
  <si>
    <t>http://www.cgtscan.com</t>
  </si>
  <si>
    <t>mailto:mmccord@cgtscan.com</t>
  </si>
  <si>
    <t>C&amp;J Construction LLC</t>
  </si>
  <si>
    <t>mailto:cjconstruction1llc@gmail.com</t>
  </si>
  <si>
    <t>C&amp;L General &amp; Mechanical Maintence Contr</t>
  </si>
  <si>
    <t>http://cheekandlantrip.net</t>
  </si>
  <si>
    <t>mailto:yohancec@hotmail.com</t>
  </si>
  <si>
    <t>C&amp;M T's Inc.</t>
  </si>
  <si>
    <t>http://www.embroidme-stleon.com</t>
  </si>
  <si>
    <t>mailto:stleon@embroidme.com</t>
  </si>
  <si>
    <t>C&amp;R CLEANING LLC</t>
  </si>
  <si>
    <t>http://candr-cleaning.com</t>
  </si>
  <si>
    <t>mailto:candrcleaning2011@gmail.com</t>
  </si>
  <si>
    <t>C&amp;S Design Services LLC</t>
  </si>
  <si>
    <t>="Buy Local! Woman owned business located in Indiana. From in house fabrics and silks to one of a kind aritistic creations. We offer: fabric, organic fabric, custom printed fabric, drapery panels, shades (fabric and wood), window treatments, curtains, hardware, trim, fabric, installation services, measuring services, bedding, cushions and pillows."</t>
  </si>
  <si>
    <t>http://www.draperystreet.com</t>
  </si>
  <si>
    <t>mailto:cosullivan@draperystreet.com</t>
  </si>
  <si>
    <t>Curtain and Drapery Mills</t>
  </si>
  <si>
    <t>C&amp;S Engineering Services Inc.</t>
  </si>
  <si>
    <t>mailto:farrellchas@aol.com</t>
  </si>
  <si>
    <t>C, Inc.</t>
  </si>
  <si>
    <t>mailto:roxee1975@yahoo.com</t>
  </si>
  <si>
    <t>C-A Engineering &amp; Construction Services,</t>
  </si>
  <si>
    <t>http://www.ca-engineering.net</t>
  </si>
  <si>
    <t>mailto:caconsultants@msn.com</t>
  </si>
  <si>
    <t>C-CAT, LLC</t>
  </si>
  <si>
    <t>="C-CAT specializes in providing communications cabling services to the Commercial and Government market. We offer project management, engineering, integration, implementation, and certification of data, voice and video cable infrastructure for clients. C-CAT is a HUBZone Certified Small Business by the SBA Agency."</t>
  </si>
  <si>
    <t>mailto:service@c-cat.com</t>
  </si>
  <si>
    <t>C-TEQ INC.</t>
  </si>
  <si>
    <t>http://OFFICE@CTEQCONSTRUCTION.COM</t>
  </si>
  <si>
    <t>mailto:OFFICE@CTEQCONSTRUCTION.COM</t>
  </si>
  <si>
    <t>C. Blair Enterprises, Incorporated</t>
  </si>
  <si>
    <t>http://www.charlesblair.com</t>
  </si>
  <si>
    <t>mailto:charlesablair@gmail.com</t>
  </si>
  <si>
    <t>C. C. Boone &amp; Compan</t>
  </si>
  <si>
    <t>http://WWW.CCBOONECO.COM</t>
  </si>
  <si>
    <t>mailto:ccbooneco@aol.com</t>
  </si>
  <si>
    <t>C. C. E., Inc.</t>
  </si>
  <si>
    <t>="C.C.E., Inc MOVES/ REMOVES/RECYCLES Tire Transporter, Tire Processor, Tire Recycler, Demolition, Site Clearing, Excavation, Rubber Rok [ Tire Chip aggregate replacement for septic system, TDF, Mulch, Crumb. Equipment Moving, Trucking, Scrap Metal Recyclers,"</t>
  </si>
  <si>
    <t>http://www.ccerecycles.com</t>
  </si>
  <si>
    <t>mailto:ccedumpster@aol.com</t>
  </si>
  <si>
    <t>Recyclable Material Merchant Wholesalers</t>
  </si>
  <si>
    <t>C. Combs Siding LLC</t>
  </si>
  <si>
    <t>="We been EST. since 1974!!!! We now going into our second generation an our business. We Install Siding, Windows, doors and continues gutters. Also we retail high quality products from Norandex/Reynolds, Alside, Alcoa, Wolvering, Tempco Windows and Comfort Line Fiberglass Windows, Stanley Products, etc... We are fully Insurance for residential and commercial projects."</t>
  </si>
  <si>
    <t>mailto:combssiding@surfbest.net</t>
  </si>
  <si>
    <t>C. Noel's Auto Body &amp; Towing Inc.</t>
  </si>
  <si>
    <t>http://www.locl.net/home/cnoel</t>
  </si>
  <si>
    <t>mailto:cnoel@locl.net</t>
  </si>
  <si>
    <t>C. SPECIALTIES, INC.</t>
  </si>
  <si>
    <t>="Providing animal care products to primarily veterinarians, humane societies, animal control agencies, kennels. Products such as carriers and leashes for safe transport and items that may be used while the animal is in their care such as food and litter trays."</t>
  </si>
  <si>
    <t>http://www.cspecialties.com</t>
  </si>
  <si>
    <t>mailto:cspec@cspecialties.com</t>
  </si>
  <si>
    <t>Miscellaneous Durable Goods Merchant Wholesalers</t>
  </si>
  <si>
    <t>C. T. Enterprises, Inc.</t>
  </si>
  <si>
    <t>http://TBMBuildingServices.com</t>
  </si>
  <si>
    <t>C.A. Ross Co., Inc.</t>
  </si>
  <si>
    <t>http://www.carosscompany.com</t>
  </si>
  <si>
    <t>mailto:service@carosscompany.com</t>
  </si>
  <si>
    <t>Nonupholstered Wood Household Furniture Manufacturing</t>
  </si>
  <si>
    <t>C.A.S. CONTRACTING LLC</t>
  </si>
  <si>
    <t>mailto:chkramer14@hotmail.com</t>
  </si>
  <si>
    <t>All Other Heavy Construction</t>
  </si>
  <si>
    <t>C.A.T. Construction and Home Staging &amp; D</t>
  </si>
  <si>
    <t>http://www.catcodesign.com</t>
  </si>
  <si>
    <t>mailto:christine@catcodesign.com</t>
  </si>
  <si>
    <t>C.C. Cook &amp; Son Lumber Co, Inc.</t>
  </si>
  <si>
    <t>="C.C. Cook &amp; Son Lumber Company is a sawmill located in west central Indiana. We produce kiln dried and green Indiana hardwoods. We also offer pallet manufacturing on site. We also provide some other millwork services such as planing and stright line ripping . We also provide sawdust and shavings that are sold to local farms for bedding. We welcome any inquiry."</t>
  </si>
  <si>
    <t>mailto:cooklbr@ccrtc.com</t>
  </si>
  <si>
    <t>Forestry and Logging</t>
  </si>
  <si>
    <t>C.C. Skiles Electric</t>
  </si>
  <si>
    <t>http://www.skileselectric.com</t>
  </si>
  <si>
    <t>mailto:lisa@skileselectric.com</t>
  </si>
  <si>
    <t>C.F. Jones Group Inc</t>
  </si>
  <si>
    <t>http://www.cfjones.com</t>
  </si>
  <si>
    <t>mailto:marylou@cfjones.com</t>
  </si>
  <si>
    <t>C.H. Garmong &amp; Son</t>
  </si>
  <si>
    <t>="C. H. Garmong &amp; Son, Inc., originating in 1923, specializes in general contracting, design/build, design/bid/build, and hard bid delivery disciplines. Garmong has been ranked as one of Indiana's Top 100 Fastest Growing ""high growth, high potential"" companies by Indiana University's Kelley School of Business. Regardless of the construction delivery method you choose, Garmong is prepared to deliver your project on time and within budget."</t>
  </si>
  <si>
    <t>http://www.garmong.net</t>
  </si>
  <si>
    <t>mailto:twoodason@garmong.net</t>
  </si>
  <si>
    <t>C.L.A.S.S. Education Inc</t>
  </si>
  <si>
    <t>http://www.indianaclass.com</t>
  </si>
  <si>
    <t>C.P.M.-Construction Planning &amp; Managemen</t>
  </si>
  <si>
    <t>http://www.cpmconstruction.com</t>
  </si>
  <si>
    <t>mailto:vjb@cpmconstruction.com</t>
  </si>
  <si>
    <t>C.R.I. Construction, Inc.</t>
  </si>
  <si>
    <t>mailto:criconsulting@hotmail.com</t>
  </si>
  <si>
    <t>C.S.E.T. and Associates, INC.</t>
  </si>
  <si>
    <t>C2 Cornerstone Consulting Inc</t>
  </si>
  <si>
    <t>mailto:ctwoinc@gmail.com</t>
  </si>
  <si>
    <t>C2 Marketing Communications</t>
  </si>
  <si>
    <t>http://www.c2marcom.com</t>
  </si>
  <si>
    <t>mailto:inquiry@c2marcom.com</t>
  </si>
  <si>
    <t>CAD-Vantage, Inc.</t>
  </si>
  <si>
    <t>mailto:CVI@INDY.NET</t>
  </si>
  <si>
    <t>CAIN DURABLE MEDICAL EQUIPMENT INC</t>
  </si>
  <si>
    <t>Medical, Dental and Hospital Equipment and Supplies Wholesalers</t>
  </si>
  <si>
    <t>CAL-PRO FENCE CO INC</t>
  </si>
  <si>
    <t>="""The Fence Professionals"" Cal-Pro Fence is currently the largest fence installer in Michiana. Our office is located in South Bend, and includes all areas in and around Michiana. Our expertise in installation has been an essential factor in achieving repeat business and very favorable referrals from commercial and residential customers throughout Michiana. We offer all varieties of fencing, including, chain link, wrought iron, PVC, wood, and others."</t>
  </si>
  <si>
    <t>http://www.calprofence.com</t>
  </si>
  <si>
    <t>mailto:info@calprofence.com</t>
  </si>
  <si>
    <t>CALCAR QUARRIES INC</t>
  </si>
  <si>
    <t>mailto:calcar@blueriver.net</t>
  </si>
  <si>
    <t>CAMACHO EQUPMENT &amp; JANITORIAL SUPPLY</t>
  </si>
  <si>
    <t>http://www.camachojanitorial.com</t>
  </si>
  <si>
    <t>mailto:camacho@camachojanitorial.com</t>
  </si>
  <si>
    <t>CAMELIA SMITH</t>
  </si>
  <si>
    <t>="B &amp; C PROPERTY PRESERVATIONS thandles Property Preservation - we take immediate action to protect &amp; preserve your properties against potential damage, &amp; stop deterioration before it occurs. B&amp; C is a provides timely services ensure that vacant &amp; abandoned properties are secured quickly, remaining protected during the default, foreclosure, and REO process."</t>
  </si>
  <si>
    <t>http://www.freewebs.com/bcproperties/</t>
  </si>
  <si>
    <t>mailto:BC_PPSERVICES@YAHOO.COM</t>
  </si>
  <si>
    <t>CANARY MINI TRUCKS, LLC</t>
  </si>
  <si>
    <t>http://www.canaryope@yahoo.com</t>
  </si>
  <si>
    <t>mailto:AKNIERIEM@YAHOO.COM</t>
  </si>
  <si>
    <t>CANDACE SMITH</t>
  </si>
  <si>
    <t>mailto:JAZZITUP4ME2@HOTMAIL.COM</t>
  </si>
  <si>
    <t>CANNON'S AMOCO SERVICE, INC.</t>
  </si>
  <si>
    <t>http://www.cannonsauto.com</t>
  </si>
  <si>
    <t>mailto:cannonsautomotive@frontier.com</t>
  </si>
  <si>
    <t>CAPITAL CITY TRANSIT LLC</t>
  </si>
  <si>
    <t>="Capital City Transit has been selling and leasing commercial buses from 15 to 40 passenger equipped for everything from Para-transit to customized shells such as dental labs, mobile offices, mammography lab, mobile security vehicles from Central Indiana to people and organizations across the country for more than 45 years. Capital City Transit deals in transportation and mobilty solutions for a wide variety of clients including the federal government. Capital City Transit is a Indiana owned minority dealer for Ricon, Braun and Starcraft."</t>
  </si>
  <si>
    <t>http://WWW.CAPITALCITYTRANSITONLINE.COM</t>
  </si>
  <si>
    <t>mailto:cathy@capitalcitytonline,com</t>
  </si>
  <si>
    <t>Other Motor Vehicle Dealers</t>
  </si>
  <si>
    <t>CAPITOL CITY FENCE CO INC</t>
  </si>
  <si>
    <t>mailto:broop@capcityfence.com</t>
  </si>
  <si>
    <t>CAPITOL CITY FORD INC</t>
  </si>
  <si>
    <t>http://CAPCITYFORD.COM</t>
  </si>
  <si>
    <t>mailto:KROBILOTTA@CCFFORD.COM</t>
  </si>
  <si>
    <t>CAPITOL CONSTRUCTION SERVICES, INC.</t>
  </si>
  <si>
    <t>http://www.capitolconstruct.com</t>
  </si>
  <si>
    <t>CARDINAL CHEMICAL INCORPORATED</t>
  </si>
  <si>
    <t>Chemical Manufacturing</t>
  </si>
  <si>
    <t>CAREGIVERS HOME HEALTH CARE SERVICES</t>
  </si>
  <si>
    <t>http://www.caregivershealth.org</t>
  </si>
  <si>
    <t>mailto:caregivers@caregivershealth.org</t>
  </si>
  <si>
    <t>CAS, Inc.</t>
  </si>
  <si>
    <t>="We are a locally owned company aligned with one of the best National alarm monitoring companies MONITRONICS and offering industry and time proven alarm equipment by HONEYWELL. We offer surveillance camera systems for isolated viewing applications or across global networks. The access controls devices we offer can manage one to an infinite amount of doors. We have a local technical staff qualified for installation and service of the products we offer. Our technical staff is capable of maintaining existing alarm, surveillance and access control systems."</t>
  </si>
  <si>
    <t>http://www.cascctv.com</t>
  </si>
  <si>
    <t>mailto:info@cascctv.com</t>
  </si>
  <si>
    <t>CASE CONSULTING CORPORATION</t>
  </si>
  <si>
    <t>="Case Consulting Corporation provides evaluation, data management, and compliance consulting and training services to healthcare, social service and public sector organizations. Services include: assisting organizations with obtaining and maintaining CARF and JCAHO accreditation, database application development, report writing expertise, policy and procedure creation and refinement, and clinical outcome measurement design and benchmarking. Case Consulting Corporation is certified as a Women Business Enterprise in the State of Indiana."</t>
  </si>
  <si>
    <t>http://www.caseconsultingcorporation.com</t>
  </si>
  <si>
    <t>mailto:ruth@bteradio.com</t>
  </si>
  <si>
    <t>CASTLE PROPERTIES</t>
  </si>
  <si>
    <t>CAVE QUARRIES INC</t>
  </si>
  <si>
    <t>mailto:cjknies@hotmail.com</t>
  </si>
  <si>
    <t>CB Partners, Inc.</t>
  </si>
  <si>
    <t>mailto:cbpartners@indy.rr.com</t>
  </si>
  <si>
    <t>CB Richard Ellis</t>
  </si>
  <si>
    <t>CBK Enterprises, Inc.</t>
  </si>
  <si>
    <t>mailto:kbay10@aol.com</t>
  </si>
  <si>
    <t>CBS Logistics, Inc.</t>
  </si>
  <si>
    <t>http://www.cbslog.com</t>
  </si>
  <si>
    <t>mailto:carol@cbslog.com</t>
  </si>
  <si>
    <t>Specialized Freight (except Used Goods) Trucking, Long-Distance</t>
  </si>
  <si>
    <t>CBS Service, LLC</t>
  </si>
  <si>
    <t>http://cbsservicellc.com</t>
  </si>
  <si>
    <t>mailto:cbsservicellc@gmail.com</t>
  </si>
  <si>
    <t>CC Holdings, Inc.</t>
  </si>
  <si>
    <t>CCC Contracting, Inc</t>
  </si>
  <si>
    <t>="CCC Contracting, Inc. is a two year old corporation formed by former employees of C &amp; C Contracting, Inc. Most of our employees have 20 years plus in Outside Plant Telephone Construction. We have built 600 plus miles of telephone construction in our first two years of business. Our employees are very dedicated and hard working individuals."</t>
  </si>
  <si>
    <t>mailto:812-849-4101</t>
  </si>
  <si>
    <t>Utility System Construction</t>
  </si>
  <si>
    <t>CCC Of Evansville In</t>
  </si>
  <si>
    <t>CCI Roofing &amp; Insulation Systems Inc.</t>
  </si>
  <si>
    <t>http://www.cciroofingsystems.com</t>
  </si>
  <si>
    <t>mailto:info@cciroofingsystems.com</t>
  </si>
  <si>
    <t>CCI, LLC (CARPET CORNER OF INDPLS)</t>
  </si>
  <si>
    <t>mailto:conniep@cci-indy.net</t>
  </si>
  <si>
    <t>CCM Cleaning</t>
  </si>
  <si>
    <t>mailto:ccm.cleaning@yahoo.com</t>
  </si>
  <si>
    <t>CDI, Inc.</t>
  </si>
  <si>
    <t>="CDI, Inc. is a 43-year-old full service General Contractor/Construction Management Company. We believe our expertise is control of time, cost and quality during the design and management of the construction process. We are one of the most experienced General Contractors in the State of Indiana. CDI, Inc. is a General Contractor, Construction Management firm. We offer our customer access to professionals who have hands-on experience in design and construction-related services. Our staff includes a core group of engineers; programmers; cost estimators; and schedulers -- all dedicated to seeing that the final products are quality facilities and exactly what you asked for"</t>
  </si>
  <si>
    <t>http://www.cdiinc.net</t>
  </si>
  <si>
    <t>mailto:rjharruff@cdiinc.net</t>
  </si>
  <si>
    <t>CDIS</t>
  </si>
  <si>
    <t>="Construction &amp; Development Inspection Services, a DBA of American Classic Companies, Inc., an Indiana based Sub-S Corporation, provides Lenders, Owners, Investors, and Municipalities with timely and accurate review and reporting on Real Estate and Construction and Development projects located throughout the Midwest."</t>
  </si>
  <si>
    <t>http://www.cdis.biz</t>
  </si>
  <si>
    <t>mailto:info@cdis.biz</t>
  </si>
  <si>
    <t>CDL Testing, Inc.</t>
  </si>
  <si>
    <t>http://www.cdltestinginc.com</t>
  </si>
  <si>
    <t>mailto:adminindiana@roadmaster.com</t>
  </si>
  <si>
    <t>CDM General Contractor</t>
  </si>
  <si>
    <t>mailto:CDM.DEMO@SBCGLOBAL.NET</t>
  </si>
  <si>
    <t>CDR Cleaning Service Inc</t>
  </si>
  <si>
    <t>="CDR Cleaning Service Inc will provide cleaning services for the Greater Indianapolis are, such as vacuuming, mopping all floors, cleaning restrooms, cleaning carpet, cleaning kitchens, cleaning stoves, refrigerator, microwaves, windows, glass doors, light switches. Dusting work area's such as, chairs, computer monitors, air vents, blinds, base boards, ceiling fans, all other furniture and appliance request by the owner. Commercial Cleaning such as: Moving out, Party clean-up, and Holiday clean-up."</t>
  </si>
  <si>
    <t>mailto:c_rowley24@hotmail.com</t>
  </si>
  <si>
    <t>CE Hughes Milling, Inc.</t>
  </si>
  <si>
    <t>http://www.hughesmilling.com</t>
  </si>
  <si>
    <t>mailto:caroline@hughesmilling.com</t>
  </si>
  <si>
    <t>CECELIA'S ROOFING AND MORE "L.L.C."</t>
  </si>
  <si>
    <t>="PROVIDE TRANSPORTATION TO INDIANA PRISONS FOR FAMILIES AND FRIENDS OF INMATES. PROVIDE SUPPORTING ORGANIZATION TO FAMILIES OF INDIANA INMATES TO ALLOW FOR MENTAL AND PHYSICAL WELLBEING OF THE FAMILY UNITS OF INCARCERATED INDIVIDUALS, INCLUDING WORKSHOPS SUPPORTING OVERALL HEALTH AND SPIRTUAL GUIDANCE TO FAMILIES. ENHANCING PHYSICAL SECURITY INCLUDES REPAIR TO LIVING QUARTERS."</t>
  </si>
  <si>
    <t>mailto:CECELIASROOFINGANDMORE@LIVE.COM</t>
  </si>
  <si>
    <t>CEDISUS, LLC</t>
  </si>
  <si>
    <t>http://www.cedisus.com</t>
  </si>
  <si>
    <t>mailto:admin@cedisus.com</t>
  </si>
  <si>
    <t>CENTER FOR CREATIVE SOLUTIONS</t>
  </si>
  <si>
    <t>="The Center for Creative Solutions is a change management organization. It provides training, facilitation, and consulting to all kinds of organizations such as government, businesses, non-profits, schools, etc. Areas of expertise include, but are not limited to, strategic planning, change management, Creative Problem Solving, ethics, leadership, communication, board responsibility, fund raising, and work issues such as harassment, bullying and etiquette. The Center's professionals are well-trained and experienced in such areas as government, human resources, strategic planning, legal, law enforcement, social service, education, to name a few."</t>
  </si>
  <si>
    <t>http://wwwcenterforcreativesolutions.com</t>
  </si>
  <si>
    <t>mailto:creativity52@comcast.net</t>
  </si>
  <si>
    <t>CENTRAL IND FIRE &amp; S</t>
  </si>
  <si>
    <t>mailto:CIFSCI@AOL.COM</t>
  </si>
  <si>
    <t>CENTRAL INDIANA MACK SALES S</t>
  </si>
  <si>
    <t>http://www.ustrucksales.com</t>
  </si>
  <si>
    <t>mailto:bmyers@ustrucksales.com</t>
  </si>
  <si>
    <t>Motor Vehicle and Motor Vehicle Parts and Supplies Merchant Wholesalers</t>
  </si>
  <si>
    <t>CENTRAL SUPPLY COMPANY</t>
  </si>
  <si>
    <t>CENTURION INDUSTRIES INC</t>
  </si>
  <si>
    <t>http://www.centurionind.com</t>
  </si>
  <si>
    <t>mailto:bfoster@centurionind.com</t>
  </si>
  <si>
    <t>CEP Sales, Inc.</t>
  </si>
  <si>
    <t>Foundries</t>
  </si>
  <si>
    <t>CERTIFIED TRANSMISSI</t>
  </si>
  <si>
    <t>http://WWW.CERTIFIEDTRANSMISSION.NET</t>
  </si>
  <si>
    <t>mailto:CERTRANSMISSION@AOL.COM</t>
  </si>
  <si>
    <t>Automotive Transmission Repair</t>
  </si>
  <si>
    <t>CET Incorporated</t>
  </si>
  <si>
    <t>http://www.cetincorporated.com</t>
  </si>
  <si>
    <t>CFA,INC.</t>
  </si>
  <si>
    <t>CFACT Government Services LLP</t>
  </si>
  <si>
    <t>http://www.cfactcs.com</t>
  </si>
  <si>
    <t>mailto:vivek@cfactcs.com</t>
  </si>
  <si>
    <t>CFS/Crowe Chizek</t>
  </si>
  <si>
    <t>="We are the temporary accounting, finance, and administrative staffing division of Crowe Chizek LLC, the 8th largest CPA firm in the country. We place all levels of staff to include accounting support through CFO's and all clerical support to include administrative assistants, receptionists, data entry/clerk, to administrative managers. All services are offered in a temporary, temporary-to-direct, or direct-hired placements."</t>
  </si>
  <si>
    <t>http://www.cfstaffing.com</t>
  </si>
  <si>
    <t>mailto:kritter@crowechizek.com</t>
  </si>
  <si>
    <t>CGM Precast Concrete, Inc.</t>
  </si>
  <si>
    <t>="We manufacture precast concrete products for utilities and builders. Our products include equipment mounting pads, parking stops, splash block, copings, sills, wall caps, lintels, A/C pads, post caps. We are able to do custom work with a fast response time. We use an automated state-of-the-art concrete mixing system for consistent, high-strength mixes."</t>
  </si>
  <si>
    <t>http://www.cgmprecast.com</t>
  </si>
  <si>
    <t>mailto:CGMMFG@aol.com</t>
  </si>
  <si>
    <t>CGS Services, Inc.</t>
  </si>
  <si>
    <t>http://www.cgsservices.com</t>
  </si>
  <si>
    <t>mailto:lcarpenter@cgsservices.com</t>
  </si>
  <si>
    <t>CHAC, INC</t>
  </si>
  <si>
    <t>="CARRIER FAD (FACTORY AUTHORIZED DEALER) NATE CERTIFIED TECHNICIANS SERVICE, INSTALLATION, REPAIRS ON BOILERS, GEO THERMALS, GAS, OIL FURNACES. DEALERSHIP FOR WATER FURNACE, THERMO PRIDE AND CARRIER WRIGHT SOFT COMPUTER GENERATION LOAD CALCULATIONS AIR DUCT CLEANING"</t>
  </si>
  <si>
    <t>CHAFFINS ENTERPRISES</t>
  </si>
  <si>
    <t>mailto:rogersnapa@yahoo.com</t>
  </si>
  <si>
    <t>CHASCAR LLC</t>
  </si>
  <si>
    <t>http://www.chascar.com</t>
  </si>
  <si>
    <t>mailto:info@chascar.com</t>
  </si>
  <si>
    <t>CHASE SMITH ENTERPRISE LLC</t>
  </si>
  <si>
    <t>mailto:davichasesmith@hotmail.com</t>
  </si>
  <si>
    <t>CHEKBACK CO.</t>
  </si>
  <si>
    <t>Plumbing Fixture Fitting and Trim Manufacturing</t>
  </si>
  <si>
    <t>CHILD ADULT RESOURCE SERVICES INC</t>
  </si>
  <si>
    <t>="We perform Janitorial Services, Embroidery Services, Mailroom Services, Fulfillment Services and Rehab Services for individuals with developmental disabilities for commercial businesses, State and Municipal governments in the State of Indiana. We offer meaningful day habilitation services to adults with developmental disabilities for both state waiver and line item consumers."</t>
  </si>
  <si>
    <t>http://www.cars-services.org</t>
  </si>
  <si>
    <t>mailto:bweinman@cars-services.org</t>
  </si>
  <si>
    <t>CHILD SUPPORT RECOVERY SERVICE</t>
  </si>
  <si>
    <t>http://www.childsupportrecovery.com</t>
  </si>
  <si>
    <t>mailto:csrs@childsupportrecovery.com</t>
  </si>
  <si>
    <t>CHIPS Inc</t>
  </si>
  <si>
    <t>http://www.chipshirt.com</t>
  </si>
  <si>
    <t>mailto:sales@chipshirt.com</t>
  </si>
  <si>
    <t>Textile and Fabric Finishing (except Broadwoven Fabric) Mills</t>
  </si>
  <si>
    <t>CHOICE MECHANICAL SERVICE, INC.</t>
  </si>
  <si>
    <t>CHRISTMAN H G CONSTRUCTION CO INC</t>
  </si>
  <si>
    <t>="The Christman name is intertwined in the rich and colorful growth pattern of the South Bend area. It should be included with such well known names as Bendix, Studebaker, Oliver and many other firms that have contributed to the local history. For over 100 years H.G. Christman has assisted in the growth of our community. The H.G. Christman Company provides its clients with the most professional approach to any construction project. Timely performance and quality workmanship provides the background for many services we can perform for our clients. The Company that selects H.G. Christman adds a team competent to take a project from the basic planning phase through the construction process. Our skilled professional people can provide: Planning; Cost Estimating; Value Engineering; Construction Management; and General Contracting Services, all combined in one responsible company."</t>
  </si>
  <si>
    <t>http://www.hgchristman.com</t>
  </si>
  <si>
    <t>mailto:info@hgchristman.com</t>
  </si>
  <si>
    <t>CHUBBY'S DISPOSAL SE</t>
  </si>
  <si>
    <t>mailto:CHUBBY7CDS@AOL.COM</t>
  </si>
  <si>
    <t>CHURUBUSCO AUTO ELECTRIC INC.</t>
  </si>
  <si>
    <t>mailto:caebusco@frontier.com</t>
  </si>
  <si>
    <t>CIBER</t>
  </si>
  <si>
    <t>="CIBER, Inc is a pure play international system integration consultancy with superior value-priced services for both private and government sector clients. CIBER's global delivery services are offered on a project or strategic staffing basis, in both custom and enterprise resource planning (ERP) package environments, and across all technology platforms, operating sytems and infrastructures."</t>
  </si>
  <si>
    <t>http://www.ciber.com</t>
  </si>
  <si>
    <t>mailto:bbagnell@ciber.com</t>
  </si>
  <si>
    <t>CIBER Indiana, LLC</t>
  </si>
  <si>
    <t>="CIBER Indiana, LLC is a leading systems integrator providing superior value-priced services for both private and government sector clients. CIBER's services are offered on a project or strategic staffing basis, in both custom and ERP package environments, and across all technology platforms, operating systems, and infrastructures. CIBER's key strength is our focused specialization in building, integrating, supporting mission critical business applications and systems to deliver the solutions that achieve your business objectives. CIBER has the knowledge and expertise to deliver now and throughout the project lifecycle. By integrating our services from Application Development to Enterprise Integration through Outsourcing, CIBER offers a range of services you need for optimized quality, enhanced business value, faster time to market and a reduced total cost of ownership."</t>
  </si>
  <si>
    <t>mailto:gcarter@ciber.com</t>
  </si>
  <si>
    <t>CIC Packaging, LLC</t>
  </si>
  <si>
    <t>http://www.cicpackaging.com</t>
  </si>
  <si>
    <t>mailto:lhively@cicpackaging.com</t>
  </si>
  <si>
    <t>CICOA Aging &amp; In-Home Solutions, Inc.</t>
  </si>
  <si>
    <t>="CICOA Aging &amp; In-Home Solutions, Inc. has served as the Area Agency on Aging in central Indiana (serving Boone, Hamilton, Hancock, Hendricks, Johnson, Marion, Morgan and Shelby counties) since 1974. CICOA empowers older persons, people off any age with a disability and family caregivers to live with the greatest possible independence, dignity and quality of life."</t>
  </si>
  <si>
    <t>http://www.cicoa.org</t>
  </si>
  <si>
    <t>mailto:obell@cicoa.org</t>
  </si>
  <si>
    <t>CIM AUDIO VISUAL, IN</t>
  </si>
  <si>
    <t>="CIM AUDIO VISUAL....YOUR LONG TERM AV PARTNER Today, tomorrow, 10 years from now. You need a partner in the audio visual industry that will stand beside you through all of your tough projects and problems. CIM Audio-Visual (formerly Central Indiana Marketing) is committed not only to providing you with the best in equipment and parts but also the best in customer service from initial design stages all the way through dealing with any warranty issues that should arise. With over 20 years experience in the Audio Visual industry, you can know that CIM Audio-Visual has the skills, knowledge and the integrity to help your company meet it's Audio Visual needs now and for many years to come."</t>
  </si>
  <si>
    <t>http://www.cimav.com</t>
  </si>
  <si>
    <t>mailto:sales@cimav.com</t>
  </si>
  <si>
    <t>Other Electronic Parts and Equipment Wholesalers</t>
  </si>
  <si>
    <t>CINUTECHS</t>
  </si>
  <si>
    <t>="Single - Source IT design, installation and service. Structured cable and infrastructure design, procurement and implementation, service and support. Communications. Development and integration of new and existing IT. Specialized product support on a wide variety of small and large scale IT equipment."</t>
  </si>
  <si>
    <t>http://www.cinutechs.com</t>
  </si>
  <si>
    <t>mailto:cinutechs@cinutechs.com</t>
  </si>
  <si>
    <t>CIRCLE "R" MECH. INC</t>
  </si>
  <si>
    <t>="CIRCLE ""R"" MECHANICAL, INC. HAS BEEN ESTABLISHED IN THE NORTHWEST INDIANA AREA SINCE 1973. WE ARE A FULLY OPERATIONAL MECHANICAL CONTRACTOR SPECIALIZING IN THE MANUFACTURING AND INSTALLATION OF COMMERCIAL AND INDUSTRIAL HEATING, VENTILATING, AIR CONDITIONING AND PLUMBING SYSTEMS. WE OFFER A ""FULL SERVICE"" SERVICE DEPARTMENT WITH 24 HOUR EMERGENCY SERVICE, DESIGN BUILD CAPABILITIES WITH COMPUTER AIDED DRAFTING, TEMPERATURE CONTROLS AND BUILDING AUTOMATION, AND A COMPLETE PLUMBING DEPARTMENT."</t>
  </si>
  <si>
    <t>http://circlermechanical.com</t>
  </si>
  <si>
    <t>mailto:crm@circlermechanical.com</t>
  </si>
  <si>
    <t>CIRCLE DISTRIBUTING INC.</t>
  </si>
  <si>
    <t>CISM Communications</t>
  </si>
  <si>
    <t>="Solutions provider, and network design firm specializing in Intranet, Internet, and Wide Area Corporate Networks. We can meet your needs for Web design services, Networking devices, Voice over IP (VOIP), Wireless Communications, and computer hardware and Internet Hosting. We have been providing centralized information management, total communication solution services to clients for 16 years in the Great Lake Region. The combination of CISM Communications and our excellent partners provides an end-to-end communication system with complete “One- Call Total Solution” project management. Our clients are typically government, health Care providers, Educational Institutions, and small to mid-sized companies headquartered in Mid-West region with nationwide and/or international office locations."</t>
  </si>
  <si>
    <t>http://www.cismservices.com</t>
  </si>
  <si>
    <t>mailto:sales@cismservices.com</t>
  </si>
  <si>
    <t>CITY OF SEYMOUR</t>
  </si>
  <si>
    <t>Other General Government Support</t>
  </si>
  <si>
    <t>CJ Boots Casket Company, Inc.</t>
  </si>
  <si>
    <t>CJ's Sweet Creations and Catering</t>
  </si>
  <si>
    <t>mailto:evett1966@yahoo.com</t>
  </si>
  <si>
    <t>CJI Restoration LLC</t>
  </si>
  <si>
    <t>mailto:charles@cjiexterior.com</t>
  </si>
  <si>
    <t>CJM Contractors, Inc</t>
  </si>
  <si>
    <t>http://www.cjmcontractors.com</t>
  </si>
  <si>
    <t>mailto:mike@cjmcontractors.com</t>
  </si>
  <si>
    <t>CJO Technologies</t>
  </si>
  <si>
    <t>http://www.mobilesight.com</t>
  </si>
  <si>
    <t>mailto:cjotech@comcast.net</t>
  </si>
  <si>
    <t>CKS Company, Inc.</t>
  </si>
  <si>
    <t>http://www.ckscompany.com</t>
  </si>
  <si>
    <t>mailto:cks@ckscompany.com</t>
  </si>
  <si>
    <t>CKW LAND SURVEYING INC</t>
  </si>
  <si>
    <t>http://ckwland.com</t>
  </si>
  <si>
    <t>mailto:gen@ckwland.com</t>
  </si>
  <si>
    <t>CL HOLDING, LLC</t>
  </si>
  <si>
    <t>="PRO INDUSTRIES IS THE MANUFACTURER OF PRO POWER STRENGTH TRAINING EQUIPMENT. PRO ALSO IS A DISTRIBUTER OF CARDIOVASCULAR EQUIPMENT, RUBBER WEIGHT ROOM FLOORING, AND FITNESS PRODUCTS. ALL PRO POWER STRENGTH TRAINING EQUIPMENT IS MANUFACTURED IN FRANKLIN, INDIANA USING MOSTLY INDIANA COMPANIES TO PRODUCE OUR PRODUCT. ALL EQUIPMENT IS COMERCIAL GRADE AND BUILT TO THE HIGHEST INDUSTRY STANDARDS. SOME INDIANA CUSTOMERS INCLUDE THE INDIANAPOLIS COLTS, BEN DAVIS HIGH SCHOOL, WARREN CENTAL HIGH SCHOOL, COLUMBUS FIRE DEPARTMENTS, MUNCIE POLICE DEPARTMENT AND MANY OTHER HIGH SCHOOLS AND COLLEGES."</t>
  </si>
  <si>
    <t>http://www.proindustries.com</t>
  </si>
  <si>
    <t>mailto:sales@proindustries.com</t>
  </si>
  <si>
    <t>CLASS Groundskeeping</t>
  </si>
  <si>
    <t>mailto:class00@sigecom.net</t>
  </si>
  <si>
    <t>Apiculture</t>
  </si>
  <si>
    <t>CLASSIC CHEMICAL</t>
  </si>
  <si>
    <t>="Manufacturer of a variety of concentrated, free rinsing; Citrus; Alkaline; &amp; Solvent based cleaners and degreasers as well as paint strippers for Industrial applications. Our signature cleaners are formulated for a wide variety of industrial uses, including in-line spray washers, immersion systems, and ultrasonic tanks."</t>
  </si>
  <si>
    <t>http://www.degreaser.net</t>
  </si>
  <si>
    <t>mailto:classic@degreaser.net</t>
  </si>
  <si>
    <t>Soap and Cleaning Compound Manufacturing</t>
  </si>
  <si>
    <t>CLASSIC FLOORING</t>
  </si>
  <si>
    <t>mailto:bonniehanlon@hotmail.com</t>
  </si>
  <si>
    <t>CLAWSON COMMUNICATIONS INC</t>
  </si>
  <si>
    <t>="Clawson Communications provides structured cabling, which includes voice/data/video and also fiber optic services, outside plant OSP services (underground and aerial). We currently staff 30 BICSI certified installers, 2 RCDD's and one architect. We are SYSTIMAX VAR, CORNING EWP, and AVAYA certified. We also provide and install Avaya phone systems. We also install and maintain Meridien and Northern Telecom systems."</t>
  </si>
  <si>
    <t>http://www.clawsons.com</t>
  </si>
  <si>
    <t>mailto:bballard@clawsons.com</t>
  </si>
  <si>
    <t>CLG Electronics, LLC</t>
  </si>
  <si>
    <t>http://www.clgelectronics.com</t>
  </si>
  <si>
    <t>mailto:mbailey@clgelectronics.com</t>
  </si>
  <si>
    <t>CLG International, LLC</t>
  </si>
  <si>
    <t>http://www.clgintl.com</t>
  </si>
  <si>
    <t>mailto:sales@clgintl.com</t>
  </si>
  <si>
    <t>CLM Pallet Recycling, Inc</t>
  </si>
  <si>
    <t>http://clmpallet.com</t>
  </si>
  <si>
    <t>mailto:mloughery@clmpallet.com</t>
  </si>
  <si>
    <t>Wood Container and Pallet Manufacturing</t>
  </si>
  <si>
    <t>CLOVER CREST DAIRY</t>
  </si>
  <si>
    <t>="Clover Crest Dairy is an independent distribution company of milk and various other dairy products for Dean Foods. Clover Crest caries a full line of milk, sour cream, cottage cheese, yogurt, juice, and water. Any questions can be directed to Robert Jensen at 219-947-4704."</t>
  </si>
  <si>
    <t>mailto:clovercrest@verizon.net</t>
  </si>
  <si>
    <t>Dairy Product (except Dried or Canned) Merchant Wholesalers</t>
  </si>
  <si>
    <t>CLR AUTO TRANSPORT &amp; BROKERS CORP.</t>
  </si>
  <si>
    <t>http://WWW.CLRAUTOTRANSPORT.COM</t>
  </si>
  <si>
    <t>mailto:INFO@CLRAUTOTRANSPORT.COM</t>
  </si>
  <si>
    <t>Other Support Activities for Road Transportation</t>
  </si>
  <si>
    <t>CLR Inc.</t>
  </si>
  <si>
    <t>="CLR Inc. is a medium sized family owned construction company specializing in bridge construction, concrete work, piling installation, demolition work, sheeting work and deep foundation installation. Other areas of work involve a small trucking operation that specializes in regional flat bed hauling, regional dump trailer transportation and nation wide specialty hauling of oversized, overweight specially permitted cargo."</t>
  </si>
  <si>
    <t>http://www.clrconstruction.net</t>
  </si>
  <si>
    <t>mailto:creitmeyer@aol.com</t>
  </si>
  <si>
    <t>Highway, Street, Bridge and Tunnel Construction</t>
  </si>
  <si>
    <t>CLW Consulting Inc.</t>
  </si>
  <si>
    <t>="CLW Consulting Inc. is a growing company with a great outlook on the future of the consulting industry. We primarily conduct business in the State of Indiana, supplying great expertise and service in the government sector but given opportunities and continued growth will look forward to offering our services beyond the state and deliver the best service possible."</t>
  </si>
  <si>
    <t>mailto:josephmorrow@clwconsultinginc.com</t>
  </si>
  <si>
    <t>CM IT Solutions - Indy Metro North</t>
  </si>
  <si>
    <t>="CM IT Solutions is a national organization with 120 franchises in 30 states offering one-on-one training, troubleshooting, and support services. We are a national company with a local presence, providing local leadership and expertise to be Your Technology Team. CM IT Solutions provides mission critical outsourced IT services to businesses of all sizes. Since 1996, we’ve been building long-term relationships with our clients and helping them grow. The leadership of local CM IT Solutions licensees represents over two decades of experience providing IT and business solutions, and improving staff productivity through personalized, one-on-one training. • Cost effective solutions that provide the power of many: specific team assigned to work with you, plus knowledge and skills of an entire company • A partner to surface existing/emerging technologies to increase productivity and efficiency • One-on-one training sessions in your office, for flexibility and efficient time management"</t>
  </si>
  <si>
    <t>http://www.cmitsolutions.com</t>
  </si>
  <si>
    <t>mailto:cjsimmons@cmitsolutions.com</t>
  </si>
  <si>
    <t>CMA Supply Co., Inc</t>
  </si>
  <si>
    <t>="Concrete &amp; Masonry suppl;y house: Forms, Form release agents, Cures, Cure &amp; Seals, Vapor Barriers, Rigid Insulation, Rebar, Wire Mesh, Visqueen, Restoration Products ( Concrete Repair ), Waterproofing, Caulking, Any thing to repair, waterproof and protect concrete and masonry."</t>
  </si>
  <si>
    <t>http://www.cmasupply.com</t>
  </si>
  <si>
    <t>mailto:ben.adkins@cmasupply.com</t>
  </si>
  <si>
    <t>CMC International INc.</t>
  </si>
  <si>
    <t>http://www.cmc-s-corp.com</t>
  </si>
  <si>
    <t>mailto:info@cmc-s-corp.com</t>
  </si>
  <si>
    <t>Support Activities for Coal Mining</t>
  </si>
  <si>
    <t>CMC Media Group</t>
  </si>
  <si>
    <t>http://www.cmcmediagroup.com</t>
  </si>
  <si>
    <t>mailto:john@cmcmediagroup.com</t>
  </si>
  <si>
    <t>Media Representatives</t>
  </si>
  <si>
    <t>CMC SERVICES INC.</t>
  </si>
  <si>
    <t>http://cmcservicesinc.net</t>
  </si>
  <si>
    <t>mailto:charleswiggins@cmcservicesinc.net</t>
  </si>
  <si>
    <t>CMCS</t>
  </si>
  <si>
    <t>http://www.cmcs-indy.com</t>
  </si>
  <si>
    <t>Third Party Administration for Insurance and Pension Funds</t>
  </si>
  <si>
    <t>CMF Engineering, Inc.</t>
  </si>
  <si>
    <t>="Consulting Engineering Services, structural engineering, building design, site design, roadway design, pavement design, bridge design, architectural drafting services, land surveying services, structural concrete and structural steel drafting services, electrical system design, highway lighting design, traffic signal design, boundary surveys, right of way plans, subdivision design"</t>
  </si>
  <si>
    <t>http://www.cmfengineering.us</t>
  </si>
  <si>
    <t>mailto:james.francisco@att.net</t>
  </si>
  <si>
    <t>CMG Brokerage Group LLC</t>
  </si>
  <si>
    <t>="Freight Broker.... We find trucking companies and truck owners to move freight. Call us with a quote when, where, how you want something picked up or transported and we'll get it done. Specializing in 53' van, flatbed, reefer, curtain-side trailers etc. Or we can give you a shipping quote."</t>
  </si>
  <si>
    <t>mailto:cgarcia@cmgbrokerage.com</t>
  </si>
  <si>
    <t>CMG Trucking, Inc.</t>
  </si>
  <si>
    <t>mailto:cmgtrucking@gmail.com</t>
  </si>
  <si>
    <t>CMR Services Group, Inc.</t>
  </si>
  <si>
    <t>="CMR Services Group, Inc. provides high quality professional training and development. Because our focus is ""people"" and not ""process,"" our clients cover a spectrum of industry groups, including Federal and State governments. We concentrate in three specific areas - People, Leadership Development and Organizational Growth. Our curriculum and training formats vary depending on your particular needs. Each program is specifically tailored to meet your unique situation. This helps ensure you get an added return on investment."</t>
  </si>
  <si>
    <t>http://www.CMRServicesGroup.com</t>
  </si>
  <si>
    <t>mailto:info@CMRServicesGroup.com</t>
  </si>
  <si>
    <t>CMS Management LLC</t>
  </si>
  <si>
    <t>mailto:cmsmgmt@msn.com</t>
  </si>
  <si>
    <t>CODYBRO LLC</t>
  </si>
  <si>
    <t>http://www.c5printing.com</t>
  </si>
  <si>
    <t>mailto:getprinting@c5printing.com</t>
  </si>
  <si>
    <t>Commercial Gravure Printing</t>
  </si>
  <si>
    <t>COLT INDUSTRIAL SALE and Markeeting llc</t>
  </si>
  <si>
    <t>mailto:colt9@mac.com</t>
  </si>
  <si>
    <t>COMM-LINK, DHP, INC.</t>
  </si>
  <si>
    <t>="ComLink provides competitively priced structured cabling systems and network devices for Voice, Data, Audio, Video, CCTV, and Security and Access Control Systems manufactured by some of the biggest names in our industry. We deliver value added products and services for IP-based Information Transport Systems to meet your business needs and capabilities. Solutions engineered to meet the demands of today's communication networks with the assurance that future technologies can be deployed successfully without overhauling your network infrastructure."</t>
  </si>
  <si>
    <t>http://www.comlinkns.com</t>
  </si>
  <si>
    <t>mailto:rhuck@comlinkns.com</t>
  </si>
  <si>
    <t>COMM. HEALTH INERVENTION ED</t>
  </si>
  <si>
    <t>http://familyhealthandhelpcenter.com</t>
  </si>
  <si>
    <t>mailto:susiewaymire@hotmail.com</t>
  </si>
  <si>
    <t>COMMONWEALTH ENGINEERS INC</t>
  </si>
  <si>
    <t>="Civil, Construction Mgmt/Observation, Mechanical, Environmental, Hydraulics/Hydrology, Land Surveying, Site Development &amp; Land Planning, Water &amp; Wastewater Supply/Treatment/Distribution, Water Quality Studies, Aquatic Biosurveys, Solid Waste, Asbestos Consulting, Forensic Engineering, Highway/Streets, Mining Engineering &amp; Reclamation, Environmental Claims, Subrogation Services, Storm Drainage, Lake Enhancement, Utilities Master Planning, On-Call Engineering, System Mapping, Regulatory Assistance, Funding Coordination."</t>
  </si>
  <si>
    <t>http://www.commonwealth-engineers.com</t>
  </si>
  <si>
    <t>mailto:dlarson@contactcei.com</t>
  </si>
  <si>
    <t>COMMUNICATIONS NETWORK INC</t>
  </si>
  <si>
    <t>http://www.comnetmessage.com</t>
  </si>
  <si>
    <t>mailto:info@comnetmessage.com</t>
  </si>
  <si>
    <t>Telephone Answering Services</t>
  </si>
  <si>
    <t>COMMUNICATIONS PRODUCTS INC</t>
  </si>
  <si>
    <t>="CPI is a technology integration company with extensive experience in designing, implementing and supporting the latest voice, data, and cabling solutions. With our extensive experience in the separate and distinct worlds of voice, data, and cable, we are uniquely positioned to guide our clients as these technologies converge. CPI helps organizations to maximize their potential through developing customer specific solutions that foster efficient and effective information management."</t>
  </si>
  <si>
    <t>http://www.commprod.com</t>
  </si>
  <si>
    <t>mailto:ndoucett@commprod.com</t>
  </si>
  <si>
    <t>COMMUNITY HOSPITAL OF NOBLE COUNTY</t>
  </si>
  <si>
    <t>http://www.parkview.com</t>
  </si>
  <si>
    <t>COMMUNITY MENTAL HEALTH CENTER, INC.</t>
  </si>
  <si>
    <t>http://www.cmhcinc.org</t>
  </si>
  <si>
    <t>mailto:ExecDir@cmhcinc.org</t>
  </si>
  <si>
    <t>COMPLETE DRYWALL</t>
  </si>
  <si>
    <t>mailto:COMPDRYSRV@YAHOO.COM</t>
  </si>
  <si>
    <t>COMPLETE PRODUCTS</t>
  </si>
  <si>
    <t>mailto:completeproducts@bigfoot.com</t>
  </si>
  <si>
    <t>COMPLIANCE ENV. RESOURCES, INC.</t>
  </si>
  <si>
    <t>="We are a staffing firm based in Indianapolis that specializes in temp, temp to hire, and direct placement of environmental professionals including environmental scientists, geologists, chemsists, lab technicians, hazardous waste technicians, engineers, biologists, remediation personnel to name a few."</t>
  </si>
  <si>
    <t>http://www.esrstaffing.com</t>
  </si>
  <si>
    <t>mailto:cakinsey@esrstaffing.com</t>
  </si>
  <si>
    <t>COMPUTER EDUCATION INSTITUTE INC</t>
  </si>
  <si>
    <t>http://cei-edu.com</t>
  </si>
  <si>
    <t>mailto:cei@cei-edu.com</t>
  </si>
  <si>
    <t>COMPUTER RENDITION INC</t>
  </si>
  <si>
    <t>http://www.ComputerRenditions.com</t>
  </si>
  <si>
    <t>mailto:info@computerrenditions.com</t>
  </si>
  <si>
    <t>COMPUTERONIX, LLC</t>
  </si>
  <si>
    <t>="COMPUTERONIX, LLC - the anything and everything computer consultant, specializes in computer services in any area. We are partnered with Microsoft, Dell, Acer, and many more to bring top of the line equipment to the Home, Small, Medium, Large, Government, and Educational Businesses. We offer low cost on-site service and computer consulting and we are trained for just about every computer problem."</t>
  </si>
  <si>
    <t>http://www.compute-ronix.com</t>
  </si>
  <si>
    <t>mailto:support@compute-ronix.com</t>
  </si>
  <si>
    <t>CONDON INC.</t>
  </si>
  <si>
    <t>http://condonfire.com</t>
  </si>
  <si>
    <t>mailto:CONDONFIRE@PRODIGY.NET</t>
  </si>
  <si>
    <t>CONTINENTAL DESIGN &amp; ENGINEERING</t>
  </si>
  <si>
    <t>="Continental Design &amp; Engineering provides technical and administrative staff for a wide variety of projects. Continental was started in 1985 to provide technical service the automotive industry in Indiana. Since that time, Continental has expanded its expertise to include forestry, recruiting, administrative services and project management."</t>
  </si>
  <si>
    <t>http://www.continental-design.com</t>
  </si>
  <si>
    <t>mailto:info@continental-design.com</t>
  </si>
  <si>
    <t>Employee Leasing Services</t>
  </si>
  <si>
    <t>CORE Planning Strategies, LLC</t>
  </si>
  <si>
    <t>="CORE Planning Strategies provides Facility Planning and Project Implementation services to ensure your organization will THINK ahead, PLAN for efficiency, and REALIZE your vision when executing design and construction projects. We will STRENGTHEN your facility team through: FACILITY PLANNING • Capital planning • Programming • Public outreach • Facility standards development • Facility assessment and site selection analysis • LEED AP program oversight PROJECT IMPLEMENTATION • Project scope development • Document management and control • Stakeholder engagement • Owners representation • Referendum planning"</t>
  </si>
  <si>
    <t>http://www.coreplanningstrategies.com</t>
  </si>
  <si>
    <t>mailto:deb@coreplanningstrategies.com</t>
  </si>
  <si>
    <t>CORNERSTONE BREAD CO</t>
  </si>
  <si>
    <t>mailto:cornerstone_bread@gmail.com</t>
  </si>
  <si>
    <t>CORPORATE COMPUTER RESOURCES I</t>
  </si>
  <si>
    <t>http://www.ccronline.com</t>
  </si>
  <si>
    <t>mailto:kerria@ccronline.com</t>
  </si>
  <si>
    <t>COS-Xerox</t>
  </si>
  <si>
    <t>http://COS-Xerox.com</t>
  </si>
  <si>
    <t>mailto:dcollier@cos-xerox.com</t>
  </si>
  <si>
    <t>COUNTY MATERIALS INC</t>
  </si>
  <si>
    <t>http://leecompanies.com</t>
  </si>
  <si>
    <t>mailto:dbrown@leesreadymix.com</t>
  </si>
  <si>
    <t>Construction Sand and Gravel Mining</t>
  </si>
  <si>
    <t>COVA Management Group</t>
  </si>
  <si>
    <t>="Specializing in conference/event planning, marketing and communications, and training. Assist with budget and program planning, site selection, contract negotiation, creation and placement of advertisements. Liaison to supporters, speakers, and vendors. Handle booth assignments, coordinating marketing and meeting materials, on-site management, room set-up, meal planning, registration, evaluations and reconciliation."</t>
  </si>
  <si>
    <t>mailto:COVAevents@frontier.com</t>
  </si>
  <si>
    <t>COVERING KIDS &amp; FAMILIES OF iNDIANA, INC</t>
  </si>
  <si>
    <t>http://WWW.CKFINDIANA.ORG</t>
  </si>
  <si>
    <t>mailto:sthomas@CKFINDIANA.ORG</t>
  </si>
  <si>
    <t>COVERSMATTER, LLC</t>
  </si>
  <si>
    <t>="Coversmatter™ patent-pending Post-Aid Kits are intended for use after any treatment or surgery that can leave ones facial skin compromised and provides the ultimate consistency for healing using medical fabrics from DuPont Medical division to assist in preventing complications such as contact dermatitis during post treatment applications."</t>
  </si>
  <si>
    <t>http://coversmatter.com</t>
  </si>
  <si>
    <t>mailto:info@coversmatter.com</t>
  </si>
  <si>
    <t>COVERT SECURE INC.</t>
  </si>
  <si>
    <t>http://www.covertsecure.com</t>
  </si>
  <si>
    <t>mailto:marc@covertsecure.com</t>
  </si>
  <si>
    <t>CPP Filter Coporation</t>
  </si>
  <si>
    <t>http://www.cppfilter.com</t>
  </si>
  <si>
    <t>mailto:milo@cppfilter.com</t>
  </si>
  <si>
    <t>CPPM, Inc.</t>
  </si>
  <si>
    <t>http://www.cppminc.com</t>
  </si>
  <si>
    <t>mailto:info@cppminc.com</t>
  </si>
  <si>
    <t>CPR-Heartsaver Inc</t>
  </si>
  <si>
    <t>="CPR-Heartsaver is an American Heart Association Training Center and a registered business in the State of Indiana. If you have 5 or more employees that you want trained in any of the following: CPR, First Aid, AED, or other safety services training, we will come to you and train in the convenience of your facility and on your time schedule. If you have less than five employees that require training, we have a facility located in Westfield, IN to accomodate them. We will gladly provide references and any further information you might require. We look forward to hearing from you and working with you."</t>
  </si>
  <si>
    <t>http://www.cpr-heartsaver.com</t>
  </si>
  <si>
    <t>mailto:Rileykl@aol.com</t>
  </si>
  <si>
    <t>CRANDALL ENGINEERING INC</t>
  </si>
  <si>
    <t>http://crandalleng.com</t>
  </si>
  <si>
    <t>mailto:lcrandall@crandalleng.com</t>
  </si>
  <si>
    <t>CRAWFORDSVILLE PAPER PRODUCTS, INC</t>
  </si>
  <si>
    <t>="Crawfordsville Paper Products, Inc. (CP Products) is a family operated business operating since 1972. CP Products primary business function is to supply janitorial items such as disposable paper, trash bags, cleaning chemicals, and cleaning equipment. In addition, we offer safety items, packaging goods, and foodservice diposables. CP Products, Inc. locally serves about two-thirds of Indiana with route based deliveries. On a national scale we offer cutomers an opportunity to purchase products from our web store located @ www.cp-products.com. Our client base includes Federal and State government, municiplalities, industrial, privately owned business, and many others. Business hours are Monday thru Friday 8:00 AM to 5:00 PM CST."</t>
  </si>
  <si>
    <t>http://www.cp-products.com</t>
  </si>
  <si>
    <t>mailto:sales@cp-products.com</t>
  </si>
  <si>
    <t>CRB Solutions</t>
  </si>
  <si>
    <t>="Sale Marketing Products (Business Card, Brochures, Letter Head, Envelopes, News Letters etc.) IT Education (Training, Tutoring, Certifications) IT Computer Moves and Deployment projects Data Destruction Sale Refurbished Computers Sale Custom Built Computers CRB Solutions stands for Community Resource Business Solutions Our goal is to provide affordable IT Resources for the community. We will educate, train, repair, upgrade, move, and help you maintain your computer systems. We will be located in many parts of the country with the base office located in Indiana."</t>
  </si>
  <si>
    <t>http://www.crbsolution.com</t>
  </si>
  <si>
    <t>mailto:toniamiller@crbsolution.com</t>
  </si>
  <si>
    <t>Business to Business Electronic Markets</t>
  </si>
  <si>
    <t>CREW Corporation</t>
  </si>
  <si>
    <t>="CREW is a certified woman-owned business with 100 employees, headquartered in Indianapolis, IN and has been providing electrical, validation, technical writing &amp; Information Technology services for the past 13 years to Pharmaceutical, Bio-Technical, Government, and commercial clients."</t>
  </si>
  <si>
    <t>http://WWW.CREWTECH.COM</t>
  </si>
  <si>
    <t>mailto:preiff@crewtech.com</t>
  </si>
  <si>
    <t>CREW Providers Inc</t>
  </si>
  <si>
    <t>="Specializing in the Property Assessment and Tax industry, primary services include project management, the creation of software system proposals, assistance with vendor selections, business process documentation, business process re-engineering, and consulting services related to software implementations."</t>
  </si>
  <si>
    <t>http://www.crewproviders.com</t>
  </si>
  <si>
    <t>mailto:cynwilliamson@msn.com</t>
  </si>
  <si>
    <t>CRF Financial Group</t>
  </si>
  <si>
    <t>mailto:curt@crfgroup.net</t>
  </si>
  <si>
    <t>Portfolio Management</t>
  </si>
  <si>
    <t>CRICHLOW PRODUCTS COMPANY</t>
  </si>
  <si>
    <t>http://www.cpcid.com</t>
  </si>
  <si>
    <t>mailto:eking@cpcid.com</t>
  </si>
  <si>
    <t>CRM, Inc.</t>
  </si>
  <si>
    <t>="Century Business Products has been one of the nation's largest distributors of Varitronics. products - PosterPrinters, Sticker and Labeling Systems, Laminators and WonderBars - since the inception of Varitronics. In addition, we represent numerous other manufacturers of wide format printing, labeling, photo identification, lamination, projection and presentation equipment, distributing these products throughout the United States."</t>
  </si>
  <si>
    <t>http://www.centurybusinessproducts.com</t>
  </si>
  <si>
    <t>mailto:sales@centurybusinessproducts.com</t>
  </si>
  <si>
    <t>CRMH Architecture &amp; Commercial Interiors</t>
  </si>
  <si>
    <t>http://www.crmh.net</t>
  </si>
  <si>
    <t>mailto:cari@crmh.net</t>
  </si>
  <si>
    <t>CRYSTAL MOUNTAIN</t>
  </si>
  <si>
    <t>http://CRYSTALMOUNTAININC.COM</t>
  </si>
  <si>
    <t>CSCI</t>
  </si>
  <si>
    <t>http://www.csconnet.com</t>
  </si>
  <si>
    <t>CSG Construction Inc</t>
  </si>
  <si>
    <t>http://www.csg-construction.com</t>
  </si>
  <si>
    <t>mailto:carolj999@aol.com</t>
  </si>
  <si>
    <t>CSG Indiana, Inc</t>
  </si>
  <si>
    <t>="CSG Indiana is an Information Technology consulting company that helps its clients build effective e-government and e-business solutions. The firm combines the complex disciplines of technology architecture, software engineering, and back-end application integration with superior design and project management methodologies to transform Information Technology strategies into real business results."</t>
  </si>
  <si>
    <t>http://www.CSGDelivers.com</t>
  </si>
  <si>
    <t>mailto:rfp@CSGDelivers.com</t>
  </si>
  <si>
    <t>CSI-Computer Systems, Inc</t>
  </si>
  <si>
    <t>http://www.computer-systems.com</t>
  </si>
  <si>
    <t>mailto:csi@computer-systems.com</t>
  </si>
  <si>
    <t>CSU, Inc.</t>
  </si>
  <si>
    <t>CSUSA At Emmerich Manual High School LLC</t>
  </si>
  <si>
    <t>CSUSA at Emma Donnan Middle School, LLC</t>
  </si>
  <si>
    <t>CSUSA at Howe Community High School LLC</t>
  </si>
  <si>
    <t>CTI-Group</t>
  </si>
  <si>
    <t>http://www.ctigroup.com</t>
  </si>
  <si>
    <t>mailto:adurant@ctigroup.com</t>
  </si>
  <si>
    <t>CTW Electrical</t>
  </si>
  <si>
    <t>="Wholesale distributor of transportation and industrieal products. Parts used in repair, maintenance, modification and manufacturing of vehicles. Also sell warning lighting of all types vehicles for highway safety. All types of shop supplies such as fasteners, electrical, brass, hydralics, lighting, spray chemicals, fittings, and paint."</t>
  </si>
  <si>
    <t>http://www.ctwinc.com</t>
  </si>
  <si>
    <t>mailto:ruben@ctwinc.com</t>
  </si>
  <si>
    <t>CULTURE LIGHTING CO INC</t>
  </si>
  <si>
    <t>http://culturelighting.com</t>
  </si>
  <si>
    <t>mailto:mail@culturelighting.com</t>
  </si>
  <si>
    <t>CUMMINS BEHAVIORAL HEALTH SYSTEMS, INC.</t>
  </si>
  <si>
    <t>http://www.cumminsbhs.org</t>
  </si>
  <si>
    <t>CUSTOM AUTO ELECTRIC</t>
  </si>
  <si>
    <t>mailto:TERRYCAE@COPPER.NET</t>
  </si>
  <si>
    <t>CUT-RITE SERVICES LLC</t>
  </si>
  <si>
    <t>CaShunda Distributors LLC</t>
  </si>
  <si>
    <t>mailto:albert@cashunda.com</t>
  </si>
  <si>
    <t>Cabello Associates, Inc.</t>
  </si>
  <si>
    <t>="Cabello Associates is a full-service advertising agency. The founding partners of Cabello Associates (CA) have worked with fortune 500 companies for over 20 years and 16 of those years in Central Indiana. Our partnerships include multi-national corporations, not-for profit corporations, as well as public agencies in the consumer, hospitality, healthcare, life sciences, education, insurance, pharmaceuticals, and professional services. Our clients benefit from our knowledge and experience in meeting client expectations, on time and within budget. 24 year advertising veteran, Edward Cabello and strategist, Kathleen G. Cabello established CA, Inc. as an Indiana based “S Corporation”. The corporation is 100% minority owned with certification through the Indiana Business Diversity Council and a woman-owned business, self-certified. Cabello Associates is the largest Hispanic-owned Advertising &amp; Marketing agency in the state of Indiana with regional, national and international clients"</t>
  </si>
  <si>
    <t>http://www.cabelloassociates.com</t>
  </si>
  <si>
    <t>Cables For Less, LLC</t>
  </si>
  <si>
    <t>http://www.cablesforless.com</t>
  </si>
  <si>
    <t>mailto:sales@cablesforless.com</t>
  </si>
  <si>
    <t>Caboose Productions</t>
  </si>
  <si>
    <t>http://www.caboosepro.com</t>
  </si>
  <si>
    <t>mailto:chuckd@caboosepro.com</t>
  </si>
  <si>
    <t>Cada &amp; Associates, Inc.</t>
  </si>
  <si>
    <t>="At Cada &amp; Associates we combine our expertise in custom website design and web development, app development, print marketing, branding, personalized service, and cost-effective solutions. Headquartered in Carmel, IN, we have created more than a hundred websites for companies worldwide during our decade in the business. We offer a wide range of web design and web development services, including corporate web design, mobile website development, eCommerce sites, search engine optimization, email marketing and usability design, as well as logo design, corporate branding and print collateral. We're proud of the websites and projects we design for our customers; there are no cookie cutter solutions-no templates that make every website look the same. We are committed to personalized, quality service for every client we have the privilege to serve."</t>
  </si>
  <si>
    <t>http://www.cadaassociates.com</t>
  </si>
  <si>
    <t>mailto:info@cadaassociates.com</t>
  </si>
  <si>
    <t>Caddmen LLC</t>
  </si>
  <si>
    <t>mailto:Caddmen LLC</t>
  </si>
  <si>
    <t>Cadence, LLC</t>
  </si>
  <si>
    <t>mailto:theglobalcompany@aol.com</t>
  </si>
  <si>
    <t>Caffe Connection, Inc.</t>
  </si>
  <si>
    <t>Caffe Connection, LLC</t>
  </si>
  <si>
    <t>Cain Signs, LLC</t>
  </si>
  <si>
    <t>http://www.cainsigns.com</t>
  </si>
  <si>
    <t>mailto:sales@cainsigns.com</t>
  </si>
  <si>
    <t>Cairril.com, Inc.</t>
  </si>
  <si>
    <t>="Smart design &amp; marketing to build distinctive brands. Clear, streamlined process; on-time and on-budget. Brand development, marketing strategies, graphic design (logos, brochures, programs, etc -- anything ink-on-paper) and web development, including database-driven sites and e-commerce. Accurate estimates. Enjoyable to work with."</t>
  </si>
  <si>
    <t>http://www.cairril.com</t>
  </si>
  <si>
    <t>mailto:http://www.cairril.com/contact.html</t>
  </si>
  <si>
    <t>Caisson Commercial Group Inc.</t>
  </si>
  <si>
    <t>http://caissoncommercial.com</t>
  </si>
  <si>
    <t>mailto:n.dunn@comcast.net</t>
  </si>
  <si>
    <t>Caitlin Gaub</t>
  </si>
  <si>
    <t>Caldwell VanRiper, Inc.</t>
  </si>
  <si>
    <t>="Caldwell VanRiper (CVR) is an Indy-based, independent communications agency that helps clients see the big picture from a new perspective. As an integrated advertising, public relations and digital agency, CVR helps clients identify opportunities to grow their business by understanding their customers, their competitors and the strategies to make them stand out. From launching new products to increasing revenue from existing product, CVR helps clients by developing stronger relationships with their customers. It's how we help our clients grow. And it's how we've thrived as the go-to agency for advertising, public relations and digital marketing for more than a century. (OK, so maybe not digital for 100 years.) To find out how CVR can help you, call Kevin Flynn at (317) 632-6501."</t>
  </si>
  <si>
    <t>http://www.CVRindy.com</t>
  </si>
  <si>
    <t>mailto:kflynn@CVRindy.com</t>
  </si>
  <si>
    <t>Calico Precision Molding, LLC</t>
  </si>
  <si>
    <t>="ISO 9002 / QS-9000 Custom injection molder of tight-tolerance components for a variety of industrial applications. Calico has a world-class injection molding facility located in Fort Wayne, Indiana. We offer a wide range of process capabilities including conventional precision molding, insert molding, shoot and ship molding, rubber molding and foam molding and assembly. MBE Register with Indiana Regional Minority Supplier Development Council (IRMSDC)"</t>
  </si>
  <si>
    <t>http://www.calicopm.com</t>
  </si>
  <si>
    <t>mailto:nancyr@calicopm.com</t>
  </si>
  <si>
    <t>Calumet Dist. Grp.</t>
  </si>
  <si>
    <t>http://protoolsdirect.com</t>
  </si>
  <si>
    <t>Calumet Harley-Davidson, Inc.</t>
  </si>
  <si>
    <t>="Calumet Harley-Davidson is an award winning, full service Harley-Davidson dealership. We have an experienced &amp; knowledgeable parts, service, sales, motorclothes, finance/insurance, and motorcycle rider training staff. We are committed to creating premier experiences of personal freedom"</t>
  </si>
  <si>
    <t>http://www.CalumetHarley.Com</t>
  </si>
  <si>
    <t>mailto:use website</t>
  </si>
  <si>
    <t>Calumet Waste &amp; Recycling INC</t>
  </si>
  <si>
    <t>mailto:calumetrecycling@sbcglobal.net</t>
  </si>
  <si>
    <t>Calumet Welding Center</t>
  </si>
  <si>
    <t>http://www.calumetwelding.com</t>
  </si>
  <si>
    <t>mailto:info@calumetwelding.com</t>
  </si>
  <si>
    <t>Calvert &amp; Associates</t>
  </si>
  <si>
    <t>http://www.calvertenterprises.com</t>
  </si>
  <si>
    <t>mailto:appraisals@calvertenterprises.com</t>
  </si>
  <si>
    <t>Cambridge Companies</t>
  </si>
  <si>
    <t>="Cambridge has developed a unique Design-Build Solution for each of our clients through streamlining the process with increased project coordination accountability, a value based project feedback system, and single source project delivery. Value is created through our team at Cambridge and your stakeholders working together to determine what methods and materials will maximize functionality while minimizing cost. When the design reaches an increased level of complexity Cambridge will work with your team to adjust the project’s budget to either cut costs or increase the budget without having to re-bid the entire project. The Design-Build Process has allowed Cambridge Companies to serve private companies, municipalities, and even large public companies with cost-effective projects completed on time."</t>
  </si>
  <si>
    <t>http://www.cambridgecompanies.com</t>
  </si>
  <si>
    <t>mailto:info@cambridgecoinc.com</t>
  </si>
  <si>
    <t>Cambridge Transmissions, Inc</t>
  </si>
  <si>
    <t>="We repair - rebuild - overhaul &amp; install manual - automatic - allison transmissions - differentials - clutches - axles - converters - flywheels - ujoints for light &amp; heavy duty trucks - off road equipment - buses - vans - cars - backhoes - loaders and much more."</t>
  </si>
  <si>
    <t>mailto:cambridgetrans@msn.com</t>
  </si>
  <si>
    <t>Camelot Community Care</t>
  </si>
  <si>
    <t>="Camelot Community Care is a licensed child placing agency with the State of Indiana. Camelot Community Care is a therapeutic foster care agency that licenses therapeutic homes to care for children with behavioral problems. Camelot is located in Merrillville, Indiana in the county of Lake."</t>
  </si>
  <si>
    <t>http://www.camelotcare.com</t>
  </si>
  <si>
    <t>mailto:jjoyce@camelotcare.com</t>
  </si>
  <si>
    <t>Cameron Bourquein</t>
  </si>
  <si>
    <t>="Manifest Reality is a one-woman power-house firm providing clients with full-service Graphic Design, 3D Animation, Production Design, and a host of capabilities that cross media, styles, and disciplines. Whether your needs involve video production, 3D graphics and animation, web design, illustration, print, Flash animation, motion video, or production design for film and theatre we can meet them. Located in central Indiana, we value working one-on-one with clients as part of a responsive and forward-thinking creative process, getting clients to their creative destinations and beyond."</t>
  </si>
  <si>
    <t>http://www.manifestrealitydesign.com</t>
  </si>
  <si>
    <t>mailto:info@manifestrealitydesign.com</t>
  </si>
  <si>
    <t>Cameron Engineering, LLC</t>
  </si>
  <si>
    <t>="Cameron Engineering, LLC is an Audio / Video Systems Integration and Consulting Company. Providing turnkey solutions for the Broadcast, Commercial, Education, House of Worship and Residential sectors. We Specialize in: Audio / Video Systems ,Communication Systems, Control Systems, Consulting Services, Design and Engineering Services, IPTV and Streaming Audio/Video Systems, Project Management Services, Presentation Systems, Large and Small Venue Sound Systems, RF, MATV and Satellite Distribution Systems, Systems Integration, Videoconferencing Design and Installation."</t>
  </si>
  <si>
    <t>http://www.cameron-engineering.com</t>
  </si>
  <si>
    <t>mailto:sales@cameron-engineering.com</t>
  </si>
  <si>
    <t>Cameron Memorial Community Hospital</t>
  </si>
  <si>
    <t>http://www.cameronmch.com</t>
  </si>
  <si>
    <t>mailto:dknapp@cameronmch.com</t>
  </si>
  <si>
    <t>Hospitals</t>
  </si>
  <si>
    <t>Campagna Academy Inc.</t>
  </si>
  <si>
    <t>="Campagna Academy is a multi-service, not-for-profit child welfare agency that provides hope to disadvantaged youth and their families in northwest Indiana. Since its inception in 1947, Campagna has served thousands of youth and atheir families. We are licensed by the Indiana Department of Child Services, both as an institutional care provider and as a foster care agency, which allows for a continuum of services to youth (male and female 6 to 21 years of age). Campagna provides the following services/programs: Open and secure residential, foster care, home-based, intensive substance abuse treatment, and residential treatment for boys with Intellectual/developmental disabilities We are COA and CARF accredited and are a member of the Child Welfare League of America.."</t>
  </si>
  <si>
    <t>http://www.campagnaacademy.org</t>
  </si>
  <si>
    <t>Campbell Petroleum</t>
  </si>
  <si>
    <t>Heating Oil Dealers</t>
  </si>
  <si>
    <t>Campion, Barrow, and Associates</t>
  </si>
  <si>
    <t>mailto:cbagreenwood@juno.com</t>
  </si>
  <si>
    <t>Camptown, Inc.</t>
  </si>
  <si>
    <t>="Camptown is an Indianapolis-based nonprofit organization dedicated to serving youth in Central Indiana through outdoor adventure and nature programs. The experience of a Camptown wilderness adventure goes well beyond just having a good time. Camptown provides an adventure with a purpose. As our students explore the wild, they learn to appreciate their unique talents, and they learn how to use those gifts to benefit themselves and their communities. Camptown partners with other youth serving organizations, schools, churches, and government agencies to bring these life changing programs to youth ages 8-18."</t>
  </si>
  <si>
    <t>http://www.camptown.net</t>
  </si>
  <si>
    <t>mailto:info@camptown.net</t>
  </si>
  <si>
    <t>Campus Guild Consulting, Inc.</t>
  </si>
  <si>
    <t>http://www.campusguild.com</t>
  </si>
  <si>
    <t>mailto:tina@campusguild.com</t>
  </si>
  <si>
    <t>Cannon Enterprises, Inc.</t>
  </si>
  <si>
    <t>mailto:carmen@kcenterprises.net</t>
  </si>
  <si>
    <t>Cannon IV, Inc.</t>
  </si>
  <si>
    <t>="For over 35 years, Cannon IV has been providing printing and imaging solutions for businesses of all sizes. We sell brands including Hewlett Packard, Lexmark, Toshiba and Zebra. We have more than 150 years of combined experience and over 800 product certifications covering every major line of copiers and printers. We specialize in copeir and printer hardware sales, as well as service and supplies for each product that we sell."</t>
  </si>
  <si>
    <t>http://www.cannon4.com</t>
  </si>
  <si>
    <t>mailto:colleen.purcell@cannon4.com</t>
  </si>
  <si>
    <t>Office Machinery and Equipment Rental and Leasing</t>
  </si>
  <si>
    <t>Capacity Enhancement and Development Ser</t>
  </si>
  <si>
    <t>mailto:heather.presley@comcast.net</t>
  </si>
  <si>
    <t>Capital Cities Investments</t>
  </si>
  <si>
    <t>="Capital Cities, L.L.C. is an investment consulting firm, delivering comprehensive resources, customized planning, and responsive service to clients in order to assist them in meeting their financial planning needs. Our dedicated, disciplined team of professionals has a superb commitment to communication, partnership, and service. Capital Cities is connected to world-class institutional analytical tools and information and offers you the deepest resources in Indiana."</t>
  </si>
  <si>
    <t>http://www.capcities.com</t>
  </si>
  <si>
    <t>mailto:info@capcities.net</t>
  </si>
  <si>
    <t>Securities Brokerage</t>
  </si>
  <si>
    <t>Capital Cities, LLC</t>
  </si>
  <si>
    <t>="Capital Cities, LLC is an investment consulting firm, delivering comprehensive resources, customized planning, and responsive service to clients in order to assist them in meeting their fiduciary duties. Capital Cities' sole focus is to provide investment consulting solutions to tax-exempt clients (public funds, retirement plans, and foundations/endowments). Our dedicated, disciplined team of professionals has a superb commitment to communication, partnership, and service. Capital Cities is connected to comprehensive institutional analytical tools and information and offers clients some of the deepest resources in the middle marketplace."</t>
  </si>
  <si>
    <t>Capital City Transit, LLC</t>
  </si>
  <si>
    <t>="We are full service dealer for any and all buses, vans, and paratransit vehicles of all kinds. We are a full dealer for buying and selling as well as having a full service department with ASE certified technicians. We are here to take care of all of your transportation and paratransit needs. We offer buying, selling, trades, financing, maintenance, and all other services for transportation needs. We also offer charters for all of your group and personal trips."</t>
  </si>
  <si>
    <t>http://www.capitalcitytransitonline.com</t>
  </si>
  <si>
    <t>mailto:andrew@capitalcitytransitonline.com</t>
  </si>
  <si>
    <t>Capital Construction Contractors Select</t>
  </si>
  <si>
    <t>mailto:jonuorah12@yahoo.com</t>
  </si>
  <si>
    <t>Capital Electric Inc.</t>
  </si>
  <si>
    <t>Capital Environmental Enterprises, Inc.</t>
  </si>
  <si>
    <t>="Capital is an enviornmental consulting firm specializing in underground storage tank removal, installation, phase 1 site assessments, site investigations, risk based corrective actions, asbestos inspection and sampling, asbestos removal, waste chacterization and disposal, mold inspections, waste cleanups, groundwater sampling, and site remediaition"</t>
  </si>
  <si>
    <t>http://capitalenvironmental.net</t>
  </si>
  <si>
    <t>mailto:ceeindy@aol.com</t>
  </si>
  <si>
    <t>Capitol Drilling &amp; Contractor Supply,Inc</t>
  </si>
  <si>
    <t>http://www.capitoldrilling.com</t>
  </si>
  <si>
    <t>mailto:kogden@capitoldrilling.com</t>
  </si>
  <si>
    <t>Capitol Electronics</t>
  </si>
  <si>
    <t>http://www.capitolelectronics.com</t>
  </si>
  <si>
    <t>mailto:sales@capitolelectronics.com</t>
  </si>
  <si>
    <t>Capitol Solutions Consulting, LLC</t>
  </si>
  <si>
    <t>="Capitol Solutions Consulting, LLC operates two subsidiary divisions. Our general business consulting provides consulting and solution services related to general human resources, loss prevention, staff and professional development, internet technology/communication and emergency planning. Our landscape maintenance division provides general consulting and service solutions to public and private sector clients specific to: grounds maintenance/management; landscaping and hardscape construction; lawncare; and arborist/treetrimming services."</t>
  </si>
  <si>
    <t>mailto:marknipp@yahoo.com</t>
  </si>
  <si>
    <t>Capitol Supplies, Inc</t>
  </si>
  <si>
    <t>http://www.capitolsupplies.com</t>
  </si>
  <si>
    <t>Steam and Air-Conditioning Supply</t>
  </si>
  <si>
    <t>Capitol Web Design</t>
  </si>
  <si>
    <t>="Capitol Web Design is committed to helping businesses and organizations succeed on the Internet. Our design services include web sites, logos, letterhead and business cards. We can build dynamic web applications using PHP/MySQL and also integrate e-commerce to give you a complete online presence. Visit our site to find out the number one comment is by our clients!"</t>
  </si>
  <si>
    <t>http://www.capitolwebdesign.net</t>
  </si>
  <si>
    <t>mailto:lfox@capitolwebdesign.net</t>
  </si>
  <si>
    <t>Caporale Posts, Inc.</t>
  </si>
  <si>
    <t>http://www.mailboxposts.net</t>
  </si>
  <si>
    <t>mailto:mark@mailboxposts.net</t>
  </si>
  <si>
    <t>All Other Wood Product Manufacturing</t>
  </si>
  <si>
    <t>Capstone &amp; Company, llc</t>
  </si>
  <si>
    <t>Captura Incorporated</t>
  </si>
  <si>
    <t>="Business and Consulting Services in the areas of Scientific and Research/Development, Information Technology including Telecommunications and related Media, Marketing, and Business/Economic Development; Strategic Planning and Development; Public/Government Relations; Diversity Program Initiatives including Diversity Management Training; Workforce Development and Training; Government Procurement/Contracting Assistance."</t>
  </si>
  <si>
    <t>http://www.capturainc.com</t>
  </si>
  <si>
    <t>mailto:mgonzalez@capturainc.com</t>
  </si>
  <si>
    <t>Capture A Memory, Inc</t>
  </si>
  <si>
    <t>="The Flying Dutchgirl is focused on meeting the market needs of Indiana Businesses by best representing them with quality promotional materials without inflated markups. We are also a tremendous asset to the end consumer creating one of a kind gifts in house and on demand. We are unique and a pleasure to deal with at every turn which is why we've kept so many loyal clients since 2006."</t>
  </si>
  <si>
    <t>http://www.theflyingdutchgirl.us</t>
  </si>
  <si>
    <t>mailto:theflyingdutchgirl@yahoo.com</t>
  </si>
  <si>
    <t>Car Brite, Inc</t>
  </si>
  <si>
    <t>http://www.carbrite.com</t>
  </si>
  <si>
    <t>mailto:info@carbrite.com</t>
  </si>
  <si>
    <t>Cardinal Furniture Solutions Inc</t>
  </si>
  <si>
    <t>http://www.cardinalop.com</t>
  </si>
  <si>
    <t>mailto:furniture@cardinalop.com</t>
  </si>
  <si>
    <t>Cardinal Manufacturing Conpany, Inc.</t>
  </si>
  <si>
    <t>http://www.cardinalmfginc.com</t>
  </si>
  <si>
    <t>mailto:sales@cardinalmfginc.com</t>
  </si>
  <si>
    <t>Cardinal Office Products</t>
  </si>
  <si>
    <t>="Full Service Office Supply Company leasing, selling and renting office machines including copiers, faxes and postage machines. We also lease and sell funriture for various types of business (administrative, schools, churches etc.). We offer a wide variety of office supplies, cleaning supplies, breakroom supplies...any need for your office to run suficiently!"</t>
  </si>
  <si>
    <t>mailto:dhammond@cardinalop.com</t>
  </si>
  <si>
    <t>Cardinal Pharmacy</t>
  </si>
  <si>
    <t>="Retail pharmacy providing prescription medications, both traditional prescriptions and custom compounded medications made in our laboratory, home medical equipment including oxygen and respiratory systems, hospital beds, and mobility equipment, home medical supplies including ostomy, diabetic, diabetic shoes, mastectomy, incontinence, bath safety and support hose, and nutritional products including vitamins, minerals, herbs and homeopathics. Also specialize in consulting patients in the area of hormone replacement and pain management."</t>
  </si>
  <si>
    <t>http://www.cardinalpharmacy.com</t>
  </si>
  <si>
    <t>mailto:bruceh@cardinalpharmacy.com</t>
  </si>
  <si>
    <t>Cardinal Services, Inc. of Indiana</t>
  </si>
  <si>
    <t>="Cardinal Services, Inc is a registered 501 (C)(3) not-for-profit agency that challenges and supports adults and children wiith disabilities and other needs through residential services, day services, vocational rehabilitation services, transportation and children's services. We engage in profitable business ventures to support the mission of Cardinal Services, Inc. as well as seek donations and other alternative means of revenue. We foster low income housing. We have a sheltered workshop assembling, packaging, and kitting products for other customers."</t>
  </si>
  <si>
    <t>http://cardinalservices.org</t>
  </si>
  <si>
    <t>mailto:jay.tate@cardinalservices.org</t>
  </si>
  <si>
    <t>Residential Mental Retardation Facilities</t>
  </si>
  <si>
    <t>Cardinal Wireless, Inc</t>
  </si>
  <si>
    <t>http://www.cardinal-wireless.com</t>
  </si>
  <si>
    <t>mailto:sales@cardinal-wireless.com</t>
  </si>
  <si>
    <t>Care 4 U, LLC</t>
  </si>
  <si>
    <t>="Care 4 U, LLC specializes in residential and commercial cleaning. We are locally owned and operated, as well as insured and bonded. Our cleaning services are available daily, weekly, bi-weekly, monthly and/or as a one-time service-24 hours a day and 7 days a week! Our main focus is to make your life easier and more convenient by providing superior and quality services at affordable prices. Our staff is fully trained, professional, trustworthy, efficient, uniformed and ALWAYS on time. We service Indianapolis and surrounding areas."</t>
  </si>
  <si>
    <t>http://www.care4ullc.com</t>
  </si>
  <si>
    <t>mailto:info@care4ullc.com</t>
  </si>
  <si>
    <t>Care Management Center</t>
  </si>
  <si>
    <t>http://www.care-ct.com</t>
  </si>
  <si>
    <t>mailto:nathaniel@care-ct.com</t>
  </si>
  <si>
    <t>Care Pharmaceutical Services, LP</t>
  </si>
  <si>
    <t>CareStaff</t>
  </si>
  <si>
    <t>http://carestaffindy.com</t>
  </si>
  <si>
    <t>mailto:admin@carestaffindy.com</t>
  </si>
  <si>
    <t>CareStar of Indiana, LLC</t>
  </si>
  <si>
    <t>="CareStar offers a wide range of solutions for Home and Community-Based programs including Management Services, Information Systems and Online Education. CareStar Management Services provides Case Management, Provider Management, Quality Assurance and Improvement. CareStar Information Systems offers software used to manage home and community-based programs. Online education is presented by the CareStar School, which offers continuing education and HCBS-related courses."</t>
  </si>
  <si>
    <t>http://www.carestarofindiana.com</t>
  </si>
  <si>
    <t>mailto:info@carestarofindiana.com</t>
  </si>
  <si>
    <t>Career Opportunities Unlimited LLC</t>
  </si>
  <si>
    <t>="Career Oppt. Unl. assist people with barriers in finding and maintaining employment. We offer interview skills classes, internet job search assistance, application assistance, job development, and follow along services. We also assist in helping our community and state in offering valued employee's."</t>
  </si>
  <si>
    <t>mailto:djpayne47164@yahoo.com</t>
  </si>
  <si>
    <t>Career Training Institute</t>
  </si>
  <si>
    <t>="With Professional Drivers Institute’s Accelerated Carrier Training (ACT) you can have the training you need to begin your new career as a professional driver in as little as 3 short weeks! Professional drivers are in demand nationwide. But to take advantage of the many opportunities available in the transportation industry, you must have approved training and the proper licensing. You can get it all at PDI! With our classroom, range, and road training you will develop the knowledge and skills needed to be on your way to an exciting, high paying career. Through our job placement assistance program, we can help get you hired by a company, before you start training! The first step is up to you. You owe it to yourself to get the very best training available. PDI is your best choice! *20 YEARS EXPERIENCE IN TRUCK DRIVER TRAINING *TRAINING RECOGNIZED BY MOTOR CARRIERS THROUGHOUT THE USA *EXPERIENCED AND LICENSED INSTRUCTORS CLASSES START EVERY MONDAY!!!!"</t>
  </si>
  <si>
    <t>http://www.pdi4cdl.com</t>
  </si>
  <si>
    <t>mailto:pdi@triton.net</t>
  </si>
  <si>
    <t>Other Technical and Trade Schools</t>
  </si>
  <si>
    <t>CareerStaff Unlimite</t>
  </si>
  <si>
    <t>="CareerStaff Unlimited provides quality therapy staffing throughout the state of Indiana. We offer full time, part time and per diem employment for Physical Therapists, Physical Therapy Assistants, Occupational Therapists, Certified Occupational Therapy Assistants and Speech Language Pathologists. We offer short and long term contracts, travel and perm placement."</t>
  </si>
  <si>
    <t>http://www.careerstaff.com</t>
  </si>
  <si>
    <t>mailto:Maria.Coffey@sunh.com</t>
  </si>
  <si>
    <t>Carefirst of Fortwayne INC</t>
  </si>
  <si>
    <t>="The company is a locally owned business thats principle officers are Respiratory Therapist by trade, we provide durable medical equipment ie. wheelchairs,walkers and oxygen and respiratory therapy services with a service area of 80 miles.Our refferals come from hospital and family practice offices and we bill third party payers, medicare,Indiana medicaid programs and private pay. I currently employ 20 Indiana residents"</t>
  </si>
  <si>
    <t>http://www.advhealthcare.net</t>
  </si>
  <si>
    <t>mailto:rjohnson@advhealthcare.net</t>
  </si>
  <si>
    <t>Carestar of Indiana, LLC</t>
  </si>
  <si>
    <t>http://www.carestar.com</t>
  </si>
  <si>
    <t>mailto:updates@carestar.com</t>
  </si>
  <si>
    <t>Caretaker Landscaping &amp; Lawn, LLC</t>
  </si>
  <si>
    <t>="Caretaker Landscaping &amp; Lawn, LLC provides landscaping design, installation, and maintenance service. We work with residential, commercial, and industrial customers. We also provide exceptional services for large area mowing. We look forward to working with you to customize a plan to meet your specific needs."</t>
  </si>
  <si>
    <t>http://www.caretakerlandscaping.com</t>
  </si>
  <si>
    <t>mailto:jeffpritchard73@yahoo.com</t>
  </si>
  <si>
    <t>Carey Color, Inc./Indianapolis</t>
  </si>
  <si>
    <t>http://www.careycolor.com</t>
  </si>
  <si>
    <t>mailto:prod@careycolor.com</t>
  </si>
  <si>
    <t>Digital Printing</t>
  </si>
  <si>
    <t>Carey Road Marketing, LLC</t>
  </si>
  <si>
    <t>http://careyroad.com</t>
  </si>
  <si>
    <t>mailto:srobbins@careyroad.com</t>
  </si>
  <si>
    <t>Carey Services, Inc.</t>
  </si>
  <si>
    <t>http://careyservices.com</t>
  </si>
  <si>
    <t>mailto:info@careyservices.com</t>
  </si>
  <si>
    <t>Cargill Deicing Tech</t>
  </si>
  <si>
    <t>http://www.cargill.com</t>
  </si>
  <si>
    <t>mailto:bid_cdt@cargill.com</t>
  </si>
  <si>
    <t>All Other Non-Metallic Mineral Mining</t>
  </si>
  <si>
    <t>Carl Stockberger</t>
  </si>
  <si>
    <t>Carlton's Caulking &amp; Restoration inc.</t>
  </si>
  <si>
    <t>mailto:carltonscaulking@sbcglobal.net</t>
  </si>
  <si>
    <t>Carmel Chrysler,Jeep,Dodge, Inc</t>
  </si>
  <si>
    <t>http://Championcjd.com</t>
  </si>
  <si>
    <t>Carmel Ink &amp; Toner</t>
  </si>
  <si>
    <t>http://www.carmelinkandtoner.com</t>
  </si>
  <si>
    <t>mailto:carmelinkandtoner@yahoo.com</t>
  </si>
  <si>
    <t>Carmel Travel Company, LLC</t>
  </si>
  <si>
    <t>http://www.carmeltravelcompany.com</t>
  </si>
  <si>
    <t>mailto:info@carmeltravelcompany.com</t>
  </si>
  <si>
    <t>Carmel Welding &amp; Supply Co. Inc.</t>
  </si>
  <si>
    <t>http://www.carmelwelding.com</t>
  </si>
  <si>
    <t>mailto:info@carmelwelding.com</t>
  </si>
  <si>
    <t>Carmichael's Plumbing</t>
  </si>
  <si>
    <t>mailto:csncarmichael@yahoo.com</t>
  </si>
  <si>
    <t>Carnes Carpet &amp; Floor Cleaning Services</t>
  </si>
  <si>
    <t>="We provide the following services: post construction cleaning, tile and grout restoration, tile stripping and recoating, concrete diamond polishing, encapsulating carpet care, upholstery cleaning, slippery floor treatments, and gym floor maintenance and refurbishing."</t>
  </si>
  <si>
    <t>mailto:carnescarpet@gmail.com</t>
  </si>
  <si>
    <t>Carol A. Williams</t>
  </si>
  <si>
    <t>mailto:carolconstsvcs@aol.com</t>
  </si>
  <si>
    <t>Carol Reed and Assoc</t>
  </si>
  <si>
    <t>mailto:hereed@isugw.indstate.edu</t>
  </si>
  <si>
    <t>Carole Boleman, ASLA</t>
  </si>
  <si>
    <t>http://www.caroleboleman.com</t>
  </si>
  <si>
    <t>mailto:Carole@caroleboleman.com</t>
  </si>
  <si>
    <t>Carole Boleman, Landscape Architect</t>
  </si>
  <si>
    <t>http://www.CaroleBoleman.com</t>
  </si>
  <si>
    <t>mailto:Carole@CaroleBoleman.com</t>
  </si>
  <si>
    <t>Carolyn F. Green</t>
  </si>
  <si>
    <t>mailto:jssports@blueriver.net</t>
  </si>
  <si>
    <t>Carolyn Smith</t>
  </si>
  <si>
    <t>http://www.ScrubThisCleaning.com</t>
  </si>
  <si>
    <t>mailto:STC@ScrubThisCleaning.com</t>
  </si>
  <si>
    <t>Carpenter Enterprises</t>
  </si>
  <si>
    <t>mailto:usautosupply@yahoo.com</t>
  </si>
  <si>
    <t>Carpet /Cuts INC.</t>
  </si>
  <si>
    <t>Carpet Barn LLC</t>
  </si>
  <si>
    <t>mailto:carpetbarnllc@sbcglobal.net</t>
  </si>
  <si>
    <t>Carpet Discount Center, Inc</t>
  </si>
  <si>
    <t>="Greer's Flooring America is a family owned and operated 2nd generation business for over 40 years. We employ sales staff and Installation technicians from the state if Indiana. We do commercial and residential flooring applications. Greer's has 3 Interior designers on staff as well as specialists in the fields of Insurance, multi-housing properties and commercial."</t>
  </si>
  <si>
    <t>http://greersflooringamerica.com</t>
  </si>
  <si>
    <t>mailto:melg@wewillflooryou.com</t>
  </si>
  <si>
    <t>Carquest Auto Parts</t>
  </si>
  <si>
    <t>http://carquest.com</t>
  </si>
  <si>
    <t>mailto:sstreits@yahoo.com</t>
  </si>
  <si>
    <t>Carriage Ford, Inc.</t>
  </si>
  <si>
    <t>http://www.carriageford.com</t>
  </si>
  <si>
    <t>mailto:rcbaedke4d@hotmail.com</t>
  </si>
  <si>
    <t>Carriage Investment, Ltd</t>
  </si>
  <si>
    <t>http://www.carriagepaper.com</t>
  </si>
  <si>
    <t>mailto:Bidder_Admin@carriagepaper.com</t>
  </si>
  <si>
    <t>Carrico Design Drafting &amp; Consulting Ser</t>
  </si>
  <si>
    <t>="C-DDACS, Inc provides design, drafting, &amp; consulting services for small projects that need to be outsourced. Both 2D &amp; 3D solid modeling services are available. C-DDACS, Inc also offers project management &amp; complete product design capabilities for vehicle, structural, &amp; molded plastics applications."</t>
  </si>
  <si>
    <t>mailto:carrico.cddacs@verizon.net</t>
  </si>
  <si>
    <t>Carrico Office Furniture, Inc.</t>
  </si>
  <si>
    <t>http://www.cof-1.com</t>
  </si>
  <si>
    <t>Veneer, Plywood and Engineered Wood Product Manufacturing</t>
  </si>
  <si>
    <t>Carson Jack Enterprises, LLC</t>
  </si>
  <si>
    <t>="Carson Jack Enterprises, LLC is strategically located in Lafayette, Indiana to accommodate the heart of Indiana’s different industries. This strategic location allows Carson Jack Enterprises to supply toilets, gutters, siding, shelves, cabinets, mirrors and bath accessories to builders and residents at very competitive prices."</t>
  </si>
  <si>
    <t>mailto:Carsonjackentrp@AOL.com</t>
  </si>
  <si>
    <t>Carson Manufacturing Company Inc.</t>
  </si>
  <si>
    <t>http://www.carson-mfg.com and www.carson</t>
  </si>
  <si>
    <t>mailto:toniw@carson-mfg.com</t>
  </si>
  <si>
    <t>Carter's Concrete Block, Inc.</t>
  </si>
  <si>
    <t>Concrete Block and Brick Manufacturing</t>
  </si>
  <si>
    <t>Cartridge Specialist Inc.</t>
  </si>
  <si>
    <t>="Cartridge Specialist Inc. is dedicated to providing premium Remanufactured and OEM ink and toner cartridges business-to-business. Our competitive pricing, superior customer service, responsiveness and expertise allow us to offer strategic print supply options to a variety of public projects sponsored by Indiana’s cities, towns and counties, as well as local, state and federal agencies. Additionally, Cartridge Specialist Inc. is positioned to effectively support our clients' corporate diversity objectives and programs, including projects that have contractual diversity requirements. When your ink runs dry…call CSI! 317-257-4465"</t>
  </si>
  <si>
    <t>http://www.csiprintsupply.com</t>
  </si>
  <si>
    <t>mailto:jj@csiprintsupply.com</t>
  </si>
  <si>
    <t>Carts Gone Wild, Inc.</t>
  </si>
  <si>
    <t>http://www.cartsgonewild.com</t>
  </si>
  <si>
    <t>mailto:sales@cartsgonewild.com</t>
  </si>
  <si>
    <t>All Other Transportation Equipment Manufacturing</t>
  </si>
  <si>
    <t>Cary Financial Consulting LLC</t>
  </si>
  <si>
    <t>="CFC Group does financial planning and investment education for business and government entities. We offer top-notch unbiased advice for participants in retirement programs. CFC Group also offers investment managentment services for businesses as well as government entities"</t>
  </si>
  <si>
    <t>Casablanca Enterprises, Inc</t>
  </si>
  <si>
    <t>mailto:juanjoycepaz@hotmail.com</t>
  </si>
  <si>
    <t>Casebolt Construction Corp.</t>
  </si>
  <si>
    <t>http://www.caseboltconstruction.com</t>
  </si>
  <si>
    <t>mailto:dave@caseboltconstruction.com</t>
  </si>
  <si>
    <t>Cash Concrete Products, Inc.</t>
  </si>
  <si>
    <t>="We are a ready mixed concrete producer as well as a manufacturer of concrete block and septic tanks. Other building materials we sell include brick, pavers, retaining wall block, rebar, plastic pipe &amp; fittings, culverts, polyfilm, pumps, chambers, tools &amp; misc. builders hardware &amp; supplies."</t>
  </si>
  <si>
    <t>mailto:cashconc@ccrtc.com</t>
  </si>
  <si>
    <t>Cass-Clinton Vol. Firemens Association I</t>
  </si>
  <si>
    <t>Cassady Electrical Contractors, Inc.</t>
  </si>
  <si>
    <t>="Cassady Electrical Contractors Inc. (CECI) is a family owned and operated business based in Bloomington, Indiana. The Cassady family has been in the electrical contracting business since 1965 and incorporated the business in 1980. CECI specializes in commercial, industrial, and medical construction and remodels. Sub-specialties include fire alarm systems, temperature control, generators, uninterruptable power supplies, thermal image scans, arc flash studies, process controls, programmable controllers, design build, site lighting and communications. In addition to new construction and remodels, CECI has a commercial and residential service department to meet any type of service need."</t>
  </si>
  <si>
    <t>http://www.cassadyelectric.com</t>
  </si>
  <si>
    <t>Cassandra McConn, Inc</t>
  </si>
  <si>
    <t>="McConn Partnerships Therapeutic Services for Indiana's Children and their Families Building Brighter Tomorrows by Putting Children First Today Since 1993 McConn Partnerships has been an organization comprised of professionals committed to the protection of children while promoting their best interests. McConn believes the loving support of a family environment most often is the preferred backdrop against which lives of children can evolve and works collaboratively with the Department of Child Services and related community agencies developed in this regard. McConn works from a comprehensively evolved continuum of service delivery developed on behalf of children and their families. Taking into consideration the child and family's identified strengths, resources, goals and needs, this continuum cooperates with existing supportive resources while supplanting evident gaps in treatment opportunity with an eye on eliminating unnecessary duplication of service."</t>
  </si>
  <si>
    <t>http://mcconnpartnerships.org</t>
  </si>
  <si>
    <t>mailto:mcconnpartnerhips@gmail.com</t>
  </si>
  <si>
    <t>Castalia Homes, LLC</t>
  </si>
  <si>
    <t>="Castalia Homes is a national tenant improvement, new structures, job site and project management, renovation, and most construction needs. We engineer high quality projects. We accomplish this by engineering excellence, innovative products, maintaining the best employees, and creating long term relationships with clients and subcontractors by having the highest standards in customer service and satisfaction."</t>
  </si>
  <si>
    <t>http://www.castaliahomes.com</t>
  </si>
  <si>
    <t>mailto:info@castaliahomes.com</t>
  </si>
  <si>
    <t>Casteles &amp; Knights INC</t>
  </si>
  <si>
    <t>="RTI specializes in software development and product design and testing in the automotive and alternative energy industries. Our program management and product development processes enable RTI to develop and deliver products and services across most industries. Our integrated approach among a cross-functional team of experienced engineers, designers, software developers, and program managers enables us to meet customer requirements on time and with a high level of quality."</t>
  </si>
  <si>
    <t>http://www.reed-tech.com</t>
  </si>
  <si>
    <t>Castleton Trophy</t>
  </si>
  <si>
    <t>="We are a provider of trophies, plaques, medals, lapel pins, ribbons, plastic badges &amp; signs, corporate awards &amp; gifts, promotional items, logo apparel and more. We also offer a wide range of engraving services. The employees at Castleton Trophy are focused on providing excellent customer service!"</t>
  </si>
  <si>
    <t>http://www.castletontrophy.com</t>
  </si>
  <si>
    <t>mailto:castletontrophy@sbcglobal.net</t>
  </si>
  <si>
    <t>Catalyst Construction Management, Inc,</t>
  </si>
  <si>
    <t>http://www.catalystcmi.com</t>
  </si>
  <si>
    <t>mailto:catalyst@catalystcmi.com</t>
  </si>
  <si>
    <t>Catalyst Enterprises</t>
  </si>
  <si>
    <t>http://www.catalystdigital.com</t>
  </si>
  <si>
    <t>mailto:kurt@catalystdigital.com</t>
  </si>
  <si>
    <t>Catamaran PBM of Illinois, Inc.</t>
  </si>
  <si>
    <t>="Catamaran’s technology is used in the commercial and public sector markets as a complete pharmacy benefits management (PBM) solution, or on an à la carte basis to supplement existing technology or programs. Catamaran technology solutions are deployed across the most diverse base of customers in the PBM industry; they are used by PBMs, employers, third party administrators, Taft-Hartley trusts, health plans, hospice organizations, workers’ compensation programs, long term care pharmacies, pharmacies, and government agencies. These clients choose Catamaran for its flexible table/data driven technology platform – it enables them to fully customize their programs to align with financial goals and enhance their existing business practices. Please visit our website (www.catamaranrx.com) to see how Catamaran can partner with you!"</t>
  </si>
  <si>
    <t>http://www.Catamaranrx.com</t>
  </si>
  <si>
    <t>Catherine J Young Cleaning Inc.</t>
  </si>
  <si>
    <t>http://cathyscleaningsolution.com</t>
  </si>
  <si>
    <t>mailto:cyyoungcyyoung@yahoo.com</t>
  </si>
  <si>
    <t>Catherine's Building Supplies, Inc.</t>
  </si>
  <si>
    <t>Catherine's Landscap</t>
  </si>
  <si>
    <t>mailto:bakosiba@aol.com</t>
  </si>
  <si>
    <t>Cathleen M. Amador, Psy. D. LLC</t>
  </si>
  <si>
    <t>="Private practice offering psychological services including thereputic visitation and supervised visitation for children in high conflict divorce situations. Would like to expand to be able to provide supervised visitation services for children in the care of DFS. Children would be seen one family at a time and supervised by trained personnel. There will be goals for each family and regular feedback provided."</t>
  </si>
  <si>
    <t>http://www.lpacounseling.com</t>
  </si>
  <si>
    <t>mailto:drcamador@att.net</t>
  </si>
  <si>
    <t>Catholic Charities of the Diocese of For</t>
  </si>
  <si>
    <t>http://www.ccfwsb.org</t>
  </si>
  <si>
    <t>mailto:fwoffice@ccfwsb.org</t>
  </si>
  <si>
    <t>Cause Matters Corp.</t>
  </si>
  <si>
    <t>="Michele Payn-Knoper can help you champion your cause! Consulting and training programs available in agriculture, grassroots marketing, fundraising, and sales training. Strategic facilitation and speech coaching also available. Clients in agriculture, economic development, not-for-profit, travel, and corporate sectors."</t>
  </si>
  <si>
    <t>http://www.mpk.info</t>
  </si>
  <si>
    <t>mailto:mpk@mpk.info</t>
  </si>
  <si>
    <t>Cautela Institute of Informatics and Tec</t>
  </si>
  <si>
    <t>="Cautela Institute of Informatics and Technology (CIIT) is an Indianapolis based, minority and women owned business (WBW/MBE) firm specializing in Mobile Apps, Digital Security, Shared Services, and Business Intelligence. Mobile Apps: Our goal is to help our clients fully realize their mobile potential. We work on all major mobile platforms with a special emphasis on iPhone, Android, Blackberry and now the iPad. In order to develop a high quality product we adhere to the following end-to-end process. Depending on the circumstances we are also willing to pick up a project if it has already traversed part of our process. However we will carefully review the stages it has gone through before we pick up on it. Additionally we provide consulting services for any steps in the process. Idea generation • User research • Competitive analysis • Mobile strategy • Internet strategy Our ideation team will help you generate an idea by leveraging our experience and expertise to define an applic"</t>
  </si>
  <si>
    <t>http://www.ciit.us</t>
  </si>
  <si>
    <t>mailto:vinnie@ciit.us</t>
  </si>
  <si>
    <t>Cavalry Transport</t>
  </si>
  <si>
    <t>http://www.cavalrytransport.com</t>
  </si>
  <si>
    <t>mailto:jim@cavalrytransport.com</t>
  </si>
  <si>
    <t>Cavanaugh Consulting Group, Inc.</t>
  </si>
  <si>
    <t>="Management, Organization, Leadership development, team building, strategic planning Compensation, performance management OSHA -- 10/20 course, safety management systems Environmental -- ISO 14000, permitting, reporting Human Resources Practices, employee testing"</t>
  </si>
  <si>
    <t>mailto:cavconhq@aol.com</t>
  </si>
  <si>
    <t>Cave &amp; Company Print</t>
  </si>
  <si>
    <t>http://caveprinting.com</t>
  </si>
  <si>
    <t>mailto:barb@caveprinting.com</t>
  </si>
  <si>
    <t>mailto:richard@caveprinting.com</t>
  </si>
  <si>
    <t>Cavin J. Hammond</t>
  </si>
  <si>
    <t>Other Professional, Scientific and Technical Services</t>
  </si>
  <si>
    <t>Caylor Communications, Inc.</t>
  </si>
  <si>
    <t>mailto:Service@CaylorCommunications.com</t>
  </si>
  <si>
    <t>Cazares Concrete LLC</t>
  </si>
  <si>
    <t>mailto:cazaresconcrete@aol.com</t>
  </si>
  <si>
    <t>Cecileah Shansky</t>
  </si>
  <si>
    <t>http://www.e-auctionpros.net</t>
  </si>
  <si>
    <t>mailto:info@e-auctionpros.net</t>
  </si>
  <si>
    <t>Cedan Medical Supplies Inc.</t>
  </si>
  <si>
    <t>http://www.cedanmedsupplies.com</t>
  </si>
  <si>
    <t>mailto:info@cedanmedsupplies.com</t>
  </si>
  <si>
    <t>Cedcom, Inc.</t>
  </si>
  <si>
    <t>http://www.cedcomcommunications.com</t>
  </si>
  <si>
    <t>mailto:info@cedcomcommunications.com</t>
  </si>
  <si>
    <t>Building Equipment Contractors</t>
  </si>
  <si>
    <t>Cedisus, LLC</t>
  </si>
  <si>
    <t>="Cedisus provides healthy hydration pH alkaline water with nutrients. Good for individuals on the go and those less active. Available in bottled water or dispensing machines (large or office/home). Healthy replacement for sugar drinks. Alkaline water helps prevent injuries, increase oxygen levels, cleanse the organs, lubricates muscles and joints, and has anti-aging properties to name a few."</t>
  </si>
  <si>
    <t>http://www.evacustech.com</t>
  </si>
  <si>
    <t>mailto:jclark@cedisus.com</t>
  </si>
  <si>
    <t>Celebration Fireworks II, INC.</t>
  </si>
  <si>
    <t>http://WWW.CELEBRATIONINC.COM</t>
  </si>
  <si>
    <t>mailto:INFO@CELEBRATIONINC.COM</t>
  </si>
  <si>
    <t>Celebration Ice, LLC</t>
  </si>
  <si>
    <t>http://wwww.celebration-ice.com</t>
  </si>
  <si>
    <t>mailto:celebrationice@gmail.com</t>
  </si>
  <si>
    <t>Soft Drink and Ice Manufacturing</t>
  </si>
  <si>
    <t>CelerAscent, LLC</t>
  </si>
  <si>
    <t>mailto:alliouellet@gmail.com</t>
  </si>
  <si>
    <t>Celestino Construction, LLC</t>
  </si>
  <si>
    <t>="Celestino Construction, LLC primarily performs interior finishing ranging from the hanging and finishing of drywall to painting to trim carpentry to setting doors and installing hardware. We also perform punch list work and rework. We pride ourselves on our handling of details and our delivery of a quality product in a safe and timely manner."</t>
  </si>
  <si>
    <t>mailto:khorseman@sbcglobal.net</t>
  </si>
  <si>
    <t>Cellco Partnership</t>
  </si>
  <si>
    <t>http://www.verizonwireless.com</t>
  </si>
  <si>
    <t>mailto:scott.vanmeter@verizonwireless.com</t>
  </si>
  <si>
    <t>Wireless Telecommunications Carriers (except Satellite)</t>
  </si>
  <si>
    <t>Centaur Building Services, Inc.</t>
  </si>
  <si>
    <t>="National, woman-owned (WBE) contract commercial cleaning / janitorial service company. Established in 1985 with corporate headquarters in St. Louis, Missouri, Centaur employs 1,200 employees and cleans over 30 million square feet of space primarily in the St. Louis Metropolitan area and the Southeastern States of Alabama, Tennessee, and Georgia."</t>
  </si>
  <si>
    <t>http://www.centaurservices.com</t>
  </si>
  <si>
    <t>mailto:driley@centaurservices.com</t>
  </si>
  <si>
    <t>Centelles LLC</t>
  </si>
  <si>
    <t>Center Realty Services, Inc.</t>
  </si>
  <si>
    <t>http://centertitle.com</t>
  </si>
  <si>
    <t>mailto:centerappraisal@earthlink.net</t>
  </si>
  <si>
    <t>Center for Applied Behavioral Studies</t>
  </si>
  <si>
    <t>Center for Phlebotomy Education, Inc</t>
  </si>
  <si>
    <t>http://www.phlebotomy.com</t>
  </si>
  <si>
    <t>mailto:phlebotomy@phlebotomy.com</t>
  </si>
  <si>
    <t>Center of Workforce</t>
  </si>
  <si>
    <t>="The Center of Workforce Innovations, Inc. (CWI) is both a strategy development and strategy implementation organization, bringing highly-engaging facilitation and multifaceted expertise of best practices to its clients. Recognized for successfully conducting analysis, forging partnerships, and building community assets among public and private sector leaders and policymakers, CWI is considered a valuable resource for economic development, workforce, or education challenges. Their team of experts provides solid solutions and effective action plans that can move organizations forward and to the leading edge of today’s world markets. As creators and implementers of best practices within our home area of Northwest Indiana, CWI possess an ample knowledge base and frequently will enter into partnerships with national and statewide organizations when facilitating projects, plans, and initiatives."</t>
  </si>
  <si>
    <t>http://www.innovativeworkforce.com</t>
  </si>
  <si>
    <t>mailto:admin@innovativeworkforce.com</t>
  </si>
  <si>
    <t>Social Advocacy Organizations</t>
  </si>
  <si>
    <t>CenterPoint Energy Services</t>
  </si>
  <si>
    <t>http://www.centerpointenergy.com/ces</t>
  </si>
  <si>
    <t>mailto:800-495-9880</t>
  </si>
  <si>
    <t>Natural Gas Distribution</t>
  </si>
  <si>
    <t>Centerpoint &amp; Comm. Vol. Fire Co., Inc.</t>
  </si>
  <si>
    <t>mailto:cpvfd@ccrtc.com</t>
  </si>
  <si>
    <t>Centerstone</t>
  </si>
  <si>
    <t>="OUR MISSION: Centerstone's mission is to prevent and cure mental illness and addiction. For over 50 years, Centerstone has responded to the behavioral healthcare needs of individuals and families, regardless of age or the severity of challenges. Our broad range of professional services is designed to ensure that sensitive, individualized care is available to everyone seeking help."</t>
  </si>
  <si>
    <t>http://www.centerstone.org</t>
  </si>
  <si>
    <t>Central Asbestos Services, LLC</t>
  </si>
  <si>
    <t>mailto:rudyfunez@casofindy.com</t>
  </si>
  <si>
    <t>Central Concrete Supply, LLC</t>
  </si>
  <si>
    <t>mailto:JHR_central-concrete@jhrudolph.com</t>
  </si>
  <si>
    <t>Ready-Mix Concrete Manufacturing</t>
  </si>
  <si>
    <t>Central Eng. &amp; Constr. Assoc., Inc.</t>
  </si>
  <si>
    <t>http://www.central-eng.com</t>
  </si>
  <si>
    <t>mailto:karen@central-eng.com</t>
  </si>
  <si>
    <t>Central Hardware &amp; Millwork Co. Inc.</t>
  </si>
  <si>
    <t>="We are a neighborhood hardware store with 2 locations. One on the east and one on the west sides of Indianapolis. We carry a wide variety of home improvement items such as paint, tools, electrical, plumbing, hardware, lawn &amp; garden, outdoor living products. We also can special order products with normally a very short turn around time. We duplicate keys, repair windows, cut &amp; thread pipe, cut glass for windows. We sell concrete mix, bagged mulch, bagged topsoil and potting soils. We sell stepping stones and bagged lanscaping stones. We have a broad line of fasteners. We fill propane tanks."</t>
  </si>
  <si>
    <t>mailto:acehardware.1025@sbcglobal.com</t>
  </si>
  <si>
    <t>Central Indiana Educational Service Cent</t>
  </si>
  <si>
    <t>http://www.ciesc.k12.in.us/</t>
  </si>
  <si>
    <t>Central Indiana Hardware</t>
  </si>
  <si>
    <t>http://www.cih-indy.com</t>
  </si>
  <si>
    <t>mailto:dunnavantg@cih-indy.com</t>
  </si>
  <si>
    <t>Central Indiana IEC, Inc.</t>
  </si>
  <si>
    <t>http://www.iec-indy.org</t>
  </si>
  <si>
    <t>mailto:sherri@iec-indy.org</t>
  </si>
  <si>
    <t>Apprenticeship Training</t>
  </si>
  <si>
    <t>Central Indiana Interpreting Service LLC</t>
  </si>
  <si>
    <t>http://www.ciis.us</t>
  </si>
  <si>
    <t>mailto:interpreter@ciis.us</t>
  </si>
  <si>
    <t>Central Indiana Men in Business</t>
  </si>
  <si>
    <t>http://www.centralindinameninbusiness.or</t>
  </si>
  <si>
    <t>mailto:centralindinameninbusiness@gmail.com</t>
  </si>
  <si>
    <t>Central Indiana Ready Mix</t>
  </si>
  <si>
    <t>mailto:michelle@centralindianareadymix.com</t>
  </si>
  <si>
    <t>Central Indiana Tire &amp; Retreading</t>
  </si>
  <si>
    <t>mailto:jarustman@aol.com</t>
  </si>
  <si>
    <t>Tire Retreading</t>
  </si>
  <si>
    <t>Central Paving, Inc.</t>
  </si>
  <si>
    <t>http://cpilogansport.com</t>
  </si>
  <si>
    <t>mailto:kurt@cpilogansport.com</t>
  </si>
  <si>
    <t>Central Security Systems, LLC</t>
  </si>
  <si>
    <t>http://www.central-security.net</t>
  </si>
  <si>
    <t>mailto:csc.sales.indy@gmail.com</t>
  </si>
  <si>
    <t>Central Tech Solutions, Inc</t>
  </si>
  <si>
    <t>="Central Tech specializes in business computer system design, installation, networking, support, upgrades &amp; repair for servers, workstations and laptops. We take care of all the essentials to protect your company and your data - antivirus &amp; antispyware solutions, easy &amp; cost effective backup products, router &amp; wireless security setup and much more. We can set up email for one person or for your entire corporation and can provide inexpensive solutions for employees who need to work away from the office. We also provide discount domain registration and $9.95/month web hosting plus website development and maintenance."</t>
  </si>
  <si>
    <t>http://www.centraltechsolutions.com/</t>
  </si>
  <si>
    <t>mailto:info@centraltechsolutions.com</t>
  </si>
  <si>
    <t>Centrifugal Equipment Service Corp.</t>
  </si>
  <si>
    <t>="CES Controls provides complete solutions for compressed air savings. Specializing in centrifugal air compressor controls and compressed air system control, CES utilizes the flexibility of PLC based controls to properly and efficiently control air. CES also incorporates user-friendly HMI screens within the CES ATAC system or other operator interfaces, such as, Cimplicity, Wonderware, or other operator interface SCADA Systems. CES Controls can handle all design, engineering, installation and startup of your project."</t>
  </si>
  <si>
    <t>http://www.cescontrols.com</t>
  </si>
  <si>
    <t>mailto:sales@cescontrols.com</t>
  </si>
  <si>
    <t>Relay and Industrial Control Manufacturing</t>
  </si>
  <si>
    <t>Century 21 Alliance Group</t>
  </si>
  <si>
    <t>http://www.21alliance.com</t>
  </si>
  <si>
    <t>mailto:jeannesommer@21alliance.com</t>
  </si>
  <si>
    <t>Century 21 River Val</t>
  </si>
  <si>
    <t>http://www.century21rivervalleycom</t>
  </si>
  <si>
    <t>mailto:admin@c21rvre.com</t>
  </si>
  <si>
    <t>Century Personnel, Inc.</t>
  </si>
  <si>
    <t>http://www.centurypersonnel.com</t>
  </si>
  <si>
    <t>mailto:contactus@centurypersonnel.com</t>
  </si>
  <si>
    <t>Century Servivces, Inc,</t>
  </si>
  <si>
    <t>Centus2000</t>
  </si>
  <si>
    <t>http://WWW.Centus2000.com</t>
  </si>
  <si>
    <t>mailto:ContactUs@Centus2000.com</t>
  </si>
  <si>
    <t>Certified Backflow Services LLC</t>
  </si>
  <si>
    <t>="Certified Backflow Services LLC provides backflow preventer testing and repair by a state certified technician. CBS conducts these tests for both commercial and residential locations that include irrigation systems, fire suppression systems and any other system that requires backflow prevention."</t>
  </si>
  <si>
    <t>http://www.certifiedbackflowservices.com</t>
  </si>
  <si>
    <t>mailto:info@certifiedbackflowservices.com</t>
  </si>
  <si>
    <t>Certified Fraud &amp; Forensic Investigation</t>
  </si>
  <si>
    <t>="Providing a systematic inquiry, examination, and/or analysis of financial information in course of investigation. May include services related to criminal/civil cases, crime scene/forensic, personal injury, witness canvassing and interviewing, or surveillance investigation. Techniques such as surveillance, background checks, computer searches, fingerprinting, lie detector services, and interviews may be used to gather the information."</t>
  </si>
  <si>
    <t>http://WeCatchFraud.com</t>
  </si>
  <si>
    <t>mailto:Michael@WeCatchFraud.com</t>
  </si>
  <si>
    <t>Certified Safe and Vault Service LLC</t>
  </si>
  <si>
    <t>="Certified Safe and Vault Service LLC is an expert safe and vault service business. We open, unlock, service, repair, &amp; maintain safe and vaults of all sizes. We specialize in high end commercial safes, jewelers, financial institutions, and government safes and security containers. We also offer locksmithing services and high-security keying."</t>
  </si>
  <si>
    <t>http://www.certifiedsafeandvault.com</t>
  </si>
  <si>
    <t>mailto:certifiedsafeandvault@gmail.com</t>
  </si>
  <si>
    <t>Cetan Health Consultants, LLC</t>
  </si>
  <si>
    <t>="Cetan Health is a woman owned small business enterprise dedicated to the design and organization of medical and psychiatric services, health services research and evaluation, healthcare data and data systems, and to bringing an understanding of commercial and Medicaid health care coverage to our clients."</t>
  </si>
  <si>
    <t>mailto:cetanhealth@comcast.net</t>
  </si>
  <si>
    <t>Chad A. Evans</t>
  </si>
  <si>
    <t>mailto:Indianawildlifesolutions@yahoo.com</t>
  </si>
  <si>
    <t>Chad D Bowles</t>
  </si>
  <si>
    <t>="Retail Clothing and Work wear for Men and Women. Carhartt Clothing, Red Wing and Carhartt Shoes, Muck Boots. Safety Shoes, Safety and Hi-Visibility Clothing (Class 2,3,E), Flame Resistant Clothing (HRC 1,2,3,4. Spencer's Workwear 934 W 3rd Street, Rushville, IN 46173, 765-938-1993."</t>
  </si>
  <si>
    <t>mailto:bowlesconstruction@frontier.com</t>
  </si>
  <si>
    <t>Challenge Systems LLC</t>
  </si>
  <si>
    <t>="Challenge Systems provides centralized, comprehensive indoor and outdoor wireless solutions for K-12, higher education, healthcare, and athletic facilities. Our specialties include high performance wireless implementations for dense, heavy user environments that demand quality services delivered over the air to end users."</t>
  </si>
  <si>
    <t>http://www.challenge-systems.us</t>
  </si>
  <si>
    <t>mailto:sales@challenge-systems.us</t>
  </si>
  <si>
    <t>Challenger Learning Center of NWI</t>
  </si>
  <si>
    <t>="The Challenger Learning Center of Northwest Indiana's goal is to create an exciting learning environment that provides and promotes the continued exploration of Earth and space through innovative programs that will challenge how teachers educate, students learn, businesses operate and foster a long-term interest in science, technology, engineering and mathematics."</t>
  </si>
  <si>
    <t>http://www.clcnwi.com</t>
  </si>
  <si>
    <t>Challenger Paper &amp; Graphics LLC</t>
  </si>
  <si>
    <t>mailto:challengerpaper@att.net</t>
  </si>
  <si>
    <t>Chamberlin Entertainment, Inc.</t>
  </si>
  <si>
    <t>http://www.themusicmachine.com</t>
  </si>
  <si>
    <t>mailto:info@themusicmachine.com</t>
  </si>
  <si>
    <t>Champion Fleet Management, Inc.</t>
  </si>
  <si>
    <t>http://www.championfleetmanagement.com</t>
  </si>
  <si>
    <t>mailto:info@championfleetmanagement.com</t>
  </si>
  <si>
    <t>Champion Promotions LLC</t>
  </si>
  <si>
    <t>http://www.wonpromotions.com</t>
  </si>
  <si>
    <t>mailto:avery@wonpromotions.com</t>
  </si>
  <si>
    <t>Champion Ventures Inc</t>
  </si>
  <si>
    <t>mailto:wlchamp77@gmail.com</t>
  </si>
  <si>
    <t>Chanan Professional Services Corporation</t>
  </si>
  <si>
    <t>http://www.chananpro.com</t>
  </si>
  <si>
    <t>mailto:www.chananprofservices@hotmail.com</t>
  </si>
  <si>
    <t>Chaney Energy Group,LLC</t>
  </si>
  <si>
    <t>mailto:jchaney@chaneyfinancialgroup.com</t>
  </si>
  <si>
    <t>Chaney Financial Group ,LLC</t>
  </si>
  <si>
    <t>http://www.chaneyfinancialgroup.com</t>
  </si>
  <si>
    <t>mailto:chaneyfinancialgroup@comcast.net</t>
  </si>
  <si>
    <t>Changing Times Transitional Services</t>
  </si>
  <si>
    <t>="A social adult day service providing for seniors aged 60 and above who will interact with their peers and others for games, arts and crafts, physical exercise, dancing, snacks and noon meal, along with caregiver respite, and field trips. Caregiver respite to engergize yourself while providing supervision for your loved one. Housekeeping and companionship services available as well. Providing a meaningful day to guests experiencing depression and stage one alzheimers."</t>
  </si>
  <si>
    <t>http://www.changingtimesads.comcastbiz..</t>
  </si>
  <si>
    <t>mailto:info@changingtimesads.comcastbiz.net</t>
  </si>
  <si>
    <t>Chantelle Inc</t>
  </si>
  <si>
    <t>mailto:mgon2719@yahoo.com</t>
  </si>
  <si>
    <t>Chapman Kelly, Inc.</t>
  </si>
  <si>
    <t>="CKI provides healthcare cost containment service to self-insured employers. This includes a variety of medical, Rx and dental audit service that include 100% electronic reviews, sampling audits, dependent eligibility verifications, eligibility audits, targeted COB audits, high dollar claim audits and associated overpayment recoveries. In addition, CKI offers consolidate reporting services, communication tools, eligibility data management, and advanced disease and population management services."</t>
  </si>
  <si>
    <t>http://www.chapmankelly.com</t>
  </si>
  <si>
    <t>mailto:tschy@chapmankelly.com</t>
  </si>
  <si>
    <t>Insurance Carriers and Related Activities</t>
  </si>
  <si>
    <t>Charles A Beard Memorial School Corporat</t>
  </si>
  <si>
    <t>Charles Bartoszek</t>
  </si>
  <si>
    <t>mailto:chuckmbc@adsnet.com</t>
  </si>
  <si>
    <t>Charles C. Brandt Construction Co.</t>
  </si>
  <si>
    <t>http://www.ccbrandt.com</t>
  </si>
  <si>
    <t>mailto:ccb@ccbrandt.com</t>
  </si>
  <si>
    <t>Charles Walker Sr</t>
  </si>
  <si>
    <t>mailto:cwalk3167@sbcglobal.net</t>
  </si>
  <si>
    <t>Charleston Metal Products, Inc.</t>
  </si>
  <si>
    <t>http://www.charlestonmetal.com</t>
  </si>
  <si>
    <t>mailto:cmp@charlestonmetal.com</t>
  </si>
  <si>
    <t>Precision Turned Product Manufacturing</t>
  </si>
  <si>
    <t>Charlie's Gourmet Popcorn</t>
  </si>
  <si>
    <t>="Charlies Gourmet popcorn is a new business in Fort Wayne, Indiana. We specialize in fresh and exciting different flavor popcorn. We are a small company that cater to every business, funder-rasier, football team,and ect. Our goal is to meet the company needs."</t>
  </si>
  <si>
    <t>http://charliesgourmetpopcorn.com</t>
  </si>
  <si>
    <t>mailto:joycesain@comcast.net</t>
  </si>
  <si>
    <t>Convenience Stores</t>
  </si>
  <si>
    <t>Charlotte Creek Nursery</t>
  </si>
  <si>
    <t>="Wholesale grower of shade, ornamental, and evergreen trees. We dig and ship from 1"" to 4"" caliper trees to residential, commercial, and industrial job sites. We can assist with environmental and ecological restoration projects. Quality trees at a competitive price."</t>
  </si>
  <si>
    <t>http://www.charlottecreeknursery.com</t>
  </si>
  <si>
    <t>mailto:carrie@charlottecreeknursery.com</t>
  </si>
  <si>
    <t>Charter One Bank N A</t>
  </si>
  <si>
    <t>="CHarter One Bank is a subsidiary of Citizens Financial Group R I. Charter One has 65 branches in Central Indiana and approximately 500 employees.We are very active and supportive of the local communities in which we are located. Our entire workforce was hired upon our entry into the Indiana market 2 years ago."</t>
  </si>
  <si>
    <t>http://www.charteronebank.com</t>
  </si>
  <si>
    <t>mailto:jmidkiff@charteronebank.com</t>
  </si>
  <si>
    <t>Che Journeys Medicab</t>
  </si>
  <si>
    <t>http://www.chejourneys.com</t>
  </si>
  <si>
    <t>mailto:info@chejourneys.com</t>
  </si>
  <si>
    <t>All Other Transit and Ground Passenger Transportation</t>
  </si>
  <si>
    <t>Chemical Systems Inc</t>
  </si>
  <si>
    <t>="Chemical Systems, Inc. is an industrial water treatment company that provides chemicals and equipment for treatment of cooling towers, boilers, waste treatment, potable water systems and food processing. Chemical Systems is an authorized dealer of Arch Chemical calcium hypochlorite potable disinfection tablets and chlorinators."</t>
  </si>
  <si>
    <t>http://www.chemicalsystemsinc.com</t>
  </si>
  <si>
    <t>mailto:info@chemicalsystemsinc.com</t>
  </si>
  <si>
    <t>Cheryl Dickey</t>
  </si>
  <si>
    <t>="I make home made scented candles in pint canning jars and i also make the stuffed animal air freshners. i also make the pillar candles to by order only. My candles are scented all the way through until the wax is all gone. They smell and burn like a scented candle should, burn and smell. I am very proud of my work and I also want my customers to be satisfied and proud of the candle or product they have bought."</t>
  </si>
  <si>
    <t>mailto:frenchwickcandles@yahoo.com</t>
  </si>
  <si>
    <t>Cheryl Haseltine</t>
  </si>
  <si>
    <t>="We provide a service providing Machine Guarding (design, install and repair) Electric and Mechanical repairs. Troubleshooting Industrial machinery and implementing repairs. Ducting and plumbing and welding services. We will work at your facility on your off production hours."</t>
  </si>
  <si>
    <t>mailto:kolb2001@yahoo.com</t>
  </si>
  <si>
    <t>Cheryl's Discount Carpet</t>
  </si>
  <si>
    <t>Chesapeake Recycling Inc.</t>
  </si>
  <si>
    <t>http://www.chesapeakerecyclin.com</t>
  </si>
  <si>
    <t>mailto:jkasten@chesapeakerecycling.com</t>
  </si>
  <si>
    <t>Chester Green LLC</t>
  </si>
  <si>
    <t>Chester Inc.</t>
  </si>
  <si>
    <t>="Chester, Inc. Information technologies provides the following: Professional IT Services Infrastructure Support &amp; Maintenance Services Network Survey and Documentation Services Network Design Services Remote Management Services Data Co-location Services Disaster Recovery Services Hardware Product Acquisition Software licensing Acquisition General Maintenance and Service contracts for PCs and printers Technology Planning – Consulting Services Network Surveys Information Technology Plans IT RFQ/RFP Development IT Project Management Training Services"</t>
  </si>
  <si>
    <t>http://www.chestertech.com</t>
  </si>
  <si>
    <t>mailto:rshields@chestertech.com</t>
  </si>
  <si>
    <t>Chesterton Feed &amp; Garden Center, Inc.</t>
  </si>
  <si>
    <t>Nursery and Garden Centers</t>
  </si>
  <si>
    <t>Chesterton Travel</t>
  </si>
  <si>
    <t>mailto:gloriareed1@hotmail.com</t>
  </si>
  <si>
    <t>Chicago Decking, Inc</t>
  </si>
  <si>
    <t>Structural Steel and Precast Concrete Contractors</t>
  </si>
  <si>
    <t>Chik'N Stix</t>
  </si>
  <si>
    <t>="Chik’ N Stix is a small minority restaurant located at 1005 South Kentucky in Evansville, In. It was established in February 2010. Owners Terrance &amp; Sherry Walker who own and manage the restaurant have been sole proprietors for the last eight years cooking for the last 4 years. Our menu consist of whole chicken wings, chicken on a stick, loaded chicken sticks, hamburgers, catfish, pork chops, philly cheese steaks, baked potato’s salads, polish sausage and a host of sides."</t>
  </si>
  <si>
    <t>Broilers and Other Meat Type Chicken Production</t>
  </si>
  <si>
    <t>="Chik'N Stix is a fast food restarunt that specializes in chicken on a stick. We also serve fish on a stick, pork chop on a sick, and loaded sticks consisting of meat and potatoes on a stick deep fried. We serve salads, philly cheese steaks, catfish, chicken wings, hamburgers, baked potatoes, BBQ chicken cheese fries. We also cater balls, dances, weddings, parties, We cook all foods for our catering events."</t>
  </si>
  <si>
    <t>mailto:littleelton5@aol.com</t>
  </si>
  <si>
    <t>Child &amp; Family Partners, Inc,</t>
  </si>
  <si>
    <t>http://www.childandfamilypartners.org</t>
  </si>
  <si>
    <t>mailto:infio@childandfamilypartners.org</t>
  </si>
  <si>
    <t>Child Advocacy Center of Allen County</t>
  </si>
  <si>
    <t>Child And Parent Services Inc.</t>
  </si>
  <si>
    <t>="CAPS (Child And Parent Services) is a not-for-profit countywide agency, tax exempt under Section 501c(3) of the Internal Revenue Code. A twenty-one (21) member Board of Directors governs CAPS. CAPS serves families who live and/or work in Elkhart county. CAPS policy is to serve a mixed socioeconomic population reflective of the county in which it is located. Children from birth to 18 years of age and their parents or guardians are eligible for services. CAPS employs a diversified staff of professionals with expertise in child abuse, child development, public relations and administration."</t>
  </si>
  <si>
    <t>http://WWW.capselkhart.org</t>
  </si>
  <si>
    <t>mailto:caps@capselkhart.org</t>
  </si>
  <si>
    <t>Child Focused Visitation Services, Inc.</t>
  </si>
  <si>
    <t>http://www.childfocusedvisitation.com</t>
  </si>
  <si>
    <t>mailto:info@childfocusedvisitation.com</t>
  </si>
  <si>
    <t>Childplace, Inc.</t>
  </si>
  <si>
    <t>http://childplace.org</t>
  </si>
  <si>
    <t>mailto:nathans@childplace.org</t>
  </si>
  <si>
    <t>Children's Bureau</t>
  </si>
  <si>
    <t>="Children's Bureau is a not for profit private child welfare agency. It was founded in 1851 as an Indiana Company and remains an Indiana company presently. It provides a variety of child welfare services such as adoption, foster care, counseling and residential services."</t>
  </si>
  <si>
    <t>http://www.childrensbureau.org</t>
  </si>
  <si>
    <t>mailto:tcloer@childrensbureau.org</t>
  </si>
  <si>
    <t>Children's Justice and Advocacy Center</t>
  </si>
  <si>
    <t>mailto:jacyhouse@comcast.net</t>
  </si>
  <si>
    <t>Ching Software Incorporated</t>
  </si>
  <si>
    <t>="Since its creation in 2003 Ching Software has provided consultative services to many companies across the United States. As in any consulting relationship, Ching Software has taken away just as much knowledge and experience from these companies as it has provided; many of the processes and procedures that Ching Software now incorporates in its daily operations have come from these clients. In addition, the personal and business relationships with these clients that have formed over these years provide the basis for Ching Software’s extended staff model."</t>
  </si>
  <si>
    <t>http://www.chingsoftware.com</t>
  </si>
  <si>
    <t>mailto:ching-mei.wlasuk@chingsoftware.com</t>
  </si>
  <si>
    <t>Chip-Anthoni Enterprises, Inc.</t>
  </si>
  <si>
    <t>http://www.ussigncrafters.com</t>
  </si>
  <si>
    <t>mailto:scott@ussigncrafters.com</t>
  </si>
  <si>
    <t>Choice Designs, Inc</t>
  </si>
  <si>
    <t>="Full service design center with 4 full time designers on staff. We can do residential or commercial, new construction, remodelling, or redecorating. No job is too big or too small. We offer furniture, flooring, window treatments, wall covering, paint, lighting, etc."</t>
  </si>
  <si>
    <t>http://choicedesignsbycarma.com</t>
  </si>
  <si>
    <t>mailto:email@choicedesignsbycarma.com</t>
  </si>
  <si>
    <t>Choice One Real Estate Services LLC</t>
  </si>
  <si>
    <t>mailto:rhowenstine@comcast.net</t>
  </si>
  <si>
    <t>Choices Inc</t>
  </si>
  <si>
    <t>http://choicesteam.org</t>
  </si>
  <si>
    <t>mailto:media@choicesteam.org</t>
  </si>
  <si>
    <t>Chops Steaks &amp; Seafood</t>
  </si>
  <si>
    <t>Foodservices and Drinking Places</t>
  </si>
  <si>
    <t>Chosen Generation LLC</t>
  </si>
  <si>
    <t>mailto:ChosenGeneration1@frontier.com</t>
  </si>
  <si>
    <t>Chris Broughton &amp; Associates LLC</t>
  </si>
  <si>
    <t>="Chris Broughton &amp; Associates is a consultancy company whose mission is to partner with small to medium sized organizations to reduce their total cost of doing business. Cost reductions come mainly from opportunities to reduce the total cost of technology used to support their business processes."</t>
  </si>
  <si>
    <t>http://www.cbroughton.com</t>
  </si>
  <si>
    <t>mailto:info@cbroughton.com</t>
  </si>
  <si>
    <t>Chris Lampkins</t>
  </si>
  <si>
    <t>mailto:CLAMPKINS@WOWWAY.COM</t>
  </si>
  <si>
    <t>Chris Norris</t>
  </si>
  <si>
    <t>="The Company is a web design company that focuses on the development of websites, e-commerce sites, website hosting, interactive media, domain registration, search engine submission, and consultations both hardware and software and will focus mainly on small businesses. It also provides various other services such as Business Plans, technical writing, training tools and presentations, and other miscellaneous task that can be ultilized."</t>
  </si>
  <si>
    <t>mailto:chris_nrrs@yahoo.com</t>
  </si>
  <si>
    <t>Chris Walker</t>
  </si>
  <si>
    <t>mailto:walkerfwfd@aol.com</t>
  </si>
  <si>
    <t>Christian Electric, LLC</t>
  </si>
  <si>
    <t>="Electrical, mechanical, and heating &amp; cooling contracting company. Specialize in commercial, industrial, and residential installation and service. 24 hour service. Work on signs, pole lights, setting rooftop units, temperature control, fire alarms, security, energy efficient lighting systems, high voltage and low voltage electrical systems, air handler units, unit heaters, &amp; VAV units. We are members of the IBEW Local #481, National Electical Contractors Association, Quality Connection, Better Business Bureau, &amp; Shelby County Builders Association."</t>
  </si>
  <si>
    <t>http://www.christianelectric.net</t>
  </si>
  <si>
    <t>mailto:christian_electric@sbcglobal.net</t>
  </si>
  <si>
    <t>Christina B. Malone</t>
  </si>
  <si>
    <t>mailto:createyourstoday@aol.com</t>
  </si>
  <si>
    <t>Apparel, Piece Goods, and Notions Wholesalers</t>
  </si>
  <si>
    <t>Christina Becker</t>
  </si>
  <si>
    <t>mailto:beckerconsulting@aol.com</t>
  </si>
  <si>
    <t>Christine A Majewski, Attorney at Law</t>
  </si>
  <si>
    <t>mailto:CAMajewski@comcast.net</t>
  </si>
  <si>
    <t>Christine Matheu, Architect</t>
  </si>
  <si>
    <t>="CHRISTINE MATHEU, ARCHITECT offers a broad range of architecture design services to clients. Founded in 1997 our office brings many years of creative professional experience to projects. We lead a project from its initial concept through its design and construction. As a small office we are able to work directly with each of our clients throughout all phases of a project. Our services include: Feasibility Studies Facility Programming Master Planning Historic Building Documentation and Analysis Architectural Design for: New Buildings, Renovation and Historic Restoration USGBC LEED Design Interior Design and Space Planning Engineering and Specialty Consultants Computer Technology"</t>
  </si>
  <si>
    <t>http://www.cmatheuarchitect.com</t>
  </si>
  <si>
    <t>mailto:cmatheu@cmatheuarchitect.com</t>
  </si>
  <si>
    <t>Christlike Commercial Cleaning Inc</t>
  </si>
  <si>
    <t>mailto:christlike.llc@ureach.com</t>
  </si>
  <si>
    <t>Christopher B. Burke Engineering, LLC</t>
  </si>
  <si>
    <t>="Christopher B. Burke Engineering, LLC (CBBEL) specializes in the planning, design, and construction management of local government and private infrastructure projects. Our specialties include flood protection, stormwater, wastewater, environmental management, recreation, and transportation. Christopher B. Burke, Ph.D., P.E. established the firm in 1986, concentrating in his specialized disciplines of civil/environmental engineering, urban planning, and water resource development. CBBEL has established additional offices in Indianapolis, Columbus, Crown Point, Evansville, Fort Wayne and South Bend Indiana, as well as 5 additional offices in Illinois. The Burke Group of companies has consistently ranked in the top 200 design firms in the country as ranked by ENR magazine."</t>
  </si>
  <si>
    <t>http://www.cbbel-in.com</t>
  </si>
  <si>
    <t>mailto:cbbel@cbbel-in.com</t>
  </si>
  <si>
    <t>Christopher Construction &amp; Mechanical</t>
  </si>
  <si>
    <t>="Service and Installation of Heating, Air-conditioning, and Residential Fireplacing. Contractor for residential construction and remodel. Commercial replacement of rooftop HVAC systems as York Dealer and certified HVAC Technicians on 24 hour emergency heating, gas, and refrigerant repair."</t>
  </si>
  <si>
    <t>http://www.christopherconstructionmechan</t>
  </si>
  <si>
    <t>mailto:tara@christopherconstructionmechanical.com</t>
  </si>
  <si>
    <t>Christopher L Huey</t>
  </si>
  <si>
    <t>="Specializing in farm drainage including ditch cleaning, new ditch construction, terrace construction, &amp; riser installation; waterways, ponds, land clearing, brush cutting &amp; grinding, &amp; demolition. We are a family owned business that strives in giving our customers the highest quality at the best rate. Free estimates available."</t>
  </si>
  <si>
    <t>Christopher Penn Inc</t>
  </si>
  <si>
    <t>Christy's Candles Inc.</t>
  </si>
  <si>
    <t>="We manufacture clean burning, highly scented candles with attractive packaging. Our specialties are: Retail Stores, Fund Raisers, Special Events, Private Labeling and have the capabilities to mass produce. Most orders are shipped within 48 hours. We also offer quantity discounts."</t>
  </si>
  <si>
    <t>http://www.christyscountrycandles.com</t>
  </si>
  <si>
    <t>mailto:christyscandles@msn.com</t>
  </si>
  <si>
    <t>Chrysalis Consulting LLC</t>
  </si>
  <si>
    <t>http://www.chrysalisglobal.com</t>
  </si>
  <si>
    <t>mailto:suzanne.phelps@chrysalisglobal.com</t>
  </si>
  <si>
    <t>Chrysland Corporation</t>
  </si>
  <si>
    <t>="The Industry of Crisis Management is an ongoing growing concern directly related to the increase in the amount of citizens in the community, outside of the hospital setting, with potentially psychotic episodes. How can we safely engage &amp; manage a psychotic individual that no longer possess reasoning nor rationalization skills? Chryslandcorp's has developed the Crisis Management group as the answer to this question. Designed specifically for our first responders (specifically police, fire, &amp; EMS), our training empowers them with the skills &amp; tools needed to effectively deescalate &amp; manage an individual experiencing an episode of acute psychosis with dignity &amp; compassion regardless of mental awareness. Effectively decreasing the percentage of injuries to citizens and our first responders."</t>
  </si>
  <si>
    <t>mailto:saylorbsn@yahoo.com</t>
  </si>
  <si>
    <t>Chucks Engine Service Inc.</t>
  </si>
  <si>
    <t>http://chucks engine service inc</t>
  </si>
  <si>
    <t>mailto:chucksengineservice@yahoo.com</t>
  </si>
  <si>
    <t>Chunshan Ho</t>
  </si>
  <si>
    <t>Chyrise King</t>
  </si>
  <si>
    <t>http://www.iibamericas.org</t>
  </si>
  <si>
    <t>mailto:chyriseking@iib.ws</t>
  </si>
  <si>
    <t>Cibus LLC</t>
  </si>
  <si>
    <t>="Cibus is an Indiana–based company dedicated to providing the very best in catering and event planning for private, corporate and military clientele. Our background and experience in both large venues and small upscale events, allows us to produce and serve a high quality product with a commitment to excellence in service, planning, and food quality, with an unwavering code of business ethics and conduct."</t>
  </si>
  <si>
    <t>http://www.cibusfss.com</t>
  </si>
  <si>
    <t>mailto:sales@cibusfss.com</t>
  </si>
  <si>
    <t>Cici Boiler Rooms, Inc.</t>
  </si>
  <si>
    <t>http://www.ciciboilers.com</t>
  </si>
  <si>
    <t>mailto:sales@ciciboilers.com</t>
  </si>
  <si>
    <t>Cientive Group Incorporated</t>
  </si>
  <si>
    <t>="Cientive Group specializes in two business lines: 1) System Modeling, Data Analytics and System Simulation 2) Transcription and Coding Services. Cientive offers a range of services, from medical transcription, to generating clinical data from transcriptions, to generating mathematical models, to performing complex system analyses. Cientive enhances the quality of raw data collected by our customers in their “big data” repositories by using Cientive’s scientifically proven data collection protocols, and develops systems for our customers to improve their initial data collection processes. Cientive’s Mathematical Modeling, Data Analysis and Simulation system is strongly rooted in application of Model-Based Systems Engineering. Cientive helps synthesize and analyze algorithmic solutions, and develops applications for medical devices as well as hospital care plans. Cientive applies Model-Based Systems approaches to provide comprehensive testing and risk analysis solutions."</t>
  </si>
  <si>
    <t>http://www.cientivegroup.com</t>
  </si>
  <si>
    <t>mailto:vijay.thukral@cientivegroup.com</t>
  </si>
  <si>
    <t>Cigna</t>
  </si>
  <si>
    <t>http://www.cigna.com</t>
  </si>
  <si>
    <t>mailto:julie.kozak@cigna.com</t>
  </si>
  <si>
    <t>Direct Life Insurance Carriers</t>
  </si>
  <si>
    <t>Cimeley Norris, LLC</t>
  </si>
  <si>
    <t>="Consulting business specializing in solutions for non-profit and governmental organizations. Services include grantwriting, interim director services and director searches, grants management and administration, board development, strategic planning activities and other consulting."</t>
  </si>
  <si>
    <t>http://www.cimeleynorris.com</t>
  </si>
  <si>
    <t>mailto:arin@cimeleynorris.com</t>
  </si>
  <si>
    <t>CimexHeat</t>
  </si>
  <si>
    <t>http://www.CimexHeat.com</t>
  </si>
  <si>
    <t>mailto:ilbidroom@crreorehabs.com</t>
  </si>
  <si>
    <t>Cimtech Inc.</t>
  </si>
  <si>
    <t>mailto:cimtechinc@earthlink.net</t>
  </si>
  <si>
    <t>Cincinnati Bell Any Distance (CBAD)</t>
  </si>
  <si>
    <t>="Through its wholly-owned subsidiary, Cincinnati Bell Any Distance Inc. (“CBAD”), CBTS is able to offer a wide range of telephony solutions to its customers. CBTS provides businesses and institutions with guidance on the development and implementation of leading-edge networks, technologies, and IT related systems and applications. CBTS offers a single-source for multi-level analysis, strategic consulting and staffing, and complete system management solutions. The critical decisions that brought CBTS to the forefront of the IT industry were developed from our leadership team. With decades of experience within the IT industry, including project management, engineering, development, and consulting, CBTS understands the direction that businesses and institutions are headed. We offer solutions and services that enable you to realize your IT goals and initiatives."</t>
  </si>
  <si>
    <t>http://www.cbts.cinbell.com/</t>
  </si>
  <si>
    <t>mailto:jason.lovell@cbts.net</t>
  </si>
  <si>
    <t>Cindy Dashnaw, writer, sole proprietor</t>
  </si>
  <si>
    <t>="Freelance writer: More than 20 years of experience in writing marketing collateral, annual reports, newsletters (print and electronic), letters to editors, speeches, Web sites, press releases, direct mail, regulatory analyses, magazine and newspaper stories, and more."</t>
  </si>
  <si>
    <t>http://cdashnaw.wordpress.com</t>
  </si>
  <si>
    <t>mailto:cindy.dashnaw@gmail.com</t>
  </si>
  <si>
    <t>Cindy Fox Landscaping LLC</t>
  </si>
  <si>
    <t>mailto:ohriverb@aol.com</t>
  </si>
  <si>
    <t>Cindy Fox Landscaping, LLC</t>
  </si>
  <si>
    <t>Cindys' in Stitches</t>
  </si>
  <si>
    <t>http://www.cindysinstitches.com</t>
  </si>
  <si>
    <t>mailto:sales@cindysinstitches.com</t>
  </si>
  <si>
    <t>Cinema Labs</t>
  </si>
  <si>
    <t>mailto:cmadkins@cinemalabs.com</t>
  </si>
  <si>
    <t>Circle B Construction Systems, LLC</t>
  </si>
  <si>
    <t>Circle City Alarm</t>
  </si>
  <si>
    <t>http://circlecityalarm.com</t>
  </si>
  <si>
    <t>mailto:josh@circlecityalarm.com</t>
  </si>
  <si>
    <t>Circle City Auto Par</t>
  </si>
  <si>
    <t>http://www.circlecityautoparts.com</t>
  </si>
  <si>
    <t>mailto:kevinp@ori.net</t>
  </si>
  <si>
    <t>Circle City Communications</t>
  </si>
  <si>
    <t>="We assist businesses in recovering telecom expenses paid to providers for overcharges and erroneous billing, and ensure savings and proper charges going forward. We offer project management, RFP development and implementation, indpendent audit, WAN management, etc. In addition, we offer our own exclusing IP PBX system and data networking."</t>
  </si>
  <si>
    <t>http://www.circlecitycommunications.com</t>
  </si>
  <si>
    <t>mailto:maryw@circlecitycommunications.com</t>
  </si>
  <si>
    <t>Circle City Lighting Inc.</t>
  </si>
  <si>
    <t>mailto:sarah.schaefer17@sbcglobal.net</t>
  </si>
  <si>
    <t>Circle City Lighting, Inc</t>
  </si>
  <si>
    <t>Circle City Printing and Equipment</t>
  </si>
  <si>
    <t>mailto:circlecityprinting@sbcglobal.net</t>
  </si>
  <si>
    <t>Circle City Rebar</t>
  </si>
  <si>
    <t>mailto:fdavis@circlecityrebar.com</t>
  </si>
  <si>
    <t>Manufacturing and Industrial Building Construction</t>
  </si>
  <si>
    <t>Circle City Restoration</t>
  </si>
  <si>
    <t>mailto:circlecityrestoration@gmail.com</t>
  </si>
  <si>
    <t>Circle City Software Solutions, LLC</t>
  </si>
  <si>
    <t>="CCSS sells and implements ERP software for small and medium sized manufacturing and distribution companies. In addition, CCSS provides custom programming and reporting services. We have a wide written and implemented a wide range of solutions for customers in many different industries."</t>
  </si>
  <si>
    <t>http://www.ccssindy.com</t>
  </si>
  <si>
    <t>mailto:greg@ccssindy.com</t>
  </si>
  <si>
    <t>Circle City Window Tint LLC</t>
  </si>
  <si>
    <t>="Circle City Tint provides automotive, residential, and commercial window tinting services. With over 15 years of experience in the window tint film application field, we offer the best quality services, with some of the most competitive prices. Circle City Tint only uses professional, quality films from leading brands such as: 3M, Scorpion, and LLumar."</t>
  </si>
  <si>
    <t>http://www.circlecitytint.com</t>
  </si>
  <si>
    <t>mailto:info@circlecitytint.com</t>
  </si>
  <si>
    <t>Circle Cleaning</t>
  </si>
  <si>
    <t>mailto:lrspring@iupui.edu</t>
  </si>
  <si>
    <t>Circle Design Group</t>
  </si>
  <si>
    <t>mailto:rita@circledesigngroup.com</t>
  </si>
  <si>
    <t>Circle Enterprises, Inc.</t>
  </si>
  <si>
    <t>http://www.circleos.com</t>
  </si>
  <si>
    <t>mailto:skilies@circleos.com</t>
  </si>
  <si>
    <t>Circle Search, LLC</t>
  </si>
  <si>
    <t>="circlesearch, llc is a premier recruiting firm that seeks to create the perfect match not just for our client, but for the candidate as well. We work in different verticals; which include, but are not limited to, Mobile Space, Information Technology, Engineering, Game Development, Telephony, and many others. circlesearch, llc is driven by seasoned and innovative recruiters that have a proven track record of finding and placing dynamic talent within Retained Executive Search, Contingent Search, and Contract Recruiter Services to help ensure the success of companies in the high-tech industries. Our client base consists of well-known leaders in the high-tech community as well as venture backed pioneers in emerging technologies. Our dedication is to match the right individual with the right company, culture, and team. In a nutshell...we are a talent acquisition extraordinaire."</t>
  </si>
  <si>
    <t>http://www.circlesearch.co</t>
  </si>
  <si>
    <t>mailto:joshua@circlesearch.co</t>
  </si>
  <si>
    <t>Circle of Success</t>
  </si>
  <si>
    <t>="Over 15 years of success spearheading global strategic efforts and continuous process improvement initiatives for companies in diverse industries. Notably, I consistently delivered substantial contributions to profitability by driving organizational change, establishing best practices, and reducing operating costs. Moreover, I hold an M.B.A. and am a Lean/Six Sigma Master Black Belt with strong training and coaching abilities. Currently, planning and directing Lean Six Sigma efforts for United States Navy Logistics Command headquarters and site locations, achieving $15 million in savings. Previously, I standardized Lean Six Sigma deployment/implementation and training material across Ingersoll-Rand and defined strategic goals and plans for realizing $22 million in hard savings in two business sectors in 2004."</t>
  </si>
  <si>
    <t>mailto:MKBonine@INSIGHTBB.COM</t>
  </si>
  <si>
    <t>Citiwide Protective</t>
  </si>
  <si>
    <t>mailto:citiwide800pi@aol.com</t>
  </si>
  <si>
    <t>Citizens Communications</t>
  </si>
  <si>
    <t>="Wireless Internet is one of the newest and fastest-growing Internet services available today and Citizens Communications Corporation provides the most powerful technologies available! Our C3 service offers incredible speeds -- ranging from small business/residential speeds of 128Kb up to corporate levels of 1.5mbps. We currently have over 30 tower locations providing service to Scott, Jackson, Washington, Jefferson, Jennings and Clark Counties."</t>
  </si>
  <si>
    <t>http://www.c3bb.com</t>
  </si>
  <si>
    <t>mailto:stacieskinner@c3bb.com</t>
  </si>
  <si>
    <t>Citizens Transportation LLC</t>
  </si>
  <si>
    <t>City Consultants &amp; Research, LLC</t>
  </si>
  <si>
    <t>mailto:alicia.vaughn@sbcglobal.net</t>
  </si>
  <si>
    <t>City Fence, Inc.</t>
  </si>
  <si>
    <t>mailto:joe@nugentcpa.com</t>
  </si>
  <si>
    <t>City Infrastructure Systems Inc.</t>
  </si>
  <si>
    <t>mailto:cityinfrastructure@att.net</t>
  </si>
  <si>
    <t>City Supply, inc.</t>
  </si>
  <si>
    <t>http://www.citysupply.com/</t>
  </si>
  <si>
    <t>mailto:citysupply@citysupply.com</t>
  </si>
  <si>
    <t>City Wide Paving, Inc.</t>
  </si>
  <si>
    <t>http://cwpaving.com</t>
  </si>
  <si>
    <t>mailto:bids@cwpaving.com</t>
  </si>
  <si>
    <t>City of Attica</t>
  </si>
  <si>
    <t>Executive Offices</t>
  </si>
  <si>
    <t>City of Columbus</t>
  </si>
  <si>
    <t>City of Greencastle</t>
  </si>
  <si>
    <t>City of Hobart</t>
  </si>
  <si>
    <t>City of Indianpolis</t>
  </si>
  <si>
    <t>City of Kokomo</t>
  </si>
  <si>
    <t>City of Lafayette</t>
  </si>
  <si>
    <t>City of Marion</t>
  </si>
  <si>
    <t>City of New Haven</t>
  </si>
  <si>
    <t>City of Noblesville</t>
  </si>
  <si>
    <t>City of Richmond</t>
  </si>
  <si>
    <t>City of Rushville</t>
  </si>
  <si>
    <t>City of Union City</t>
  </si>
  <si>
    <t>City of Westfield</t>
  </si>
  <si>
    <t>CityNFocus, Inc.</t>
  </si>
  <si>
    <t>="CityNFocus, Inc. is a marketing and advertising company that encompasses multiple services ranging from Web Development / Internet Marketing to Corporate Media Production to Product Marketing . CityNFocus is a one stop shop for business in need of multiple marketing and advertising solutions to enhance their brand name and build awareness in their local and surrounding areas."</t>
  </si>
  <si>
    <t>http://www.citynfocusinc.com</t>
  </si>
  <si>
    <t>mailto:citynfocus@gmail.com</t>
  </si>
  <si>
    <t>Cives Corporation</t>
  </si>
  <si>
    <t>="Cives Corporation's Cives Steel Company is one of the largest fabricators of structural steel buildings in the United States. Cives Corporation's Viking-Cives Group is a full-line truck equipment company and one of the largest snow and ice control equipment manufacturers in North America. Cives Corporation's Cives Engineering subsidiary, located in Roswell, Georgia, is engaged in structural design and related engineering services for Cives Corporation and its clients."</t>
  </si>
  <si>
    <t>http://www.cives.com</t>
  </si>
  <si>
    <t>mailto:jdonovan@cives.com</t>
  </si>
  <si>
    <t>Civic Management Corporation</t>
  </si>
  <si>
    <t>http://WWW.CIVICMANAGEMENT.COM</t>
  </si>
  <si>
    <t>mailto:MARC.ELLIOTT@INSIGHTBB.COM</t>
  </si>
  <si>
    <t>Administration of Urban Planning and Community and Rural Development</t>
  </si>
  <si>
    <t>Civic Management Services, LLC</t>
  </si>
  <si>
    <t>http://www.civicmanagementservices.com</t>
  </si>
  <si>
    <t>mailto:elliott,marc@gmail.com</t>
  </si>
  <si>
    <t>Civil Designs, LLP</t>
  </si>
  <si>
    <t>="Civil Designs, LLP is a Civil Engineering and Surveying design firm founded by two partners having a combined experience exceeding fourty (40) years in private and public work. Operating offices in Indianapolis and Crawfordsville, Indiana, the firm is dedicated to providing high quality service and timely solutions to the client’s needs. The firm has significant experience in land surveying; roadway design; culvert and small dam design; regional detention pond design and analysis; sanitary sewer design, water quality design; best management practice design; construction administration; and overall infrastructure planning. The firm also has extensive experience in governmental permitting procedures, inlcuding agencies such as the Army Corps of Engineers, Indiana Department of Natural Resources, Indiana Department of Enviornmental Management, U.S. Fish and Wild Life, and the Indiana Department of Transportation."</t>
  </si>
  <si>
    <t>http://www.civil-designs.com</t>
  </si>
  <si>
    <t>mailto:jgriffee@civil-designs.com</t>
  </si>
  <si>
    <t>Civil Engineering Consultants</t>
  </si>
  <si>
    <t>="Civil Engineering Consultants (CECon) was established in 1958 in Greencastle, Indiana. CECon is a corporation licensed with the State of Indiana. Our home office is located at 7630 South 550 West in Reelsville, Indiana. Through over 50 years of development, CECon has provided a variety of services to a wide range of clients. Being situated in a growing community has afforded the opportunity to remain diverse in our practice. Our project experience includes design of roadways, sidewalks, trail systems, dam improvements, private site development, water, wastewater, and drainage systems. It is our goal to assemble a team of experienced professionals for each project to analyze each component, communicate options with the owner, and efficiently deliver results."</t>
  </si>
  <si>
    <t>mailto:garth@ceconservices.com</t>
  </si>
  <si>
    <t>Civil Inspection Services LLC</t>
  </si>
  <si>
    <t>mailto:rcmmccoige@verizon.net</t>
  </si>
  <si>
    <t>Civil Site Solutions, PC</t>
  </si>
  <si>
    <t>http://www.civilsitepc.com</t>
  </si>
  <si>
    <t>mailto:dgriffee@civilsitepc.com</t>
  </si>
  <si>
    <t>Clad Coatings, LLC.</t>
  </si>
  <si>
    <t>mailto:cladcoatings@yahoo.com</t>
  </si>
  <si>
    <t>ClaimAid Consulting Corporation</t>
  </si>
  <si>
    <t>http://www.claimaid.com</t>
  </si>
  <si>
    <t>mailto:info@claimaid.com</t>
  </si>
  <si>
    <t>Clark County Government</t>
  </si>
  <si>
    <t>Clark County Youth Shelter and Family Se</t>
  </si>
  <si>
    <t>="We are a not-for-profit agency serving youth and families. We provide the following services: residential youth shelter; Safe Place program, parenting classes, anger management classes, shoplifting prevention classes, counseling, independent living groups, and drug/alcohol prevention programming."</t>
  </si>
  <si>
    <t>http://www.ccysfs.org</t>
  </si>
  <si>
    <t>mailto:ccadmin@ccysfs.org</t>
  </si>
  <si>
    <t>Clark Dietz, Inc.</t>
  </si>
  <si>
    <t>="Consulting engineers for water/wastewater supply/conveyance/treatment, stormwater management and flood control, highways/streets, bridges, traffic engineering studies, municipal/educational/commercial buildings, electrical/mechanical/energy/power, industrial site development and planning, construction management/observation"</t>
  </si>
  <si>
    <t>http://www.clark-dietz.com</t>
  </si>
  <si>
    <t>mailto:dalet@clark-dietz.com</t>
  </si>
  <si>
    <t>Clark Memorial Hospital</t>
  </si>
  <si>
    <t>http://www.clarkmemorial.org</t>
  </si>
  <si>
    <t>Clark Safety, Inc.</t>
  </si>
  <si>
    <t>="Provider of various first aid and safety products and services. At Clark Safety, we are committed to helping you keep your employees and workplace safe by providing proven products that meet the toughest safety standards. We are proud to offer the Afassco line of quality first aid products, in addition to many other quality brand products from which you may choose. If you can’t find a product to fulfill a specific first aid or safety need, please call us at (317) 884-1023 and a Clark Safety representative will be happy to assist you!"</t>
  </si>
  <si>
    <t>http://www.clarksafety.net</t>
  </si>
  <si>
    <t>mailto:Karen@ClarkSafety.net</t>
  </si>
  <si>
    <t>Clark,s Marine, Inc.</t>
  </si>
  <si>
    <t>mailto:clarksmarine@kconline.com</t>
  </si>
  <si>
    <t>Marinas</t>
  </si>
  <si>
    <t>Clarke Engineering Services</t>
  </si>
  <si>
    <t>http://www.clarkeengineering.com</t>
  </si>
  <si>
    <t>Clarke Enterprises</t>
  </si>
  <si>
    <t>mailto:ryan.m.clarke@pobox.com</t>
  </si>
  <si>
    <t>Class Act Marketing &amp; Promotions</t>
  </si>
  <si>
    <t>http://www.classactpromo.net</t>
  </si>
  <si>
    <t>mailto:class_act@prodigy.net</t>
  </si>
  <si>
    <t>Classic Designs Unlimited</t>
  </si>
  <si>
    <t>mailto:kbrady@classicdesignsunlimited.colm</t>
  </si>
  <si>
    <t>Classic Truss &amp; Wood Components</t>
  </si>
  <si>
    <t>Claude McNeal Productions</t>
  </si>
  <si>
    <t>http://www.actout.org</t>
  </si>
  <si>
    <t>Other Grantmaking and Giving Services</t>
  </si>
  <si>
    <t>Claudia R Samulowitz</t>
  </si>
  <si>
    <t>="Our Company provides Professional Translation and Interpreting Services to reach your international customers across the street or across the ocean. The Legal, Medical, Financial, Education and Technical communities have been able to trust our services for more than 20 years. We look forward to working with you. We also offer training for bilingual people who would like to become a professional, Certified Interpreter in the State of Indiana."</t>
  </si>
  <si>
    <t>http://www.TheLanguageConnection.us</t>
  </si>
  <si>
    <t>mailto:Certified@TheLanguageConnection.us</t>
  </si>
  <si>
    <t>Clauser Furniture, Inc.</t>
  </si>
  <si>
    <t>http://www.clauserfurniture.com</t>
  </si>
  <si>
    <t>mailto:sales@clauserfurniture.com</t>
  </si>
  <si>
    <t>Claxton Corporate Services, LLC</t>
  </si>
  <si>
    <t>http://accountantsink.com</t>
  </si>
  <si>
    <t>mailto:ccs@prodigy.net</t>
  </si>
  <si>
    <t>Clay County</t>
  </si>
  <si>
    <t>http://www.claycountyin.gov</t>
  </si>
  <si>
    <t>mailto:joyce@claycountyin.gov</t>
  </si>
  <si>
    <t>Clay County Internet Service</t>
  </si>
  <si>
    <t>http://claynet.com</t>
  </si>
  <si>
    <t>Clay's Flooring &amp; Interiors, Inc.</t>
  </si>
  <si>
    <t>http://www.rtcol.com/~kimc</t>
  </si>
  <si>
    <t>mailto:clayzone@rtcol.com</t>
  </si>
  <si>
    <t>Claymiller Lawn Service LLC</t>
  </si>
  <si>
    <t>Claypool Holdings LLC</t>
  </si>
  <si>
    <t>="The Embassy Suites Indianapolis Downtown features 360 2-Room SUITES with a sleeper sofa, refrigerator, microwave, wet-bar, 2-Flat Screen HDTVs and an extra vanity in the bedroom area; your choice of a King or Dbl/Dbl Bedroom. • Complimentary HOT Breakfast Buffet Cooked-to-Order – 6:30AM-9:30AM • Complimentary Cocktail Reception daily 5:30PM-7:30PM -serving cocktails, beer, wine, juice, soft drinks, coffee and light snacks • Complimentary Fitness Center • Complimentary Business Center • Complimentary Indoor pool and spa MEETING SPACE: ALL on ONE floor LOCATION: ES hotel is located in the heart of downtown Indy CONNECTED to the GOVERNMENT CENTER. Also CONNECTED to the Circle Centre Mall 5 minutes to fast food. Steps from the ES- Colts Grille, Weber Grille, Panera Bread, PF Changs, Champs, Buca di Beppo, Ruth’s Chris, St. Elmo’s, Harry &amp; Izzy’s, Mo’s Steakhouse, Morton’s NFL &amp; NBA sport arenas, live music &amp; thater. Parking available $22.00 in/out privileges."</t>
  </si>
  <si>
    <t>http://www.indianapolisdowntown.embassys</t>
  </si>
  <si>
    <t>mailto:cathleen.quigley@hilton.com</t>
  </si>
  <si>
    <t>Clean Air Service of Terre Haute, Inc.</t>
  </si>
  <si>
    <t>="Clean Air Service provides air and grease filter service for commercial and industrial accounts. We carry mesh and baffled grease filters and air filtration with the following types of filters: Lifelong Air Filters (manufactured to size specifications on-site), fiberglass, pleated, Carbotron, Purapak, Hepa, Rigid Cell, Filters, Auto-Roll, Synthetic Media, Foam Media, Fiberglass media, Permalast media, etc. Call, fax or e-mail for free, no-obligation quote for service or filter product."</t>
  </si>
  <si>
    <t>mailto:CleanAirLaurie@myway.com</t>
  </si>
  <si>
    <t>Clean And Simple Solutions LLC</t>
  </si>
  <si>
    <t>mailto:cassolutions317@gmail.com</t>
  </si>
  <si>
    <t>Clean It Rite, LLC</t>
  </si>
  <si>
    <t>http://www.cleanitrite.net</t>
  </si>
  <si>
    <t>mailto:clean_it_rite@yahoo.com</t>
  </si>
  <si>
    <t>Clean Source, Inc.</t>
  </si>
  <si>
    <t>="My comapny is 100% WBE-MBE owned. I've been in business for 10 years. As a lifetime resident of Indiana my obligation is to give back to the community in which 6 generations of my family has worked hard in. I want the opportunity to work with the state in growing my business, so I can give people jobs to help support their families. All anyone can ask for is a LEVEL PLAYING FIELD."</t>
  </si>
  <si>
    <t>http://www.cleansourceindy.com</t>
  </si>
  <si>
    <t>mailto:dcarroll@cleansourceindy.com</t>
  </si>
  <si>
    <t>Clean Sweep Midwest</t>
  </si>
  <si>
    <t>http://www.cleansweepmidwest.weebly.com</t>
  </si>
  <si>
    <t>mailto:cleansweepmidwest@hotmail.com</t>
  </si>
  <si>
    <t>Clean Sweep Plus, Inc.</t>
  </si>
  <si>
    <t>http://www.officepride.com</t>
  </si>
  <si>
    <t>mailto:comecleanwithus@officepride.com</t>
  </si>
  <si>
    <t>Clean-N-Shine</t>
  </si>
  <si>
    <t>http://www.officecleaningindianapolis.co</t>
  </si>
  <si>
    <t>mailto:rccleannshine@gmail.com</t>
  </si>
  <si>
    <t>CleanCraft Products, Inc.</t>
  </si>
  <si>
    <t>="CleanCraft Products, Inc. is a manufacturer of high quality, Earth-friendly cleaning products, a distributor of top of the line carpet, janitorial, air duct, and other cleaning equipment and products, and a service and information provider to the cleaning industry."</t>
  </si>
  <si>
    <t>http://www.cleancraft.com</t>
  </si>
  <si>
    <t>mailto:sales@cleancraft.com</t>
  </si>
  <si>
    <t>Cleaning 101 LLC</t>
  </si>
  <si>
    <t>mailto:Billion_entinc@yahoo.com</t>
  </si>
  <si>
    <t>Cleaning Revolution LLC</t>
  </si>
  <si>
    <t>mailto:cleaning_revolution@yahoo.com</t>
  </si>
  <si>
    <t>Cleaning With Pride</t>
  </si>
  <si>
    <t>mailto:cleaningwpride@prodigy.net</t>
  </si>
  <si>
    <t>Cleaning With Pride LLC.</t>
  </si>
  <si>
    <t>mailto:cleaningwpride@prodigy.net / pridefulcleaning@yahoo.com</t>
  </si>
  <si>
    <t>Clear Lake Electric Inc.</t>
  </si>
  <si>
    <t>mailto:cle@getinet.net</t>
  </si>
  <si>
    <t>Clear Lake Marina</t>
  </si>
  <si>
    <t>http://clearlakemarina.com</t>
  </si>
  <si>
    <t>mailto:clearlakemarina@earthlink.net</t>
  </si>
  <si>
    <t>Clear View Custom Windows &amp; Doors, Inc.</t>
  </si>
  <si>
    <t>mailto:windowmancv@msn.com</t>
  </si>
  <si>
    <t>ClearCreek Fisheries</t>
  </si>
  <si>
    <t>mailto:lhess-clrcrkfish@netzero.com</t>
  </si>
  <si>
    <t>ClearNation Communications USA, LLC</t>
  </si>
  <si>
    <t>mailto:dyane10@aol.com</t>
  </si>
  <si>
    <t>Clearly Organized</t>
  </si>
  <si>
    <t>mailto:clearlyorganized@mac.com</t>
  </si>
  <si>
    <t>Clearwater Engineering, LLC</t>
  </si>
  <si>
    <t>Cliffcor Industries Inc</t>
  </si>
  <si>
    <t>http://na</t>
  </si>
  <si>
    <t>Surgical and Medical Instrument Manufacturing</t>
  </si>
  <si>
    <t>Clifford Stone &amp; Material</t>
  </si>
  <si>
    <t>Cliffs Construction and Home Remodeling</t>
  </si>
  <si>
    <t>http://www.cchr.co</t>
  </si>
  <si>
    <t>mailto:dwightcliff@cchr.co</t>
  </si>
  <si>
    <t>Clifty Engineering &amp; Tool Co., Inc.</t>
  </si>
  <si>
    <t>http//www.cliftyengineering.com</t>
  </si>
  <si>
    <t>mailto:info@cliftyengineering.com</t>
  </si>
  <si>
    <t>Clifty Garden Center</t>
  </si>
  <si>
    <t>Clinco</t>
  </si>
  <si>
    <t>http://www.clincoresearch.com</t>
  </si>
  <si>
    <t>mailto:www.clinco47802@yahoo.com</t>
  </si>
  <si>
    <t>Clines CarpetsPlus</t>
  </si>
  <si>
    <t>mailto:mcline4462@aol.com</t>
  </si>
  <si>
    <t>Home Furnishings Stores</t>
  </si>
  <si>
    <t>Clinical Solutions, LLC</t>
  </si>
  <si>
    <t>="We offer the Wise Health Decisions Wellness Program, an innovative wellness program with demonstrated fiscal and clinical outcomes that assists companies to control healthcare costs and improve the health of their employees. Our Registered Nurses and Dietitians provide individualized education and counseling to improve control of chronic diseases, prevent chronic diseases and complications, and promote wellness. Our business is owned and operated by advanced practice nurses (est 1999). Our goal is to improve the health of your workforce... one employee at a time. Wellness is our only business!"</t>
  </si>
  <si>
    <t>http://www.clinicalsolutions-llc.com</t>
  </si>
  <si>
    <t>mailto:tmoore@clinicalsolutions-llc.com</t>
  </si>
  <si>
    <t>Clinton Cabinet Shop</t>
  </si>
  <si>
    <t>http://www.clintoncabinetshop.com</t>
  </si>
  <si>
    <t>mailto:clintoncabinetshop@att.net</t>
  </si>
  <si>
    <t>Wood Kitchen Cabinet and Countertop Manufacturing</t>
  </si>
  <si>
    <t>Close Education</t>
  </si>
  <si>
    <t>="At Close Education, we specialize in helping all students reach their full potential. All children and adults can learn to read. Our areas of specialty include: Diagnostic Reading Assessment and Intervention Math Technology Intervention Adaptive Technology Intervention Transition planning for Success: Transitioning from school to employment and basic skills training designed specifically for students with special needs and at risk behaviors. We partner with districts and educators to ensure student achievement is measured and dramatic gains are achieved."</t>
  </si>
  <si>
    <t>http://www.closeeducation.com</t>
  </si>
  <si>
    <t>mailto:laura@closeeducation.com</t>
  </si>
  <si>
    <t>Close-up Video Services Inc</t>
  </si>
  <si>
    <t>http://close-updvd.com</t>
  </si>
  <si>
    <t>mailto:closeupvideo@hotmail.com</t>
  </si>
  <si>
    <t>CloudBlue Technologies</t>
  </si>
  <si>
    <t>="We help government agencies and corporations move, remove, and recycle technology. We are a full service asset management and asset recovery company and consider data destruction to be a specialty of CloudBlue. Our largest location is in Indianapolis, Indiana and we work with many of the largest corporations in the state handling their recycling needs."</t>
  </si>
  <si>
    <t>http://www.cloudblue.com</t>
  </si>
  <si>
    <t>mailto:ckluesner@cloudblue.com</t>
  </si>
  <si>
    <t>Clyde Pfisterer</t>
  </si>
  <si>
    <t>="Educating, Investigating, Consulting, relative to matters of fire and the fire service. 46 years with Indianapolis Fire Department achieving rank of Battalion Chief. National Fire Academy (DHS) Adjunct Instructor in Incident Management and Building Systems. Special knowledge in High Rise Firefighting and Building Construction. Includes Evacuation planning and training for business and the fire service members. Fire Cause and Origin work and training has been ongoing since 1968."</t>
  </si>
  <si>
    <t>mailto:cpf789@aol.com</t>
  </si>
  <si>
    <t>Coachmen Industries, LLC.</t>
  </si>
  <si>
    <t>http://www.coachmen.com</t>
  </si>
  <si>
    <t>Motor Vehicle Body Manufacturing</t>
  </si>
  <si>
    <t>Cobb Outdoor Services</t>
  </si>
  <si>
    <t>mailto:angelcobbfam@aol.com</t>
  </si>
  <si>
    <t>Cobra Complete Plumbing Services, Inc.</t>
  </si>
  <si>
    <t>mailto:cobracompleteplumbinginc@yahoo.com</t>
  </si>
  <si>
    <t>Cocinelle &amp; Co.</t>
  </si>
  <si>
    <t>http://www.IndyHouseFinder.com</t>
  </si>
  <si>
    <t>mailto:fast@IndyHouseFinder.com</t>
  </si>
  <si>
    <t>Codebluenetworks.com LLC</t>
  </si>
  <si>
    <t>="Locally owned and operated in Indianapolis Indiana by David Smith(Veteran Owned Business) Services Provided secure, real-time remote data backup .website hosting email hosting complete website management website hosting on Linux servers website hosting on Windows™ IIS servers on-site network support services hardware and software sales and service network and server integration"</t>
  </si>
  <si>
    <t>http://www.codebluenetworks.com</t>
  </si>
  <si>
    <t>mailto:isabel@codebluenetworks.com</t>
  </si>
  <si>
    <t>Coeus Technology, Inc.</t>
  </si>
  <si>
    <t>="Coeus Technology brings over 25 years of combined experience in Solutions based Technology. We are a next-generation consulting company that provides enterprise class solutions to businesses in the small to medium business (SMB) marketplace. We specialize in solutions and support for new and existing business that are interested in having their technology work for them. We also specialize in virtualization, data backup solutions, custom solutions as well as service support with a cost-effective, standards-based approach. Coeus Technology provides Tier-3, Tier-2 and Tier-1 support for your local area networking infrastructure. We cater to businesses with 10-100 users. Businesses that find it more cost effective to hire an external support consultant than having their own support staff on hand."</t>
  </si>
  <si>
    <t>http://www.coeustechnology.com</t>
  </si>
  <si>
    <t>mailto:support@coeustechnology.com</t>
  </si>
  <si>
    <t>Crop Production</t>
  </si>
  <si>
    <t>Coffey Brake Company LLC</t>
  </si>
  <si>
    <t>Motor Vehicle Brake System Manufacturing</t>
  </si>
  <si>
    <t>Coffing's Ro-Way Door Sales &amp; Ser. Inc</t>
  </si>
  <si>
    <t>http://www.coffings.com</t>
  </si>
  <si>
    <t>mailto:coffing2007@comcast.net</t>
  </si>
  <si>
    <t>Coffing's Ro-Way Door Sales &amp; Service In</t>
  </si>
  <si>
    <t>mailto:www.coffing2007@comcast.net</t>
  </si>
  <si>
    <t>Cojourn LLC</t>
  </si>
  <si>
    <t>Cole Water Co. LLC</t>
  </si>
  <si>
    <t>http://www.colewaterco.com</t>
  </si>
  <si>
    <t>mailto:jspencer@colewaterco.com</t>
  </si>
  <si>
    <t>Cole-Chem Corp</t>
  </si>
  <si>
    <t>http://www.colechem.us</t>
  </si>
  <si>
    <t>mailto:info@colechem.us</t>
  </si>
  <si>
    <t>Coleman Consulting Services, Inc</t>
  </si>
  <si>
    <t>mailto:jacoleman0828@msn.com</t>
  </si>
  <si>
    <t>Coleman Graham &amp; Stevenson, LLC</t>
  </si>
  <si>
    <t>="Coleman Graham &amp; Stevenson is a minority certified law firm with its practice dedicated solely to corporate law, including real estate, health care regulation, government services, construction, litigation, employment and administrative law. Our firms seeks to partner with corporations, law firms and other municipalities to provide legal services, while allowing them to meet their diversity goals."</t>
  </si>
  <si>
    <t>http://cgslegal.com</t>
  </si>
  <si>
    <t>mailto:info@cgslegal.com</t>
  </si>
  <si>
    <t>Coleman Insulation Company</t>
  </si>
  <si>
    <t>Coles Marketing Communications, Inc</t>
  </si>
  <si>
    <t>="Coles Marketing Communications Inc. is a full-service public relations and advertising agency specializing in media relations, community relations, organizational training, crisis communications, grassroots publicity campaigns and media buying. It works in partnership with Coles Creative, the graphic and web design division of Coles Marketing to create identity packages and design web sites, logos, brochures, e-newsletters and e-invitations."</t>
  </si>
  <si>
    <t>http://colesmarketing.com</t>
  </si>
  <si>
    <t>mailto:bcoles@colesmarketing.com</t>
  </si>
  <si>
    <t>Collado and Sons Restorations LLC</t>
  </si>
  <si>
    <t>mailto:colladoandsons@hotmail.com</t>
  </si>
  <si>
    <t>Collective Alternative, LLC</t>
  </si>
  <si>
    <t>="Collective Alternative, LLC (CA) is a full-service advertising, marketing and public relations firm. We develop customized, comprehensive strategies to help our clients differentiate themselves from their competition. Client-centered, we make sure our clients speak clearly, consistently and effectively so their message is clear and concise at the right time. Helping our clients communicate effectively in an era of social media and personal interaction only enhances their relationship with their customers. As a consistent and effective strategic partner, we build upon our clients brand awareness and credibility by offering the right tools and services to help keep them customer focused in order to build their business. We’ve built our reputation on this simple principle with one purpose in mind - to make our clients successful. At CA, every client relationship is personal – every interaction – every discussion – every decision. That’s what we do – that’s how we help you grow."</t>
  </si>
  <si>
    <t>http://www.collectivealternative.com/</t>
  </si>
  <si>
    <t>mailto:info@thecaway.com</t>
  </si>
  <si>
    <t>Colleen Hart Katuin</t>
  </si>
  <si>
    <t>mailto:chkatuin@yahoo.com</t>
  </si>
  <si>
    <t>Collette Festa,CR</t>
  </si>
  <si>
    <t>="I am a freelance court reporter doing business in the State of Indiana. I do depositions, sworn statements and hearings. I have been in business for the last 23 years. I have worked with many lawfirms in Lake County and Porter County, Indiana and can provide references upon request."</t>
  </si>
  <si>
    <t>Colley &amp; Associates, Inc.</t>
  </si>
  <si>
    <t>="Specializing in the sales of valves, flowmeters, preinsulated pipe. Valves for municipal, Water Works and control applications. Sluice Gates, slide gates, flap gates and related controls for municipal, drainage and flood control. Flowmeters and related controls for Water Works and Waste Water. Actuators and controls for valves and gates. Pre-insulated piping systems for steam, condensate return, hot and chilled water. Incorporated in Indiana since 1976."</t>
  </si>
  <si>
    <t>http://colleyandassociates.com</t>
  </si>
  <si>
    <t>mailto:info@colleyandassociates.com</t>
  </si>
  <si>
    <t>Industrial Valve Manufacturing</t>
  </si>
  <si>
    <t>Collier Publishing &amp; Consulting Inc</t>
  </si>
  <si>
    <t>http://www.collierpublishinginc.com</t>
  </si>
  <si>
    <t>mailto:vp2@collierpublishinginc.com</t>
  </si>
  <si>
    <t>Collin Wampler</t>
  </si>
  <si>
    <t>Collins Candids Photography LLC</t>
  </si>
  <si>
    <t>="Collins Candids Photography is a professional Indiana photography company specializing in commercial and portrait photography. Our services and products include executive and employee portraits, event photography, product imagery, advertising and business photography, and a full-line of wall furniture products including frames, mats, layouts and a variety of glass types. Call or email us for a quote. Veteran-owned, Disability-owned."</t>
  </si>
  <si>
    <t>http://www.collinscandids.com</t>
  </si>
  <si>
    <t>mailto:timothy@collinscandids.com</t>
  </si>
  <si>
    <t>Collins Engineers, Inc.</t>
  </si>
  <si>
    <t>http://www.collinsengineers.com</t>
  </si>
  <si>
    <t>mailto:bsyler@collinsengr.com</t>
  </si>
  <si>
    <t>Collins Power Systems Inc.</t>
  </si>
  <si>
    <t>mailto:gcollins4@comcast.net</t>
  </si>
  <si>
    <t>Collision Cure, Inc</t>
  </si>
  <si>
    <t>http://www.collisioncure.com</t>
  </si>
  <si>
    <t>mailto:anderson@collisioncure.com</t>
  </si>
  <si>
    <t>Colonial Classics Inc</t>
  </si>
  <si>
    <t>ColorTech Printing &amp; Mailing LLC</t>
  </si>
  <si>
    <t>="ColorTech is a commercial printer/mailer doing the following: Process &amp; Spot Colors plus Varnish (Booklets, Brochures, Catalogs, Postcards, Letterheads, Envelopes,Calendars,etc.); Personalized/Variable Data Mail Merge; Laser (1 or 2 sides) or Inkjet Items; Manage Data Bases; CASS &amp; PAVE; Fulfillment."</t>
  </si>
  <si>
    <t>http://www.colortechprint.com</t>
  </si>
  <si>
    <t>mailto:colortech@sigecom.net</t>
  </si>
  <si>
    <t>Colored Threads</t>
  </si>
  <si>
    <t>http://www.colored-threads@sbcglobal.net</t>
  </si>
  <si>
    <t>mailto:coloredthreads@sbcglobal.net</t>
  </si>
  <si>
    <t>All Other Miscellaneous Textile Product Mills</t>
  </si>
  <si>
    <t>Colorful Creations Etc.</t>
  </si>
  <si>
    <t>mailto:saandtj@verizon.net</t>
  </si>
  <si>
    <t>Columbia Civil Township</t>
  </si>
  <si>
    <t>Columbus Airways, Inc.</t>
  </si>
  <si>
    <t>mailto:tinaj@w-ginc.com</t>
  </si>
  <si>
    <t>Air Transportation</t>
  </si>
  <si>
    <t>Columbus Area Radiology, LLC</t>
  </si>
  <si>
    <t>http://www.columbusimaging.com</t>
  </si>
  <si>
    <t>mailto:rbecker@columbusimaging.com</t>
  </si>
  <si>
    <t>Columbus Medical Services LLC of Indiana</t>
  </si>
  <si>
    <t>="The Columbus Organization is the leading national provider of on-site professional staffing and consultative services focusing exclusively on agencies that serve individuals with special needs. Established in 1984, Columbus has partnered nationwide with over 140 State and local agencies in 44 states to deliver staffing, consulting and educational services that are unmatched in the industry. Whether you are a facility in need of staffing/consulting services or a job seeker eager to join our network of caring dedicated professionals, Columbus is here for you. Let your journey begin as we welcome you to the world of Columbus."</t>
  </si>
  <si>
    <t>http://www.columbusorg.com</t>
  </si>
  <si>
    <t>mailto:agoff@columbusorg.com</t>
  </si>
  <si>
    <t>Columbus Paint &amp; Supply, Inc.</t>
  </si>
  <si>
    <t>mailto:columbuspaint@att.net</t>
  </si>
  <si>
    <t>Paint and Wallpaper Stores</t>
  </si>
  <si>
    <t>Columbus Regional Hospital</t>
  </si>
  <si>
    <t>http://www.crh.org</t>
  </si>
  <si>
    <t>mailto:knissen@crh.org</t>
  </si>
  <si>
    <t>Columbus Regional Hospital Foundation</t>
  </si>
  <si>
    <t>mailto:foundation@crh.org</t>
  </si>
  <si>
    <t>Columbus Transport, Inc.</t>
  </si>
  <si>
    <t>mailto:bfinke.ctran@sbcglobal.net</t>
  </si>
  <si>
    <t>Com Net Solutions, Inc.</t>
  </si>
  <si>
    <t>mailto:Aimeelthomas@sbcglobal.net</t>
  </si>
  <si>
    <t>ComTec Consultants Inc</t>
  </si>
  <si>
    <t>mailto:sri@comtecinfo.org</t>
  </si>
  <si>
    <t>ComTechs L.L.P</t>
  </si>
  <si>
    <t>mailto:k.knartzer@insightbb.com</t>
  </si>
  <si>
    <t>Combined Enterprises, Inc.</t>
  </si>
  <si>
    <t>Comcast</t>
  </si>
  <si>
    <t>="Spotlight Indianapolis provides 40 targeted cable network brands (ESPN, TNT, Lifetime, etc.) for advertising in the Indianapolis, Fort Wayne and South Bend markets. We are able to specifically target individual demographics through a broad assortment of programming, sports, and specials. Thus, ensuring that your message reaches exactly the right people at exactly the right time. Spotlight Indianapolis offers national and regional coverage as well as distinct selling zones in which you can target your message geographically."</t>
  </si>
  <si>
    <t>http://www.spotlightindianapolis.com</t>
  </si>
  <si>
    <t>Cable and Other Subscription Programming</t>
  </si>
  <si>
    <t>Comcast Cable Communications Management,</t>
  </si>
  <si>
    <t>="Business Class Internet provides network connectivity for SMB customers for Voice; Video and Data. Also provide Metro Ethernet products for larger business customers. Also provide E-Rate for K-12 Schools and Public Libraries and Rural Healthcare Program assistance for health care providers."</t>
  </si>
  <si>
    <t>http://www.business.comcast.com</t>
  </si>
  <si>
    <t>mailto:paul_peach@cable.comcast.com</t>
  </si>
  <si>
    <t>Come Clean Janitorial &amp; Management Ser</t>
  </si>
  <si>
    <t>http://www.bonusbuildingcare.com</t>
  </si>
  <si>
    <t>mailto:bonusindy@aol.com</t>
  </si>
  <si>
    <t>Comer Nowling Assoc.</t>
  </si>
  <si>
    <t>="Full service Certified Public Accounting firm offering accounting, auditing, monitoring and consulting services. Extensive experience in providing audit, monitoring and consulting services to governmentally funded non-profit organizations and State of Indiana Agencies including FSSA and DWD. Firm provides project management, systems selection and financial analysis services. Firm has also been actively involved in the implementation of best practices under the Sarbanes-Oxley legislation. Extensive experience in providing training on OMB Circulars A-110, A-122 and A-133, cost allocation plan development and implementation, Sarbanes-Oxley policies and procedures, document retention and archiving policies, and governmental auditing."</t>
  </si>
  <si>
    <t>http://www.comernowling.com</t>
  </si>
  <si>
    <t>mailto:gcomer@comernowling.com</t>
  </si>
  <si>
    <t>Comfort Doctor, LLC</t>
  </si>
  <si>
    <t>http://www.comfortadvisor.com</t>
  </si>
  <si>
    <t>mailto:info@comfortadvisor.com</t>
  </si>
  <si>
    <t>Comfort Sytems USA,</t>
  </si>
  <si>
    <t>http://www.accutempllc.com</t>
  </si>
  <si>
    <t>Comm Hosp of Bremen</t>
  </si>
  <si>
    <t>http://www.bremenhospital.com</t>
  </si>
  <si>
    <t>Commercial Builders</t>
  </si>
  <si>
    <t>="Our firm provides new construction and remodeling services for commercial and industrial markets around greater Indianapolis. We specialize in pre-engineered building system design and deliver the highest standard of materials and workmanship at a competitive cost. Our Services include: Building Design Development Metal Building Brokerage General Construction Services Construction Management Interior Planning Remodeling (Commercial-Industrial) Metal Roofing &amp; Facade Systems Retro roof Systems Pre-engineered, Light Gauge Steel Truss Systems"</t>
  </si>
  <si>
    <t>http://www.cbi.bz</t>
  </si>
  <si>
    <t>mailto:dwhite@cbi.bz</t>
  </si>
  <si>
    <t>Commercial Contracting Administrative Sv</t>
  </si>
  <si>
    <t>http://www.ccadminservices.com</t>
  </si>
  <si>
    <t>mailto:dhale@ccadminservices.com</t>
  </si>
  <si>
    <t>Commercial Driver Training Consultants</t>
  </si>
  <si>
    <t>http://www.cdltraining.com</t>
  </si>
  <si>
    <t>mailto:help@cdltraining.com</t>
  </si>
  <si>
    <t>Commercial Filter Service, Inc.</t>
  </si>
  <si>
    <t>="Since 1986 Commercial Filter Service, Inc. has focused on clean air and protecting client's assets and health with affordable filtration products. We provide a full line of air filtration products as well as customized packaging, servicing, and shipping services. Also, be sure to check out our line of home air filter replacements."</t>
  </si>
  <si>
    <t>http://www.commercialfilter.net</t>
  </si>
  <si>
    <t>mailto:jason@commercialfilter.net</t>
  </si>
  <si>
    <t>Commercial Finishes LLC</t>
  </si>
  <si>
    <t>="Our clients are architects, interior designers, facility managers, property managers, professional service firms, public agencies, institutions, general contractors and end users of all commercial market segments. We serve them regionally and nationally. We help them find the best flooring products for each project they work on and we provide them with the installation and services needed to complete the project on time, on budget, and to their complete satisfaction. We focus on our clients' needs. We build long term relationships with our clients so every project we do together is aligned with their goals in mind. We deliver their projects faster and better, from our superior customer service, project management and attention to detail, adding real value to their needs."</t>
  </si>
  <si>
    <t>http://commercialfinishes.biz</t>
  </si>
  <si>
    <t>mailto:contact@commercialfinishes.biz</t>
  </si>
  <si>
    <t>Commercial Floor Coatings, Inc.</t>
  </si>
  <si>
    <t>http://www.commercialfloorcoatings.com</t>
  </si>
  <si>
    <t>mailto:skip@commercialfloorcoatings.com</t>
  </si>
  <si>
    <t>Commercial Food Systems, Inc.</t>
  </si>
  <si>
    <t>="Commercial Food Systems has been providing foodservice excellence in Indiana for over 20 years. Our focuses are the school, healthcare, and childcare industries. We offer the main line nacho program, Nacho Naturals, Ready-to-Eat Cereal, Frito-Lay products, along with other meal component items, high quality fruit juices, healthier a la carte snacks, and attentive service. We are a company willing to listen and respond to our customer's desires and help them achieve their foodservice goals. CFS is committed to servicing the entire state of Indiana."</t>
  </si>
  <si>
    <t>http://www.commercialfoodsystems.com</t>
  </si>
  <si>
    <t>mailto:dirish@commercialfoodsystems.com</t>
  </si>
  <si>
    <t>Commercial Furnishing Corp.</t>
  </si>
  <si>
    <t>mailto:gary@commercialfurnishingscorp.com</t>
  </si>
  <si>
    <t>Commercial Glass, LLC</t>
  </si>
  <si>
    <t>http://www.commercialglass.biz</t>
  </si>
  <si>
    <t>mailto:dameon@commercialglass.biz</t>
  </si>
  <si>
    <t>Commercial Graphics Company, Inc.</t>
  </si>
  <si>
    <t>="We are a commercial printing company incorporating modern technology for the printing market. We recently installed a 4-color Heidleberg Direct Imaging Press, which is a computer to press system that delivers true lithographic quality 4-color process printing, virtually on demand, and generally at a fraction of the cost of conventional offset presses. We also provide 1 and 2 color printing."</t>
  </si>
  <si>
    <t>http://www.commercialgraphics.net</t>
  </si>
  <si>
    <t>mailto:print@commercialgraphics.net</t>
  </si>
  <si>
    <t>Other Commercial Printing</t>
  </si>
  <si>
    <t>Commercial Grease Trap Cleaning Corp.</t>
  </si>
  <si>
    <t>mailto:commercialgrease@aol.com</t>
  </si>
  <si>
    <t>Commercial Janitorial Cleaners Inc</t>
  </si>
  <si>
    <t>mailto:sweepus@hotmail.com</t>
  </si>
  <si>
    <t>Commercial Lamp &amp; Ballast, Inc.</t>
  </si>
  <si>
    <t>http://www.commlamp.com</t>
  </si>
  <si>
    <t>mailto:rquammen@commlamp.com</t>
  </si>
  <si>
    <t>Commercial Landscaping Service, Inc.</t>
  </si>
  <si>
    <t>http://commerciallandscapingservice.com</t>
  </si>
  <si>
    <t>mailto:commerciall@aol.com</t>
  </si>
  <si>
    <t>Commercial Laundry Equipment, Inc</t>
  </si>
  <si>
    <t>Commercial Office Environments, Inc.</t>
  </si>
  <si>
    <t>http://www.coeindy.com</t>
  </si>
  <si>
    <t>mailto:scook@coeindy.com</t>
  </si>
  <si>
    <t>Commercial Service of Bloomington, Inc.</t>
  </si>
  <si>
    <t>http://www.commsrv.com</t>
  </si>
  <si>
    <t>mailto:jgraf@commsrv.com</t>
  </si>
  <si>
    <t>Common Thread LLC</t>
  </si>
  <si>
    <t>http://www.commonthreadllc.com</t>
  </si>
  <si>
    <t>mailto:sales@commonthreadllc.com</t>
  </si>
  <si>
    <t>Commonwealth Biomonitoring</t>
  </si>
  <si>
    <t>http://www.biomonitor.com</t>
  </si>
  <si>
    <t>mailto:water_quality@tcon.net</t>
  </si>
  <si>
    <t>Commtineo</t>
  </si>
  <si>
    <t>http://www.comtineo.com</t>
  </si>
  <si>
    <t>mailto:danielt@comtineo.com</t>
  </si>
  <si>
    <t>Communication Company of South Bend</t>
  </si>
  <si>
    <t>="Low-voltage Integrator specializing in Health Care, Education, Government and Commercial building life-safety systems. Such as: Fire Alarm, Nurse Call, Communication, CCTV, Card Access and Security systems. A full 24/7 service department with NFPA testing and monitoring."</t>
  </si>
  <si>
    <t>http://www.communication-co.com</t>
  </si>
  <si>
    <t>mailto:tdominello@communication-co.com</t>
  </si>
  <si>
    <t>Communication Connectivity</t>
  </si>
  <si>
    <t>mailto:gilbertwinfrey@comcast.net</t>
  </si>
  <si>
    <t>Communications Consulting &amp; Technology</t>
  </si>
  <si>
    <t>="COM-CAT specializes in providing communications cabling services to the Commercial and Government market. We offer technicians for project management, engineering, integration, implementation, and certification of data, voice and video cable infrastructure for clients."</t>
  </si>
  <si>
    <t>mailto:kjohnson@com-cat.org</t>
  </si>
  <si>
    <t>Communications Infrastructure, Inc.</t>
  </si>
  <si>
    <t>http://www.heartlandsolutions.us</t>
  </si>
  <si>
    <t>mailto:mfisher@heartlandsolutions.us</t>
  </si>
  <si>
    <t>Communications Supply Corporation</t>
  </si>
  <si>
    <t>http://www.gocsc.com</t>
  </si>
  <si>
    <t>mailto:state_local@gocsc.com</t>
  </si>
  <si>
    <t>Communications Venture Corporation</t>
  </si>
  <si>
    <t>="INdigital provides a statewide IP network to the Wireless Enhanced 911 Advisory Board for the delivery and processing of wireless 911 calls. INdigital is also a provider of other public safety and 911 dispatch related solutions. Additionally INdigital provides T1 based voice and data solutions to businesses in Northeast Indiana."</t>
  </si>
  <si>
    <t>http://www.indigital.net</t>
  </si>
  <si>
    <t>mailto:inbid469@indigital.net</t>
  </si>
  <si>
    <t>Community &amp; Family Resource Center, Inc.</t>
  </si>
  <si>
    <t>="Non-profit, social service agency providing early care and education services, counseling and youth development activities. These include Early Head Start and Head Start, Teen Court, Sexual Abuse Family Treatment Intervention Program (SAFTIP), and family preservation and reunification services."</t>
  </si>
  <si>
    <t>http://www.cfrc.org</t>
  </si>
  <si>
    <t>mailto:pbr@cfrc.org</t>
  </si>
  <si>
    <t>Community Action Program, Inc. of Wester</t>
  </si>
  <si>
    <t>="Private not-for-profit corporation whose mission is to eliminate the causes of poverty in our communities by the planning, development and administration of programs that will intervene at critical points in the causes of poverty and that will enable families and individuals to become more self-sufficient."</t>
  </si>
  <si>
    <t>http://www.capwi.org</t>
  </si>
  <si>
    <t>Community Cancer Care, Inc</t>
  </si>
  <si>
    <t>Community Certification Center</t>
  </si>
  <si>
    <t>http://www.communitycertificationcenterd</t>
  </si>
  <si>
    <t>mailto:bb@communitycertificationcerterdba.org</t>
  </si>
  <si>
    <t>Community Construction Services</t>
  </si>
  <si>
    <t>Community Coordinated Child Care of Sout</t>
  </si>
  <si>
    <t>http://www.child-care.org</t>
  </si>
  <si>
    <t>mailto:info@child-care.org</t>
  </si>
  <si>
    <t>Community Coordinated Child Care, Inc.</t>
  </si>
  <si>
    <t>http://www.4csindiana.org</t>
  </si>
  <si>
    <t>mailto:Melanie@4csindiana.org</t>
  </si>
  <si>
    <t>Community First Consulting</t>
  </si>
  <si>
    <t>mailto:communityfirstconsulting@gmail.com</t>
  </si>
  <si>
    <t>Community Home Improvement, Inc</t>
  </si>
  <si>
    <t>Community Home Improvement, Inc.</t>
  </si>
  <si>
    <t>mailto:communityhomeimprovement@yahoo.com</t>
  </si>
  <si>
    <t>Lumber and Other Construction Materials Merchant Wholesalers</t>
  </si>
  <si>
    <t>Community Hospitals of Indiana, Inc.</t>
  </si>
  <si>
    <t>http://ecommunity.com</t>
  </si>
  <si>
    <t>Community Living Inc</t>
  </si>
  <si>
    <t>mailto:rt.commliv@verizon.net</t>
  </si>
  <si>
    <t>Community Living Services</t>
  </si>
  <si>
    <t>http://bridgesofindiana.com</t>
  </si>
  <si>
    <t>mailto:bridgesofindianainfo.com</t>
  </si>
  <si>
    <t>Community Networks, LLC</t>
  </si>
  <si>
    <t>http://www.communitynet.biz</t>
  </si>
  <si>
    <t>mailto:tammy@communitynet.biz</t>
  </si>
  <si>
    <t>Community Outreach Network Services, Inc</t>
  </si>
  <si>
    <t>http://www.consindy.org</t>
  </si>
  <si>
    <t>mailto:hakugin@sbcglobal.net</t>
  </si>
  <si>
    <t>Community Resurrection Partnership, Inc</t>
  </si>
  <si>
    <t>Other Social Advocacy Organizations</t>
  </si>
  <si>
    <t>Community Solutions, Inc.</t>
  </si>
  <si>
    <t>http://www.communitysolutionsinc.net</t>
  </si>
  <si>
    <t>mailto:lena@communitysolutionsinc.net</t>
  </si>
  <si>
    <t>Community Title Company</t>
  </si>
  <si>
    <t>="As Northern Indiana's largest independent title insurance provider, Community Title works to facilitate the orderly sale and conveyance of the property and to compensate a home buyer for any loss resulting from defects in title which are insured against and not shown on the title policy. This gives the seller and the buyer peace of mind, literally and legally."</t>
  </si>
  <si>
    <t>http://1988012408</t>
  </si>
  <si>
    <t>mailto:mdeulley@mccolly.com</t>
  </si>
  <si>
    <t>Community Visions, Inc.</t>
  </si>
  <si>
    <t>mailto:gclark@stoughtongroup.com</t>
  </si>
  <si>
    <t>CompUSA Inc.</t>
  </si>
  <si>
    <t>="CompUSA is a local and national provider of technology equipment, technology services, and office supplies acting as a one stop service and product provider. CompUSA offers your business a dedicated sales representative that is at your disposal. With CompUSA you are not just another number. All of our business customers have a local representative who will work for them not just with them."</t>
  </si>
  <si>
    <t>http://www.compusabusiness.com</t>
  </si>
  <si>
    <t>mailto:brian_kozarich@compusa.com</t>
  </si>
  <si>
    <t>Compass Rose Veterinary Services PC</t>
  </si>
  <si>
    <t>http://Olivebranchvet@gmail.com</t>
  </si>
  <si>
    <t>mailto:olivebranchvet@gmail.com</t>
  </si>
  <si>
    <t>Compello Solutions, LLC</t>
  </si>
  <si>
    <t>mailto:CompelloSolutions.LLC@aol.com</t>
  </si>
  <si>
    <t>Competitive Advantage Solutions LLC</t>
  </si>
  <si>
    <t>mailto:comp_adv_sol@sbcglobal.net</t>
  </si>
  <si>
    <t>Complete Building Programs</t>
  </si>
  <si>
    <t>mailto:promote57@yahoo.com</t>
  </si>
  <si>
    <t>Complete Computer Service, Inc</t>
  </si>
  <si>
    <t>http://www.ccs-home.com</t>
  </si>
  <si>
    <t>mailto:perry@ccs-home.com</t>
  </si>
  <si>
    <t>Complete Flooring Installation, Inc.</t>
  </si>
  <si>
    <t>http://cf-ii.com</t>
  </si>
  <si>
    <t>Tile, Marble, Terrazzo and Mosaic Contractors</t>
  </si>
  <si>
    <t>Complete Office Supp</t>
  </si>
  <si>
    <t>="We are a full service office supply dealer specializing in delivery of products to Indianapolis area companies. Our delivery time is typically one business day from the time of order. We also offer a full array of office furniture, toner products, rubber stamps and breakroom/janitorial products."</t>
  </si>
  <si>
    <t>http://www.completeos.com</t>
  </si>
  <si>
    <t>mailto:sales@completeos.com</t>
  </si>
  <si>
    <t>Compliance Services Incorporated</t>
  </si>
  <si>
    <t>="Compliance Services Incorporated is a service business that specializes in helping people in trucking with state and Federal DOT paperwork for commercially licensed drivers. We provide several services as described on our service tabs.i ncluding hazmat training. We can also provide other services - if you have a need, tell us about it and we’ll see if we can help!. If you wish to consider outsourcing some of that support work for your drivers, we hope you will consider our services! We can also help new business start-up with getting US DOT numbers and operating authority (MC#’s). Our Business Is Helping You With Your Business!"</t>
  </si>
  <si>
    <t>http://www.dot-compliance.info</t>
  </si>
  <si>
    <t>mailto:questions@dot-compliance.us</t>
  </si>
  <si>
    <t>Comprehensive Land Procurement</t>
  </si>
  <si>
    <t>mailto:AWhicker.clp@gmail.com</t>
  </si>
  <si>
    <t>Comprehensive Psychological Services, PC</t>
  </si>
  <si>
    <t>mailto:drjeffvanderwaterpiercy@msn.com</t>
  </si>
  <si>
    <t>Comprehensive Spine &amp; Neurosurgery Servi</t>
  </si>
  <si>
    <t>http://comprehensivespine.org</t>
  </si>
  <si>
    <t>Comprehinsive Therapy Specialists, LLC</t>
  </si>
  <si>
    <t>Compu Capital, Inc.</t>
  </si>
  <si>
    <t>="3B Tech Computers...We provide a wide range of custom computer systems, servers, replacement parts, computer accessories. We provide service after the sale, and service all makes of computers. In the Northern Indiana region we provide on site service, on site IT support, and more. Let us help you design or upgrade your current network!!! Call 3B Tech TODAY for all your computer needs, if we don't have it, we can get it at the best possible prices!!!"</t>
  </si>
  <si>
    <t>mailto:tracy@3btech.net</t>
  </si>
  <si>
    <t>CompuTrain Enterprises, Inc.</t>
  </si>
  <si>
    <t>="CompuTrain has been providing Integrated Windows Fund Accounting Software for over 10 years to Municipalities, Public Libraries and other governmental agencies. We offer a complete line of integrated accounting modules including, General Ledger, Accounts Payable, Purchase Orders, Payroll, Capital Assets, Utility Billing, and many others."</t>
  </si>
  <si>
    <t>http://www.computrain-lap.com</t>
  </si>
  <si>
    <t>mailto:rgriffin@computrain-lap.com</t>
  </si>
  <si>
    <t>Computer Chat LLC</t>
  </si>
  <si>
    <t>mailto:cdegies@gmail.com</t>
  </si>
  <si>
    <t>="Computer Chat LLC is a computer consulting firm that specializes in training the public in Microsoft Office products. We have excellent trainers that make learning the products fun, which we have found helps the public to retain the knowledge of the software."</t>
  </si>
  <si>
    <t>Computer Maintenance Services, Inc.</t>
  </si>
  <si>
    <t>http://www.cmsindy.com</t>
  </si>
  <si>
    <t>mailto:randy@cmsindy.com</t>
  </si>
  <si>
    <t>Computer Source North America</t>
  </si>
  <si>
    <t>http://www.cs-na.net</t>
  </si>
  <si>
    <t>mailto:david@cs-na.com</t>
  </si>
  <si>
    <t>Computer Systems Corporation</t>
  </si>
  <si>
    <t>="Computer Systems Corporation has been a supplier of IT Solutions to the State of Indiana for 30 years. CSC is an HP Enterprise Level Business Partner, and certified for virtually all products and services. CSC specializes in State and Local Government, K-12 and Higher Ed."</t>
  </si>
  <si>
    <t>http://www.teamcsc.com</t>
  </si>
  <si>
    <t>mailto:dave@teamcsc.com</t>
  </si>
  <si>
    <t>Computer and Computer Peripheral Equipment and Software Wholesalers</t>
  </si>
  <si>
    <t>Computer-Telephony Technologies, LLC</t>
  </si>
  <si>
    <t>="Computer-Telephony Technologies, LLC is an Indianapolis, IN based company that addresses the unified communication needs of small to medium size businesses. These businesses may be a home office of 1 or 2 people, or a company up to 50 people residing in a major office."</t>
  </si>
  <si>
    <t>http://www.unifiedtelephony.com</t>
  </si>
  <si>
    <t>mailto:tfreeman@tec-online.net</t>
  </si>
  <si>
    <t>Comres, Inc.</t>
  </si>
  <si>
    <t>http://www.comresindiana.com/index.htm</t>
  </si>
  <si>
    <t>mailto:comres11@yahoo.com</t>
  </si>
  <si>
    <t>Comtex Technologies Company</t>
  </si>
  <si>
    <t>="Comtex Technologies is a IT Consulting company headquartered in Indianapolis, IN. As a privately owned company, Comtex has been providing service to the city of Indianapolis for almost a decade. Comtex Technologies’ heritage is in developing and supporting business-critical hardeware for large communities of users. Our strengths are the depth and experience of our leadership and senior executive staff, the technical expertise of our services organization, and the strong relationships we've formed with our partners and clients. Comtex’s strategic focus provides turn-key operations for our clients that leverage the exploding power of today's technology, desktops, and networks and capitalize on the revolutionary changes in information technology that have resulted from the Internet. Services include: • Network Management, Design, and Performance consulting • Outsourced IT Operations • Computer Repair • Technical Education • Graphic Design • Computer Sale • Computer Support"</t>
  </si>
  <si>
    <t>http://www.comtex.us</t>
  </si>
  <si>
    <t>mailto:info@comtex.us</t>
  </si>
  <si>
    <t>Comunicato Strategic Consulting, Ltd.</t>
  </si>
  <si>
    <t>="Comunicato Strategic Consulting offers public relations and marketing communications consulting by an accomplished communications executive and award-winning journalist. Services include: communication strategy and planning; media relations; project management; web content development; media/communication training; writing and editing projects. Comunicato works with you to develop targeted communication tools that support your bottom-line goals."</t>
  </si>
  <si>
    <t>mailto:kfalzone@sbcglobal.net</t>
  </si>
  <si>
    <t>Concentrics Research</t>
  </si>
  <si>
    <t>="Concentrics Research, formerly West Consumer Healthcare Research, works with leading pharmaceutical, biotechnology, nutritional, and device companies to create and execute customized research solutions for prescription and over-the-counter products. Concentrics’ customized and comprehensive approach provides the research foundation for launches related to new and existing products. Concentrics’ Research team is comprised of professionals with extensive experience in clinical research and consumer/marketing research. This combination of talent is unique in the industry. Concentrics is experienced with a variety of research areas including Phase IIb, III, IV, Rx-to-OTC switch (clinical, label comprehension, self-selection and actual use), claims substantiation, sensory evaluations, line extensions, comprehension studies for labeling and advertising, and other customized research programs to aid in commercializing new and existing products."</t>
  </si>
  <si>
    <t>http://www.concentricsresearch.com</t>
  </si>
  <si>
    <t>Concept Beyond Tomorrow</t>
  </si>
  <si>
    <t>http://www.trunative.net/UNIFORMS.html</t>
  </si>
  <si>
    <t>mailto:trunative@verizon.net</t>
  </si>
  <si>
    <t>Concept Tool &amp; Engineering, Inc.</t>
  </si>
  <si>
    <t>Conco Spray Solutions, LLC.</t>
  </si>
  <si>
    <t>="Conco Spray Solutions is a Sprayroq Certified Partner specializing in polyurethane liners for potable water (NSF 61 approved) and waste water infrastructure. Using the ASTM 1216 equation with a 50 year design life, we can provide your old structures with a true structural lining in one mobilization application. Our 'Green' product has 32% renewable resources and is listed in the US Department Of Agriculture's BioPreferred Program. This is the first Green Product in the industry used for corrosion protection. In addition to structural rehabilitation, we can line and extend the life of new structures and meet your CIPP relining for lateral needs."</t>
  </si>
  <si>
    <t>http://concospray.com</t>
  </si>
  <si>
    <t>mailto:jhoop@concospray.com</t>
  </si>
  <si>
    <t>Concord Center Assoc</t>
  </si>
  <si>
    <t>http://www.concordindy.org</t>
  </si>
  <si>
    <t>Concrete By Jacob Inc.</t>
  </si>
  <si>
    <t>mailto:Jacob_conway@sbcglobal.net</t>
  </si>
  <si>
    <t>Conference &amp; Travel Services Inc</t>
  </si>
  <si>
    <t>http://www.travlead.com</t>
  </si>
  <si>
    <t>mailto:awaters@travlead.com</t>
  </si>
  <si>
    <t>Confluence Dynamics, LLC</t>
  </si>
  <si>
    <t>http://www.confluencedynamics.net</t>
  </si>
  <si>
    <t>mailto:info@confluncedynamics.net</t>
  </si>
  <si>
    <t>Congdon Engineering Associates, Inc.</t>
  </si>
  <si>
    <t>="Established in 1984, CEA provides professional services in site/civil, structural, sewer, drainage and survey as well as road, bridge, transportation studies and related location and environmental studies. CEA is recognized as a results oriented, multi-disciplined consulting engineering firm, offering a wide range of services in the civil, structural and survey area."</t>
  </si>
  <si>
    <t>http://www.cea-inc.net</t>
  </si>
  <si>
    <t>mailto:info@cea-inc.net</t>
  </si>
  <si>
    <t>Conmoto Enterprises, Inc.</t>
  </si>
  <si>
    <t>mailto:sullivanathome@hotmail.com</t>
  </si>
  <si>
    <t>Connect 5, Inc.</t>
  </si>
  <si>
    <t>http://www.connect5inc.com</t>
  </si>
  <si>
    <t>mailto:holly@connect5inc.com</t>
  </si>
  <si>
    <t>Connections Deaf Centers</t>
  </si>
  <si>
    <t>="Create programs for the Deaf and Hard of Hearing community, encourage research related to Deafness, provide support to parents and elderly Deaf and Hard of hearing, serve as a resource center for information pertinent to the Deaf and Hard of hearing community, operate services and programs that promote and enhance independence and welfare of the DHH community."</t>
  </si>
  <si>
    <t>http://www.connectionsdeafcenters.org</t>
  </si>
  <si>
    <t>mailto:connectionsdeafcenters@yahoo.com</t>
  </si>
  <si>
    <t>Connections Sign Language Interpreting</t>
  </si>
  <si>
    <t>http://evvdeafcenter@yahoo.com</t>
  </si>
  <si>
    <t>mailto:csli@att.blackberry.net</t>
  </si>
  <si>
    <t>Connections, Inc.</t>
  </si>
  <si>
    <t>http://www.connections-inc.net</t>
  </si>
  <si>
    <t>mailto:jasher@connections-inc.net</t>
  </si>
  <si>
    <t>Connectronics, Inc</t>
  </si>
  <si>
    <t>="Connectronics is a manufacturer of RF connectors, from standard designs (N, SMA, BNC, TNC, Between series adaptors) to special designs to fit your unique application. We also have the capabilities of machining individual 'piece part' components to either a customer print or requirement. We offer the full range, from design thru final assembly."</t>
  </si>
  <si>
    <t>http://www.connectronicsinc.com</t>
  </si>
  <si>
    <t>mailto:sales@connectronicsinc.com</t>
  </si>
  <si>
    <t>Electronic Connector Manufacturing</t>
  </si>
  <si>
    <t>Conner Advertising Specialties</t>
  </si>
  <si>
    <t>http://www.ConnerAdv.com</t>
  </si>
  <si>
    <t>mailto:Dave@ConnerAdv.com</t>
  </si>
  <si>
    <t>Conner Floor Covering, Inc</t>
  </si>
  <si>
    <t>mailto:connerfloor@yahoo.com</t>
  </si>
  <si>
    <t>Conner Insurance, Inc.</t>
  </si>
  <si>
    <t>http://www.connerins.com</t>
  </si>
  <si>
    <t>mailto:jtconner@gmail.com</t>
  </si>
  <si>
    <t>Connie S. Keith and Company, LLC</t>
  </si>
  <si>
    <t>mailto:connie_and_company@yahoo.com</t>
  </si>
  <si>
    <t>Connie Swingley</t>
  </si>
  <si>
    <t>Connor &amp; Company, Inc.</t>
  </si>
  <si>
    <t>="Connor &amp; Company, Inc. is a construction company that has been in business for over 25 years. We have 4 divisions -- Design &amp; Build, Handy Man, General Contractor and Restoration -- which means that we can take care of the smallest handyman job (replacing an out-of-reach light bulb) to the restoration of historic windows to a kitchen or bath remodel to a 2-story addition to new construction -- residential and commercial."</t>
  </si>
  <si>
    <t>http://www.connoco.net</t>
  </si>
  <si>
    <t>mailto:info@connorco.net</t>
  </si>
  <si>
    <t>Connor Fine Painting, Inc</t>
  </si>
  <si>
    <t>http://www.connorpainting.com/</t>
  </si>
  <si>
    <t>mailto:bob@connorpainting.com</t>
  </si>
  <si>
    <t>Conor-Patrick Insurance Services, LLC</t>
  </si>
  <si>
    <t>http://www.conor-patrick.com</t>
  </si>
  <si>
    <t>mailto:info@conor-patrick.com</t>
  </si>
  <si>
    <t>Consciencium, Inc.</t>
  </si>
  <si>
    <t>="Consciencium was formed by a group of seasoned developers and business professionals with the vision to provide innovative technologies for the health and human services industry. Specifically, we provide solutions for agencies serving clients with mental retardation or developmental disabilities. Our software is available for a variety of operating systems, hardware platforms, and mobile devices. It enables residential facilities to more accurately capture real-time data for more precise data analysis and reporting. This in turn allows our customers to be more efficient and productive resulting in a more patient focused environment."</t>
  </si>
  <si>
    <t>http://www.consciencium.com</t>
  </si>
  <si>
    <t>mailto:Eric.Allen@consciencium.com</t>
  </si>
  <si>
    <t>Consoer Townsend Envirodyne Engineers</t>
  </si>
  <si>
    <t>http://www.cte.aecom.com</t>
  </si>
  <si>
    <t>mailto:todd.frauhiger@cte.aecom.com</t>
  </si>
  <si>
    <t>Consolidated Electrical Distributors Inc</t>
  </si>
  <si>
    <t>http://www.apemichigancity.com</t>
  </si>
  <si>
    <t>mailto:jcarter@apemichigancity.com</t>
  </si>
  <si>
    <t>Electrical Apparatus and Equipment, Wiring Supplies and Construction Material Wholesalers</t>
  </si>
  <si>
    <t>mailto:sshadley@apemichigancity.com</t>
  </si>
  <si>
    <t>Consolidated Roofing</t>
  </si>
  <si>
    <t>Consolidated Services</t>
  </si>
  <si>
    <t>Constitutional Supply Company</t>
  </si>
  <si>
    <t>Construct Solutions, Inc.</t>
  </si>
  <si>
    <t>="From quality roof construction and repair to consulting and appraising, we are a full-service General Contractor. We proudly offer the following services for commercial and residential properties: storm damage restoration, Historical building restoration, new construction, roof repair, roof replacement, and maintenance services. We are a Service-Disabled Veteran-Owned Small-Business (SDVOSB) built on a foundation of trust, reliability, experience, and discipline stemming from a solid military background. The founder and CEO of Construct Solutions, Inc. is a decorated disabled combat veteran from the “War on Terrorism”. We strive to maintain a level of performance that far exceeds our competition. We do so by employing other veterans strategically throughout the company."</t>
  </si>
  <si>
    <t>http://www.constructsolutionsinc.com</t>
  </si>
  <si>
    <t>mailto:sales@constructsolutionsinc.com</t>
  </si>
  <si>
    <t>Construction 101 for Women.com, LLC</t>
  </si>
  <si>
    <t>http://www.construction101forwomen.com</t>
  </si>
  <si>
    <t>mailto:info@construction101forwomen.com</t>
  </si>
  <si>
    <t>Construction Consultants &amp; Inspection se</t>
  </si>
  <si>
    <t>="Construction consultants &amp; inspection services provides: Construction inspection and administaration for state, LPA, and local agency construction in accordance with INDOT,FHA standards. CC&amp;IS also provides construction materials testing, review and approve shop drawing, review and approve pay for completed work, review change orders and prepare final construction doccuments and reports."</t>
  </si>
  <si>
    <t>mailto:eke@const-consultants.com</t>
  </si>
  <si>
    <t>Construction Consulting Services Inc.</t>
  </si>
  <si>
    <t>="CCSI provides professional construction consulting and project management services. Our consultants and project managers have an average of 16 years of experience in the construction industry. Many have LEED AP certifications and engineering and architecture degrees. Our value added services will improve your company's bottom line through proven business modules and sound practice."</t>
  </si>
  <si>
    <t>http://www.ccsi-midwest.com</t>
  </si>
  <si>
    <t>mailto:calvin@ccsi-midwest.com</t>
  </si>
  <si>
    <t>Construction Designs by Rodman</t>
  </si>
  <si>
    <t>http://constructiondesignsbyrodman.com</t>
  </si>
  <si>
    <t>mailto:cdrconstruction@gmail.com</t>
  </si>
  <si>
    <t>Consult IT, Inc.</t>
  </si>
  <si>
    <t>http://www.consultitinc.com</t>
  </si>
  <si>
    <t>mailto:info@consultitinc.com</t>
  </si>
  <si>
    <t>Consulu, Inc.</t>
  </si>
  <si>
    <t>http://www.consulu.com</t>
  </si>
  <si>
    <t>mailto:info@consulu.com</t>
  </si>
  <si>
    <t>Container Service Corp.</t>
  </si>
  <si>
    <t>http://www.containerservicecorp.cm</t>
  </si>
  <si>
    <t>mailto:debbie@containerservicecorp.com</t>
  </si>
  <si>
    <t>Context, LLC</t>
  </si>
  <si>
    <t>="Landscape Architecture Firm - Specializing in these areas: Site Analysis, Program Development, Master Planning, Schematic Design, Design Development, Grading &amp; Drainage Design, Planting Design, Environmental Graphics, Grant Writing, Construction Doumentation and Construction Administration."</t>
  </si>
  <si>
    <t>http://www.context-design.com</t>
  </si>
  <si>
    <t>mailto:mglazier@context-design.com</t>
  </si>
  <si>
    <t>Continental Chillers LLC</t>
  </si>
  <si>
    <t>="Continental Chillers LLC is a manufacturer of commercial and industrial air conditioning, refrigeration equipment and heat exchangers. Markets include air conditioning, process cooling and industrial refrigeration. Continental's product line includes chillers, condensing units, compressor units, condensers and heat exchangers. Continentals specializes in custom-built and niche products, and can also offer all products with non-ozone depleting, environmentally-friendly refrigerants."</t>
  </si>
  <si>
    <t>http://www.continentalchillers.com</t>
  </si>
  <si>
    <t>mailto:sales@continentalchillers.com</t>
  </si>
  <si>
    <t>Continental Languages LLC</t>
  </si>
  <si>
    <t>http://Continental-LLC.com</t>
  </si>
  <si>
    <t>mailto:info@continental-LLC.com</t>
  </si>
  <si>
    <t>Continental Office Environments</t>
  </si>
  <si>
    <t>http://www.continentaloffice.com</t>
  </si>
  <si>
    <t>mailto:bkoehne@continentaloffice.com</t>
  </si>
  <si>
    <t>Continental Sales</t>
  </si>
  <si>
    <t>="GPS, DGPS,RTK,Static. Kinematic, Beacon receiver, Geodetic Reference Station, Conventional and Survey grade GPS, data collectors, software and equipment, Laser Range Finders, GPS GIS grade data collection equipment, ESRI ARC Pad mapping software equipment sales and service for Mobilemapper Windows CE and Bluetooth. Representation for Thales Navigation, Ashtech, CSI Wireless (Communications Systems International), Magellan, Laser Technologies and Pacific Crest Radios."</t>
  </si>
  <si>
    <t>http://mywebpages.comcast.net/lgeorge25</t>
  </si>
  <si>
    <t>mailto:lgeorge25@comcast.net</t>
  </si>
  <si>
    <t>Continental, Inc.</t>
  </si>
  <si>
    <t>="Continental INC provides resources for our clients that enhance and expand their core business competencies. Continental's services are organized into four distinct divisions: - Continental Design &amp; Engineering provides engineering and technical design services. - Continental Quality Engineering provides the support required for the rapid analysis and resolution of the Root Cause for the non-conforming parts. - Continental Professional Services augments your core staff with professional services for short-term projects or long-term support. - Continental Manufacturing provides Advanced Manufacturing services to customers specialized, cost-effective manufacturing solutions that incorporate the latest technology in lighting, transportation, electronics and environmental sectors."</t>
  </si>
  <si>
    <t>http://www.continentalinc.com</t>
  </si>
  <si>
    <t>mailto:info@continentalinc.com</t>
  </si>
  <si>
    <t>Continuing the Care</t>
  </si>
  <si>
    <t>="Provided eduational training and consultation on areas relating to chemical dependency, substance abuse, dual diagnosis, gambling issues, and training related to a variety of interpersonal problem solving skills. Can provide assistance in recovery monitoring relating to alcohol and drug abuse/dependence to assist with documentation with abstinence."</t>
  </si>
  <si>
    <t>mailto:candacebacker@sbcglobal.net</t>
  </si>
  <si>
    <t>Social Assistance</t>
  </si>
  <si>
    <t>Continuous Improvement Consulting, LLC</t>
  </si>
  <si>
    <t>mailto:molly.hamilton.mh@gmail.com</t>
  </si>
  <si>
    <t>Continuous Improvement Systems, Inc.</t>
  </si>
  <si>
    <t>http://cisgeneva.com</t>
  </si>
  <si>
    <t>mailto:dcummings47@mac.com</t>
  </si>
  <si>
    <t>Contract Solutions, Inc.</t>
  </si>
  <si>
    <t>="As the only Techline dealer in Indiana, we provide the highest quality Modular Laminate Cabinetry to hospitals, schools, medical/dental offices, and other commercial end users. Contract Solutions is your complete cabinetry solution - we design, provide, install and re-configure our heavy-duty modular cabinets. We also provide laminate, solid surface and other custom countertops, desking, lockers, shelving and tables. We provide excellent customer service and enjoy an outstanding reputation in the industry for our attention to detail and for delivering projects on time and within budget."</t>
  </si>
  <si>
    <t>http://www.contractsolutionsonline.com</t>
  </si>
  <si>
    <t>mailto:info@contractsolutionsonline.com</t>
  </si>
  <si>
    <t>Contracting &amp; Supply, LLC</t>
  </si>
  <si>
    <t>="C&amp;S is certified with the City of Indianapolis and the State of Indiana as a WBE business. We offer many building and mechanical building products along with procurement services to help customers in this increasingly competitive market. Please allow us to work with you on any of your projects requiring minority participation, quality products and great service."</t>
  </si>
  <si>
    <t>http://www.contractingandsupply.com</t>
  </si>
  <si>
    <t>mailto:chrcox@contractingandsupply.com</t>
  </si>
  <si>
    <t>Control Data Inc</t>
  </si>
  <si>
    <t>="NetXs Solutions is an experienced technology consulting and application development firm that leverages the expertise of the most successful business process consultants, project managers, technology developers and support experts to help you. Mobile Applications, Custom Applicaitons, Procurement Applications, Consulting Services."</t>
  </si>
  <si>
    <t>http://www.netxssolutions.com</t>
  </si>
  <si>
    <t>mailto:sales@netxssolutions.com</t>
  </si>
  <si>
    <t>Control-Z I.T.</t>
  </si>
  <si>
    <t>="Control-Z delivers expert IT solutions including outsourced technical support; network configuration and management; virtualization and cloud computing implementation and management. As certified resellers and integration specialists for leaders such as: Cisco, Dell, Hitachi, HP, Microsoft and VMWare; Control-Z empowers IT departments to maximize data center investments, network infrastructures and other business systems."</t>
  </si>
  <si>
    <t>http://pushcontrolz.com</t>
  </si>
  <si>
    <t>mailto:info@pushcontrolz.com</t>
  </si>
  <si>
    <t>Controlled Rain Systems, Inc.</t>
  </si>
  <si>
    <t>Contrust Construction Services, Inc.</t>
  </si>
  <si>
    <t>mailto:sahara@contrustsvcs.com</t>
  </si>
  <si>
    <t>Plastics Plumbing Fixture Manufacturing</t>
  </si>
  <si>
    <t>Convenient Tape and Supplies</t>
  </si>
  <si>
    <t>http://printerstock.com</t>
  </si>
  <si>
    <t>mailto:jen.cts@sbcglobal.net</t>
  </si>
  <si>
    <t>Merchant Wholesalers, Nondurable Goods</t>
  </si>
  <si>
    <t>Converge Technologies</t>
  </si>
  <si>
    <t>http://www.converget.net</t>
  </si>
  <si>
    <t>mailto:converget@gmail.com</t>
  </si>
  <si>
    <t>Conveyance Group Inc</t>
  </si>
  <si>
    <t>mailto:judy@conveyancegroup.com</t>
  </si>
  <si>
    <t>Conveyor Source, Incorporated</t>
  </si>
  <si>
    <t>="Conveyor Source, Inc. provides engineering concept, development, equipment, installation, preventive maintenance, and 24-hour emergency service nationwide for all material handling systems. Our mechanical &amp; electrical design and installation/maintenance groups each offer many years of experience with material handling system solutions used in manufacturing and distribution environments."</t>
  </si>
  <si>
    <t>http://www.conveyorsource.com</t>
  </si>
  <si>
    <t>mailto:info@conveyorsource.com</t>
  </si>
  <si>
    <t>Conwell Home Care Services LLC</t>
  </si>
  <si>
    <t>="We are an in home care provider that assist the elderly and disabled in the comfort of their own homes. We provide personal care services, homemaker services, transportation to doctor appointments, errands/shopping, medication pick up from the pharmacy etc."</t>
  </si>
  <si>
    <t>http://www.conwellhomecareservices.com</t>
  </si>
  <si>
    <t>mailto:tconwell@conwellhomecareservices.com</t>
  </si>
  <si>
    <t>Cook Fluid Products, LLC</t>
  </si>
  <si>
    <t>="Cook Fluid Products, LLC has partnered with iconic and high quality manufacturers in order to offer the following types of fluid handling equipment: - pumps and pump accessories - hydronic specialties - heat exchangers; shell &amp; tube and plate &amp; frame - air and dirt elimination equipment - heating/cooling coils - balancing valves and controls - steam traps - steam specialties - strainers and valves - custom packaged systems"</t>
  </si>
  <si>
    <t>http://www.cookfluidproducts.com</t>
  </si>
  <si>
    <t>mailto:sales@cookfluidproducts.com</t>
  </si>
  <si>
    <t>Cooksey Janitorial Service</t>
  </si>
  <si>
    <t>="Cooksey Janitorial Service strives to go the extra mile so you will pleased with our work and the quality of our service. Our company extends services such as floor care, carepet cleaning, office and industrial cleaning. Expereince in caring for the janitorial needs of all medical facilities, banks, and various commercial buildings."</t>
  </si>
  <si>
    <t>mailto:cookseyjanitorial1@sbcglobal.net</t>
  </si>
  <si>
    <t>Cool Imposters</t>
  </si>
  <si>
    <t>="Retail and Wholesale of Sunglasses. Retail locations in Greenwood Park Mall, Castleton Square Mall, Honey Creek Mall in Terra Haute, and Glenbrook Mall in Ft. Wayne. Offer wholesale pricing to retailers, charities, and other businesses starting with as few as six pairs. Styles also available by the dozens."</t>
  </si>
  <si>
    <t>mailto:sirsilk@sbcglobal.net</t>
  </si>
  <si>
    <t>Ophthalmic Goods Merchant Wholesalers</t>
  </si>
  <si>
    <t>Coolspring Sand, LLC</t>
  </si>
  <si>
    <t>mailto:Katherineehw@aol.com</t>
  </si>
  <si>
    <t>Non-Metallic Mineral Mining and Quarrying</t>
  </si>
  <si>
    <t>Cooprider Golf Managment, Inc</t>
  </si>
  <si>
    <t>mailto:coopridergolf@aol.com</t>
  </si>
  <si>
    <t>Golf Courses and Country Clubs</t>
  </si>
  <si>
    <t>Coordinated Care Corporation</t>
  </si>
  <si>
    <t>http://www.mhsindiana.com</t>
  </si>
  <si>
    <t>Coplen's Coleman Camper Center, Inc.</t>
  </si>
  <si>
    <t>="We service &amp; sell Fleetwood folding trailers, travel trailers, 5th wheels, motor homes, Timberlodge travel trailers &amp; 5th wheels. We install hitches, brake controls, wiring, truck caps. Large parts &amp; accessories store, fill of LP tanks, new custom-made canvas &amp; repairs are in our operation."</t>
  </si>
  <si>
    <t>http://www.coplens.com</t>
  </si>
  <si>
    <t>mailto:info@coplens.com</t>
  </si>
  <si>
    <t>Coppinger Exhibits, Inc.</t>
  </si>
  <si>
    <t>http://www.coppingerexhibits.com</t>
  </si>
  <si>
    <t>mailto:lenz@coppingerexhibits.com</t>
  </si>
  <si>
    <t>Copy Print Shop</t>
  </si>
  <si>
    <t>http://www.thenational-group.com</t>
  </si>
  <si>
    <t>mailto:kathy@thenational-group.com</t>
  </si>
  <si>
    <t>Corbitt &amp; Sons Const</t>
  </si>
  <si>
    <t>http://www.corbittconst.com</t>
  </si>
  <si>
    <t>mailto:scorbitt@corbittconst.com</t>
  </si>
  <si>
    <t>Corcom Group</t>
  </si>
  <si>
    <t>="Corcom is a leader in the design and installation of high-tech communications and security systems. Corcom strives to the highest recognized industry standard. We staff knowledgeable, committed and well trained BICSI installers, technicians and design engineers. Corcom is future smart. We design and install systems that best address the current need, and are easily adaptable to future demands and priorities. Corcom is focused. We are driven to meet or exceed even the most challenging deadline on time and on budget. This is done by managing a demanding professional project implementation and completion process, resulting in few change orders."</t>
  </si>
  <si>
    <t>http://www.corcomcompany.com</t>
  </si>
  <si>
    <t>mailto:ramon@corcomcompany.com</t>
  </si>
  <si>
    <t>Core BTS, Inc.</t>
  </si>
  <si>
    <t>="Core BTS is a leading business technology company providing a full suite of solutions to a wide variety of markets. The CORE difference is in bringing clients the expertise, availability, knowledge, and talent of of more than 350 skilled professionals. Core's business-centric approach is structured to to allow for flexibility and adaptability to its client's specific business needs. Core's approach differentiates itself by powering each project with its circuit of products and empowering each client through the extension, versatility, and voltage of its employees. Our Core Competencies are: * Application Development * Video Solutions * Unified Communications * Data Center * Security Solutions"</t>
  </si>
  <si>
    <t>http://www.corebts.com</t>
  </si>
  <si>
    <t>mailto:jeff.corey@corebts.com</t>
  </si>
  <si>
    <t>Core Business Technology Solutions</t>
  </si>
  <si>
    <t>="Our core competencies include Data Center Technologies, Unified Communications and Collaboration, Information Security, Managed Services, Video Technology , Inacom Eduction/Training and Application Development. We employ a results-oriented service delivery approach that ensures the desired outcome is achieved, and that projects are delivered on-time and within budget. We are closely aligned with EMC, VMWare, Cisco/Tandberg, Microsoft, Citrix, and Symantec, and have successful implemented and integrated these technologies in large, complex computing environments."</t>
  </si>
  <si>
    <t>mailto:jill.george@corebts.com</t>
  </si>
  <si>
    <t>Core Capital Group</t>
  </si>
  <si>
    <t>="Core Capital Group is a full service merchant banking and municipal financial advisory firm. Core Capital Group is made up of financial and legal experts acting as financial advisors to our clients by providing structured debt financing solutions for all types of business and governmental projects, offering the most attractive financial solutions to our clients consistent with their financial goals."</t>
  </si>
  <si>
    <t>http://www.corecapitalgroupllc.com</t>
  </si>
  <si>
    <t>mailto:bwahl@corecapitalgroupllc.com</t>
  </si>
  <si>
    <t>Investment Banking and Securities Dealing</t>
  </si>
  <si>
    <t>Core Dynamics Consulting, LLC</t>
  </si>
  <si>
    <t>mailto:nwilliams1162@comcast.net</t>
  </si>
  <si>
    <t>Core Dynamics Drilling</t>
  </si>
  <si>
    <t>="CDD is a full service geotechnical and environmental drilling company. Our wide array of equipment and innovative staff produces a company that will meet your drilling needs in a proffessional manner, on time, and on budget (often under budget). Soil boring and monitoring well installations are our niche, but CDD is experienced in soil and/or groundwater sample logging and collection, geotechnical sampling, and remediation drilling (e.g., injection of oxygen releasing material below ground surface). CDD also has concrete and asphalt coring capabilities often suited to the construction industry as well. CDD is a service disabled veteran owned business and is veteran operated."</t>
  </si>
  <si>
    <t>mailto:jhartley@leeandryan.com</t>
  </si>
  <si>
    <t>Water Well Drilling Contractors</t>
  </si>
  <si>
    <t>Core Specialty Supply</t>
  </si>
  <si>
    <t>mailto:bkj1064@yahoo.com</t>
  </si>
  <si>
    <t>CorePlacement Personnel Services</t>
  </si>
  <si>
    <t>="CorePlacement Personnel Services provides organizations with a supply of skilled personnel to meet their human resources needs on a temporary or permanent basis. Moreover, we provide payroll services and strategic solutions to help employers effectively utilize the power of people within their organizations."</t>
  </si>
  <si>
    <t>http://www.coreplacement.com</t>
  </si>
  <si>
    <t>mailto:cmartin@coreplacement.com</t>
  </si>
  <si>
    <t>CoreTech Revolution</t>
  </si>
  <si>
    <t>="CoreTech is a consultancy company that understands the clinical, business and technology aspects of healthcare. We are your advocate, bringing an objective approach to managing projects and streamlining processes. Your CoreTech Revolution project team is specifically designed for your needs, not ours."</t>
  </si>
  <si>
    <t>http://coretechrevolution.com/</t>
  </si>
  <si>
    <t>mailto:info@coretechrevolution.com</t>
  </si>
  <si>
    <t>Corey James Sizelove</t>
  </si>
  <si>
    <t>Corizon, Inc.</t>
  </si>
  <si>
    <t>http://www.corizonhealth.com</t>
  </si>
  <si>
    <t>mailto:marketing@corizonhealth.com</t>
  </si>
  <si>
    <t>Corman Synergy, Inc.</t>
  </si>
  <si>
    <t>http://WWW.FIRE-HOUSE.NET</t>
  </si>
  <si>
    <t>mailto:SALLY@FIRE-HOUSE.NET</t>
  </si>
  <si>
    <t>Cornerstone Cleaning Service Inc</t>
  </si>
  <si>
    <t>="Office Pride is a full service janitorial company, we specialize in after hours cleaning of commercial office buildings. We offer nightly, weekly, bi-monthly or one time cleaning services. We also offer hard surface floor care, as well as carpet cleaing. No job is to small or large. We service northern Indiana regions 1 &amp; 2 Lake,Porter,LaPorte,St Joseph,and Elkhart Counties."</t>
  </si>
  <si>
    <t>mailto:dt1160@aol.com</t>
  </si>
  <si>
    <t>Cornerstone Communications</t>
  </si>
  <si>
    <t>="Cornerstone Communications specializes in Document Management and Cost reduction strategies. Specifically, we work Executive Teams to streamline costs associated with the Creation, Distribution and Storage of critical business documents. Our proven strategies have helped our clients become more efficient and more profitable while giving them a competitive advantage. We have worked with over 800 executive teams world wide including Goodyear, Mattel, and Cardinal Health."</t>
  </si>
  <si>
    <t>http://www.unifier.biz</t>
  </si>
  <si>
    <t>mailto:k.calhoun@cstoneindy.com</t>
  </si>
  <si>
    <t>Cornerstone Construction Group LLC</t>
  </si>
  <si>
    <t>http://www.cornerstone-constructiongroup</t>
  </si>
  <si>
    <t>mailto:cornerstone_constructiongroup@yahoo.com</t>
  </si>
  <si>
    <t>Cornerstone Env., Health &amp; Safety, Inc.</t>
  </si>
  <si>
    <t>="Since 1990, Cornerstone Environmental, Health and Safety, Inc., has been delivering client-focused, cost effective solutions to help companies manage the challenges of risk assessment, regulatory compliance, re-engineering and training. &lt;p&gt; As Industry has changed to adapt to the Global Economy, we at Cornerstone also have changed to meet these demands. Cornerstone's innovative approach makes it easy for your operations to seamlessly integrate your Environmental Management System and / or Enterprise System while maintaining compliance.&lt;p&gt; We remain an industry leader in chemical inventory management, electronic MSDS imaging, and tracking systems, while expanding our ability to provide solutions in the area of consulting, engineering, and training to enhance your Return on Investment. &lt;p&gt;"</t>
  </si>
  <si>
    <t>http://www.corner-enviro.com</t>
  </si>
  <si>
    <t>mailto:info@corner-enviro.com</t>
  </si>
  <si>
    <t>Cornerstone Industries</t>
  </si>
  <si>
    <t>http://www.cornerstoneflooring.com</t>
  </si>
  <si>
    <t>mailto:info@cornerstoneflooring.com</t>
  </si>
  <si>
    <t>Cornerstone Pharmacy Services,LLC</t>
  </si>
  <si>
    <t>http://cpsrx.com</t>
  </si>
  <si>
    <t>mailto:robint@cpsrx.omc</t>
  </si>
  <si>
    <t>Cornerstone Planning &amp; Design, Inc.</t>
  </si>
  <si>
    <t>mailto:dltrail@sbcglobal.net</t>
  </si>
  <si>
    <t>Cornett Restorations, LLC</t>
  </si>
  <si>
    <t>http://Cornettroofing.com</t>
  </si>
  <si>
    <t>mailto:cornettroofing.com</t>
  </si>
  <si>
    <t>Corp for Envr Mgmt</t>
  </si>
  <si>
    <t>http://cem-indy.com</t>
  </si>
  <si>
    <t>mailto:cem@cem-indy.com</t>
  </si>
  <si>
    <t>Corporate Cleaning Service</t>
  </si>
  <si>
    <t>Corporate Concepts</t>
  </si>
  <si>
    <t>http://www.corporateconcept.com</t>
  </si>
  <si>
    <t>mailto:bencole@corporateconcept.com</t>
  </si>
  <si>
    <t>Corporate Construction, Inc.</t>
  </si>
  <si>
    <t>http://www.corporateconstruction.net</t>
  </si>
  <si>
    <t>Foundation, Structure, and Building Exterior Contractors</t>
  </si>
  <si>
    <t>Corporate Design Inc</t>
  </si>
  <si>
    <t>http://www.cdi-ofusa.com</t>
  </si>
  <si>
    <t>mailto:kmccombs@cdi-ofusa.com</t>
  </si>
  <si>
    <t>Corporate Digital</t>
  </si>
  <si>
    <t>="Full service commercial 5/color sheedfed printing plant, including 4/color digital and wide format printing. ASI certified to sell specialty personalized promo products, on-line ordering of printed material.Full bindery and mailing services. Small to large jobs with a variety of equipment and services available."</t>
  </si>
  <si>
    <t>http://www.corppdigital.com</t>
  </si>
  <si>
    <t>mailto:plane@corppdigital.com</t>
  </si>
  <si>
    <t>Corporate Identity</t>
  </si>
  <si>
    <t>="Corporate Identity is a small communications design studio founded in Portage, Indiana. Since our inception, we have strived to provide fresh and inviting designs via the web and print. We are dedicated to our clients. Whether staying up late, or working over the weekend, we do whatever it takes to get the desired end result. We work within various industries and like it that way. We enjoy the opportunity to develop communications solutions for varied audiences. This allows us to be hip, reserved, artistic, and conservative but always focused on the details. We don’t need inter-of?ce memos or departmentalized workers. We have a small, dedicated, collaborative team that is committed to the excellence of every project. We offer full new media and print design services including database and web application development, content management systems, ?ash animation and programming, interactive presentations, branding, print collateral, and advertising design."</t>
  </si>
  <si>
    <t>http://www.corpidweb.com</t>
  </si>
  <si>
    <t>mailto:info@corpidweb.com</t>
  </si>
  <si>
    <t>Corporate Image</t>
  </si>
  <si>
    <t>http://www.corporateimage.net</t>
  </si>
  <si>
    <t>mailto:lhardy@indy.rr.com</t>
  </si>
  <si>
    <t>Corporate Image Systems, Inc.</t>
  </si>
  <si>
    <t>="Proudly made in the U.S.A., The Resource Table™ (RT) is a dual patented, multi-purpose, mobile desktop/ rolling ad billboard/workstation &amp; promotional display/exhibition setup. “The Resource Table” (RT) is an innovative table system that offers numerous business solutions. The RT is designed to act as an information/ advertising/ sponsorship kiosk for all types of marketing, sales and promotional needs. The RT provides infinite uses for retail – merchandising, Point-of-Purchase displays, store fixture needs, indoor/outdoor kiosks, new product displays, holiday specials; turnkey trade exhibition/convention displays &amp; tradeshow booth solutions, corporate events, PR, direct marketing campaigns, seminars, registrations, demos, customer information, registration, indoor/outdoor kiosks, security, training, educational &amp; military base operations - recruiting and educational purposes such as: recruitment drives, fundraisers, open houses, high school and college recruiting kiosks, care"</t>
  </si>
  <si>
    <t>http://www.corporateimagesystems.com</t>
  </si>
  <si>
    <t>mailto:info@corporateimagesystems.com</t>
  </si>
  <si>
    <t>Nonwood Office Furniture Manufacturing</t>
  </si>
  <si>
    <t>Corporate Interior Solutions</t>
  </si>
  <si>
    <t>http://www.cisindy.net</t>
  </si>
  <si>
    <t>mailto:jcoovert@cisindy.net</t>
  </si>
  <si>
    <t>Furniture and Related Product Manufacturing</t>
  </si>
  <si>
    <t>Corporate Security Services, Inc</t>
  </si>
  <si>
    <t>mailto:corpsecserv@aol.com</t>
  </si>
  <si>
    <t>Corporate Services Inc</t>
  </si>
  <si>
    <t>http://www.easyaccessap.com</t>
  </si>
  <si>
    <t>mailto:mpajakowski@easyaccessap.com</t>
  </si>
  <si>
    <t>Oilseed and Grain Farming</t>
  </si>
  <si>
    <t>Corporate Solutions Group Incorporated</t>
  </si>
  <si>
    <t>="Corporate Solutions Group is a promotional products marketing company. We work with our client to help them solve their marketing issues and to better brand their company through the use of logo merchandise. We help them establish incentive and reward programs for their employees and customers. We help our clients build a safer work environment through the development of safety programs. Corporate Solutions Group wants to be your partner in building a stronger and more profitable company."</t>
  </si>
  <si>
    <t>http://www.fjsideas.com</t>
  </si>
  <si>
    <t>mailto:fshriner@csgideas.com</t>
  </si>
  <si>
    <t>Corradino LLC</t>
  </si>
  <si>
    <t>Correlated Products,</t>
  </si>
  <si>
    <t>http://www.cpicorrelated.com</t>
  </si>
  <si>
    <t>mailto:jstafford@cpicorrelated.com</t>
  </si>
  <si>
    <t>Corrosion Fluid Products</t>
  </si>
  <si>
    <t>http://www.corrosionfluid.com</t>
  </si>
  <si>
    <t>mailto:ar@corrosionfluid.com</t>
  </si>
  <si>
    <t>Corrosion Technologies, Inc.</t>
  </si>
  <si>
    <t>="Specialists in engineered components and systems to convey and contain corrosive fluids. Proud to represent many of the premier product lines in our industry. Provide technical assistance including training services and field certification of installation contractors."</t>
  </si>
  <si>
    <t>http://www.corrosiontech.com</t>
  </si>
  <si>
    <t>mailto:ksquires@corrosiontech.com</t>
  </si>
  <si>
    <t>Plastics Pipe and Pipe Fitting Manufacturing</t>
  </si>
  <si>
    <t>Cortez Environmental</t>
  </si>
  <si>
    <t>="Provide consulting. sampling &amp; remediation for indoor air quality issues related to mold &amp; other indoor contaminants. Provide environmental consulting &amp; remediation of sites impacted by hazardous or special waste. Conduct Ph I &amp; Ph II environmental site assessments &amp; subsurface investigations."</t>
  </si>
  <si>
    <t>mailto:cortezenv2004@yahoo.com</t>
  </si>
  <si>
    <t>Corvee, Inc.</t>
  </si>
  <si>
    <t>="Small woman owned Indiana based business selling telecom equipment to other businesses. Specialize in Plantronics headsets - corded, cordless and wireless - and spare parts and accessories for Plantronics headsets. Also, Plantronics cell phone headsets. Offer two and four line telephones, single line phones, cordless phones, handset and line cords and other telephone accessory parts. Represent Plantroncs, Panasonic, EnGenius, Polycom, ITT Cortelco, VTech GN Netcom."</t>
  </si>
  <si>
    <t>mailto:dixonphoneplace@att.net</t>
  </si>
  <si>
    <t>Other Electronic Parts and Equipment Merchant Wholesalers</t>
  </si>
  <si>
    <t>Corvilla, Inc.</t>
  </si>
  <si>
    <t>http://www.corvilla.org</t>
  </si>
  <si>
    <t>Corvus Industries, Inc.- dba Br Bleacher</t>
  </si>
  <si>
    <t>http://www.brbleachers.com</t>
  </si>
  <si>
    <t>mailto:sales@brbleachers.com</t>
  </si>
  <si>
    <t>Corvus Janitorial</t>
  </si>
  <si>
    <t>="We are a Commercial Janitorial Company, Corvus offers: • A color-coded mopping system that prevents cross contamination and only uses fresh water to service your hard surfaces. • The most high-tech, efficient commercial vacuuming system available. • A specialty in hard floor care (stripping/waxing, scrubbing/recoating, buffing) • Carpet cleaning. • Green Cleaning for the environmental concerns. • Mandatory back ground checks. • Mandatory uniforms. • Mandatory 24 hour satisfaction guarantee. • Monthly Courtesy Calls"</t>
  </si>
  <si>
    <t>http://www.corvusjanitorial.com</t>
  </si>
  <si>
    <t>mailto:acranfill@corvusjanitorial.com</t>
  </si>
  <si>
    <t>Corydon Chemical, LLC.</t>
  </si>
  <si>
    <t>mailto:tcobb.cc@gmail.com</t>
  </si>
  <si>
    <t>Chemical and Allied Products Wholesalers</t>
  </si>
  <si>
    <t>Cosmo-Tech INC</t>
  </si>
  <si>
    <t>http://bpcccarpet.com</t>
  </si>
  <si>
    <t>mailto:joe@bpcccarpet.com</t>
  </si>
  <si>
    <t>Cost-Effective Systems, Inc.</t>
  </si>
  <si>
    <t>="CES provides Performance Management and Information Technology services -- specializing in Performance Measure Definition, Advanced Reporting, Database Consolidation, Financial Analysis, Business Intelligence, Data Warehousing, and Process Re-engineering technologies/methods. The above specialties also include Extraction, Transformation, and Loading (ETL), Dimensional Design, Software Evaluations, Corporate Performance Management (CPM), Database Centralization, and Strategic/Planning Assessments."</t>
  </si>
  <si>
    <t>http://www.costeffsys.com</t>
  </si>
  <si>
    <t>mailto:lchizum@costeffsys.com</t>
  </si>
  <si>
    <t>Cottom Automated Business Solutions, LLC</t>
  </si>
  <si>
    <t>http://WWW.AUTOMATED-BUSINESS.COM</t>
  </si>
  <si>
    <t>mailto:S.COTTOM@AUTOMATED-BUSINESS.COM</t>
  </si>
  <si>
    <t>Cottongim Enterprises, Inc</t>
  </si>
  <si>
    <t>="General Contractor - Commercial New Construction, Renovations &amp; Expansions. A family-owned construction company that specializes in commercial and industrial jobs: large factories, warehouses, schools, office buidings, medical industry buildings, churches, restaurants, lodges, water tank foundations &amp; piping, Engineered steel buildings. Also offers design/build services. Additional Services: Agriculture buildings, Grain Bin Systems, etc."</t>
  </si>
  <si>
    <t>http://www.cottongimenterprises.com</t>
  </si>
  <si>
    <t>mailto:lshireman@cottongimenterprises.com</t>
  </si>
  <si>
    <t>Counseling Partners LLC</t>
  </si>
  <si>
    <t>http://counselingpartners.org</t>
  </si>
  <si>
    <t>Country Consultants, Inc</t>
  </si>
  <si>
    <t>http://www.countryconsultants.net</t>
  </si>
  <si>
    <t>mailto:countryconsultants@yahoo.com</t>
  </si>
  <si>
    <t>Country Gal Sewing</t>
  </si>
  <si>
    <t>mailto:maryanne@cebridge.net</t>
  </si>
  <si>
    <t>Country Serenity Counseling, LLC</t>
  </si>
  <si>
    <t>="Couseling service Country Serenity Counseling, LLC primarily provides counseling services for rural individuals. Services are provided using a rural perspective. Rural cultural componants are included in the services provided. Individualized treatment is a primary goal of Country Serenity Counseling, LLC"</t>
  </si>
  <si>
    <t>CountryLink LLC</t>
  </si>
  <si>
    <t>="CountryLink LLC is a Wireless Internet Service Provider (WISP) that is dedicated to reliable, affordable, customer-centered service. Our core business is providing high speed internet and voice services in places cable companies find cost prohibitive. CountryLink, LLC uses state of the art equipment to wirelessly provide internet via a small service module (antenna) installed at your location. The antenna is connected to your computer or local network for you to share internet with all your smart devices."</t>
  </si>
  <si>
    <t>http://www.mycountrylink.com</t>
  </si>
  <si>
    <t>mailto:info@mycountrylink.com</t>
  </si>
  <si>
    <t>Countryside Play Structures LLC</t>
  </si>
  <si>
    <t>http://www.countrysideplaystructures.com</t>
  </si>
  <si>
    <t>mailto:tiffany@countrysideco.com</t>
  </si>
  <si>
    <t>Courtland Ent</t>
  </si>
  <si>
    <t>mailto:bcraney@rnetinc.net</t>
  </si>
  <si>
    <t>Courtland Title</t>
  </si>
  <si>
    <t>http://courtlandtitle.info</t>
  </si>
  <si>
    <t>mailto:bcraney@courtlandtitle.info</t>
  </si>
  <si>
    <t>Covalen Service Group</t>
  </si>
  <si>
    <t>http://www.covalen.com</t>
  </si>
  <si>
    <t>mailto:jwoods@covalen.com</t>
  </si>
  <si>
    <t>Covenant Industrial Supply</t>
  </si>
  <si>
    <t>="COVENANT INDUSTRIAL SUPPLY IS A DISTRIBUTOR OF SAFETY SUPPLIES, FIRST AID PRODUCTS ,JANITORIAL PRODUCTS, AND MATERIAL HANDLING EQUIPMENT. WE OFFER NEXT-DAY DELIVERY ON OUR TRUCKS .COVENANT INDUSTRIAL SUPPLY GUARANTEES THE LOWEST COST OF SAFETY AND JANI/SAN PRODUCTS ."</t>
  </si>
  <si>
    <t>http://www.covenantindustrialsupply.com</t>
  </si>
  <si>
    <t>mailto:sales@covenantindustrialsupply.com</t>
  </si>
  <si>
    <t>Covert Surveillance &amp; Investigation, Inc</t>
  </si>
  <si>
    <t>mailto:csi_inc@verizon.net</t>
  </si>
  <si>
    <t>Coxhead Consulting</t>
  </si>
  <si>
    <t>http://www.coxheadconsulting.com</t>
  </si>
  <si>
    <t>mailto:info@coxheadconsulting.com</t>
  </si>
  <si>
    <t>Coxon Enterprises, Incorporated</t>
  </si>
  <si>
    <t>="Alternative Energy Services: We provide complete Project Management for the technologies listed below, Design, and Installation and Maintenance services from concept to commission. We navigate the available tax credits and rebates that are available so you don’t have to. This includes system design, installation, and also maintenance services for the following technologies: Energy Audits/Assessments Solar Electric Systems (both roof and ground mounted systems) Solar Thermal Water and Space Heating Systems Solar Swimming Pool Heating Solar Thermal Ice Melt Systems Hydronic Heating Systems Natural Lighting Wind Turbine Generators Rainwater Harvesting Products - Comprehensive resource for renewable energy components and equipment. Natural Light® Solar Attic Fans and Tubular Skylights, PV panels, SDHW collectors, inverters, charge controllers, and wind and micro hydro turbines."</t>
  </si>
  <si>
    <t>http://www.sunwindpowerinc.com</t>
  </si>
  <si>
    <t>mailto:info@sunwindpowerinc.com</t>
  </si>
  <si>
    <t>Coyle &amp; Associates, Inc.</t>
  </si>
  <si>
    <t>="Coyle &amp; Associates, Inc. provides environmental engineering and environmental science consulting services primarily related to water quality, waste water, storm water and water related regulatory issues. In addition, technical support services related to environmental modeling and analysis and geospatial information systems (GIS) is provided by Coyle &amp; Associates, Inc."</t>
  </si>
  <si>
    <t>mailto:eecoyle@juno.com</t>
  </si>
  <si>
    <t>Coyle Dodge</t>
  </si>
  <si>
    <t>http://www.coyledodge.com</t>
  </si>
  <si>
    <t>mailto:rcampbell@coyledeals.com</t>
  </si>
  <si>
    <t>Crafted Communications LLC</t>
  </si>
  <si>
    <t>http://www.craftedcomm.com</t>
  </si>
  <si>
    <t>mailto:amanda@craftedcomm.com</t>
  </si>
  <si>
    <t>Craig Welding and Manufacturing, Inc.</t>
  </si>
  <si>
    <t>http://www.craigwelding.com</t>
  </si>
  <si>
    <t>mailto:jay@craigwelding.com</t>
  </si>
  <si>
    <t>Other Fabricated Metal Product Manufacturing</t>
  </si>
  <si>
    <t>Crain Heating &amp; Air</t>
  </si>
  <si>
    <t>Crane Environmental</t>
  </si>
  <si>
    <t>http://www.crane-es.com</t>
  </si>
  <si>
    <t>mailto:cespres@insightbb.com</t>
  </si>
  <si>
    <t>Crane Werks II, LLC</t>
  </si>
  <si>
    <t>mailto:cranewerks@earthlink.net</t>
  </si>
  <si>
    <t>Craven Enterprises LLC</t>
  </si>
  <si>
    <t>="We solve shipping problems, specializing in Fragile, Large, Awkward and Valuable items. We have special equipment, training, full value insurance and shipper relationships to package and safely deliver anywhere in the world. We've packaged and shipped computers, business equipment, furniture, valuable artwork, medical equipment, chandeliers. Call us when you encounter a shipping challenge. We pick up and deliver and can offer storage and a receiving dock."</t>
  </si>
  <si>
    <t>http://www.gonavis.com</t>
  </si>
  <si>
    <t>mailto:in1050@gonavis.com</t>
  </si>
  <si>
    <t>Packing and Crating</t>
  </si>
  <si>
    <t>Crawford Profesional Arts Building</t>
  </si>
  <si>
    <t>mailto:angela_crecelius@hotmail.com</t>
  </si>
  <si>
    <t>Crawfordsville Town &amp; Country Homecenter</t>
  </si>
  <si>
    <t>http://www.townandcountryhomecenter.com</t>
  </si>
  <si>
    <t>Crazy Promos</t>
  </si>
  <si>
    <t>="Crazy Promos is an ASI, experienced provider of promotional products, creatively branding your company name, project or event. What sets us apart is our responsive and flexible approach to advertising. We understand the value of promotional product advertising and work closely with our clients to provide the best possible product."</t>
  </si>
  <si>
    <t>http://www.crazypromos.net</t>
  </si>
  <si>
    <t>mailto:donna.crazypromos@sbcglobal.net</t>
  </si>
  <si>
    <t>Create Yours</t>
  </si>
  <si>
    <t>Creative Concepts Ventures, Inc.</t>
  </si>
  <si>
    <t>="Insty-Prints is a cutting edge printing company that specializes in printing, design, bindery, black and white as well as color high volume copying. We have access to all of the latest software as well as the most up to date printing presses and bindery machines."</t>
  </si>
  <si>
    <t>http://jeffersonvilleinstyprints.com</t>
  </si>
  <si>
    <t>mailto:instyprint@insightbb.com</t>
  </si>
  <si>
    <t>Creative Custom Finishes, INC.</t>
  </si>
  <si>
    <t>mailto:creativecustomfinishes@yahoo.com</t>
  </si>
  <si>
    <t>Creative Designs Emb</t>
  </si>
  <si>
    <t>mailto:libbynoll@insightbb.com</t>
  </si>
  <si>
    <t>Sewing, Needlework, and Piece Goods Stores</t>
  </si>
  <si>
    <t>Creative Direction</t>
  </si>
  <si>
    <t>="Our mission is to provide return on investment marketing communications services that can significantly and measurably increase sales to help businesses grow and to increase shareholder value. Our objective is to serve as a marketing department or as a marketing director developing marketing strategies that are data driven, managed, and executed with measurable results."</t>
  </si>
  <si>
    <t>http://www.creativedirection.com/</t>
  </si>
  <si>
    <t>mailto:kparnham@creativedirection.com</t>
  </si>
  <si>
    <t>Creative Health Care Management, LLC</t>
  </si>
  <si>
    <t>http://www.creativehealth-solutions.com</t>
  </si>
  <si>
    <t>mailto:jeff.clayton@tlcmgmt.com</t>
  </si>
  <si>
    <t>Creative Image Solutions</t>
  </si>
  <si>
    <t>http://www.creativeimagesolutions.biz</t>
  </si>
  <si>
    <t>mailto:hduran@sbcglobal.net</t>
  </si>
  <si>
    <t>Creative Interior Design &amp; Decor, LLC</t>
  </si>
  <si>
    <t>="Interior Design &amp; Decorating. I provide consulting service along with subcontracting out painters, wall papers, flooring installors, electricians. I can provide office furniture, lighting &amp; fixtures, window treatments (shades/blinds), artwork and accessories."</t>
  </si>
  <si>
    <t>mailto:bernlew@earthlink.net</t>
  </si>
  <si>
    <t>Creative Juice LLC</t>
  </si>
  <si>
    <t>http://www.creativejuicestudio.com</t>
  </si>
  <si>
    <t>mailto:angela@creativejuicestudio.com</t>
  </si>
  <si>
    <t>Creative Marketing Concepts INC</t>
  </si>
  <si>
    <t>="Creative Marketing Concepts is a local business with real world experience. We offer promotional and apparel products to companies and organizations. We also provide a private labeling service, which is the process of captivating unbranded products and giving it a name. We currently provide this service to clients in Southern California. The private labeling service is one of the many factors that set us apart from other marketing companies. We outfit businesses and organizations with apparel such as woven shirts, knit shirts, and t-shits, along with active wear, headwear, fleece, outerwear, and accessories; all of which can either be screened or embroidered. Productions are all completed in house meaning the wait times are condensed, quality control is assured, and customer service is perfected. The promotional products division provides an assortment of items. Any product a company would want to put their logo on we can provide. We have a great assortment of banners and flags"</t>
  </si>
  <si>
    <t>http://www.cmcwebsite.com</t>
  </si>
  <si>
    <t>mailto:sales@cmcwebsite.com</t>
  </si>
  <si>
    <t>Creative Marketing Solutions, Inc.</t>
  </si>
  <si>
    <t>http://www.creativemktgsolutions.com</t>
  </si>
  <si>
    <t>Creative Promotions</t>
  </si>
  <si>
    <t>http://www.creativepromotionsatwork.com</t>
  </si>
  <si>
    <t>mailto:lalerding@creativepromotionsatwork.com</t>
  </si>
  <si>
    <t>Creative Promotions &amp; The Trophy, Inc.</t>
  </si>
  <si>
    <t>Creative Renovations, Inc.</t>
  </si>
  <si>
    <t>http://www.creativerenovations.net</t>
  </si>
  <si>
    <t>mailto:corpoffice@creativerenovations.net</t>
  </si>
  <si>
    <t>Creative Sign Resources, LLC</t>
  </si>
  <si>
    <t>http://www.creativesignresources.com</t>
  </si>
  <si>
    <t>mailto:info@creativesignresources.com</t>
  </si>
  <si>
    <t>Creative Solutions Consulting Inc</t>
  </si>
  <si>
    <t>="Creative Solutions Consulting Incorporated (CSCI) is a woman owned small business that provides consulting services in the area of software quality assurance, data modeling and design, business process improvement (BPI), functional requirements documentation and project management. Our primary focus has been within the public sector providing services for the DoD's Defense Finance and Accounting Services (DFAS). Our team members have helped DFAS projects establish a comprehensive software test process to include Software Test Plans, test scripts, and scenarios. In addition, our team led the efforts to implement project management tools and methodologies which have helped DFAS projects be more successful."</t>
  </si>
  <si>
    <t>http://www.csciconsulting.com</t>
  </si>
  <si>
    <t>mailto:contact@csciconsulting.com</t>
  </si>
  <si>
    <t>Creative Stamping</t>
  </si>
  <si>
    <t>http://www.creativestamping.net</t>
  </si>
  <si>
    <t>mailto:larrykhome@aol.com</t>
  </si>
  <si>
    <t>Creighton Brothers LLC</t>
  </si>
  <si>
    <t>Poultry and Poultry Product Merchant Wholesalers</t>
  </si>
  <si>
    <t>Crider &amp; Crider, Inc.</t>
  </si>
  <si>
    <t>http://www.criderandcrider.com</t>
  </si>
  <si>
    <t>Crime Control Research, Inc.</t>
  </si>
  <si>
    <t>Cripe Inc.</t>
  </si>
  <si>
    <t>http://www.dcgaragedoors.com</t>
  </si>
  <si>
    <t>mailto:dcgaragedoors@embarqmail.com</t>
  </si>
  <si>
    <t>Cripes Septic Svc In</t>
  </si>
  <si>
    <t>mailto:schmitt@maplenet.net</t>
  </si>
  <si>
    <t>Crisilis Development Company, LLC</t>
  </si>
  <si>
    <t>http://www.crisilis.com</t>
  </si>
  <si>
    <t>mailto:crisilis@crislis.com</t>
  </si>
  <si>
    <t>Crisis Center Inc A Youth Service Bureau</t>
  </si>
  <si>
    <t>="Crisis Center Inc., A Youth Service Bureau, is an Indiana Youth Service Bureau which has been serving families, individuals, and youths, primarily in Lake and Porter counties, since 1971. It is located in the Miller Beach area of Gary. It is composed of seven distinct programs including an emergency youth shelter for boys and girls, counseling services, listening and referral line, reassurance contacts for the elderly and homebound, teen court diversionary program, an outreach program for troubled youth, and a youth community service development program."</t>
  </si>
  <si>
    <t>http://www.crisiscenterysb.org</t>
  </si>
  <si>
    <t>mailto:crisis@crisiscenterysb.org</t>
  </si>
  <si>
    <t>Crisis Center, Inc., a Youth Service Bur</t>
  </si>
  <si>
    <t>Crisis Cleaning, Inc.</t>
  </si>
  <si>
    <t>http://www.crisiscleaning.com</t>
  </si>
  <si>
    <t>mailto:www.crisiscleaning.com</t>
  </si>
  <si>
    <t>Crisis Connection</t>
  </si>
  <si>
    <t>="Domestic and sexual violence victim assistance agency whose mission is to work in partnership with communities to empower victims, survivors and persons affected by domestic and sexual violence through confidential crisis intervention, education, and advocacy."</t>
  </si>
  <si>
    <t>http://www.crisisconnectioninc.org</t>
  </si>
  <si>
    <t>mailto:edcci@psci.net</t>
  </si>
  <si>
    <t>Crismar Graphics, In</t>
  </si>
  <si>
    <t>http://www.crismargraphics.com</t>
  </si>
  <si>
    <t>mailto:Bowens@crismargraphics.com</t>
  </si>
  <si>
    <t>Critical Skills, Inc.</t>
  </si>
  <si>
    <t>="CSpring is known by its clients for delivering high-impact solutions and seasoned professionals to implement business-critical technology initiatives. Our team is comprised of full-time consultants with deep experience in data management, regulatory compliance, and IT project support. The breadth and depth of our experience is a key differentiator. We deliberately seek out and employ the talented professionals who have developed their expertise through the challenges of real world experience to lead our projects. Our consultants possess deeply developed niche skills and industry experiences that provide immediate value to our clients. We are definitively focused on client satisfaction and view our client references as significant assets."</t>
  </si>
  <si>
    <t>http://www.cspring.com</t>
  </si>
  <si>
    <t>mailto:cpizarro@cspring.com</t>
  </si>
  <si>
    <t>Critser's Flowers an</t>
  </si>
  <si>
    <t>http://www.critsersflowersandgifts.com</t>
  </si>
  <si>
    <t>mailto:critser59@netscape.net</t>
  </si>
  <si>
    <t>Crocodile Cutter, LLC</t>
  </si>
  <si>
    <t>mailto:crocodilecutter@yahoo.com</t>
  </si>
  <si>
    <t>Crosby Construction, Inc</t>
  </si>
  <si>
    <t>mailto:Crosby.Const.Inc@gmail.com</t>
  </si>
  <si>
    <t>Crosby Excavating, Inc.</t>
  </si>
  <si>
    <t>Cross County Consulting, LLC</t>
  </si>
  <si>
    <t>="Cross County Consulting, LLC is a consulting engineering and surveying firm providing complete site development services to both private and public sectors. We are skilled in roadway, storm water drainage and utility design, site grading and all other aspects of site development. We provide services such as, but not limited to: Conceptual Site Planning Topographic Surveys Boundary and Land Title Surveys Subdivision Platting Builder Services- Plot Plans, House Staking, Lot Stakes"</t>
  </si>
  <si>
    <t>mailto:crosscounty@att.net</t>
  </si>
  <si>
    <t>CrossRoad Engineers, PC</t>
  </si>
  <si>
    <t>="Since our inception in 1995, CrossRoad Engineers PC has established itself as one of central Indiana's leading civil engineering firms with a solid reputation for excellence...from start to finish providing: • Road Design • Bridge Design Drainage Design • Construction Inspection • Commercial &amp; Residential Site Design • Transportation Enhancement • Water Main Replacement • Site Development Consultation"</t>
  </si>
  <si>
    <t>http://www.crossroadengineers.com</t>
  </si>
  <si>
    <t>mailto:info@crossroadengineers.com</t>
  </si>
  <si>
    <t>Crossfire Corp</t>
  </si>
  <si>
    <t>http://cbchili.com</t>
  </si>
  <si>
    <t>mailto:karenc@cbchili.com</t>
  </si>
  <si>
    <t>Frozen Specialty Food Manufacturing</t>
  </si>
  <si>
    <t>Crossroad Child &amp; Family Services, Inc.</t>
  </si>
  <si>
    <t>="Crossroad Child &amp; Family Services, Inc. has been delivering services to youth and their families, in Fort Wayne, IN for over 100 years. Our current service offerings include but are not limited to residential services, out-patient counseling, home-based services, and independent living services."</t>
  </si>
  <si>
    <t>http://crossroad-fwch.org</t>
  </si>
  <si>
    <t>mailto:dmullins@crossroad-fwch.org</t>
  </si>
  <si>
    <t>Residential Mental Retardation, Mental Health and Substance Abuse Facilities</t>
  </si>
  <si>
    <t>Crossroads Ambulance Sales &amp; Service, LL</t>
  </si>
  <si>
    <t>mailto:dean@crossroadsambulance.com</t>
  </si>
  <si>
    <t>Crossroads Business Solutions</t>
  </si>
  <si>
    <t>="Information Technology services company. We manage, support, and implement computer LAN and WAN networks. Our outsourced model allows you to tap into our expert resources when you need it - and literally pay for what you get. We offer a variety of ongoing maintenance agreements designed to meet your organization's technology needs. Or, you can contract with us on a project-by-project basis. Regardless, you always get senior level engineers who are trained and certified in the technology they are working on."</t>
  </si>
  <si>
    <t>http://www.xrbs.com</t>
  </si>
  <si>
    <t>mailto:sales@xrbs.com</t>
  </si>
  <si>
    <t>Crossroads Business Solutions, LLC</t>
  </si>
  <si>
    <t>mailto:scott@xrbs.com</t>
  </si>
  <si>
    <t>Crossroads Mobility Transport LLC</t>
  </si>
  <si>
    <t>http://www.crossroadsmobiltytransportllc</t>
  </si>
  <si>
    <t>mailto:crossroadsmobilitytransport@yahoo.com</t>
  </si>
  <si>
    <t>Special Needs Transportation</t>
  </si>
  <si>
    <t>Crossroads Rehabilitation Center, Inc.</t>
  </si>
  <si>
    <t>="Easter Seals Crossroads improves the lives of children and adults with special needs, disabilities or challenges by promoting inclusion, independence and dignity. We provide therapy, behavioral, employment, assistive technology and interpreting services to children and adults with disabilities. Crosssroads Industrial Services (CIS), a division of Easter Seals Crossroads, is an affirmative business that provides an inclusive, light manufacturing environment for people with or without disabilities. CIS supplies a variety of manufacturing, assembly, packaging and sheet metal cutting, forming and fabrication to several local, regional and national businesses and industries on a contract or sub-contract basis."</t>
  </si>
  <si>
    <t>http://www.eastersealscrossroads.org</t>
  </si>
  <si>
    <t>mailto:info@eastersealscrossroads.org</t>
  </si>
  <si>
    <t>Crossroads Resource Management</t>
  </si>
  <si>
    <t>http://www.crm-workforce.com</t>
  </si>
  <si>
    <t>mailto:jennifer.weaver@crm-workforce.com</t>
  </si>
  <si>
    <t>Crossroads Wireless, LLC</t>
  </si>
  <si>
    <t>http://www.crossroadswireless.com</t>
  </si>
  <si>
    <t>mailto:creston@crossroadswireless.com</t>
  </si>
  <si>
    <t>Cellular and Other Wireless Telecommunications</t>
  </si>
  <si>
    <t>Crosstown Traffic, Inc.</t>
  </si>
  <si>
    <t>mailto:Cara@Hummelelectric.com</t>
  </si>
  <si>
    <t>Crothersville-Vernon Twp. Vol. Fire Dept</t>
  </si>
  <si>
    <t>Crowder &amp; Darnall</t>
  </si>
  <si>
    <t>mailto:ted@crowderanddarnall.com</t>
  </si>
  <si>
    <t>Crowder-Detention Equip. Parts &amp; Service</t>
  </si>
  <si>
    <t>http://www.crowderdetention.com</t>
  </si>
  <si>
    <t>mailto:info@crowderdetention.com</t>
  </si>
  <si>
    <t>Hardware Merchant Wholesalers</t>
  </si>
  <si>
    <t>Crowe Horwath LLP</t>
  </si>
  <si>
    <t>="Crowe Horwath LLP (www.crowehorwath.com) is one of the largest public accounting, consulting, and technology firms in the United States. Under its core purpose of “Building Value with Values®,” Crowe uses its deep industry expertise to provide audit services to public and private entities while also helping clients reach their goals with tax, advisory, risk and performance services. With offices coast to coast and 3,000 personnel, Crowe is recognized by many organizations as one of the country's best places to work. Crowe serves clients worldwide as an independent member of Crowe Horwath International, one of the largest global accounting networks in the world. The network consists of more than 200 independent accounting and advisory services firms in more than 120 countries around the world."</t>
  </si>
  <si>
    <t>http://www.crowehorwath.com</t>
  </si>
  <si>
    <t>mailto:proposal.center@crowehorwath.com</t>
  </si>
  <si>
    <t>Crowley Engineering Group, LLC</t>
  </si>
  <si>
    <t>="Crowley Engineering Group d/b/a CEG Industrial Systems serves the commercial, industrial, municipal and institutional markets as an environmental technologies service provider. We develop and implement solutions for improving indoor air quality, water treatment processes, and building energy efficiency."</t>
  </si>
  <si>
    <t>http://www.crowleyengineering.com</t>
  </si>
  <si>
    <t>mailto:cegis@sbcglobal.net</t>
  </si>
  <si>
    <t>Crowley Engineering LLC</t>
  </si>
  <si>
    <t>="Crowley Engineering is an engineering services firm that delivers common-sense solutions for unique infrastructure challenges. Our team is comprised of knowledgeable professionals who have a passion for taking on the most demanding projects, including facility assessments, regulatory compliance review, investigative assignments and forensic engineering."</t>
  </si>
  <si>
    <t>mailto:info@crowleyengineering.com</t>
  </si>
  <si>
    <t>Crown Engineering Inc</t>
  </si>
  <si>
    <t>mailto:deeb@crown.net</t>
  </si>
  <si>
    <t>Crown Metal-Fab, Inc</t>
  </si>
  <si>
    <t>="We are a full service welder and fabricator including on-site welding capabilities to serve you. We also provide maintenance services for many of our customers. Some of the various maintenance activities include: · Boiler repair, retubing and maintenance including annual inspections · Rigging and moving equipment · On-site welding and repair We understand that special projects can come up that are outside the scope of your maintenance crew or sometimes you just have too much work and not enough time to get it done. Whether you have a specialized job or just need to supplement your maintenance crew, we can help. We are a member of both the local Chamber of Commerce and the Better Business Bureau. We look forward to discussing your project with you."</t>
  </si>
  <si>
    <t>http://www.crownmetalfab.com</t>
  </si>
  <si>
    <t>mailto:574-233-6101</t>
  </si>
  <si>
    <t>Crown Precision Products, Inc.</t>
  </si>
  <si>
    <t>="Laptop computer mounts for police, fire and other public or private agency vehicles. Secure and airbag safe. With or without DC power source solution for computer and/or mobile printers. Custom designed for maximum security of late model laptops. Minimum order quantities may apply."</t>
  </si>
  <si>
    <t>mailto:cprecision@indy.rr.com</t>
  </si>
  <si>
    <t>Other Computer Peripheral Equipment Manufacturing</t>
  </si>
  <si>
    <t>CrownCoatings LLC</t>
  </si>
  <si>
    <t>mailto:crowncoatings@sbcglobal.net</t>
  </si>
  <si>
    <t>Metal Coating, Engraving (except Jewelry and Silverware), and Allied Services to Manufacturers</t>
  </si>
  <si>
    <t>Cruzin Services Inc</t>
  </si>
  <si>
    <t>http://indianapolis-southwest.windowgeni</t>
  </si>
  <si>
    <t>mailto:karenangle@windowgenie.com</t>
  </si>
  <si>
    <t>Crystal Couture</t>
  </si>
  <si>
    <t>http://www.crystalcouture.org</t>
  </si>
  <si>
    <t>mailto:jenny@crystalcouture.org</t>
  </si>
  <si>
    <t>Apparel, Piece Goods, and Notions Merchant Wholesalers</t>
  </si>
  <si>
    <t>Crystal Flash Petroleum</t>
  </si>
  <si>
    <t>="Crystal Flash Petroleum is a family owned business incorporated by John E. Fehsenfeld in 1930. At its conception the company sold one product, axle grease. In the early years of development, Crystal Flash established tank wagon routes to deliver kerosene to grocery stores and opened a few service stations. From this foundation the company has grown to become a diversified petroleum marketer of commercial fuels and lubricants and an operator of retail convenience store/gasoline facilities throughout the State of Indiana. Our Commercial division provides On and Off-road fuels to onsite projects. We have the ability to fuel tanks as well as wet-hose equipment. Call if you have any questions."</t>
  </si>
  <si>
    <t>http://www.crystal-flash.com</t>
  </si>
  <si>
    <t>mailto:jeraldb@crystal-flash.com</t>
  </si>
  <si>
    <t>Petroleum and Petroleum Products Merchant Wholesalers (except Bulk Stations and Terminals)</t>
  </si>
  <si>
    <t>Crystal Lake LLC</t>
  </si>
  <si>
    <t>All Other Miscellaneous Food Manufacturing</t>
  </si>
  <si>
    <t>Crystal Maxberry</t>
  </si>
  <si>
    <t>http://www.kochhomeimprovements.com</t>
  </si>
  <si>
    <t>mailto:kochhomeimprovement@gmail.com</t>
  </si>
  <si>
    <t>Crystal Pure Environmental Systems</t>
  </si>
  <si>
    <t>="Bottled Water &amp; Water Purification Mfgs. Crystal Pure's service area extends from central to southern Indiana. We provide 3 &amp; 5 Gal Purified Water; 1/2L, water softeners, reverse osmosis, ultra violet for water &amp; waste water, parts, and supplies &amp; repairs for all models."</t>
  </si>
  <si>
    <t>http://www.crystalpure.com</t>
  </si>
  <si>
    <t>mailto:melba@crystalpure.com</t>
  </si>
  <si>
    <t>Crystal Sound Stage Productions, Inc.</t>
  </si>
  <si>
    <t>mailto:failaf@hotmail.com</t>
  </si>
  <si>
    <t>Crystal Valley Computers, Inc</t>
  </si>
  <si>
    <t>http://www.crystalvalleycomputers.com</t>
  </si>
  <si>
    <t>mailto:cvc@mailcvc.com</t>
  </si>
  <si>
    <t>Electronic Computer Manufacturing</t>
  </si>
  <si>
    <t>Culinary Innovations</t>
  </si>
  <si>
    <t>="Full service caterer. Specializing in Ethnic and Heart Healthy Cuisine. Wedding and Theme cakes, Ice Sculptures, Heavy Hors D'oeuvres, Cocktail receptions. Corporate Luncheons, On and off location, designer menu's by a Certified Executive Chef. Discrete catering for 4 to 400."</t>
  </si>
  <si>
    <t>http://culinaryinnovations@indy.rr.com</t>
  </si>
  <si>
    <t>mailto:culinaryinnovations@indy.rr.com</t>
  </si>
  <si>
    <t>Culinary Teas LLC</t>
  </si>
  <si>
    <t>http://www.culinaryteas.com</t>
  </si>
  <si>
    <t>mailto:sales@culinaryteas.com</t>
  </si>
  <si>
    <t>Coffee and Tea Manufacturing</t>
  </si>
  <si>
    <t>Culligan Water Company of Indiana, Inc.</t>
  </si>
  <si>
    <t>Other Consumer Goods Rental</t>
  </si>
  <si>
    <t>CulturaLink, Inc.</t>
  </si>
  <si>
    <t>="CulturaLink partners with health care organizations and government agencies to manage the impact of the growing diversity in today's marketplace. Our services include cultural and linguistic assessments, cultural and diversity consulting, interpretation and translation services, community assessments, and bilingual diversity staffing; all of these are tools necessary to deliver quality services and compete in today's culturally diverse environment. We are a proven partner in helping organizations enhace performance and ease cultural transformation."</t>
  </si>
  <si>
    <t>http://www.theculturalink.com</t>
  </si>
  <si>
    <t>mailto:yrobles@theculturalink.com</t>
  </si>
  <si>
    <t>Culturally Competent Consulting, Inc.</t>
  </si>
  <si>
    <t>="Founded by Dr. Angela Jackson with a vision to educate, empower, and embrace the cultural platform of all its clients. Services include training others to be culturally competent via cultural awareness training, intercultural communication workshops, and cross-cultural relationship skill building."</t>
  </si>
  <si>
    <t>http://www.culturallycompetentconsulting</t>
  </si>
  <si>
    <t>mailto:angela@culturallycompetentconsulting.com</t>
  </si>
  <si>
    <t>Culverts Plus, Inc</t>
  </si>
  <si>
    <t>http://cpisupply.com</t>
  </si>
  <si>
    <t>Culy Contracting, Inc.</t>
  </si>
  <si>
    <t>http://www.culycontracting.com</t>
  </si>
  <si>
    <t>mailto:marks@culycontracting.com</t>
  </si>
  <si>
    <t>Cummings Meeting Consultants, Inc.</t>
  </si>
  <si>
    <t>http://www.cmcglobal.com</t>
  </si>
  <si>
    <t>mailto:daves@dmcindy.com</t>
  </si>
  <si>
    <t>Convention and Trade Show Organizers</t>
  </si>
  <si>
    <t>Cummings Mowing and Landscaping</t>
  </si>
  <si>
    <t>mailto:ccummings001@student.ibcschools.edu</t>
  </si>
  <si>
    <t>Cummins Crosspoint</t>
  </si>
  <si>
    <t>http://www.crosspoint.cummins.com</t>
  </si>
  <si>
    <t>Cumulus IT Group, Inc.</t>
  </si>
  <si>
    <t>="Cumulus IT Group, LLC provides IT Management and Consulting services to businesses and government in Indiana. We have partnered with Microsoft to deliver business solutions based on cloud computer technologies, including business productivity improvements, infrastructure management and IT management services."</t>
  </si>
  <si>
    <t>http://cumulusitgroup.com</t>
  </si>
  <si>
    <t>mailto:dave@cumulusitgroup.com</t>
  </si>
  <si>
    <t>Cunningham Quality Painting,INC</t>
  </si>
  <si>
    <t>="We powder coat production parts on an approximately 1250 ft. conveyor line. There is a five-stage pretreatment washer, 40'x80' dry-off/cure oven, and manual / automatic finishing. We have one of the largest batch oven systems in the state of Indiana. We have been in business over 20 years and guarantee our quality of work."</t>
  </si>
  <si>
    <t>Curb Appeal Landscaping and Lawn Care</t>
  </si>
  <si>
    <t>="Curb Appeal Landscaping and Lawn Care is a year round business that caters to both commercial and residential clients. We provide all of the following services, but not limited to, landscaping and lawn management, snow plowing, leaf removal, remodeling and construction"</t>
  </si>
  <si>
    <t>http://www.curbappealindy.com</t>
  </si>
  <si>
    <t>mailto:jwilkinson@curbappealindy.com</t>
  </si>
  <si>
    <t>Curley Building Material Inc.</t>
  </si>
  <si>
    <t>http://www.curleybrick.com</t>
  </si>
  <si>
    <t>mailto:curleybrick@ameritech.net</t>
  </si>
  <si>
    <t>Curran Architecture</t>
  </si>
  <si>
    <t>http://www.curran-architecture.com</t>
  </si>
  <si>
    <t>mailto:scurran@curran-architecture.com</t>
  </si>
  <si>
    <t>Current Mechanical</t>
  </si>
  <si>
    <t>Curtis Garage &amp; Wrecker Service, Inc.</t>
  </si>
  <si>
    <t>="We are a automotive/diesel repair shop. We offer 24 hour towing and recovery for vehicles, trucks and equipment of all sizes. We also offer 24 road service and we sell new and used tires. We have capabilities of doing load transfers and load shifts. We also haul equipment and have a landoll and lowboy trailer."</t>
  </si>
  <si>
    <t>Custom Art Screen Printing, Inc.</t>
  </si>
  <si>
    <t>="Custom Art is a small, family owned, screen printing company located in Fort Wayne, Indiana , and have been in business since 1962. And is now currently woman owned/second generation. Certification process has started. We specialize in quick turnaround , and custom design with competitive pricing. We do not charge extra for creative design on items we print. We design and print shelf talkers, political signs, banners, pole signs, case cards, easel cards, channel strips, ceiling danglers and decals, as well as other specialty items you might need."</t>
  </si>
  <si>
    <t>http://www.customartfw.com</t>
  </si>
  <si>
    <t>mailto:teresasutton@customartfw.com</t>
  </si>
  <si>
    <t>Custom Coating, Inc.</t>
  </si>
  <si>
    <t>="Provides Manganese Phospate and Autophoretic 700 &amp; 800 paint coatings for primarily automotive industry. Offer vibratory de-burring, salt spray testing, and industrial rust stripping services. New chromium free conversion coating process for aluminum alloys. Minority business certificate #101703-01. QS-9000/ISO 9002 certified."</t>
  </si>
  <si>
    <t>http//www.customcoatinginc.com</t>
  </si>
  <si>
    <t>mailto:thines@customcoatinginc.com</t>
  </si>
  <si>
    <t>All Other Miscellaneous Chemical Product Manufacturing</t>
  </si>
  <si>
    <t>Custom Communications</t>
  </si>
  <si>
    <t>mailto:lrmull@hotmail.com</t>
  </si>
  <si>
    <t>Custom Computer Solutions, Inc.</t>
  </si>
  <si>
    <t>mailto:ccs_inc@netzero.net</t>
  </si>
  <si>
    <t>Custom Door Products</t>
  </si>
  <si>
    <t>http://www.customdoorproducts.com</t>
  </si>
  <si>
    <t>mailto:cdp@customdoorproducts.com</t>
  </si>
  <si>
    <t>Metal Window and Door Manufacturing</t>
  </si>
  <si>
    <t>Custom Engineering &amp; Fabrication, Inc.</t>
  </si>
  <si>
    <t>mailto:general@ceandf.com</t>
  </si>
  <si>
    <t>Custom Enterprises L</t>
  </si>
  <si>
    <t>http://www.cesales.biz</t>
  </si>
  <si>
    <t>mailto:sales@Cesales.biz</t>
  </si>
  <si>
    <t>Custom Interior Dynamics LLC</t>
  </si>
  <si>
    <t>http://www.custominteriordynamics.com</t>
  </si>
  <si>
    <t>mailto:www.info@custominteriordynamics.com</t>
  </si>
  <si>
    <t>Other Wood Product Manufacturing</t>
  </si>
  <si>
    <t>Custom Printers</t>
  </si>
  <si>
    <t>="Custom Printers prints envelopes, club directories, business cards and letterheads. We also print dental forms used by dentist in several states. We produce several news letters and print a local High School news paper and a national yearbook for a hunting origination. Binding and typesetting service is available. Our turn around time in most cases is ten days or less."</t>
  </si>
  <si>
    <t>mailto:customprinters@yahoo.com</t>
  </si>
  <si>
    <t>Custom Products &amp; Janitorial Supplies</t>
  </si>
  <si>
    <t>Custom Realty Solutions, LLC</t>
  </si>
  <si>
    <t>="Our business is a full-service real estate brokerage firm. We offer services to buyers, sellers as well as investors. Additionally, we provide services that include pre-foreclosure/short sale consulting and assistance as well as bank REO services. Our company prides itself on providing ""client focused"" real estate services!"</t>
  </si>
  <si>
    <t>http://www.CustomRealtySolutions.net</t>
  </si>
  <si>
    <t>mailto:info@customrealtysolutions.net</t>
  </si>
  <si>
    <t>Custom Surface Solutions</t>
  </si>
  <si>
    <t>http://www.themadmatterinc.com</t>
  </si>
  <si>
    <t>mailto:madmats@mintel.net</t>
  </si>
  <si>
    <t>All Other Rubber Product Manufacturing</t>
  </si>
  <si>
    <t>Custom Wood fencing</t>
  </si>
  <si>
    <t>mailto:gracejs8@aol.com</t>
  </si>
  <si>
    <t>Customized Learning,</t>
  </si>
  <si>
    <t>="For those individuals who are preparing to take the state insurance exam we provide pre-licensing certfication. In addition we will offer continuing education in the insurance field. January 2005 we will launch our customer service program where businesses can outsource their training needs to Customized Learning, Inc."</t>
  </si>
  <si>
    <t>http://www.customizedlearningedu.com</t>
  </si>
  <si>
    <t>mailto:denisecustomized@sbcglobal.net</t>
  </si>
  <si>
    <t>Cut N Dry Construction Inc</t>
  </si>
  <si>
    <t>mailto:cutndryconstruction@live.com</t>
  </si>
  <si>
    <t>Cut-N-Edge Professional Lawn Service</t>
  </si>
  <si>
    <t>Cutting Edge Excavation</t>
  </si>
  <si>
    <t>http://www.cuttingedgeexcavation.com</t>
  </si>
  <si>
    <t>mailto:sara@cuttingedgeexcavation.com</t>
  </si>
  <si>
    <t>Cyberactive, Inc.</t>
  </si>
  <si>
    <t>Automobile Driving Schools</t>
  </si>
  <si>
    <t>Cycle Outfitters Limited Inc</t>
  </si>
  <si>
    <t>http://www.cycleoutfitters.com</t>
  </si>
  <si>
    <t>mailto:contact@cycleoutfitters.com</t>
  </si>
  <si>
    <t>Cynthia Collier</t>
  </si>
  <si>
    <t>mailto:ccollier404@comcast.net</t>
  </si>
  <si>
    <t>Cynthia D. Trapp</t>
  </si>
  <si>
    <t>mailto:cynthiatrapp@sbcglobal.net</t>
  </si>
  <si>
    <t>Cynthia E. Lamb</t>
  </si>
  <si>
    <t>="We help our customers increase their sales - Increase Yours! By providing products at wholesale for retail sales, products that enhance your marketing and advertising strategies and gifts that make an impression on your customers, VIPS, prospects and coworkers. Not feeling creative? Not only will we brainstorm with you to create a great package, but we can find any product you need, at a price that will work for your budget. Our goal is to make your job easier and help you drive revenue and improve profit margins!"</t>
  </si>
  <si>
    <t>mailto:celgolf@msn.com</t>
  </si>
  <si>
    <t>Cynthia Gough Realty</t>
  </si>
  <si>
    <t>Cynthia K. Lewis &amp; Associates LLC</t>
  </si>
  <si>
    <t>Cynthia Kelley</t>
  </si>
  <si>
    <t>="As a graphic designer, I have worked in the publishing, prepress and printing industry for more than 10 years. I guarantee I can design your piece and prepare it for printing, while meeting your deadline and budget. I design logos, magazines, books, fliers, ads, postcards, PowerPoint presentations, Acrobat forms and more. If it can be printed, I can design it. I also do some website design."</t>
  </si>
  <si>
    <t>mailto:cindykelley@mac.com</t>
  </si>
  <si>
    <t>Cynthia Rhoades</t>
  </si>
  <si>
    <t>="Custom laser engraving on wood, marble, glass and many other materials. Included in some products I offer are awards, wall murals, plaques of marble and wood. Each item is made to customers specifications and must be approved by customer before product is completed. To many items to mention. I can engrave or metal mark almost anything from Agate slices to out signs. We are BBB accredited."</t>
  </si>
  <si>
    <t>http://www.lasercreationsstore.com</t>
  </si>
  <si>
    <t>mailto:info@lasercreationstore.com</t>
  </si>
  <si>
    <t>D &amp; D PROMOTIONAL SERVICES</t>
  </si>
  <si>
    <t>mailto:ddpattie@aol.com</t>
  </si>
  <si>
    <t>D &amp; E CONSULTING LLC</t>
  </si>
  <si>
    <t>="D &amp; E Consulting, LLC is a state-certified woman-owned business enterprise. We perform a variety of computer consulting services. We are also technical writers and publishers. We install and maintain computer hardware and software. We can assist you in network installation and troubleshooting. We have computer programmers on staff to tailor your software to your needs. We can create databases specific for your company. We can process and create EDI (electronic data interface) files for you using visual basic, c, and other programs to get your information in any format you desire. We will help you select the appropriate type of web presence for your company. We can even design and maintain your web pages for you. We will write your proposals for bids or grants for profit and non-profit organizations. This consists of a proposal review and analysis, construction of an outline, information-gathering and research, and preparation of a draft and the final proposal. We will als"</t>
  </si>
  <si>
    <t>mailto:e.m.chambers@att.net</t>
  </si>
  <si>
    <t>D &amp; F Distributors, Inc.</t>
  </si>
  <si>
    <t>http://www.dfdistrib.com</t>
  </si>
  <si>
    <t>mailto:sales@dfdistrib.com</t>
  </si>
  <si>
    <t>D &amp; G Supply, Inc.</t>
  </si>
  <si>
    <t>D &amp; M Enterprise, LLC</t>
  </si>
  <si>
    <t>http://www.custompoly.com</t>
  </si>
  <si>
    <t>mailto:jconrad@custompoly.com</t>
  </si>
  <si>
    <t>D &amp; M Enterprises</t>
  </si>
  <si>
    <t>="Custom Poly Packaging manufactures custom flexible packaging and custom poly bags. *Packaging for environmental, earth friendly plastic films. *BIODEGRADABLE low density plastic film engineered to break down after it has been in the ground from 9 months to a year making it very environmentally friendly packaging material. *flexible packaging film that will perform in your unique application."</t>
  </si>
  <si>
    <t>D &amp; R Site Services</t>
  </si>
  <si>
    <t>http://www.drsiteservices.org</t>
  </si>
  <si>
    <t>mailto:drsiteservices@aol.com</t>
  </si>
  <si>
    <t>D Garcia Enterprises, Inc</t>
  </si>
  <si>
    <t>http://www.vidaaventura.net</t>
  </si>
  <si>
    <t>mailto:deseri@vidaaventura.net</t>
  </si>
  <si>
    <t>D J Enterprises, Inc</t>
  </si>
  <si>
    <t>D Keith Trucking Inc</t>
  </si>
  <si>
    <t>mailto:therockdoc1@gmail.com</t>
  </si>
  <si>
    <t>D Keith Trucking Inc.</t>
  </si>
  <si>
    <t>="Provide a dump truck business hauling all types of aggregate material as well as mulch, dirt, and sand products. We will also do hourly work on site if the need may arise or work on a bid or quote type basis. We also do light grading as well as some excavation work. We take pride in satisfying our customers."</t>
  </si>
  <si>
    <t>D and D Painting Plus, LLC</t>
  </si>
  <si>
    <t>="D and D Painting Plus is a painting service company. Our company provides painting and light carpentry service for both the residential and commercial community. We specialize in color coordination as it relates to the aesthetics of the given structure. We are a home based business located on the northwest side of Indianapolis, Indiana. We choose to pursue a painting service business, because we were searching for an avenue into the self-employment field. We have a combine 25 years of experience in the painting and light carpentry business. Mr. Darryl Davis has fifteen years of painting experience in both the residential and commercial business. He has worked for Indiana University four years painting the dormitories on campus. After leaving Bloomington, Indiana he has worked for varies painting companies in the greater Indianapolis area. Mr. Davis’ trade has been refined as he has painted both older and newer homes; interior and exterior. He worked on painting pr"</t>
  </si>
  <si>
    <t>mailto:danddpaintingplus@comcast.net</t>
  </si>
  <si>
    <t>D and S Cabling LLC</t>
  </si>
  <si>
    <t>="D &amp; S Cabling, LLC is a Service-Disabled Veteran-Owned, small business providing full service telecommunications contracting services to commercial, industrial, institutional, and governmental entities. Our clients benefit from more than 18 years experience in these core competencies; design, installation, maintenance, and service for structured cabling (Voice, Video, Data and Fiber Optic), CCTV and CATV systems. Services – SIN 132-51: D &amp; S Cabling is a telecommunications / technology contractor specializing in design, installation, service, and maintenance of structured cabling systems for voice, data, and video. We have BICSI certified installers in the work force."</t>
  </si>
  <si>
    <t>http://DandScabling.com</t>
  </si>
  <si>
    <t>mailto:dondunn@dandscabling.com</t>
  </si>
  <si>
    <t>D&amp;B Software Solutions, LLC</t>
  </si>
  <si>
    <t>http://www.dbsoftwaresolutionsllc.com</t>
  </si>
  <si>
    <t>mailto:berthashoemaker@dbsoftwaresolutionsllc.com</t>
  </si>
  <si>
    <t>D&amp;B Trucking</t>
  </si>
  <si>
    <t>mailto:mrfarmer123@yahoo.com</t>
  </si>
  <si>
    <t>Sand, Gravel, Clay, and Ceramic and Refractory Minerals Mining and Quarrying</t>
  </si>
  <si>
    <t>D&amp;D Document Inc.</t>
  </si>
  <si>
    <t>mailto:eadbigbear@earthlink.net</t>
  </si>
  <si>
    <t>Warehousing and Storage Facilities</t>
  </si>
  <si>
    <t>D&amp;D Electronics, Inc.</t>
  </si>
  <si>
    <t>="We are a RadioShack Dealer offering a full line of retail electronics. We offer Dish Network Satellite systems, Verizon cellular phones, Centennial Wireless cellular phones, PreCash payment services and prepaid airtime for most cellular services. We also carry a full line of XM and Sirius satellite radios. Paging services from Indiana Paging Network are available."</t>
  </si>
  <si>
    <t>http://www.RadioShackAngolaIN.com</t>
  </si>
  <si>
    <t>mailto:ddelectron@locl.net</t>
  </si>
  <si>
    <t>D&amp;H HOME RESTORATION &amp; REMODELING</t>
  </si>
  <si>
    <t>http://none at this time</t>
  </si>
  <si>
    <t>mailto:dandh_homes@yahoo.com</t>
  </si>
  <si>
    <t>D&amp;J Vending Co., LLP</t>
  </si>
  <si>
    <t>="D&amp;J Vending Co. LLP specializes in placing snack,soda and candy vending machines in various places of business and organizations. Our services accommodate those who wish to provide refreshments to employees and clients/customers that the company serves. The mission of D&amp;J Vending is to provide quality products and services to its valued customers throughout the State of Indiana."</t>
  </si>
  <si>
    <t>mailto:John.Lewis78@sbc.global.net</t>
  </si>
  <si>
    <t>D&amp;K Electric, Inc</t>
  </si>
  <si>
    <t>http://www.dandkelectric.com</t>
  </si>
  <si>
    <t>mailto:dan@dandkelectric.com</t>
  </si>
  <si>
    <t>D&amp;M Brokerage Consultants, LLC</t>
  </si>
  <si>
    <t>mailto:d-mbc@comcast.net</t>
  </si>
  <si>
    <t>D&amp;M Communications, Inc.</t>
  </si>
  <si>
    <t>mailto:d_mcomm@comcast.net</t>
  </si>
  <si>
    <t>D'Hue Law LLC</t>
  </si>
  <si>
    <t>="Welcome to DHueLaw.com! At D’Hue Law LLC, my goal is to provide my clients with wise counsel and advice. I work with my clients to utilize legal services which maximize their assets, value and direction. I specialize in Intellectual Property (Patents, Trademarks, and Copyrights). My clients also utilize me for their General Business needs. The wise seek many counsel. I welcome the opportunity to work not only with you but in conjunction with your other advisors. D’Hue Law LLC recognizes our clients’ need for efficient and cost-effective service without surprise billing. My costs are kept to a minimum in order to maximize value to my clients. Please check out my Cost Structure for more information. I look forward to helping you reach your goals. Cedric D'Hue"</t>
  </si>
  <si>
    <t>http://www.dhuelaw.com</t>
  </si>
  <si>
    <t>mailto:cedric.dhue@dhuelaw.com</t>
  </si>
  <si>
    <t>D'Indy Design Concepts, LLC</t>
  </si>
  <si>
    <t>mailto:dexdesign@yahoo.com</t>
  </si>
  <si>
    <t>D'Michael &amp; Associates, LTD</t>
  </si>
  <si>
    <t>="WE CAN PUT YOUR LOGO ~ DESIGN ~ MESSAGE ON ALMOST ANYTHING ... APPAREL: silk screened &amp; embroidered - tshirts, polos, sweatshirts &amp; pants, hoodies, windshirts, jackets, hats, flannel, tye-dye, scrubs, school spirit clothing &amp; team uniforms. PRINT: business cards, business &amp; computer forms, letterhead &amp; envelopes, rubber stamps, labels, brochures, newletters, postcards, full color print &amp; more. SPECIALTIES: banners, signs, vehicle magnets, awards, plaques, trophies, ribbons, clocks/watches, trade show items, logo design &amp; fundraisers. SPORTS: Adidas, Wilson balls, bats &amp; sports equipment, team uniforms, hats, signs &amp; school spirit wear. LOGO ITEMS: auto, badges, bags, balloons, buttons, calendars, cards, floor mats, glasses, golf, magnets, medical items, mugs, key tags, lapel pins, license plates, pens/pencils, real estate items, sports bottles, stadium cups, toys .... choose from over a million items! D'Michael &amp; Associates is your ONE STOP for all your marketing needs!"</t>
  </si>
  <si>
    <t>http://www.dmichael.com</t>
  </si>
  <si>
    <t>mailto:mikki@dmichael.com</t>
  </si>
  <si>
    <t>D-N-T Business &amp; Office Cleaning LLC</t>
  </si>
  <si>
    <t>http://www.dntoc.com</t>
  </si>
  <si>
    <t>mailto:info@dntoc.com</t>
  </si>
  <si>
    <t>D-Squared Holdings,LLC</t>
  </si>
  <si>
    <t>mailto:darlajackson@aol.com</t>
  </si>
  <si>
    <t>D. Braun &amp; Company LLC</t>
  </si>
  <si>
    <t>D. Keith Moberg</t>
  </si>
  <si>
    <t>mailto:dkmoberg@comcast.net</t>
  </si>
  <si>
    <t>D. Mofield Property Services, Inc.</t>
  </si>
  <si>
    <t>mailto:fbodirect@warmfloors4u.com</t>
  </si>
  <si>
    <t>D.A. Dodd, Inc.</t>
  </si>
  <si>
    <t>="D.A. Dodd, Inc. is a recognized leader in the installation and maintenance of plumbing, heating, ventilating, air conditioning and refrigeration systems, industrial process and high pressure piping and specialty welding. We also provide 24-hour emergency service. We are fully bonded and insured to take on whatever work you have in mind. But, we haven’t forgotten how to listen. We’ll work within the scope of your job to provide an economically executed and value oriented solution. With the best plumbers, pipefitters and technicians across Indiana and southern Michigan, D.A. Dodd brings quality performance to everything we do. Our reputation in the field is something every D.A. Dodd employee takes seriously and we will work hard to earn your respect. Whether it is a multimillion dollar installation or a minor retrofit D.A. Dodd has the experience to make sure your job goes smoothly."</t>
  </si>
  <si>
    <t>http://www.dadodd.com</t>
  </si>
  <si>
    <t>mailto:dadodd@dadodd.com</t>
  </si>
  <si>
    <t>D.A. Faulkens &amp; Asso</t>
  </si>
  <si>
    <t>="My business is described as a carpenter contractor who has completed projects including concrete form work, wood and metal stud framing, finish carpenty and trim work. My business also operates as a supplier of all types of floor coverings. I am a commercial and residential contractor who can do new construction as well as renovate, rehab, or remodel existing structures."</t>
  </si>
  <si>
    <t>mailto:dfaulkens@LoanProz.net</t>
  </si>
  <si>
    <t>D.A.M.E.S. Electric</t>
  </si>
  <si>
    <t>mailto:dameselectric@netzero.net</t>
  </si>
  <si>
    <t>D.C. Licht Construction, Inc</t>
  </si>
  <si>
    <t>mailto:DCLICHT1@aol.com</t>
  </si>
  <si>
    <t>D.E.R.K. Properties, LLC</t>
  </si>
  <si>
    <t>mailto:derkpropertiesllc@sbcglobal.net</t>
  </si>
  <si>
    <t>Tile and Terrazzo Contractors</t>
  </si>
  <si>
    <t>D.E.Y. Light Lawn Services, LLC</t>
  </si>
  <si>
    <t>mailto:DEYLIGHT@SBCGLOBAL.NET</t>
  </si>
  <si>
    <t>D.J. Case &amp; Associates, Inc.</t>
  </si>
  <si>
    <t>="Since 1986, D.J. Case &amp; Associates has specialized in wildlife and natural resources communications. We work with federal and state natural resources agencies and private conservation organizations around the country to help them communicate their messages about natural resources to their constituents and other publics."</t>
  </si>
  <si>
    <t>http://www.djcase.com</t>
  </si>
  <si>
    <t>mailto:info@djcase.com</t>
  </si>
  <si>
    <t>D.J. Mosier &amp; Associates, Inc.</t>
  </si>
  <si>
    <t>mailto:info@djmfinancial.com</t>
  </si>
  <si>
    <t>D.L. Couch Wallcovering, Inc.</t>
  </si>
  <si>
    <t>http://www.dlcouch.com</t>
  </si>
  <si>
    <t>mailto:dlcouch@dlcouch.com</t>
  </si>
  <si>
    <t>Paint, Varnish, and Supplies Merchant Wholesalers</t>
  </si>
  <si>
    <t>D.L.Roope Administrations Inc.</t>
  </si>
  <si>
    <t>http://www.dlroope.com</t>
  </si>
  <si>
    <t>mailto:deborah@dlroope.com</t>
  </si>
  <si>
    <t>D.S. Durham and Associates, LLC</t>
  </si>
  <si>
    <t>="We specialize in technology consulting, strategic business and engineering solutions. Our team of accomplished and experienced professionals from government and industry with backgrounds in national defense and corporate leadership will assist in your success."</t>
  </si>
  <si>
    <t>http://www.dsdurham.com</t>
  </si>
  <si>
    <t>mailto:info@dsdurham.com</t>
  </si>
  <si>
    <t>D.Schickel Co. Inc.</t>
  </si>
  <si>
    <t>http://www.dschickelco.com</t>
  </si>
  <si>
    <t>mailto:pkschicckel@dschickkelco.com</t>
  </si>
  <si>
    <t>D.U.O. EmpowerMEnt Services</t>
  </si>
  <si>
    <t>="D.U.O. EmpowerMEnt Services is an authentic life coaching, training, and consulting company. The services have been designed to work with individuals and groups, children, adults, and seniors. D.U.O. provides relationship coaching, laughter yoga, relaxation and meditation, consulting, and stress management skills training services. D.U.O. also provides team-building resolution &amp; communication skills training for corporate businesses and faith-based ministries. D.U.O. EmpowerMEnt Services believes in working with companies who desire positive mental health and flow of energy for all employees, executive, and administrative staff. Consultation services are provided to assess individual, agency, or ministry dynamics to provide you with the highest strategic care plan to assist you, your agency, or your ministry in transitioning to the next desired level of achievement. D.U.O. EmpowerMEnt Services also offers training workshops and dynamic public speaking for conferences,"</t>
  </si>
  <si>
    <t>http://www.duoempowermentservices.com</t>
  </si>
  <si>
    <t>mailto:nakaisha@duoempowermentservices.com</t>
  </si>
  <si>
    <t>D.YOUNG CHEVROLET LLC DBA PENSKE CHEV</t>
  </si>
  <si>
    <t>="Penske Chevrolet is the leading Chevrolet dealer in Indianapolis, IN. We have everything from New Chevrolet vehicles to quality pre-owned vehicles. We're the one-stop shop for all your maintenance and service needs. From oil changes to tires, to brakes and multi-point vehicle inspections, we have the expertise, technology, and convenient hours when caring for your vehicle. We offer the same high quality parts your vehicle was built with and we keep a large inventory of these certified parts in stock."</t>
  </si>
  <si>
    <t>http://WWW.PENSKECHEVY.COM</t>
  </si>
  <si>
    <t>mailto:ATAYLOR@PENSKEAUTOMOTIVE.COM</t>
  </si>
  <si>
    <t>D9O1F5A8T LLC (DOE-FAT 9158)</t>
  </si>
  <si>
    <t>mailto:fs3sings@yahoo.com</t>
  </si>
  <si>
    <t>DA Logistics, Inc.</t>
  </si>
  <si>
    <t>mailto:dalogistics@sbcglobal.net</t>
  </si>
  <si>
    <t>DAKSWAN Automation Systems, Inc.</t>
  </si>
  <si>
    <t>="DAKSWAN Engineering Services, Inc. is now DAKSWAN Automation Systems, Inc. Since 2002 we have been serving the automation community successfully through our wide range of services. The simple name change better represents our direction, focus, and expertise in the automation industry. We are also pleased to offer Kawasaki and Nachi Robotic Systems to round out our offerings. DAKSWAN Automation Systems, Inc. is a Midwest-based electrical systems integration company specializing in Electrical Control Systems Design, Electrical Controls Panel Assembly, Software Programming, Machine Building, Project Management, Service and Startup, as well as Contract Engineering Solutions."</t>
  </si>
  <si>
    <t>http://www.dakswan.com</t>
  </si>
  <si>
    <t>mailto:scjuanillo@dakswan.com</t>
  </si>
  <si>
    <t>DAN YOUNG TIPTON LLC</t>
  </si>
  <si>
    <t>http://DANYOUNGGM.COM</t>
  </si>
  <si>
    <t>mailto:DANYOUNGGM.COM</t>
  </si>
  <si>
    <t>DAN'S CYCLE SALES,INC</t>
  </si>
  <si>
    <t>http://WWW.DANSCYCLESALES.COM</t>
  </si>
  <si>
    <t>mailto:dan@danscyclesales.com</t>
  </si>
  <si>
    <t>DANETTE GARZA, J.D., M.B.A., C.P.A.</t>
  </si>
  <si>
    <t>http://DGARZALAW.COM</t>
  </si>
  <si>
    <t>mailto:DGARZA@DGARZALAW.COM</t>
  </si>
  <si>
    <t>DANNY M CRENSHAW</t>
  </si>
  <si>
    <t>mailto:CIA2229@SBCGLOBAL.NET</t>
  </si>
  <si>
    <t>Agencies, Brokerages and Other Insurance Related Activities</t>
  </si>
  <si>
    <t>DARRELL D. BROWN</t>
  </si>
  <si>
    <t>="Elite Behavioral Services is committed to working within the interdisciplinary to develop comprehensive functional assessments, behavior programs, staff Identify functions of behaviors Develop functions of behaviors Direct the focus toAcuisition skills training Implement competency based monitoring systems Assist in developing functional communications Teach positive approaches to behavior change Assist in creating an environment that minimizes crisis situations and enhances functional development Structure psychotropic medication efficacy monitoring systems. Provide linkage with the disciplines that that will enhance behavioral and social functioning (Psychiatrist, occupational / speech therapist, education, ect.) Provide access to a team of consultants with extensive experience in Behavior Analysis and Mental Heath Services. development and assessments of psychotropic medication effectiveness."</t>
  </si>
  <si>
    <t>DART Electric Company, Inc.</t>
  </si>
  <si>
    <t>="DART Electric is an electrical contracting business working the the commercial, industrial and residential fields. We offer 24 hour service with friendly, professional and reliable employees. We specialize in new construction, renovation, energy management, lighting retrofit, motor controls, fire alarm systems, data cabling, security systems and CCTV systems. We offer free estimates, award-winning service and a satisfaction guarantee. We are committed to serving our customers and community in a safe and professional manner."</t>
  </si>
  <si>
    <t>http://dartelectric.us</t>
  </si>
  <si>
    <t>mailto:amy@dartelectric.us</t>
  </si>
  <si>
    <t>DARTMOUTH PROPERTY INC.</t>
  </si>
  <si>
    <t>DAS Consulting</t>
  </si>
  <si>
    <t>mailto:dennis_farley@msn.com</t>
  </si>
  <si>
    <t>DAS Inc.</t>
  </si>
  <si>
    <t>="We are a courier &amp; messenger business. Our only office is in Indiana,but we deliver out of state at our customers request. We deliver everything from an envelope to pallets. We operate 24/7/365. We operate cars, vans, cube vans, straight trucks. Our office is on the west side of Indianapolis, we have the capablity to warehouse and do order fulfillment."</t>
  </si>
  <si>
    <t>http://www.cycledispatch.com</t>
  </si>
  <si>
    <t>mailto:info@cycledispatch.com</t>
  </si>
  <si>
    <t>Couriers and Messengers</t>
  </si>
  <si>
    <t>DATLab DRUG TESTING SERVICES, INC</t>
  </si>
  <si>
    <t>mailto:datlabinc@sbcglobal.net</t>
  </si>
  <si>
    <t>DAVE'S EXTERMINATING INC.</t>
  </si>
  <si>
    <t>DAVID E ROSS, JR., M.D., INC</t>
  </si>
  <si>
    <t>DAVID FAUL LLC</t>
  </si>
  <si>
    <t>mailto:mygreenthumb@comcast.net</t>
  </si>
  <si>
    <t>DAVID J. ROUSH</t>
  </si>
  <si>
    <t>DAVID L TILTON</t>
  </si>
  <si>
    <t>="Technical Support and Commercial Cleaning. Computers, Printers, Network, Cabling, Installation “Break-Fix” On-Site Support….”Low Cost” office solutions. We're unique from other companies because we specialize in both office cleaning and IT support …and no, a janitor is not working on your computer. Contact us today at (317) 293-0619 for a quote for our commercial cleaning and IT support services. FLAT FEE – Nothing more to buy for about $1.00 an hour"</t>
  </si>
  <si>
    <t>http://www.itcleanpro.com</t>
  </si>
  <si>
    <t>mailto:dtilton@itcleanpro.com</t>
  </si>
  <si>
    <t>DAVLYN, INC. D/B/A HARMONY OUTDOOR</t>
  </si>
  <si>
    <t>http://WWW.HARMONYOUTDOOR.COM</t>
  </si>
  <si>
    <t>mailto:SALES@HARMONYOUTDOOR.COM</t>
  </si>
  <si>
    <t>DB Engineering</t>
  </si>
  <si>
    <t>mailto:rstrock@hotmail.com</t>
  </si>
  <si>
    <t>DBA Beebe Creative</t>
  </si>
  <si>
    <t>="Art direction, design and production coordination of print communication materials from initial design concepts through to completion—advertisements, annual reports, brochures, direct mail, identity systems, logo development, newsletters, packaging, POP displays, posters and signage."</t>
  </si>
  <si>
    <t>mailto:susan@beebecreative.com</t>
  </si>
  <si>
    <t>DBA MONCRIES REMODELING</t>
  </si>
  <si>
    <t>DBConnect Solutions, Inc</t>
  </si>
  <si>
    <t>="DBConnect Solutions, Inc. provides expertise in the area of Oracle Database Administration. We provide staff augmentation on both short and long-term contracts. Since 1997, our average engagement has been over 24 months in duration. We are proud of this fact because our average initial engagement was contracted for 3 months. The duration of these engagements speaks for themselves! Unlike most consulting companies, we provide seasoned Oracle DBA consultants with superior communication skills and over fifteen years of industry experience. Our consultants have been chosen as much for their communication and interpersonal skills as their technical abilities. This is a necessity for us to become an integral part of your team. Our specialty is implementing new Oracle environments or performing Oracle DBA remediation on environments that are unmanaged or mismanaged. We can help you hire and train an entry-level Oracle DBA and bring them up to an expert level of proficiency."</t>
  </si>
  <si>
    <t>http://www.dbconnect.com</t>
  </si>
  <si>
    <t>mailto:rogerc@dbconnect.com</t>
  </si>
  <si>
    <t>DBISP LLC</t>
  </si>
  <si>
    <t>="DBISP LLC, a certified minority-owned small business in Indianapolis, IN; mission is to provide businesses with simple, affordable and reliable products, services and solutions that help increase sales, reduce costs, and improve business. The company provides Office, Medical, Industrial, IT products and technology solutions to Federal/City/State Government Agencies, K-12/University education markets, and commercial businesses."</t>
  </si>
  <si>
    <t>http://www.dbispllc.com</t>
  </si>
  <si>
    <t>mailto:info@dbispllc.com</t>
  </si>
  <si>
    <t>DC Design</t>
  </si>
  <si>
    <t>="Full service creative design firm. Specializing in corporate communications and corporate identification. We develope high-end creative solutions using multi-media with 2-D and 3-D animation, high impact powerpoint presentations with 2-D animation and user interactivity. We're an intuitive team of designers and project managers producing graphic design for print and broadcast. Web based applications using industry standard software and technology. We're on MAC and PC platforms to support small and large business enterprises."</t>
  </si>
  <si>
    <t>mailto:dcdesign001@aol.com</t>
  </si>
  <si>
    <t>DC Engineering Services LLC</t>
  </si>
  <si>
    <t>="A full service engineering consulting firm providing design and contract administration services for commercial and retail projects. Specializing in mechanical, electrical, plumbing fire protection, site civil design. Other services include site sanitary &amp; storm sewer design and roadway improvement layout and design."</t>
  </si>
  <si>
    <t>mailto:d.cooper@earthlink.net</t>
  </si>
  <si>
    <t>DCAS, LLC</t>
  </si>
  <si>
    <t>DCM Indiana inc.</t>
  </si>
  <si>
    <t>DCS Trucking, Inc.</t>
  </si>
  <si>
    <t>mailto:dtwohappy@tds.net</t>
  </si>
  <si>
    <t>DDM Resources LLC</t>
  </si>
  <si>
    <t>mailto:diane@ddmresourcesllc.com</t>
  </si>
  <si>
    <t>DEANN MILLER</t>
  </si>
  <si>
    <t>="*Residental cleaning * Commerical cleaning * Constrution Site clean up * *College campus * Schools cleaning * Churches cleaning * Foreclosure properties * Home Inspection cleans * Window cleaning * Maintence on grounds keeping * Apartment / Office move -out cleans"</t>
  </si>
  <si>
    <t>mailto:PROFESSIONALMAID@MSN.COM</t>
  </si>
  <si>
    <t>DEATON'S MECHANICAL</t>
  </si>
  <si>
    <t>DEB &amp; DAVE, INC</t>
  </si>
  <si>
    <t>="GLASS DOCTOR IS A AUTOGLASS REPLACEMENT SHOP. WE OFFER BOTH MOBILE AND IN SHOP INSTALLATIONS AT 4 DIFFERENT LOCATIONS IN ELKHART AND ST, JOE COUNTIES IN NORTHERN INDIANA. WE ARE AGRESS CERTIFIED AND HAVE NGA CERTIFIED AUTO TECHNICIANS IN ALL OUR LOCATIONS. WE ALSO HANDLE THE REPLACEMENT OF RESIDENTIAL GLASS, TABLE AND DESK TOPGLASS, ALSO STORM AND SCREEN REPAIRS. WE ARE ASSOCIATED WITH ALL GLASS NETWORKS SUCH AS LYNX AND SAFELITE."</t>
  </si>
  <si>
    <t>mailto:DTG1DH@AOL.COM</t>
  </si>
  <si>
    <t>Automotive Glass Replacement Shops</t>
  </si>
  <si>
    <t>DEB Electrical Supply &amp; Services, LLC</t>
  </si>
  <si>
    <t>mailto:info.debsupply@yahoo.com</t>
  </si>
  <si>
    <t>DECA Financial Services, LLC.</t>
  </si>
  <si>
    <t>="DECA Financial Services, LLC (DECA) is a nationally licensed collection agency, located in Fishers, Indiana, which specializes in Healthcare (facility and physician), Education, Financial Services (banks and credit unions), and Municipal (taxes, tolls, etc.) based debt. DECA is staffed with professional account representatives who consult with consumers that are financially responsible for resolving any outstanding balances."</t>
  </si>
  <si>
    <t>http://www.decafinancialservices.com</t>
  </si>
  <si>
    <t>DECANO INC.</t>
  </si>
  <si>
    <t>="Decano Inc. is a property preservation company specializing and providing quick reliable preservation and inspection service to HOMES AND COMMERCIAL PROPERTIES throughout South Central Indiana. Decano Inc is a family owned business that has provided top quality service since 2005. We know what it takes. We started in the Columbus area and are now covering South Central Indiana. As a company we are able to service the following loan types: FHA, VA, REO, FNMA, UNIN, CONV, and others. Prepare for Conveyance,Initial securing,Reglaze,Initial grass cut &amp; re-cut,Bid Approval,Board-up,Allow access,Eviction,Roof repair &amp; tarping,Demolition,Utility transfers, Systems check,Winterizations,Lock changes,Hazard &amp; Debris removal ,Personal property removal,Auto removal,Violation,Plumbing,Repairs,Photos to validate work,Special projects:Mold/Lead Paint Remediation"</t>
  </si>
  <si>
    <t>mailto:decanoinc@sbcglobal.net</t>
  </si>
  <si>
    <t>DECO Group, Inc.</t>
  </si>
  <si>
    <t>="Commercial and Industrial paint contractor, speciality coatings, epoxy, vinyl wall coverings. Focusing on safety (mod rating of .86), trained labor, satisfied repeat customers, professional office staff, and easily accesible. Drug free environment and criminal background checks."</t>
  </si>
  <si>
    <t>http://www.decogroup.biz</t>
  </si>
  <si>
    <t>mailto:janetsouth@decogroup.biz</t>
  </si>
  <si>
    <t>DEEM, LLC</t>
  </si>
  <si>
    <t>http://www.deemfirst.com</t>
  </si>
  <si>
    <t>DEER COUNTRY EQUIPMENT, LLC</t>
  </si>
  <si>
    <t>http://www.deercountryequipment.com</t>
  </si>
  <si>
    <t>mailto:seymour@deercountryequipment.com</t>
  </si>
  <si>
    <t>DELLEN &amp; DELLEN LLC</t>
  </si>
  <si>
    <t>http://www.dellen.com</t>
  </si>
  <si>
    <t>mailto:rmatthews@dellen.com</t>
  </si>
  <si>
    <t>DELTA Services, Inc</t>
  </si>
  <si>
    <t>="DELTA Services, Inc. is a full service environmental and demolition specialty contractor serving customer locations throughout the State of Indiana. We are your experts in the evaluation and control of environmental hazards (asbestos, lead, mold, lead paint, bird droppings, graffiti removal, and the selective demolition/interior strip-out of architectural finishes and MEP (mechanical, electrical, and plumbing) components to facilitate large scale renovations."</t>
  </si>
  <si>
    <t>http://www.deltaservicesinc.com</t>
  </si>
  <si>
    <t>mailto:mhonan@deltaservicesinc.com</t>
  </si>
  <si>
    <t>DELTAPOINT LLP</t>
  </si>
  <si>
    <t>mailto:jeff.sturgis@sbcglobal.net</t>
  </si>
  <si>
    <t>DEVOE SYSTEMS, INC.</t>
  </si>
  <si>
    <t>DIAMOND BILLIARD PRODUCTS INC.</t>
  </si>
  <si>
    <t>http://www.diamondbilliard.com</t>
  </si>
  <si>
    <t>mailto:chad@diamondbilliard.com</t>
  </si>
  <si>
    <t>Sporting and Athletic Goods Manufacturing</t>
  </si>
  <si>
    <t>DINNER THEATRE OF INDIANA</t>
  </si>
  <si>
    <t>http://www.derbydinner.com</t>
  </si>
  <si>
    <t>mailto:tickets@derbydinner.com</t>
  </si>
  <si>
    <t>Theater Companies and Dinner Theaters</t>
  </si>
  <si>
    <t>DIR Incorporated</t>
  </si>
  <si>
    <t>="We are business opportunity guru who focus on help businesses and government identify the best strategy for delivering superior business results. Our primary services offering of: - Business Planning - Strategic Marketing - Market Research - Internet Marketing Services - International Marketing - Grant Research"</t>
  </si>
  <si>
    <t>http://www.dirincorporated.com</t>
  </si>
  <si>
    <t>mailto:r.rohena@DIRinc.us</t>
  </si>
  <si>
    <t>DIVERSIFIED BUSINESS SYSTEMS INC</t>
  </si>
  <si>
    <t>="Medium and Long run is our best fit. Supplier of cutsheet, continuous and wrap around cover business forms and checks. Labels and Ribbons - Direct Thermal, Thermal Transfer, EDP, cutsheet, continuous and roll. Pressure Seal documents. Books, various sizes, stocks and binding capabilities. Promotional and Commercial printing. Direct Mail printing with variable imaging."</t>
  </si>
  <si>
    <t>http://www.diversifiedbus.com</t>
  </si>
  <si>
    <t>mailto:jcremer@diversifiedbus.com</t>
  </si>
  <si>
    <t>DIVINE AUTO TRANSPORT LLC</t>
  </si>
  <si>
    <t>mailto:dispatch@laellogistics.com</t>
  </si>
  <si>
    <t>DIVINE STAFFING, INC.</t>
  </si>
  <si>
    <t>="DIVINE STAFFING provides professional, qualified clerical, light industrial staffing and professional permanent/temporary staffing services. Through the Divine Staffing network, we select only the most qualified individuals for services such as; Industrial, Warehouse, Clerical/Office, Sales and Marketing, Professional/Management, Technical/IT and if your staffing needs do not fall into any of the prior categories, please contact by email jobinfo@divine-staffing.com or call 317-738-4437 to discuss your staffing needs further with an staffing specialist. Divine Staffing is located in Franklin, Indiana and is currenly looking to expand to other geographical surrounding locations in the near future! Thank you for your time and consideration. I am currently working on the application for Woman owned business. Betty j. Haworth CEO/President"</t>
  </si>
  <si>
    <t>http://www.divine-staffing.com</t>
  </si>
  <si>
    <t>mailto:jobinfo@divine-staffing.com</t>
  </si>
  <si>
    <t>DIVSYS INTERNATIONAL, LLC</t>
  </si>
  <si>
    <t>="DIVSYS is a woman-owned PC Board Sales &amp; Product Assurance Company. The members have all worked in PCB fabrication and assembly operations at previous companies. Each has many years of board fabrication &amp; EMS experience in the high-reliability markets, like aerospace, military, automotive, medical and bio-medical. The customer and supplier benefit as our industry experts actually fabricated PC boards and assembled components onto boards to create final assemblies. Having an in-house (Indianapolis) analytical laboratory to perform product assurance testing on boards before they are shipped and performing the front-end engineering review of customer files, guarantees that the boards will meet / exceed the customer specifications. The DIVSYS model is three-pronged; academic credentials, real world experience and good analytical instruments. Remove one prong and the model loses credibility. Include competitive pricing and you see the niche that creates the most value for customers."</t>
  </si>
  <si>
    <t>http://www.divsys.com</t>
  </si>
  <si>
    <t>mailto:sales@divsys.con</t>
  </si>
  <si>
    <t>DJ Case &amp; Associates, Inc.</t>
  </si>
  <si>
    <t>DJ, Inc.</t>
  </si>
  <si>
    <t>="An independent wholesale supply firm with three locations in Indiana: Indianapolis, Terre Haute and Kokomo and is part of a national Johnstone Supply cooperative headquartered in Oregon. Johnstone Supply is focused on the HVAC/R mearket, with main customers being HVAC/R contractors, commercial, residential, institutional and governmental entities, mongst others. Johnstone Supply outlets have access to over 20,000 products from the Johnstone Supply catalog in various catagories such as HVAC/R, motors, controls, installation and maintenance supplies, pumps, tools, test instruments, electrical and plumbing."</t>
  </si>
  <si>
    <t>http://www.johnstoneindianapolis.com</t>
  </si>
  <si>
    <t>mailto:store10@johnstonesupply.com</t>
  </si>
  <si>
    <t>Refrigeration Equipment and Supplies Merchant Wholesalers</t>
  </si>
  <si>
    <t>DJONT INDIANAPOLIS LEASING, LLC</t>
  </si>
  <si>
    <t>="Make the Embassy Suites Indianapolis – North hotel your home away from home. Take advantage of the complimentary shuttle bus service to local attractions within a three-mile radius. Enjoy spacious two-room Indianapolis hotel suites with separate living and sleeping areas, giving you extra space, and a complimentary cooked-to-order breakfast each morning of your stay. Work out in the fully equipped fitness center and unwind in the heated indoor pool with whirlpool. Relax with a cup of coffee in the beautiful open-air atrium, and savor sumptuous meals from the diverse menu at Ellington’s. Socialize with friends, family and colleagues at the nightly Manager’s Reception* with complimentary snacks and beverages. Our Indianapolis hotel features over 4,000 sq. ft. of flexible meeting and banquet space, making it an ideal event venue. The 3,675 sq. ft. Barcelona room is perfect for weddings and social events. Let us plan your next event, meeting or wedding."</t>
  </si>
  <si>
    <t>http://www.indianapolisnorth.embassysuit</t>
  </si>
  <si>
    <t>mailto:indnh_ds@hilton.com</t>
  </si>
  <si>
    <t>DJones LLC</t>
  </si>
  <si>
    <t>http://www.myservicemaster.com/9193</t>
  </si>
  <si>
    <t>mailto:djonescommercialcleaning@gmail.com</t>
  </si>
  <si>
    <t>DK New Media LLC</t>
  </si>
  <si>
    <t>="DK New Media provides consultation strategies and execution of inbound marketing strategies, including online marketing, email marketing, search engine marketing, search engine optimization, email marketing, mobile marketing, video and social media strategies. We also provide ongoing education through corporate training, online through our blog (the Marketing Technology Blog), our weekly radio show, videos, webinars and we speak at conferences internationally. DK New Media also provides due diligence investigations for venture capital and investment firms looking to merge, acquire or purchase marketing technologies. We are veteran-owned and Indianapolis-based."</t>
  </si>
  <si>
    <t>http://www.dknewmedia.com</t>
  </si>
  <si>
    <t>mailto:info@dknewmedia.com</t>
  </si>
  <si>
    <t>DKM Constructive Maintenance</t>
  </si>
  <si>
    <t>mailto:dorseymontgomery@yahoo.com</t>
  </si>
  <si>
    <t>Drywall, Plastering, Acoustical and Insulation Contractors</t>
  </si>
  <si>
    <t>DKM Embroidery, INC</t>
  </si>
  <si>
    <t>="Family owned and operated Screen Print and Embroidery shop. Services offered include Screen Print (spot color &amp; fullcolor process), Embroidery (traditional and lasercut applique), Laser Etching, Heat Seal and custom apparel sourcing. We work with end users and also support commercial contract decoration."</t>
  </si>
  <si>
    <t>http://www.dkmembroidery.com</t>
  </si>
  <si>
    <t>mailto:pat@dkmembroidery.com</t>
  </si>
  <si>
    <t>DL2Tech Corporation</t>
  </si>
  <si>
    <t>="DL2Tech Corporation is a minority woman owned high-tech company with a focus on biometrics, image processing, pattern recognition, signal processing, hyperspectral/multispectal image processing, human computer interface, sensor net, sensor fusion, ISR platforms, and their applications."</t>
  </si>
  <si>
    <t>http://www.DL2Tech.com</t>
  </si>
  <si>
    <t>mailto:support@DL2Tech.com</t>
  </si>
  <si>
    <t>DLH Counseling and Consulting</t>
  </si>
  <si>
    <t>http://dlhcounseling.com</t>
  </si>
  <si>
    <t>mailto:darren@dlhcounseling.com</t>
  </si>
  <si>
    <t>DLS ENTERPRISES, INC</t>
  </si>
  <si>
    <t>="DLS ENTERPRISES, INC caterS to Police, Fire, EMS and First Responder personnel to provide them with the tools they need to provide their services safely and efficiently. We do a large quantity of business with Streamlight and MagLite products and we are now a MagLite Warranty Service Center."</t>
  </si>
  <si>
    <t>http://www.dlsenterprises.com</t>
  </si>
  <si>
    <t>mailto:dlsenterprises@mchsi.com</t>
  </si>
  <si>
    <t>DLZ INDIANA LLC</t>
  </si>
  <si>
    <t>http://www.dlz.com</t>
  </si>
  <si>
    <t>DMB EMBROIDERY AND SCREENPRINTING</t>
  </si>
  <si>
    <t>="DMB is a family owned business specializing in Embroidery and/or Screen Printing on a wide variety of clothing and accessories including several styles of fleece, shirts, jackets, caps, hats, bath robes, towels, blankets and more. We are a supplier of team uniforms of all ages and corporate wear. DMB produces engraved Awards and Trophies for all competitive events and sports as well."</t>
  </si>
  <si>
    <t>http://www.dmbembroidery.com</t>
  </si>
  <si>
    <t>mailto:dmb_laura@yahoo.com</t>
  </si>
  <si>
    <t>DMB Embroidery LLC</t>
  </si>
  <si>
    <t>="DMB is a family owned business specializing in Embroidery and/or Screen Printing on a wide variety of clothing and accessories including several styles of fleece, shirts, jackets, caps, hats, bath robes, towels, blankets and more. We are a supplier of team uniforms of all ages and corporate wear. DMB produces engraved Awards and Trophies for all competitive events and sports as well. For more information on any of our products and services, or a quote, please contact; dmb_laura@yahoo.com with the details."</t>
  </si>
  <si>
    <t>http://www.embroidery.com</t>
  </si>
  <si>
    <t>mailto:www.dmb_laura@yahoo.com</t>
  </si>
  <si>
    <t>DMJ Industrial Contractor, Inc.</t>
  </si>
  <si>
    <t>mailto:gcombs@dmjinc.com</t>
  </si>
  <si>
    <t>DMM&amp;P, Inc.</t>
  </si>
  <si>
    <t>mailto:sales@thesourcecompany.com</t>
  </si>
  <si>
    <t>Other Miscellaneous Durable Goods Wholesalers</t>
  </si>
  <si>
    <t>DMMI Associates LLC</t>
  </si>
  <si>
    <t>="DMMI Associates LLC specializes in information technology and strategic management consulting. Core competencies are in supply chain management and diversity, business analysis and processes, systems evaluations, implementations, and improvement strategies. Focus Areas: Business Systems Business Planning D/M/WBE Certification Assistance Diversity Initiatives Documentation &amp; Reporting Systems Business Building Strategies We help you to investigate business outcomes and address root causes, so that your organization’s efforts and investments meet your expectations."</t>
  </si>
  <si>
    <t>DNF COMMUNITY LLC</t>
  </si>
  <si>
    <t>DNL Safety Engineering, LLC</t>
  </si>
  <si>
    <t>="Industries Served: Construction, General Industry, Mining, Manufacturing, Petrochemical, &amp; Power Generation -Professional Safety Consulting -On-Site Safety Leadership &amp; Management -Safety Training &amp; Certification -Respiratory Fit Testing Safety Consulting Experienced &amp; Certified Professionals Providing: + Site Inspections + Safety Audits + Accident Investigation + Compliance Consulting + Safety Planning &amp; Preparedness + Safety Program Development + Technical Writing + Industrial Hygiene + Expert Testimonial + Risk Management &amp; Loss Prevention On-Site Safety Leadership &amp; Management +CSE Attendants / Fire Watch +Safety Trained Supervisors +Certified Safety Technicians +Certified Safety Specialists +Certified Safety Professionals / Certified Industrial Hygienists Safety Training &amp; Certification +Courses Offered In English &amp; Spanish +Si Habla Espanol +NCCER Master Trainers Respiratory Fit Testing + Quantitative respirator fit testing (QNFT) + Dispos"</t>
  </si>
  <si>
    <t>http://www.dnlsafety.com</t>
  </si>
  <si>
    <t>mailto:sales@dnlsafety.net</t>
  </si>
  <si>
    <t>DOCUMENT MANAGEMENT SOLUTIONS INC</t>
  </si>
  <si>
    <t>http://www.dms-image.com</t>
  </si>
  <si>
    <t>mailto:Randym@dms-image.com</t>
  </si>
  <si>
    <t>DONLEY &amp; ASSOCIATES</t>
  </si>
  <si>
    <t>http://www.donleysafety.com</t>
  </si>
  <si>
    <t>mailto:info@donleysafety.com</t>
  </si>
  <si>
    <t>DPLOYIT Inc</t>
  </si>
  <si>
    <t>http://www.dployit.com</t>
  </si>
  <si>
    <t>mailto:marva.shaw@dployit.com</t>
  </si>
  <si>
    <t>DQAT, INCORPORATED</t>
  </si>
  <si>
    <t>http://www.geometricguru.com</t>
  </si>
  <si>
    <t>mailto:dqat1996@comcast.net</t>
  </si>
  <si>
    <t>DR Management, LLC</t>
  </si>
  <si>
    <t>http://www.dr-management.com</t>
  </si>
  <si>
    <t>mailto:pdelany@dr-management.com</t>
  </si>
  <si>
    <t>DRACO LLC</t>
  </si>
  <si>
    <t>http://www.draco-llc.com</t>
  </si>
  <si>
    <t>mailto:mgarza@draco-llc.com</t>
  </si>
  <si>
    <t>Packaging and Labeling Services</t>
  </si>
  <si>
    <t>DRAINAGE SOLUTIONS INC</t>
  </si>
  <si>
    <t>http://www.drainagesolutionsinc.com</t>
  </si>
  <si>
    <t>mailto:customerservice@drainagesolutionsinc.com</t>
  </si>
  <si>
    <t>DRAINS &amp; MORE LLC</t>
  </si>
  <si>
    <t>mailto:drainsmorellc</t>
  </si>
  <si>
    <t>DRS Farms &amp; Rentals</t>
  </si>
  <si>
    <t>Corn Farming</t>
  </si>
  <si>
    <t>DS &amp; A, Inc.</t>
  </si>
  <si>
    <t>="Independent, Non-Biased firm providing low-voltage communication, control, and command consulting, design, and project management services for new and re-modeled single/multiple building and campus-wide environments. Systems include: Security (Detention/Museum grade), Public Address, Audio-Video, Telecommunications, and Theatrical Lighting/Sound."</t>
  </si>
  <si>
    <t>http://www.dsa-web.com</t>
  </si>
  <si>
    <t>mailto:LDavidson@dsa-web.com</t>
  </si>
  <si>
    <t>DSL Indiana Acquisitions, LLC</t>
  </si>
  <si>
    <t>="DSLindiana is an Indianapolis based company providing business class voice and data services to the Indiana and Midwest marketplaces. Our solutions include High Speed Broadband DSL, T1 voice and data circuits, and traditional dial tone products for the business marketplace."</t>
  </si>
  <si>
    <t>http://www.dslindiana.com</t>
  </si>
  <si>
    <t>mailto:info@dslindiana.com</t>
  </si>
  <si>
    <t>DSR Management Solutions, LLC</t>
  </si>
  <si>
    <t>="DSR Management Solutions is a wireless telecommunication consulting and management company. We concentrate solely on performing detailed audits on client’s cellular and paging bills. We seek and identify both errors and savings on corporate cellular and paging accounts. Our auditing process allows us to take an array of data and produce a wide variety of reports to demonstrate cost savings. Such reports validate refunds that are returned to our clients and aid in controlling on-going cost reductions."</t>
  </si>
  <si>
    <t>http://www.dsrresults.com</t>
  </si>
  <si>
    <t>mailto:dapplin@dsrresults.com</t>
  </si>
  <si>
    <t>DT/Hanley &amp; Associates, llc</t>
  </si>
  <si>
    <t>="DT/Hanley &amp; Associates is a full service marketing &amp; design company. We specialize in the total integrations of anything going outbound to the public to promote an initiative, product or business. We are experts in electronic marketing as well as all traditional marketing. We are also designated manufacturers representative for several trade show booth, ad specialties and point of purchase product companies."</t>
  </si>
  <si>
    <t>http://www.dthmd.com</t>
  </si>
  <si>
    <t>mailto:rzentz@dthmd.com</t>
  </si>
  <si>
    <t>DTL Solutions, LLC</t>
  </si>
  <si>
    <t>http://dtlsolutions.biz</t>
  </si>
  <si>
    <t>mailto:bcohen@dtlsolutions.biz</t>
  </si>
  <si>
    <t>DTM Real Estate Services, LLC</t>
  </si>
  <si>
    <t>mailto:dtmrealestate@sbcglobal.net</t>
  </si>
  <si>
    <t>="DTM is a full service commercial real estate firm with just one focus, providing knowledgeable, professional, and innovative commercial real estate services to each of our clients. Our team begins each assignment by listening to the client, gaining a full understanding of the client’s goals and needs. We then work to create an effective real estate plan and successfully execute it with precision and detail. Our Distinguishing Factor is our ability to listen attentively and our willingness to work tirelessly for our clients. As a result, we are able to creatively implement working solutions the first time. We believe in building lasting relationships. To us it is quite simple, by operating with integrity, honesty, and efficiency helps to insure that once you are a DTM client you remain a DTM client."</t>
  </si>
  <si>
    <t>http://www.dtmrealestate.com</t>
  </si>
  <si>
    <t>mailto:info@dtmrealestate.com</t>
  </si>
  <si>
    <t>DTShaw LLC</t>
  </si>
  <si>
    <t>DUDLEY CONSTRUCTION, INC</t>
  </si>
  <si>
    <t>DUNCAN MACHINING, INC</t>
  </si>
  <si>
    <t>="We provide quality machined parts per spec and blueprint received, taking into consideration type/quality steel reference, tolerances and final inspection. Certified machinist and certified welders on payroll. Machine repair for various companies and manufacturers available."</t>
  </si>
  <si>
    <t>mailto:duncan@iquest.net</t>
  </si>
  <si>
    <t>DUNCAN SUPPLY CO INC</t>
  </si>
  <si>
    <t>http://duncansupply.com</t>
  </si>
  <si>
    <t>mailto:sales@duncansupply.com</t>
  </si>
  <si>
    <t>DUNHAM RUBBER &amp; BELTING CORP</t>
  </si>
  <si>
    <t>http://www.dunhamrubber.com</t>
  </si>
  <si>
    <t>mailto:mail@dunhamrubber.com</t>
  </si>
  <si>
    <t>Rubber and Plastics Hoses and Belting Manufacturing</t>
  </si>
  <si>
    <t>DUNLAP AND COMPANY INC</t>
  </si>
  <si>
    <t>http://www.dunlapinc.com</t>
  </si>
  <si>
    <t>mailto:info@dunlapinc.com</t>
  </si>
  <si>
    <t>DVM Corp DBA Interstate Batteries</t>
  </si>
  <si>
    <t>http://www.interstatebatteries.com</t>
  </si>
  <si>
    <t>mailto:ib4535@sbcglobal.net</t>
  </si>
  <si>
    <t>DW Consulting</t>
  </si>
  <si>
    <t>="DW Consulting has an excellent record of service providing assistance to companies, government agencies and not for profit agencies in the organization and writing and development of detailed proposals, licensing applications, plans and other complex documents. Further, we have experience in marketing management, training and various other management consulting services."</t>
  </si>
  <si>
    <t>http://www.dwconsultingonline.com</t>
  </si>
  <si>
    <t>mailto:dolly@dwconsultingonline.com</t>
  </si>
  <si>
    <t>DWL Property Preservation, LLC</t>
  </si>
  <si>
    <t>mailto:DWLPROPPRESERVE@YAHOO.COM</t>
  </si>
  <si>
    <t>DX ENTERPRISES LLC</t>
  </si>
  <si>
    <t>http://www.gcqainc.com</t>
  </si>
  <si>
    <t>mailto:bill@gcqainc.com</t>
  </si>
  <si>
    <t>DZ SERVICES</t>
  </si>
  <si>
    <t>http://www.dzservices@vpweb.com</t>
  </si>
  <si>
    <t>mailto:dzservices25@gmail.com</t>
  </si>
  <si>
    <t>DaKan Graphix Produc</t>
  </si>
  <si>
    <t>http://www.dakangraphix.com</t>
  </si>
  <si>
    <t>mailto:dakan@usxchange.net</t>
  </si>
  <si>
    <t>Support Activities for Printing</t>
  </si>
  <si>
    <t>DaMar Staffing Solut</t>
  </si>
  <si>
    <t>="DaMar Staffing Solutions is a privately held firm. DaMar, collectively, has over 75 years of experience in the recruiting industry. In Indianapolis, DaMar is affiliated with the Indianapolis Chamber of Commerce, Fishers Chamber of Commerce, Better Business Bureau, SHRM, American Staffing Association, Children's Bureau, and American Legion Women's Auxilary. DaMar is also SBA registered. DaMar's objective is to obtain your business through a personal demonstration of our services and to retain your business through providing quality employees and exceptional customer service. Our business continues to grow because our clients know that we are very loyal and dedicated to their needs. We consider our clients our partners in business and, therefore, we pride ourselves in building long term relationships based on integrity. DaMar's Staffing Consultants are in the market daily talking with potential staff members."</t>
  </si>
  <si>
    <t>http://www.damarstaffing.com</t>
  </si>
  <si>
    <t>mailto:tiffany.thompson@damarstaffing.com</t>
  </si>
  <si>
    <t>Dabeestuff, LLC</t>
  </si>
  <si>
    <t>="Wholesale all natural body care products including those that support healing. ""Winning Hands"" hand lotion perfect for casino employees and guests. Softens hands without transferring on playing cards causing shuffling machine malfunction. ""Omega Mend"" Cell Rejuvenator for Youthful Skin along with additional products in the facial care system including cleanser, toner, etc. ""Tat Jam"" tattoo aftercare speeds up the healing time of a new tattoo. We are constantly adding products to our line based on the finest all natural ingredients available."</t>
  </si>
  <si>
    <t>http://www.dabeestuff.com</t>
  </si>
  <si>
    <t>mailto:dabeestuff@gmail.com</t>
  </si>
  <si>
    <t>Drugs and Druggists' Sundries Merchant Wholesalers</t>
  </si>
  <si>
    <t>Dac enterprise LLC.</t>
  </si>
  <si>
    <t>http://www.dacenterprise.com</t>
  </si>
  <si>
    <t>mailto:dacenterprise@embarqmail.com</t>
  </si>
  <si>
    <t>Dad's Garage Doors, Inc.</t>
  </si>
  <si>
    <t>mailto:Compton46511@yahoo.com</t>
  </si>
  <si>
    <t>Daily Breeze Cleaning Services L.L.C.</t>
  </si>
  <si>
    <t>="Daily Breeze Cleaning Services, L.L.C. believes that there is no better greeting to both employees and customers than a clean building! Daily Breeze is a family-owned and operated “full-service” commercial cleaning business, established in 1994. Daily Breeze provides the professional expertise and equipment to provide the best scheduled custodial service to your building on a daily, weekly, or monthly basis. We will make sure that the daily appearance of your office is one that projects a clean, professional atmosphere. Daily Breeze’s scheduled custodial service can assure the start of a great lasting impression!"</t>
  </si>
  <si>
    <t>http://www.dailybreezecleaning.com</t>
  </si>
  <si>
    <t>mailto:jrogers@dailybreezecleaning.com</t>
  </si>
  <si>
    <t>Daisy Wheel &amp; Ribbon</t>
  </si>
  <si>
    <t>="We sell office machine supplies, both new and compatible, including copier and fax supplies, (such as laser and ink jet cartridges) magnetic media, maintenance kits, labeling tape, printer services and cleanings. Daisy Wheel has been a woman owned business for nearly 25 years."</t>
  </si>
  <si>
    <t>http://not applicable</t>
  </si>
  <si>
    <t>mailto:dwrinc@juno.com</t>
  </si>
  <si>
    <t>Daisy's Property Management Corp</t>
  </si>
  <si>
    <t>Real Estate Property Managers</t>
  </si>
  <si>
    <t>Dakota's Detailing, Inc.</t>
  </si>
  <si>
    <t>mailto:dakotasdetailing@att.net</t>
  </si>
  <si>
    <t>Dalco Services Corp.-Enviro Remediation</t>
  </si>
  <si>
    <t>="Dalco Services Corporation environmental remediation services include: *subsurface soil collections, *above ground (AST) installs, *underground storage tank (UST) removals, upgrades, installs, * soil and/or groundwater remediation, *industrial cleanng, *high vacuum extraction, *bio-remediation, *pump and treatment systems"</t>
  </si>
  <si>
    <t>http://www.dalcoservices.com</t>
  </si>
  <si>
    <t>mailto:david@dalcoservices.com</t>
  </si>
  <si>
    <t>Dale Hubbard Electric, Inc.</t>
  </si>
  <si>
    <t>http://dalehubbardelectric.com</t>
  </si>
  <si>
    <t>mailto:dalehubbardelectric@comcast.net</t>
  </si>
  <si>
    <t>Dalesa A Peters</t>
  </si>
  <si>
    <t>Daleville Community Schools</t>
  </si>
  <si>
    <t>http://www.daleville.k12.in.us</t>
  </si>
  <si>
    <t>mailto:pgarrison@daleville.k12.in.us</t>
  </si>
  <si>
    <t>Dallas &amp; Darlene Eikenberry, Inc.</t>
  </si>
  <si>
    <t>mailto:printhappy@lafayettecartridgeworld.com</t>
  </si>
  <si>
    <t>Dallman Contractors, LLC</t>
  </si>
  <si>
    <t>mailto:admin@dallmancontractors.com</t>
  </si>
  <si>
    <t>Dalton &amp; Company Inc</t>
  </si>
  <si>
    <t>="Dalton and Company, Inc. is an independent health insurance firm offering products to individuals and businesses located in the state of Indiana. We specialize in self funding and fully insured options for business groups and Medicare options for retirees age 65 and over with individual and employer sponsored plans."</t>
  </si>
  <si>
    <t>http://kdaltonins.com</t>
  </si>
  <si>
    <t>mailto:kdaltonins@scican.net</t>
  </si>
  <si>
    <t>Dalton Clark Group, Inc.</t>
  </si>
  <si>
    <t>http://www.dlgrp.com</t>
  </si>
  <si>
    <t>mailto:kyle@dlgrp.com</t>
  </si>
  <si>
    <t>Damalak Printing, Inc.</t>
  </si>
  <si>
    <t>="Cave &amp; Company Printing is a family owned and operated commercial offset and digital printing facility offering short and long run jobs. We specialize in letterhead, envelopes, business cards, business forms, brochures, fliers, invitations, rubber stamps and more. Customer service is our top priority. Our staff is equipped to get your quotes to you in a timely manner, answer your printing questions, and provide you with a quality printed piece. Your deadlines are important to us and we work diligently to make sure they are met."</t>
  </si>
  <si>
    <t>http://www.caveprinting.com</t>
  </si>
  <si>
    <t>mailto:print@caveprinting.com</t>
  </si>
  <si>
    <t>Damar Services, Inc.</t>
  </si>
  <si>
    <t>="Since 1967, Damar Services has provided residential treatment and community-based supports to children and adults facing developmental and behavioral challenges. On our 46-acre main campus and in the community, we offer life-changing programs with the help of more than 900 human services professionals. Damar Services cares for children and young adults that most disability service providers are either unwilling or incapable of serving—those with dual diagnoses of a severe developmental disability coupled with significant behavioral challenges. More than 96% of those served by Damar annually achieve greater levels of independence. Damar recently introduced the Integrated Services Pilot to the Indiana Department of Children’s Services to more effectively and efficient serve Indiana children at risk for residential placement. In 2011, Damar sponsored Indiana’s first public charter school focused on the needs of children with intellectual and behavioral challenges."</t>
  </si>
  <si>
    <t>http://www.damar.org</t>
  </si>
  <si>
    <t>mailto:rich@damar.org</t>
  </si>
  <si>
    <t>Nursing and Residential Care Facilities</t>
  </si>
  <si>
    <t>Dan's Computing</t>
  </si>
  <si>
    <t>http://www.danscomputing.com</t>
  </si>
  <si>
    <t>mailto:dan@danscomputing.com</t>
  </si>
  <si>
    <t>Dan's Fence Co. LLC</t>
  </si>
  <si>
    <t>="Dan's Fence Company is celebrating our 25th year in business. We sell &amp; install all types of fencing; commercial, industrial &amp; residential. We're the tri-states largest fence supplier. We're experienced in access control as well as sports facilities; ball fields, tennis courts, pools, etc. We sell &amp; install chain link, vinyl chain link, vinyl, aluminum, wood - using only #1 domestic material. We've built our business with little advertising, by our professional, quality and ethical work."</t>
  </si>
  <si>
    <t>http://www.dansfencecompany.com</t>
  </si>
  <si>
    <t>mailto:kathy@dansfencecompany.com</t>
  </si>
  <si>
    <t>Danco Roofing Services, Inc.</t>
  </si>
  <si>
    <t>http://www.DancoRoof.com</t>
  </si>
  <si>
    <t>mailto:danco@dancoroof.com</t>
  </si>
  <si>
    <t>Dane Enterprises LLC</t>
  </si>
  <si>
    <t>="Personal and professional development workshops, retreats, keynote presentations, and coaching sessions. Original materials are designed for individuals to live their life based on their unique values, strengths, and needs by aligning their thoughts, words, and actions. This work is in-depth and transformational and results in people living more balanced, powerful lives in integrity with who they are and what is important to them. Both individuals and businesses benefit by faster decision making and accelerated results, better focus and clarity, increased integrity and personal responsibility and less conflict in relationships."</t>
  </si>
  <si>
    <t>http://www.CoreCoachingandTraining.com</t>
  </si>
  <si>
    <t>mailto:Dane@CoreCoachingandTraining.com</t>
  </si>
  <si>
    <t>Daniel Burton Dean Advertising &amp; Design</t>
  </si>
  <si>
    <t>http://www.dbdnet.com</t>
  </si>
  <si>
    <t>mailto:jamie@dbdnet.com</t>
  </si>
  <si>
    <t>Daniel J Arthurhultz, Inc</t>
  </si>
  <si>
    <t>http://www.qchvac.com</t>
  </si>
  <si>
    <t>mailto:nickeya@embarqmail.com</t>
  </si>
  <si>
    <t>Daniel McCoy &amp; Associates LLC</t>
  </si>
  <si>
    <t>="Wide range of consulting services offered since 2008 including personal safety, process safety, health, security, environment, and emergency response technical expertise and management system implementation for the chemical, energy, utilities, health care and manufacturing business sectors. Consulting services include working with numerous organizations from the shop floor to senior level leadership in efforts to improve their HSSE performance as well as positively affecting the organization's sustainability and social responsibility. Owner is Certified Safety Professional and Certified Hazardous Materials Manager."</t>
  </si>
  <si>
    <t>mailto:MCCOYDE1@COMCAST.NET</t>
  </si>
  <si>
    <t>Daniela G. Alfonzo</t>
  </si>
  <si>
    <t>="Thank you for your interest in my services. I am a professional translator/interpreter in Spanish, English and Portuguese, with over eight years of experience in a wide range of areas including legal, technical, and translation for the Media and the Communication industries. High quality work, dependability and professionalism are my hallmarks, as demonstrated by my certification as English into Spanish translator through the American Translators Association and certification as an interpreter through the State of Indiana. Therefore, I am able to provide a variety of language services, including translation, interpreting and language instruction. For further details about my experience, qualifications, and to download a copy of my resume, please feel free to visit my webpage listed here. Please do not hesitate to contact me should you have any questions about my services or to request a free quote. I look forward to being able to meet your company’s language needs!"</t>
  </si>
  <si>
    <t>http://www.proz.com/pro/1482</t>
  </si>
  <si>
    <t>mailto:daniela.guanipa@gmail.com</t>
  </si>
  <si>
    <t>Daniels Associates, Inc.</t>
  </si>
  <si>
    <t>http://www.dainc.com</t>
  </si>
  <si>
    <t>mailto:ggmetallic@aol.com</t>
  </si>
  <si>
    <t>Dannee J. Neal, M.D.</t>
  </si>
  <si>
    <t>Danville Chrysler-Dodge-Jeep, Inc.</t>
  </si>
  <si>
    <t>="Danville Chrysler-Dodge-Jeep is a certified DaimlerChrysler Five Star dealership with a huge inventory of high quality new and pre-owned vehicles. The team at Danville Chrysler-Dodge-Jeep believes that customer service means making your vehicle buying experience an enjoyable one. We also provide factory-trained service work and parts for the vehicles we sell. Please visit our website at www.danvillechrysler.com, email us at dchrysler@indy.rr.com, or call 317-745-5809 for your current or future vehicle sales and service needs."</t>
  </si>
  <si>
    <t>http://www.danvillechrysler.com</t>
  </si>
  <si>
    <t>mailto:dchrysler@indy.rr.com</t>
  </si>
  <si>
    <t>Daphne Sue Meyer</t>
  </si>
  <si>
    <t>="Daphne's is a female owned trucking company, that has 5 Straight trucks all quad axles. I not only own the trucks I operate one of the trucks so I am on the road seeing what is going on and controlling my small fleet. I haul sand, stone, asphalt, decorative stone, aglime, mulch, salt, any aggregate that is needed."</t>
  </si>
  <si>
    <t>mailto:daphnesue1@aol.com</t>
  </si>
  <si>
    <t>Dariyon Transportation Inc.</t>
  </si>
  <si>
    <t>="We are a non-emergency medical transportation company. We provide services to people who need transportation to and from their medical appointments. We accept Medicaid and Private pay clients. Our goal is to get our clients to their appointments on time and to make sure that after their appointment is over, reduce the wait time to get back home. Our clients' safety and needs are our #1 Priority."</t>
  </si>
  <si>
    <t>mailto:chaiselane@att.net</t>
  </si>
  <si>
    <t>Darryl L. Crockett</t>
  </si>
  <si>
    <t>="We are a full service design agency producing high-end communication solutions. This covers all creative media from book covers and posters, annual reports,and any visual aids. We are corporate communication specialists with strengths in board presentations, multimedia and compact disc interactive technology. We are experts with powerpoint and flash software for animated sequences as well as photoshop, illustrator and quark for print design. We have project managers with experience in trade show booth design, event planning and production coordination for any market. We can provide support for all your creative endeavors in local, regional and national marketing campaigns and strategic events. DC Design, allow us to provide you an unmatched creative resource."</t>
  </si>
  <si>
    <t>Darvel Communications LLC</t>
  </si>
  <si>
    <t>="Darvel Communications is a strategic communications firm that offers the following services: public relations; strategic communications planning; social networking development and outreach; press release development; media tracking; media relations; media training for candidates and professionals; multimedia production; graphic design; brand management; crisis communications; reputation management; copy editing; and event planning"</t>
  </si>
  <si>
    <t>http://www.darvelcommunications.com</t>
  </si>
  <si>
    <t>mailto:jennifer@darvelcommunications.com</t>
  </si>
  <si>
    <t>Darwin &amp; Darwin Pressure Washing</t>
  </si>
  <si>
    <t>http://ddpressurewash.tripod.com</t>
  </si>
  <si>
    <t>mailto:d_dpressurewashing@hotmail.com</t>
  </si>
  <si>
    <t>Darwin Branded Environments, Inc</t>
  </si>
  <si>
    <t>http://www.darwinbe.com</t>
  </si>
  <si>
    <t>mailto:carolyn@darwinbe.com</t>
  </si>
  <si>
    <t>Data Analytics &amp; Research Solutions LLC</t>
  </si>
  <si>
    <t>="We provide insight into what your customers, clients, or other stakeholders are doing, thinking, and want from you. We conduct surveys to gather information, analyze that information, and present this to you with concrete conclusions and recommendations. We also evaluate the success of a newly implemented program and analyze existing data to discover trends and opportunities. We have in-depth knowledge of healthcare, human resources, Medicare and Medicaid, and higher education. Lynn Lukins, Principal and Consultant, has worked as a researcher and data analyst for 16 years. She holds a Master of Science degree in Industrial/Organizational Psychology with a focus on research, statistics, evaluation, and the measurement of various attributes in the workplace. She also holds a Principles of Marketing Research certificate from the University of Georgia, and has taken several database and computer programming courses."</t>
  </si>
  <si>
    <t>http://www.dataresearchsol.com</t>
  </si>
  <si>
    <t>mailto:dataresearch@att.net</t>
  </si>
  <si>
    <t>Data Analytics and Research Solutions LL</t>
  </si>
  <si>
    <t>="We provide survey and opinion research, data analyses, and statistics consulting to a variety of industries. We can take a large amount of data and summarize it to determine trends, action items, and recommendations. We also recently developed automated data collection and reporting systems for two large universities, which replaced extremely time consuming manual processes."</t>
  </si>
  <si>
    <t>Data Integration Consulting, Inc.</t>
  </si>
  <si>
    <t>mailto:tthompson@dataic.com</t>
  </si>
  <si>
    <t>Data Ltd., Inc.</t>
  </si>
  <si>
    <t>="Data Ltd., Inc. is a privately owned corporation formed in 1991 and based in La Porte, Indiana. Offices in Akron OH, Atlanta, Chicago, Milwaukee, Minneapolis, and Portland, Oregon provide regional technical and sales support. The staff of Data Ltd. consists of trained and professional individuals who provide a team approach to offering complete data collection solutions. The strength of Data Ltd. was originally rooted in its origin as a service center for Telxon (now a part of Symbol Technologies) data collection equipment. What has evolved from a modest beginning is now a multi-faceted corporation with 2004 sales in excess of $20 million dollars. Since the Symbol acquisition of Telxon, Data Ltd., Inc. has expanded to offer their own line of transportable and vehicle mount terminals as well as become a leading reseller of Hand Held Products (HHP) and PSC. We also resell Cisco and Symbol Technologies products, enabling Data Ltd., Inc. to offer “best of breed” solutions to our custo"</t>
  </si>
  <si>
    <t>http://www.dataltd.com/</t>
  </si>
  <si>
    <t>mailto:chris@dataltd.com</t>
  </si>
  <si>
    <t>Data Sciences Group, Inc.</t>
  </si>
  <si>
    <t>http://www.datasciencesgroupinc.com</t>
  </si>
  <si>
    <t>mailto:faruk.ansari@datascsgrp.com</t>
  </si>
  <si>
    <t>Data Synergy</t>
  </si>
  <si>
    <t>DataQuest, Inc.</t>
  </si>
  <si>
    <t>="DataQuest delivers end-to-end business solutions primarily to companies in the Great Lakes region, but has clients all over the US. Our deliverables center around ACCPAC Advantage Series™, an industry leader in open architecture, multi-platform accounting systems. Our professional staff of certified consultants will help your company implement systems that extend the functionality of core accounting modules and address your complete set of needs in the areas of human resources, CRM, warehouse management, EDI, manufacturing, e-commerce and telephony. When a fully custom solution is the best approach, our team of developers can assist with proof of concept, through design, development and implementation."</t>
  </si>
  <si>
    <t>http://www.dquest.com</t>
  </si>
  <si>
    <t>mailto:info@dquest.com</t>
  </si>
  <si>
    <t>DataShare Corporation</t>
  </si>
  <si>
    <t>http://www.datashare.com</t>
  </si>
  <si>
    <t>mailto:orrb@datashare.com</t>
  </si>
  <si>
    <t>Datacom Connect, Inc</t>
  </si>
  <si>
    <t>="Datacom Connect is a structured cabling contractor. Our principle line of work is the installation of Copper and Fiber Optic cabling for voice and data networks. We utilize a variety of products to perform this work however our principle source is Belden Cable and Panduit Connectivity products. We have a BICSI RCDD on staff and two (2) BICSI Registered Technicians."</t>
  </si>
  <si>
    <t>Datum Consulting Group, LLC</t>
  </si>
  <si>
    <t>="As a rapidly growing company, Datum Consulting Group offers a varied range of software development,IT Staffing and consulting solutions within the enterprise markets. Our custom-made business solutions will allow you to frame key strategies, develop enterprise plans to manage your IT and other critical area requirements and finally realize your business objectives."</t>
  </si>
  <si>
    <t>http://www.dcgteam.com</t>
  </si>
  <si>
    <t>mailto:info@dcgteam.com</t>
  </si>
  <si>
    <t>DaugSon Cleaning Service LLC</t>
  </si>
  <si>
    <t>="DaugSon Cleaning Service provides state of the art commercial janitorial services. We aim to not only be economical right but the quality of our job is what says the most. We will make your business a clean and sanitized work enviroment. Our clients satisfaction is our goal."</t>
  </si>
  <si>
    <t>http://www.daugsoncleaningservice.com</t>
  </si>
  <si>
    <t>mailto:daugsoncleaningservice@gmail.com</t>
  </si>
  <si>
    <t>Davael Creative Flooring</t>
  </si>
  <si>
    <t>http://www.davaelcreativeflooring.com</t>
  </si>
  <si>
    <t>mailto:info@davael.com</t>
  </si>
  <si>
    <t>Dave Galloway Inc.</t>
  </si>
  <si>
    <t>mailto:dagalloway@sbcglobal.net</t>
  </si>
  <si>
    <t>Dave's Diesel Incorporated</t>
  </si>
  <si>
    <t>http://DavesDiesel.com</t>
  </si>
  <si>
    <t>mailto:sales@davesdiesel.com</t>
  </si>
  <si>
    <t>Other Automotive Mechanical and Electrical Repair and Maintenance</t>
  </si>
  <si>
    <t>David B Patterson</t>
  </si>
  <si>
    <t>mailto:davepatterson@insightbb.com</t>
  </si>
  <si>
    <t>David E Watkins</t>
  </si>
  <si>
    <t>http://www.dewfs.com</t>
  </si>
  <si>
    <t>mailto:dave@dewfs.com</t>
  </si>
  <si>
    <t>David Kimmel</t>
  </si>
  <si>
    <t>http://www.BANNERSUNLIMITED.NET</t>
  </si>
  <si>
    <t>mailto:lola@bannersunlimited.net</t>
  </si>
  <si>
    <t>David Matthews Associates</t>
  </si>
  <si>
    <t>http://www.davidmatthews-assoc.com</t>
  </si>
  <si>
    <t>mailto:dma@davidmatthews-assoc.com</t>
  </si>
  <si>
    <t>David R. Hill</t>
  </si>
  <si>
    <t>http://www.m2ke.com</t>
  </si>
  <si>
    <t>mailto:dhill@m2ke.com</t>
  </si>
  <si>
    <t>David Wayne INC.</t>
  </si>
  <si>
    <t>http://davidwayneinc.com</t>
  </si>
  <si>
    <t>mailto:sales@davidwayneinc.com</t>
  </si>
  <si>
    <t>Electric Power Generation, Transmission and Distribution</t>
  </si>
  <si>
    <t>Davidson Counseling Center</t>
  </si>
  <si>
    <t>mailto:gsd@aol.com</t>
  </si>
  <si>
    <t>Davies Imperial Coatings, Inc.</t>
  </si>
  <si>
    <t>http://www.daviesimperial.com</t>
  </si>
  <si>
    <t>mailto:times@daviesimperial.com</t>
  </si>
  <si>
    <t>Daviess County Metal Sales, INC.</t>
  </si>
  <si>
    <t>="We sell all kinds of building materials that are used in construction of different kinds of buildings such as garages, churches, hog barns, horse barns, houses, etc. We manufacture our own wood trusses, laminating pole beams, and roll form our own metal siding for these buildings."</t>
  </si>
  <si>
    <t>http://dcmetal.com</t>
  </si>
  <si>
    <t>mailto:fabian@dcmetal.com</t>
  </si>
  <si>
    <t>Davis Beauty and Barber Shop</t>
  </si>
  <si>
    <t>Barber Shops</t>
  </si>
  <si>
    <t>Davis Chocolate</t>
  </si>
  <si>
    <t>http://www.davischocolate.com</t>
  </si>
  <si>
    <t>mailto:brent@davischocolate.com</t>
  </si>
  <si>
    <t>Chocolate and Confectionery Manufacturing from Cacao Beans</t>
  </si>
  <si>
    <t>Davis Design Group</t>
  </si>
  <si>
    <t>http://www.davisdesignllc.com</t>
  </si>
  <si>
    <t>mailto:kdavis@davisdesignllc.com</t>
  </si>
  <si>
    <t>Davis Express Courier Inc.</t>
  </si>
  <si>
    <t>mailto:adavis1626@aol.com</t>
  </si>
  <si>
    <t>Davis Floor Worx</t>
  </si>
  <si>
    <t>mailto:monica@davisfloorworx.com</t>
  </si>
  <si>
    <t>Davis Industries, Inc.</t>
  </si>
  <si>
    <t>http://www.davisindustries.net</t>
  </si>
  <si>
    <t>mailto:sales@davisindustries.net</t>
  </si>
  <si>
    <t>Automatic Environmental Control Manufacturing for Residential, Commercial and Appliance Use</t>
  </si>
  <si>
    <t>Davis Small Engines</t>
  </si>
  <si>
    <t>mailto:davissmallengine@aol.com</t>
  </si>
  <si>
    <t>Davis/Haslam,Inc.</t>
  </si>
  <si>
    <t>mailto:mdavis@davis-haslam.com</t>
  </si>
  <si>
    <t>Bolt, Nut, Screw, Rivet and Washer Manufacturing</t>
  </si>
  <si>
    <t>Dawn Renee Reining</t>
  </si>
  <si>
    <t>mailto:creining@comcast.net</t>
  </si>
  <si>
    <t>Daylight Farm Supply Inc.</t>
  </si>
  <si>
    <t>http://www.dfs.us.com</t>
  </si>
  <si>
    <t>mailto:jrhuff@dfs.us.xom</t>
  </si>
  <si>
    <t>Daystar Advantage, Inc.</t>
  </si>
  <si>
    <t>="We are a promotional business that offers specialty gifts and apparel. We focus on designing and manufacturing custom products with scenes that are personalized and unique to the area for which we provide them. We often use photo images with nature scenes in Indiana or in the Midwest."</t>
  </si>
  <si>
    <t>http://www.daystaradv.com</t>
  </si>
  <si>
    <t>mailto:sales@daystaradvantage.com</t>
  </si>
  <si>
    <t>De Lyn Jewelry</t>
  </si>
  <si>
    <t>="Our family is privileged to serve yours. We offer affordable designer jewelry from international manufacturers. Unique styles, our own custom designs and we can create YOUR custom design piece just for you. Jewelry and watch repairs, 18K and 14K white/yellow gold, platinum, titanium, fine sterling silver, and alternatives such as neoprine (rubber) and leather. Indiana's exclusive provider of Mouawad's Heidi Klum Collection (www.mouawad.com), great Roven Dino Italian watches with swiss movements (www.rovendino.com) and the best gemstones from Richard Krementz (www.rkg1866.com) Corporate logo jewelry, watches and gifts also."</t>
  </si>
  <si>
    <t>http://www.delynjewelry.com</t>
  </si>
  <si>
    <t>mailto:delynjewelry@hotmail.com</t>
  </si>
  <si>
    <t>Jewelry Stores</t>
  </si>
  <si>
    <t>DeBow Training Services LLC</t>
  </si>
  <si>
    <t>="DeBow Training Services LLC offer training to all staff levels in corporations. Although we specialize in Microsoft Office end-user training, our training also includes business skills and custom client-specific training. DeBow Training Services LLC empowers each employee to achieve their maximum productivity by mastering the Microsoft Office® tools and to develop business skills required to attract repeat business and achieve customer satisfaction. We share knowledge and real-life application, which goes beyond a training manual, to help students to visualize how to immediately incorporate the knowledge learned in current and future projects."</t>
  </si>
  <si>
    <t>http://www.debowtraining.com</t>
  </si>
  <si>
    <t>mailto:ald@debowtraining.com</t>
  </si>
  <si>
    <t>DeFib Solutions, Inc.</t>
  </si>
  <si>
    <t>="An onsite safety training company that specializes in Automated External Defibrillators (AED's). Authorized Providers of BLS, First Aid, CPR/ AED &amp; Alcohol Awareness (TIPs) training programs and Authorized Distributors of Cardiac Science, Philips Medical Systems, Physio-Control (Medtronics) &amp; HeartStation, Inc."</t>
  </si>
  <si>
    <t>http://www.defibsolutions.com</t>
  </si>
  <si>
    <t>mailto:vince@defibsolutions.com</t>
  </si>
  <si>
    <t>DeFrancisco &amp; Assoc.</t>
  </si>
  <si>
    <t>="Provides business consulting services specializing in, but not limited to, healthcare revenue cycle, accounts receivable, training, interim management, strategic planning, process improvements, organizational redesign. Provides team building and counseling services."</t>
  </si>
  <si>
    <t>http://www.defranciscoconsult.com</t>
  </si>
  <si>
    <t>mailto:james.j.defrancisco@gte.net</t>
  </si>
  <si>
    <t>Other Business Support Services</t>
  </si>
  <si>
    <t>DeKalb County Parent Group for Handicapp</t>
  </si>
  <si>
    <t>http://www.childrenfirstcenter.org</t>
  </si>
  <si>
    <t>mailto:cfc@childrenfirstcenter.org</t>
  </si>
  <si>
    <t>DeNovo Group LLC</t>
  </si>
  <si>
    <t>http://www.groupdenovo.com</t>
  </si>
  <si>
    <t>mailto:lhershman@groupdenovo.com</t>
  </si>
  <si>
    <t>DeSabatine Bros. Exc</t>
  </si>
  <si>
    <t>mailto:jmurray@sugardog.com</t>
  </si>
  <si>
    <t>DeSoto Group Consulting &amp; Translation</t>
  </si>
  <si>
    <t>="DeSoto Translation &amp; Marketing, Inc. is a complete interpreting, translation language firm supporting a wide range of clients, guided by the five principles of accuracy, value, confidentiality, speed, and reliability. Our staff is dedicated to helping our clients succeed by effectively adapting their materials, message, products and services to meet the demands of the global marketplace. (Over 100 Languages serviced: Arabic, Bosnian, Burmese, Chinese, German, Japanese, Polish, and Spanish. Additional languages available) Our clients include corporations, non-profit institutions, and governmental agencies in a wide variety of fields including: · Hospitals and health organizations · Government agencies and court systems · Industry leaders in o Banking and finance o Advertising and trade o Manufacturing and publishing · Individuals STAFF EXPERTISE: Our support staff includes translators, interpreters, and proofreaders fluent in the target language. ALL staff members ha"</t>
  </si>
  <si>
    <t>http://WWW.DESOTOTM.NET</t>
  </si>
  <si>
    <t>mailto:sal@desototm.net</t>
  </si>
  <si>
    <t>DeTrude &amp; Company, Inc.</t>
  </si>
  <si>
    <t>http://detrude-benefits.com</t>
  </si>
  <si>
    <t>mailto:kjdetrude-benefits.com</t>
  </si>
  <si>
    <t>DeWees Construction, Inc.</t>
  </si>
  <si>
    <t>http://www.deweesconstruction.com</t>
  </si>
  <si>
    <t>mailto:bill@deweesconstruction.com</t>
  </si>
  <si>
    <t>DeWilde Glass Inc. dba Magic Glass Lafay</t>
  </si>
  <si>
    <t>http://magicglass.com</t>
  </si>
  <si>
    <t>mailto:mdewilde@magiclafayette.com</t>
  </si>
  <si>
    <t>Deaconess Women's Hospital of So Ind LLC</t>
  </si>
  <si>
    <t>http://www.deaconess.com</t>
  </si>
  <si>
    <t>Specialty (except Psychiatric and Substance Abuse) Hospitals</t>
  </si>
  <si>
    <t>Dealership Holdings, LLC</t>
  </si>
  <si>
    <t>http://www.drivekelleychevrolet.com</t>
  </si>
  <si>
    <t>mailto:mwright@kelleyauto.com</t>
  </si>
  <si>
    <t>Dean A. Black</t>
  </si>
  <si>
    <t>="JustAskHR is a Human Resource and Management Consulting Firm providing a full range of consulting services from human resources and contingency planning to strategic planning and management development. JustAskHR specializes in merger/acquisition integration, compensation and rewards, change management, performance management, reorganization, training and development, workforce analytics, project management and government services. JustAskHR‘s primary mission is to build “Employer’s of Choice”. Based in Indianapolis, Indiana with satellite offices throughout the US, JustAskHR has proudly served Fortune 500 companies and small business alike for over fifteen years. Consultants are available for short and long term assignments either on-site or from our various offices. JustAskHR guarantees confidentiality, cost-competitiveness and complete client satisfaction. Our goals are to add-value, enhance content and reduce risk for our clients with the ultimate mission of buildi"</t>
  </si>
  <si>
    <t>http://www.JustAskHR.biz</t>
  </si>
  <si>
    <t>mailto:dablack@justaskhr.biz</t>
  </si>
  <si>
    <t>Dean Johnson Design Inc.</t>
  </si>
  <si>
    <t>="Dean Johnson develops successful brands and smart communications, meeting and often exceeding our clients' goals. This is achieved by designing clean, intelligent, break-through materials based on sound information and solid strategy. Our staff of award-winning professionals offers years of experience in the creation and production of corporate identity, brand communications, advertising, interactive and environmental graphics, as well as publication and package design. This collaboration allows us to create effective branding and communications solutions."</t>
  </si>
  <si>
    <t>http://www.deanjohnson.com</t>
  </si>
  <si>
    <t>mailto:info@deanjohnson.com</t>
  </si>
  <si>
    <t>Deaney Equipment Co., Inc.</t>
  </si>
  <si>
    <t>="Deaney Equipment was founded in 1922 to provide tools, equipment, and service to the construction industry in Indiana. We are dedicated to making the road and bridge contractors more efficient and profitable. Ninety years of experience had given us the ability to better solve problems and provide the right support to our customers."</t>
  </si>
  <si>
    <t>Dearborn County Hosp</t>
  </si>
  <si>
    <t>http://www.dch.org</t>
  </si>
  <si>
    <t>mailto:dchinfo@dch.org</t>
  </si>
  <si>
    <t>Dearing &amp; Dearing, CPA</t>
  </si>
  <si>
    <t>Deb's Cleaning Service Company</t>
  </si>
  <si>
    <t>="Deb's Cleaning Service specializing in commercial cleaning building services interior &amp; exterior including parking lots residential cleaning services office cleaning services medical , retail, office etc. housekeeping services, maid services restroom cleaning service custodial cleaning service restaurant cleaning services deodorant freshener services duct cleaning services lighting maintenance cleaning bulb replacement chandelier cleaning etc. pressure washing external building cleanup construction debris removal to dumpster internal building construction cleanup to post construction carpet cleaning services upholstery cleaning services specialty cleaning brass , copper , elevators etc. tub &amp; tile cleaning services kitchen degreasing services window cleaning services inside &amp; outside outdoor furniture maintenance cleaning and application of tung oil"</t>
  </si>
  <si>
    <t>http://www.debscleaningservices.net/</t>
  </si>
  <si>
    <t>mailto:rpmiddleton@bluemarble.net</t>
  </si>
  <si>
    <t>Debbie L. Morris, Appraiser</t>
  </si>
  <si>
    <t>http://www.valeappraisalgroup.com/</t>
  </si>
  <si>
    <t>mailto:Dmorris007@aol.com</t>
  </si>
  <si>
    <t>Debbie Mann Consulting</t>
  </si>
  <si>
    <t>="Electrical engineering consulting for commercial building and facility design including medical, educational, water and waste-water facilities. We provide fire alarm, SCADA and other special system design, as well as power system design at low (under 600V) and medium voltages. We also do power and communication for offices, churches and apartments. Drawings are provided in AutoCad 2005 or 2000 or in .pdf format. MP services can be provided as well for a complete MEP package."</t>
  </si>
  <si>
    <t>http://www.debbiemann.com</t>
  </si>
  <si>
    <t>mailto:dmann@debbiemann.com</t>
  </si>
  <si>
    <t>Debco Metal Culverts</t>
  </si>
  <si>
    <t>mailto:debco@home.ffni.com</t>
  </si>
  <si>
    <t>Debits n' Credits, Inc.</t>
  </si>
  <si>
    <t>="Debits n' Credits provides bookkeeping and payroll services to small to mid-sized businesses. In addition, we provide tax services for your quarterly payroll needs as well as year end tax filings inlcuding W-2's and 1099's. Property tax filings and sales tax filings are also provided. Debits n' Credits provides all annual income tax filings for both businesses and individuals. Consulting services are also provided for those small to mid-sized businesses that need some supervision over their regular bookkeeping staff. We provide CPA experience without the CPA prices. In addition, Melinda Owens, CPA is a Notary Public in good standing."</t>
  </si>
  <si>
    <t>http://www.debitsncredits.net</t>
  </si>
  <si>
    <t>mailto:info@debitsncredits.net</t>
  </si>
  <si>
    <t>Deborah B. Jenkins</t>
  </si>
  <si>
    <t>="Virtual Assistants provides administrative support and other duties that are similar to those that are performed by an on-site full time secretary or administrative assistant. Virtual Assistants have at least 5 years or more experience as a secretary, administrative assistant, executive assistant, or office manager, in word processing, desktop publishing, event planning, etc."</t>
  </si>
  <si>
    <t>http://www.ultimatesolutionsva.org</t>
  </si>
  <si>
    <t>mailto:deborah.ultimateva@yahoo.com</t>
  </si>
  <si>
    <t>Deborah C. Miller, Inc.</t>
  </si>
  <si>
    <t>http://www.professional-dynamics.com</t>
  </si>
  <si>
    <t>mailto:deb@deborahcmiller.com</t>
  </si>
  <si>
    <t>Deborah D O'Connor Construction, Inc.</t>
  </si>
  <si>
    <t>mailto:spike2000_883@hotmail.com</t>
  </si>
  <si>
    <t>Deborah Gonzales</t>
  </si>
  <si>
    <t>http://i don't have one</t>
  </si>
  <si>
    <t>mailto:acosta_heating@comcast.net</t>
  </si>
  <si>
    <t>Debra A. Currey P.C.</t>
  </si>
  <si>
    <t>="Provide accounting, bookkeeping and tax services to individuals, small businesses and non-profits including compilations, reviews and audits. Also provide consulting services including internal control reviews, cost allocation, monitoring, quality assurance and budgeting."</t>
  </si>
  <si>
    <t>http://curreyaccounting.com</t>
  </si>
  <si>
    <t>mailto:ddcurrey@comcast.net</t>
  </si>
  <si>
    <t>Decatur County Community Schools</t>
  </si>
  <si>
    <t>Decatur Hills, Inc.</t>
  </si>
  <si>
    <t>mailto:bill.wise@gte.net</t>
  </si>
  <si>
    <t>Solid Waste Landfill</t>
  </si>
  <si>
    <t>Decatur Mold, Tool &amp; Engineering Inc.</t>
  </si>
  <si>
    <t>http://DecaturMold.com</t>
  </si>
  <si>
    <t>Decatur Truck &amp; Tractor</t>
  </si>
  <si>
    <t>http://www.selkinginternational.com</t>
  </si>
  <si>
    <t>Decision Alternatives Inc</t>
  </si>
  <si>
    <t>="Decision Alternatives, Inc. was founded to provide alternative approaches to companies experiencing cost or performance pressures on their operations. In today’s world, the solution often proposed to deal with these issues is to outsource all or significant portions of the function. Changing the sourcing method for even a small portion of your business is a complex endeavor with far-reaching long term consequences and DAi believes you need to consider all the facts before you make your final decision and very carefully plot your roadmap to achieving success. We specialize in Privatization and Outsourcing Procurement and Transition"</t>
  </si>
  <si>
    <t>http://www.decisionalts.com</t>
  </si>
  <si>
    <t>mailto:partners@decisionalts.com</t>
  </si>
  <si>
    <t>Decision Technology</t>
  </si>
  <si>
    <t>="Decision Technology LLC is a system integration and engineering company with 25 years experience in machine vision systems and related camera and image processing technology. We develop custom applications for automation of: - Quality control and inspection - Part identification - Process control - Machine guidance and control - Specialty video recording and security Our customer base includes end users, custom machine builders and larger system integration companies."</t>
  </si>
  <si>
    <t>http://www.VisionIntegrator.com</t>
  </si>
  <si>
    <t>mailto:BobRongo@VisionIntegrator.com</t>
  </si>
  <si>
    <t>Decisions Corp</t>
  </si>
  <si>
    <t>="Decisions Corp is an environmental and water/wastewater utility planning and development firm. Environmental services include Phase I and Phase II Environmental Site Assessments, groundwater and soil investigation and remediation, landfill monitoring, and UST management. Decisions Corp offers an expert, seasoned point of view on the tough decisions faced by major municipalities in the areas of landfill management, combined sewers, and privatization. Decisions' President, Beulah Coughenour, recently retired as Chairperson of the Indianapolis Council's Public Works Committee, where for more than a quarter-century she addressed environmental issues in a productive, nonpartisan fashion. Her unique expertise is now available to municipal governments facing similar difficult decisions."</t>
  </si>
  <si>
    <t>http://www.decisionscorp.com</t>
  </si>
  <si>
    <t>mailto:mathasmarlene@sbcglobal.net</t>
  </si>
  <si>
    <t>Deckard Mechanical LLC</t>
  </si>
  <si>
    <t>http://www.deckardmechanical.com</t>
  </si>
  <si>
    <t>mailto:sdeckard@deckardmechanical.com</t>
  </si>
  <si>
    <t>Decker &amp; Vickery Inc</t>
  </si>
  <si>
    <t>="We install and service all types of truck equipment. Such as, flatbeds, crane bodies, service bodies, dump bodies, van bodies, field service bodies, lift gates, cranes, tarps, grain bodies, digger derricks, aerial equipment, hoists, 5th wheels, suspensions, snow plows, and much more. We also sell and install truck accessories. Such as bug shields, vent visors, bedliners, tool boxes, shelving, ladder racks, running boards, nerf bars, bed rails, mud flaps, lights, tonneau covers, receiver hitches, 5th wheel hitches, gooseneck hitches, fuel tanks, winches, lift kits and much more. We have an inhouse graphics department. We can custom create any decals and/or banner you would like. We do collision repair, refinish repair, and glass work on medium and heavy duty trucks. We also service and install mobility products. Such as wheelchair lifts, wheelchair restraint systems, wheelchair ramps, and hand controls."</t>
  </si>
  <si>
    <t>http://millstruck@millstruck.com</t>
  </si>
  <si>
    <t>mailto:millstruck@millstruck.com</t>
  </si>
  <si>
    <t>Deco Development Corporation</t>
  </si>
  <si>
    <t>="Deco Development Corporation is a software development company. We specialize in offering complete solutions for managing funds for Student Organizations at college and university campuses, as well as custom reporting and data conversion services for all businesses. We have our own team of designers and developers, and we are able to offer in-house Consulting and Custom Programming for most of your needs and special requests. From something as simple as a custom report, to something as complex as unique billing calculations, we can do the analysis, design and development of most requests. Also, if we believe your suggestions may benefit one of our distributed products in general for all users, we may elect to incorporate the ideas into the core product and make it available in the next update or upgrade, all at considerably lower costs to the customer."</t>
  </si>
  <si>
    <t>http://www.decodevelopment.com</t>
  </si>
  <si>
    <t>mailto:andrew.snyder@decodevelopment.com</t>
  </si>
  <si>
    <t>Dedrick Tool &amp; Die</t>
  </si>
  <si>
    <t>="Dedrick Tool is a full-service woman-owned machine shop that provides quality, high precision, close tolerance parts. Our capabilities include prototypes, specialty gages and fixtures, wire and sinker EDM, specialty grinding, lapping and polishing. We specialize in reverse engineering. and can quickly replace or repair broken parts, to get your lines up and running. We are dedicated to providing excellant customer service, quality machined parts, quick turn around time, on time delivery and competitive pricing.Our customers' satisfaction is our number one priority. We hope we can become an asset to you and your company."</t>
  </si>
  <si>
    <t>http://www.dedricktool.com</t>
  </si>
  <si>
    <t>mailto:info@dedricktool.com</t>
  </si>
  <si>
    <t>Dee Fletcher, Inc.</t>
  </si>
  <si>
    <t>mailto:fletchers.carpet@mchsi.com</t>
  </si>
  <si>
    <t>Dee-Lo Marine LLC</t>
  </si>
  <si>
    <t>http://www.deelomarine.bigstep.com</t>
  </si>
  <si>
    <t>mailto:captmick@henderson.net</t>
  </si>
  <si>
    <t>DeepBlue Security Solutions</t>
  </si>
  <si>
    <t>="Deep Blue Security Solutions, LLC is a privately held, professional security services company based in Indianapolis, Indiana. Our depth of experience, knowledge of the security industry and service approach; offers an effective, successful value proposition to our clients. We are committed to delivering a personalized, meaningful security service by way of our service model that focuses on Our Client, Our People and Our Community."</t>
  </si>
  <si>
    <t>http://www.deepbluesecurity.com</t>
  </si>
  <si>
    <t>mailto:mark.davis@deepbluesecurity.com</t>
  </si>
  <si>
    <t>Deer's Mill, Inc.</t>
  </si>
  <si>
    <t>http://www.clementscanoes.com</t>
  </si>
  <si>
    <t>mailto:canoe@clementscanoes.com</t>
  </si>
  <si>
    <t>Recreational Goods Rental</t>
  </si>
  <si>
    <t>Dehaven Chevrolet, Inc.</t>
  </si>
  <si>
    <t>="General Motors dealership providing Chevrolet vehicles and services for more than 44 years, located in Fort Wayne, Indiana. We deal with Retail, Fleet &amp; Commercial Clients all over the State of Indiana providing compact vehicles up to the Chevrolet Heavy Duty pick-ups and Cab &amp; Chassis trucks."</t>
  </si>
  <si>
    <t>http://www.summitcitychevrolet.com</t>
  </si>
  <si>
    <t>mailto:m.wright@GoSummitCity.com</t>
  </si>
  <si>
    <t>Deig Bros Lumber &amp; Construction Co, Inc</t>
  </si>
  <si>
    <t>http://www.DeigBros.com</t>
  </si>
  <si>
    <t>Dekalb County Eastern CSD</t>
  </si>
  <si>
    <t>DelMar Information Technologies, LLC</t>
  </si>
  <si>
    <t>="DelMar Information Technologies is an information technology (IT) consulting firm specializing in custom software development. We've been developing software professionally since 1982. Our extensive experience and expert technical skills give us the ability to create high-quality software solutions that are finished on time, within budget, and most importantly, solve our clients' business problems. Our clients include small businesses, medium-sized businesses, and large corporations in diverse industries such as health care, education, utilities, manufacturing, telecommunications, and retail. We've developed applications for handheld computers, personal computers, the web, servers, and even mainframe computers. In addition to projects involving custom programming, we offer consulting and technical training services."</t>
  </si>
  <si>
    <t>http://www.delmarit.com</t>
  </si>
  <si>
    <t>mailto:mjberger@delmarit.com</t>
  </si>
  <si>
    <t>Delaware Analysis Service</t>
  </si>
  <si>
    <t>="Provide professional technical assistance through advanced vibration analysis and vibration monitoring to assist customers in finding solutions to their equipment problems. We provide degreed mechanical and electrical ISO vibration certified engineers who have sucessfully solved a large variety of vibration problems."</t>
  </si>
  <si>
    <t>http://www.delawareanalysis.com</t>
  </si>
  <si>
    <t>mailto:rrguy@delawareanalysis.com</t>
  </si>
  <si>
    <t>Delaware County Heal</t>
  </si>
  <si>
    <t>http://www.co.delaware.in.us</t>
  </si>
  <si>
    <t>mailto:www.co.delaware.in.us</t>
  </si>
  <si>
    <t>Delco Pizza Products</t>
  </si>
  <si>
    <t>http://delcofoods.com</t>
  </si>
  <si>
    <t>Deli Depot, LLC</t>
  </si>
  <si>
    <t>mailto:meanderson@lauralhouse.com</t>
  </si>
  <si>
    <t>All Other Specialty Food Stores</t>
  </si>
  <si>
    <t>Delphi Products Co.</t>
  </si>
  <si>
    <t>http://www.delphiProducts.com</t>
  </si>
  <si>
    <t>mailto:delphiproducts@yahoo.com</t>
  </si>
  <si>
    <t>Animal Production</t>
  </si>
  <si>
    <t>Delta Consulting DBA RDI</t>
  </si>
  <si>
    <t>http://www.coolingdesign.com</t>
  </si>
  <si>
    <t>Delta Consulting Ser</t>
  </si>
  <si>
    <t>http://www.pbpromotions.com</t>
  </si>
  <si>
    <t>mailto:mktg@pbpromotions.com</t>
  </si>
  <si>
    <t>Clothing Stores</t>
  </si>
  <si>
    <t>Delta Water Mgmt Group</t>
  </si>
  <si>
    <t>mailto:deltawater@deltawatergroup.com</t>
  </si>
  <si>
    <t>Deluxe Pressure Systems</t>
  </si>
  <si>
    <t>="We offer 24/7 hot water pressure washing of company fleet vehicles, buildings, concrete, equipment, etc. We offer residential home washing, deck and fence washing, sidewalk and driveway cleaning and sealing. We also provide snow removal and lawn care services."</t>
  </si>
  <si>
    <t>mailto:deluxemobilewash@yahoo.com</t>
  </si>
  <si>
    <t>Denise Abdul-Rahman</t>
  </si>
  <si>
    <t>="We specialize in methods that promote synergy to hard to access and diverse communities. We partner with public, private, not-for-profit and local providers to share knowledge around climate, renewable energy, fossil fuel impacts, motor vehicle emissions, energy efficient methods. We deliver methodologies that promote sustainability in private, public, not-for-profit and community ecosystems."</t>
  </si>
  <si>
    <t>http://www.indianagreenoutreach.org</t>
  </si>
  <si>
    <t>mailto:indianagreenoutreach@gmail.com</t>
  </si>
  <si>
    <t>Denison Parking</t>
  </si>
  <si>
    <t>Parking Lots and Garages</t>
  </si>
  <si>
    <t>Dennis E. White</t>
  </si>
  <si>
    <t>="D. E. White Enterprises, Inc. sells the following products to private businesses, industrial and governmental instatutions. 1. Air Filtration - fiberglass, standard/high capacity pleats, HEPA (commercial &amp; Industrial) 2. Liquid filtration - water filters and cartridges Light Bulbs - Fluorescents, incandescents, Metal Halide, Low/High Pressure Sodium (available in standard and industrial services quality) 3. M.R.O Supplies - Cleaning supplies and maintenance tools"</t>
  </si>
  <si>
    <t>mailto:dennis.white11@att.net</t>
  </si>
  <si>
    <t>Other Electronic Component Manufacturing</t>
  </si>
  <si>
    <t>Denny Painting LLC</t>
  </si>
  <si>
    <t>mailto:josh@dennypainting.com</t>
  </si>
  <si>
    <t>Denny's Carpet</t>
  </si>
  <si>
    <t>Denver Volunteer Fire Department</t>
  </si>
  <si>
    <t>Deploy Exhibit</t>
  </si>
  <si>
    <t>http://www.deployexhibit.com</t>
  </si>
  <si>
    <t>mailto:jmills5@me.com</t>
  </si>
  <si>
    <t>Museums</t>
  </si>
  <si>
    <t>Derr Heating &amp; A/C, Inc.</t>
  </si>
  <si>
    <t>http://derrair.com</t>
  </si>
  <si>
    <t>mailto:sales@derrair.com</t>
  </si>
  <si>
    <t>Design &amp; Manufacturing Solutions, LLC</t>
  </si>
  <si>
    <t>="We specialize in the highest quality tool and die and custom machine tool services. Precision and on time delivery are top priority. We know that our future depends on us enabling our customers to be successful. Therefore, we continuously strive to optimize our processes in order to exceed customer expectations from time of quotation thru project completion. Our ultimate goal is to establish a successful long term relationship with all of our customers. We look forward to the opportunity of supplying your tooling needs!"</t>
  </si>
  <si>
    <t>http://www.richardson-machine.com</t>
  </si>
  <si>
    <t>mailto:accounting@richardson-machine.com</t>
  </si>
  <si>
    <t>Cutting Tool and Machine Tool Accessory Manufacturing</t>
  </si>
  <si>
    <t>Design Fuse, Inc</t>
  </si>
  <si>
    <t>="Design Fuse, Inc. is a full service commercial interior design firm. We are committed to creating an environment that is functional, yet expresses a unique creativeness. Your space needs to be increasingly flexible, attractive and affordable. Knowledge and experience in designing various project types, whether it be a new facility or renovation, is what allows Design Fuse, Inc. to propose the best possible solutions for your company’s needs."</t>
  </si>
  <si>
    <t>http://www.designfuseinc.com</t>
  </si>
  <si>
    <t>mailto:kristi@designfuseinc.com</t>
  </si>
  <si>
    <t>Design Organization, Inc.</t>
  </si>
  <si>
    <t>="Established in 1971, DO has a reputation throughout the Northwest Indiana region as a creative, client-focused architecture and design firm. This practice philosophy has earned DO a distinguished list of repeat clients in the design of workplace, healthcare, academic and institutional environments. Design Organization has offices in Valparaiso, Indiana and Chicago."</t>
  </si>
  <si>
    <t>http://www.designorg.com</t>
  </si>
  <si>
    <t>mailto:info@designorg.com</t>
  </si>
  <si>
    <t>Design Solutions</t>
  </si>
  <si>
    <t>mailto:jodiasmith@direcway.com</t>
  </si>
  <si>
    <t>Design Solutions of Indiana, Inc.</t>
  </si>
  <si>
    <t>mailto:jodiasmith@verizon.net</t>
  </si>
  <si>
    <t>Design and Analysis, Inc</t>
  </si>
  <si>
    <t>="Design and Analysis is a business dedicated to serving the company that needs design, drafting and analysis services. Our company uses the latest design tools to meet your needs, including Pro/Engineer®, Pro/Manufacture® and Pro/Mechanica® software. We can do your design engineering for you from product engineering to machine design. We have designed everything from cookie trays to a bell housing for Indy Racing League® cars. We can provide you with completed drawings from the engineering models we develop. These drawings can be rough for customer concept drawings, or completely detailed to ASME Y14.5M-1994 standards. We also have CNC programming capability. We can program anything from simple plates with a few holes to complex mold cavities with run times exceeding 24 hours. Most of these mold cavities have been set up with ""picking"" routines to eliminate the need for polishing. We can do complete mechanical machine design from the ground up."</t>
  </si>
  <si>
    <t>http://designandanalysis.com</t>
  </si>
  <si>
    <t>mailto:bmckinley@designandanalysis.com</t>
  </si>
  <si>
    <t>Design-Aire Engineering, Inc.</t>
  </si>
  <si>
    <t>="Design-Aire Engineering, Inc. is a Service Disabled Veteran Owned Small Business (SDVOSB) formed in January of 1983. We are a multidiscipline engineering consulting firm specializing in MEP, Refrigeration and Fire Protection. Sustainability in engineering is our routine; we are focused on providing economical, practical, and buildable design solutions. We provide our clients with sustainable engineering options for energy efficient and environmentally conscious buildings. We understand building dynamics and use sound engineering principles to achieve energy efficiency and quality designs. Innovative project management techniques produce quality, on-time, and cost-effective projects. To promote quality on our projects, we have developed an internal Quality Control program that focuses on applying quality peer review at each step of the design process."</t>
  </si>
  <si>
    <t>http://www.daengineering.com</t>
  </si>
  <si>
    <t>mailto:dae@daengineering.com</t>
  </si>
  <si>
    <t>DesignPD LLC</t>
  </si>
  <si>
    <t>="As public safety agencies continue to struggle with outdated equipment, decreased labor force, and limited budgets Agency360 helps simplify the work. Using a web-based solution with a laser focus on user experience, Agency360 helps law enforcement, EMS, corrections, communications, and security organizations across the country increase quality and minimize risk. Our suite of integrated solutions, designed with input from users in the field, can be adjusted to the way they work now and in future allowing departments to track and manage employees from hire to retire for years to come."</t>
  </si>
  <si>
    <t>http://www.agency360.com</t>
  </si>
  <si>
    <t>mailto:support@agency360.com</t>
  </si>
  <si>
    <t>Designplan, Inc.</t>
  </si>
  <si>
    <t>http://www.designplaninc.com</t>
  </si>
  <si>
    <t>mailto:Jillw@designplaninc.com</t>
  </si>
  <si>
    <t>Desktop Media Consulting Corporation</t>
  </si>
  <si>
    <t>http://www.dm-corp.com</t>
  </si>
  <si>
    <t>mailto:cate@dm-corp.com</t>
  </si>
  <si>
    <t>Desktop Resources, Inc.</t>
  </si>
  <si>
    <t>http://www.desktopresources.com</t>
  </si>
  <si>
    <t>mailto:sales@desktopresources.com</t>
  </si>
  <si>
    <t>Dessert Menu</t>
  </si>
  <si>
    <t>http://www.dessertmenu.net</t>
  </si>
  <si>
    <t>mailto:mail@dessertmenu.net</t>
  </si>
  <si>
    <t>Destiny Transportation Services LLC</t>
  </si>
  <si>
    <t>mailto:destiny@despla.com</t>
  </si>
  <si>
    <t>Details Commercial Group LLC</t>
  </si>
  <si>
    <t>mailto:detailsgroup@aol.com</t>
  </si>
  <si>
    <t>Detro Trailers LLC</t>
  </si>
  <si>
    <t>http://www.detrotrailers.com</t>
  </si>
  <si>
    <t>mailto:tony@detrotrailers.com</t>
  </si>
  <si>
    <t>Deutscher Construction, LLC</t>
  </si>
  <si>
    <t>="Masonry and Concrete contractor with 28 years of experience in the field. Experience in commercial and residential masory and concrete work including, sidewalks, patios, footings, foundations, curbs and any type of stone, brick, block structure ie. chimneys, fireplaces, brick homes and buildings etc. Also have certification for Rubber Sidewalks in this North West Indiana Area."</t>
  </si>
  <si>
    <t>mailto:sued.dcllc@gmail.com</t>
  </si>
  <si>
    <t>Development Concepts, Inc.</t>
  </si>
  <si>
    <t>="Established in 1991, Development Concepts, Inc. is a planning and development services company that works with private, non-profit, and public sector entities who are seeking a positive change in their respective communities. Our mission is to create innovative planning and development solutions that are responsive to a community's needs and, just as important, can be implemented. Good development cannot occur without good planning, and good planning must occur within a strong community process. DCI always works with local stakeholders throughout the planning and development processes. Citizen participation is more than conducting a public meeting. It is a continual process of interaction that includes informing the community of potential opportunities and directions while incorporating their perceptions, reactions, and concerns into the ultimate product. On all projects, DCI maintains the delicate balance of keeping the public informed and involved while moving the project forward."</t>
  </si>
  <si>
    <t>http://www.development-concepts.com</t>
  </si>
  <si>
    <t>mailto:ggareis@development-concepts.com</t>
  </si>
  <si>
    <t>Development Services Company</t>
  </si>
  <si>
    <t>="Consulting: DeSCo gathers information needed to make sound business decision. Many of our customers call DeSCo their “outsourced research and development office.’ We like that perspective. DeSCo can help gather and interpret the necessary information to base your decision-making on solid ground. Energy Commodities DeSCo Energy specializes in natural gas delivery services in the states of Indiana, Michigan and Illinois. Our team of experts provides dependable, reliable purchasing advice that helps our customers to minimize their cost of energy supply. Market Data In marketing there are essentially two components, market research and market penetration. DeSCo’s two divisions are experts in both. Our research division helps to generate new market information, define market potential and to create both customer profiles and customer feedback scenarios. Our market penetration services specialize in ad placement, direct mail, telemarketing, web page and a host of other d"</t>
  </si>
  <si>
    <t>http://www.descosolutions.com</t>
  </si>
  <si>
    <t>mailto:jmooney@descosolutions.com</t>
  </si>
  <si>
    <t>Developmental Diagnostics</t>
  </si>
  <si>
    <t>="Developmental Diagnostics, Inc. is a provider of diagnostic and evaluation services for the disabled population of Indiana. in addition we do assessments for Medicaid Disability and for the Office of Vocational Rehabilitation. We are in the process of acquiring WBE certification."</t>
  </si>
  <si>
    <t>mailto:bbarlow@workableinc.com</t>
  </si>
  <si>
    <t>Developmental and Behavioral Evaluation</t>
  </si>
  <si>
    <t>="Provider of diagnostic assessments for persons with developmental disabilities to assist state and federal agencies to determine eligibility for appropriate services. Psychological testing and neuropsychological testing are provided by certified/liscensed Health Services Providers in Psychology. Developmental, vocational, mental health assessments and consultation are available."</t>
  </si>
  <si>
    <t>mailto:cindyzdbes@sbcglobal.net</t>
  </si>
  <si>
    <t>Devnamics Inc</t>
  </si>
  <si>
    <t>mailto:dsheean@devnamics.com</t>
  </si>
  <si>
    <t>DewRite Electric LLC</t>
  </si>
  <si>
    <t>http://dewriteelectric.com</t>
  </si>
  <si>
    <t>mailto:dewriteelectric@sbcglobal.net</t>
  </si>
  <si>
    <t>Dewey Construction Inc.</t>
  </si>
  <si>
    <t>mailto:dewout@sbcglobal.net</t>
  </si>
  <si>
    <t>Dhoot Associates,Inc</t>
  </si>
  <si>
    <t>mailto:sdhoot@att.net</t>
  </si>
  <si>
    <t>Administration of Air and Water Resource and Solid Waste Management Programs</t>
  </si>
  <si>
    <t>DiZy's Laundry</t>
  </si>
  <si>
    <t>="We are a coin-op laundry that also provides PickUp/Delivery and DropOff service for most Clothing, Linens, Rags and Entry Mats. We are located in Greenwood, IN and service the Greater Indianapolis area. We are small enough to be flexible to your needs but have the equipment for the large jobs."</t>
  </si>
  <si>
    <t>mailto:DougTuranchick@SBCGlobal.net</t>
  </si>
  <si>
    <t>Coin-Operated Laundries and Drycleaners</t>
  </si>
  <si>
    <t>Diablo, Inc.</t>
  </si>
  <si>
    <t>Diamond Environmenta</t>
  </si>
  <si>
    <t>http://www.diamondenviro.com</t>
  </si>
  <si>
    <t>mailto:info@diamondenviro.com</t>
  </si>
  <si>
    <t>Diamond Shine Epoxy Flooring</t>
  </si>
  <si>
    <t>http://www.diamondshineepoxyflooring.com</t>
  </si>
  <si>
    <t>mailto:freund512msn.com</t>
  </si>
  <si>
    <t>Diamond Star Images, LLC</t>
  </si>
  <si>
    <t>http://www.diamondstarimages.com</t>
  </si>
  <si>
    <t>mailto:knail@diamondstarimages</t>
  </si>
  <si>
    <t>DiamondCrest International, LLC.</t>
  </si>
  <si>
    <t>="DiamondCrest International is a leadership and management consulting firm. DCI provides a unique combination of solutions for non-profit, faith-based and community organizations. Areas of focus include Board and Staff Development; Organizational Improvement Planning; Fund Development; Strategic Planning; Event Planning; Grant Program Management and Excellence in Leadership Training.Visit www.micahmaxwell.com for more information."</t>
  </si>
  <si>
    <t>http://www.micahmaxwell.com</t>
  </si>
  <si>
    <t>mailto:micah@micahmaxwell.com</t>
  </si>
  <si>
    <t>Diane K Wheatley</t>
  </si>
  <si>
    <t>mailto:diane_wheatley@hotmail.com</t>
  </si>
  <si>
    <t>Diane S. Pelis</t>
  </si>
  <si>
    <t>mailto:myroupd@sbcglobal.net</t>
  </si>
  <si>
    <t>Dianna's Professional Cleaning</t>
  </si>
  <si>
    <t>mailto:diannascleaning@sigecom.net</t>
  </si>
  <si>
    <t>Dianne L. Berilla</t>
  </si>
  <si>
    <t>="We provide customized corporate and personal gift solutions to help our clients cement relationships and increase the potential for refferals. Our gift baskets are filled with the highest quality products and enhanced with beautiful ribbon, florals and ivy to increase the perceived value of the gift and make our clients look good in front of their customers. Products and ribbon are imprinted for additional signage. We accept all major credit cards and ship nationwide."</t>
  </si>
  <si>
    <t>http://giftbasketsbydianne.com</t>
  </si>
  <si>
    <t>mailto:dberilla@aol.com</t>
  </si>
  <si>
    <t>Diaper King Club Inc.</t>
  </si>
  <si>
    <t>http://www.dkcusa.com</t>
  </si>
  <si>
    <t>mailto:dkc@dkcusa.com</t>
  </si>
  <si>
    <t>Dick Rayl &amp; Assoc</t>
  </si>
  <si>
    <t>="Commercial Real Estate Developer in business over 40 years with opportunities to Build-to-Suit, Sale and Lease of undeveloped and developed properties. Our experience in development includes the ability to complete a project from conception to turn-key. Currently have various types of properties available."</t>
  </si>
  <si>
    <t>mailto:dkrayl@insightbb.com</t>
  </si>
  <si>
    <t>Dickmeyer &amp; Company</t>
  </si>
  <si>
    <t>="We give our customers fits!!!! That’s right. We match your project with a production facility that makes sense. When you place your confidence in Dickmeyer &amp; Company, we become your resource who is equipped to perform most efficiently. Generally speaking, you will see top quality, quicker delivery, and better prices (not due to cutting corners, but through the efficient use of technology and systems). There is a saying... “Quality. Service. Price… Pick two.” Dickmeyer &amp; Company is dedicated to providing all three by providing “Printing That’s Fitting”."</t>
  </si>
  <si>
    <t>http://www.dickmeyeronline.com</t>
  </si>
  <si>
    <t>mailto:steve@dickmeyeronline.com</t>
  </si>
  <si>
    <t>Diehl Evaluation and Consulting Services</t>
  </si>
  <si>
    <t>="Diehl Evaluation and Consulting Services, Inc. (Diehl Consulting) measures the impact of programs, services, and ideas. We provide objective and reliable support to schools, businesses, and community agencies by using data to help make decisions! Our tailored approach to service delivery involves small and large-scale program evaluations, performance assessment, and grant writing. We also provide specialized professional development and consultation in a variety of areas."</t>
  </si>
  <si>
    <t>http://www.diehlconsulting.org</t>
  </si>
  <si>
    <t>mailto:Diehlds@aol.com</t>
  </si>
  <si>
    <t>="Diehl Evaluation and Consulting Services, Inc. (Diehl Consulting) measures the impact of programs, services, and ideas. We provide objective and reliable support to schools, businesses, and community agencies by using data to help make decisions. Our tailored approach to service delivery involves small and large-scale program evaluations, performance assessment, and grant writing. We also provide specialized professional development and consultation in a variety of areas."</t>
  </si>
  <si>
    <t>mailto:dan@diehlconsulting.org</t>
  </si>
  <si>
    <t>Diekhoff Mower Sales</t>
  </si>
  <si>
    <t>mailto:anndkhff@comcast.net</t>
  </si>
  <si>
    <t>Diesel Electrical Equipment, Inc.</t>
  </si>
  <si>
    <t>="Diesel Electrical Equipment, Inc. services and supplies a variety of electrical equipment used in transportion vehicles (ie: locomotives and transit cars). We also manufacture/assemble wire harnesses and cable plugs and supply a line of contact tips and carbon brushes. Our company also distributes electrical apparatus such as Industrial Voltage Regulators and Transfer Switches."</t>
  </si>
  <si>
    <t>mailto:dieseleqpt@aol.com</t>
  </si>
  <si>
    <t>Dietz Concrete &amp; Maintenance INC</t>
  </si>
  <si>
    <t>mailto:dietzinc@comcast.net</t>
  </si>
  <si>
    <t>Dig Smart Underground,LLC</t>
  </si>
  <si>
    <t>="Dig Smart Underground,LLC is a Private Utility locating company.Our members have over 20 years of experience locating underground utility lines such as,Electrical,Phone,Water,Cable Tv,Gas,Fiber Optics, and Telecommunication Lines.From the the smallest residential jobs to the multi- million dollar road construction jobs. We have done it all."</t>
  </si>
  <si>
    <t>http://Digsmartunderground.com</t>
  </si>
  <si>
    <t>mailto:digsmart@yahoo.com</t>
  </si>
  <si>
    <t>Digital Craftsmen Incorporated</t>
  </si>
  <si>
    <t>http://www.dciworks.com</t>
  </si>
  <si>
    <t>mailto:info@dciworks.com</t>
  </si>
  <si>
    <t>Digital Creations LLC</t>
  </si>
  <si>
    <t>http://www.dcposters.com</t>
  </si>
  <si>
    <t>mailto:julia@dcposters.com</t>
  </si>
  <si>
    <t>Digital Data Forensics, LLC</t>
  </si>
  <si>
    <t>http://www.digitaldataforensics.com</t>
  </si>
  <si>
    <t>mailto:Karen@digitaldataforensics.com</t>
  </si>
  <si>
    <t>Digital Dynamics, Inc.</t>
  </si>
  <si>
    <t>http://www.rx2000.com</t>
  </si>
  <si>
    <t>mailto:info@digital-dynamics.com</t>
  </si>
  <si>
    <t>Digital Hill Multimedia, Inc.</t>
  </si>
  <si>
    <t>http://www.digitalhill.com</t>
  </si>
  <si>
    <t>mailto:info@digitalhill.com</t>
  </si>
  <si>
    <t>Digital Images, LLC</t>
  </si>
  <si>
    <t>http://www.infinitegraphics.com</t>
  </si>
  <si>
    <t>mailto:ddavis@infinitegraphics.com</t>
  </si>
  <si>
    <t>Digital Impressions</t>
  </si>
  <si>
    <t>mailto:digitalimpressions@hotmail.com</t>
  </si>
  <si>
    <t>Digital Innovative Traffic, LLC</t>
  </si>
  <si>
    <t>="I am using my interactive agency to help businesses build long-term digital and social strategies. We have built successful partnerships through delivered results. Communicating, orchestrating and managing the digital process is directly linking digital activity back to real business results."</t>
  </si>
  <si>
    <t>mailto:emailphilpatterson@gmail.com</t>
  </si>
  <si>
    <t>Digital Integrity Solutions, LLC</t>
  </si>
  <si>
    <t>="The core disciplines of Digital Integrity Solutions, LLC, an information security consulting company, is: - Security Assessment Services -- Firewalls, Intrusion Detection and Prevention - Emergency Assistance -- Computer Security Incident Response Teams (CSIRT) - Forensics -- Discovering and Documenting Theft, Fraud and Abuse - Data Recovery -- Disaster, Malicious or Accidental - Sarbanes-Oxley &amp; HIPAA Compliance Audits - Networks -- Design, Validation and Implementation - Video Surveillance -- Digital CCTV - Physical Security Assessments - Fleet &amp; Asset Protection -- Using Global Positioning Satellites Digital Integrity Solutions was founded by Allen Taylor. His Information Technology career spans 40 years, including tours of duty with the U.S. Air Force, U.S. Army Special Forces, the Department of the Treasury, and an 11-year career with the U.S. Customs Service and is an acknowledged expert in voice and data security."</t>
  </si>
  <si>
    <t>http://www.digitalintegritysolutions.com</t>
  </si>
  <si>
    <t>mailto:info@digitalintegritysolutions.com</t>
  </si>
  <si>
    <t>Digital Marketing Group</t>
  </si>
  <si>
    <t>="Digital Marketing Group is a full service advertising agency located in Bloomington, Indiana with clients through out Indiana. With Digital Marketing Group, you get the best of both worlds--traditional time tested marketing strategies blended with innovative cutting-edge capabilities. This is the junction where old school meets new school. Digital Marekting Group is a unique full service agency comprised of a highly experienced, talented and versatile staff. We combine marketing expertise, art and technology--providing your group with a distinct competitive edge. Our production capabilities are exceptional in both range and quality. They include corporate imaging, graphic design, high end web development, copywriting, TV and radio, print and outdoor advertising, CD Rom design,and corporate video."</t>
  </si>
  <si>
    <t>http://www.digitalmktg.com</t>
  </si>
  <si>
    <t>mailto:kgetman@digitalmktg.com</t>
  </si>
  <si>
    <t>Digital Michiana</t>
  </si>
  <si>
    <t>="Digital Michiana, Northern Indiana's home for imaginative talent. We are dedicated to delivering artistic solutions for your media needs. We design cost-effective, quality production to help communicate your vision effectively. Our goal is to pay attention to your ideas, make innovative suggestions and give back creatively so that your target audience will stay interested and informed. Please review what Digital Michiana has to offer and feel free to contact us for an appointment or consultation."</t>
  </si>
  <si>
    <t>http://WWW.Digitalmichiana.com</t>
  </si>
  <si>
    <t>mailto:rowens@digitalmichiana.com</t>
  </si>
  <si>
    <t>Digital Office Technologies</t>
  </si>
  <si>
    <t>http://officeconceptsnet.com</t>
  </si>
  <si>
    <t>mailto:ksnouffer@officeconceptsnet.com</t>
  </si>
  <si>
    <t>Digital Pie</t>
  </si>
  <si>
    <t>http://www.sprint.com</t>
  </si>
  <si>
    <t>mailto:david@digital-pie.com</t>
  </si>
  <si>
    <t>Digital Reprographics, Inc</t>
  </si>
  <si>
    <t>http://www.drfw.biz</t>
  </si>
  <si>
    <t>mailto:jscott@drfw.biz</t>
  </si>
  <si>
    <t>Digital Solutions, LLC</t>
  </si>
  <si>
    <t>http://www.digitalsolutionsdirect.com</t>
  </si>
  <si>
    <t>mailto:info@digitalsolutionsdirect.com</t>
  </si>
  <si>
    <t>Digital Sphere, Inc.</t>
  </si>
  <si>
    <t>="• AdVizion • mVideo • NDBoom • IT planning, analysis and project management • Data/process modeling, data warehousing and business intelligence • Database consulting, design and administration • Multi-tier application design, development, and deployment • Enterprise-level web site development, including e-commerce, support for high-volume transactions and legacy system integration • Business communications consulting, including workflow analysis, intranet-based collaboration, Office software automation and integration with existing business applications and processes • Systems management, security, and performance consulting"</t>
  </si>
  <si>
    <t>http://www.dsiworld.net</t>
  </si>
  <si>
    <t>mailto:dsnowden@dsiworld.net</t>
  </si>
  <si>
    <t>Digital Technology</t>
  </si>
  <si>
    <t>http://www.digitaltec.net</t>
  </si>
  <si>
    <t>mailto:sandybyerly@digitaltec.net</t>
  </si>
  <si>
    <t>Dilgard Frozen Foods, Inc.</t>
  </si>
  <si>
    <t>Packaged Frozen Food Merchant Wholesalers</t>
  </si>
  <si>
    <t>Diligentservices</t>
  </si>
  <si>
    <t>mailto:Diligentservices67@yahoo.com</t>
  </si>
  <si>
    <t>Dillterra, LLC</t>
  </si>
  <si>
    <t>http://www.dillterra.com</t>
  </si>
  <si>
    <t>mailto:mdillon@dillterra.com</t>
  </si>
  <si>
    <t>Dimension 4 Corporation</t>
  </si>
  <si>
    <t>http://dfour.com</t>
  </si>
  <si>
    <t>mailto:ural@dfourusa.com</t>
  </si>
  <si>
    <t>Dincoff Company Inc.</t>
  </si>
  <si>
    <t>Direct Delivery Today LLC</t>
  </si>
  <si>
    <t>http://www.directdeliveryinc.net</t>
  </si>
  <si>
    <t>mailto:gmertz@directdeliveryinc.net</t>
  </si>
  <si>
    <t>Local Messengers and Local Delivery</t>
  </si>
  <si>
    <t>Direct Path, Inc.</t>
  </si>
  <si>
    <t>="Direct Path Alliance is a collection of companies that each provides best-in-class services within a specific niche: ** Direct Path provides Project Management and Business Process Improvement Services. ** Briljent offers acclaimed training, technical writing and documentation services. ** Netfor provides comprehensive service desk, help desk and call center services. ** Revelant leverages its experience in CRM, Open Source and Call Center technologies to solve customer-oriented business problems."</t>
  </si>
  <si>
    <t>http://www.thedirectpath.com</t>
  </si>
  <si>
    <t>mailto:info@thedirectpath.com</t>
  </si>
  <si>
    <t>Direct Selling Network</t>
  </si>
  <si>
    <t>http://www.Lanamccoy.com</t>
  </si>
  <si>
    <t>DirectEmployers Association, Inc.</t>
  </si>
  <si>
    <t>="JobCentral National Employment Network is a service of DirectEmployers Association, a nonprofit consortium of leading U.S. corporations. The Association's online services include DirectEmployers.com, an Internet search engine dedicated exclusively to employment, and NACElink national college recruiting system developed in alliance with the National Association of Colleges and Employers (NACE) and a group of leading colleges and universities. In accordance with its corporate by-laws, the business and affairs of the Association are managed by a board of directors consisting of member company representatives. The Association’s purpose is to develop and manage systems and software for employers to increase efficiency and reduce Internet recruiting costs."</t>
  </si>
  <si>
    <t>http://DirectEmployers.org</t>
  </si>
  <si>
    <t>mailto:info@directemployers.com</t>
  </si>
  <si>
    <t>Web Search Portals</t>
  </si>
  <si>
    <t>Directions</t>
  </si>
  <si>
    <t>http://www.directionspromotions.com</t>
  </si>
  <si>
    <t>mailto:directions1@sbcglobal.net</t>
  </si>
  <si>
    <t>Dirk A. Yoder, CPA</t>
  </si>
  <si>
    <t>DirkStone Consulting, LLC</t>
  </si>
  <si>
    <t>="DirkStone Consulting, LLC is a full-service IT and software application solutions consulting company based in Indianapolis, Indiana. Our strategy is the ideal starting point for a successful solution. Using our unique skill sets and expertise, we will assist you in building your solution from the ground up. Click below to learn more about our strategy."</t>
  </si>
  <si>
    <t>http://dirkstoneconsulting.com</t>
  </si>
  <si>
    <t>mailto:bdirker@dirkstoneconsulting.com</t>
  </si>
  <si>
    <t>Diskey Architectural Signage</t>
  </si>
  <si>
    <t>="Since Walter Diskey began making signs in 1924, Diskey Sign has gained worldwide respect in our field for our attention to style and quality found in the 1920's and 1930s. Those old habits remain, but now they are realized using newer, faster, modern precision technology. Diskey has manufactured all manner of signs for dozens of Fortune 500 companies and US Government agencies, hundreds of schools, hospitals and municipalities on the North American continent, and countless businesses throughout the world. The majority of our business is done for Indiana by Indiana employees, but we are always seeking opportunities to increase our market. Whether interior, exterior, standard or custom, brand-new or refurbished, for new construction or remodeling, Diskey can plan, organize, tool-up, construct, and install nearly every variety of sign imaginable. Compliance with the ADA and all of the subsequent ANSI revisions is o"</t>
  </si>
  <si>
    <t>http://www.diskeysign.com</t>
  </si>
  <si>
    <t>mailto:kbutton@diskeysign.com</t>
  </si>
  <si>
    <t>Dispatch Products</t>
  </si>
  <si>
    <t>mailto:disprod@fwi.com</t>
  </si>
  <si>
    <t>Furniture Wholesalers</t>
  </si>
  <si>
    <t>Distinct Design Group Inc.</t>
  </si>
  <si>
    <t>mailto:paintnstuf@yahoo.com</t>
  </si>
  <si>
    <t>Distintive Marketing LLC</t>
  </si>
  <si>
    <t>http://WWW.DMIEVENTS.NET</t>
  </si>
  <si>
    <t>mailto:DAMON@DMIEVENTS.NET</t>
  </si>
  <si>
    <t>District 2 Hospital Prep. Planning Comm.</t>
  </si>
  <si>
    <t>District 9 Hospital Emergency Commitee</t>
  </si>
  <si>
    <t>Other Justice, Public Order, and Safety Activities</t>
  </si>
  <si>
    <t>Ditto Sales, Inc.</t>
  </si>
  <si>
    <t>http://www.versteel.com</t>
  </si>
  <si>
    <t>mailto:kvonderheide@versteel.com</t>
  </si>
  <si>
    <t>Dive Adventures USA Inc</t>
  </si>
  <si>
    <t>http://www.scubatank.com</t>
  </si>
  <si>
    <t>mailto:info@scubatank.com</t>
  </si>
  <si>
    <t>Diverse Business Solutions</t>
  </si>
  <si>
    <t>="Diverse Business Solutions provides administrative and clerical support from a virtual location. We are an outsourcing staffing provider for services such as Word Processing, Appointment Setting, Spreadsheet Data Entry, Meeting, Coordination, Database Management, Proofreading, Customer Service Surveys (Send, Receive, Sort), Mail Campaigns/Projects, Office organization/set-up, E-mail Reminder Service, E-mail Campaigns, Event Planning, Concierge Services(Limited Offering), and Internet Research. You pay only for the time we spend working on your project. Our administrative support specialists have over 10 years of professional administrative support experience."</t>
  </si>
  <si>
    <t>mailto:diverse_business@sbcglobal.net</t>
  </si>
  <si>
    <t>Diverse Business Solutions LLC</t>
  </si>
  <si>
    <t>="Diverse Business Solutions is a supplier diversity consulting firm located in Greenwood, Indiana. Our firm specializes in providing an array of products and services supporting the supplier diversity industry to include preparation of minority and woman business enterprise certification applications, vendor data management, supplier diversity program development/management &amp; vendor open houses/sourcing."</t>
  </si>
  <si>
    <t>http://www.dbs-llc.net</t>
  </si>
  <si>
    <t>mailto:jeff.rode@dbs-llc.net</t>
  </si>
  <si>
    <t>Diverse Sales Solutions</t>
  </si>
  <si>
    <t>http://www.NFMindy.com</t>
  </si>
  <si>
    <t>mailto:sterling@diversesalessolutions.com</t>
  </si>
  <si>
    <t>Diverse Staffing Services, Inc.</t>
  </si>
  <si>
    <t>="DSS Consulting, Inc., provides clients with recruiting and staffing solutions in the information technology industry, as well as in the fields of engineering, health care, marketing/sales, and accounting/finance. DSS helps clients identify, attract and hire highly skilled job candidates to meet specific staffing needs faster and more efficiently than traditional, in-house HR hiring methods. The DSS staffing model (temp/contract or direct hire), extensive candidate research database, and a 360-degree performance feedback management system provide a dynamic recruitment program that allows clients to select candidates and hiring procedures best suited for their needs."</t>
  </si>
  <si>
    <t>http://www.diversegov.com</t>
  </si>
  <si>
    <t>mailto:jmilner@diversegov.com</t>
  </si>
  <si>
    <t>Diversified Auto Solutions, Inc.</t>
  </si>
  <si>
    <t>="Auto Driveaway Indianapolis specializes in the relocation of vehicles for corporate fleets, auto outfitters/uplifters, and individual shippers. With 60+ years experience in the industry, we are experts in ensuring on-time, hassle-free deployments. Our services include: door-to-door service (whether your car is going on a truck or being driven), title and registration, &amp; port delivery for shipments overseas. We carry $2,000,000 liability coverage with an A+ rated carrier."</t>
  </si>
  <si>
    <t>http://www.autodriveaway.com/indianapoli</t>
  </si>
  <si>
    <t>mailto:angie.witham@autodriveaway.com</t>
  </si>
  <si>
    <t>Diversified Business Services, Inc.</t>
  </si>
  <si>
    <t>="DBS, Inc. provides adult education, planning and preparedness services for emergency situations in all facets of commerce. The topics include Special Response Team training to include the 5 levels of hazardous materials training required by OSHA, human decontamination; animal decontamination and facility decontamination. DBS, Inc. can design and implement emergency response plan exercises for the required table top, functional and full emergency exercises of emergency response plans resulting in a comprehensive Response Capability Assessment. We also perform OSHA and Environmental Compliance Audits and compliance consulting and assistance."</t>
  </si>
  <si>
    <t>http://None</t>
  </si>
  <si>
    <t>mailto:dbsinc@mchsi.com</t>
  </si>
  <si>
    <t>Diversified Concepts/City Solutions, Inc</t>
  </si>
  <si>
    <t>mailto:citysolutions1@yahoo.com</t>
  </si>
  <si>
    <t>Diversified Filtration Products, LLC</t>
  </si>
  <si>
    <t>http://DFP-LLC.com</t>
  </si>
  <si>
    <t>mailto:sales@dfp-llc.com</t>
  </si>
  <si>
    <t>Diversified Green Solutions</t>
  </si>
  <si>
    <t>="Diversified Green Solutions provides Sustainability Consulting and Program Development for socially-responsible companies and municipalities who want to improve their environmental footprint in energy, air, waste, water, and alternative energy technologies."</t>
  </si>
  <si>
    <t>http://www.DiversifiedGreenSolutions.com</t>
  </si>
  <si>
    <t>mailto:info@dgsbiz.com</t>
  </si>
  <si>
    <t>Diversified Instrument Services, Inc.</t>
  </si>
  <si>
    <t>http://www.centrifugeshop.com</t>
  </si>
  <si>
    <t>mailto:don@disevv.com</t>
  </si>
  <si>
    <t>Diversified Quality Services of Indiana</t>
  </si>
  <si>
    <t>mailto:dqsi1@aol.com</t>
  </si>
  <si>
    <t>All Other Fabricated Metal Product Manufacturing</t>
  </si>
  <si>
    <t>Diversified Research and Developmen, LLC</t>
  </si>
  <si>
    <t>http://drdinfomanagement.com</t>
  </si>
  <si>
    <t>mailto:dorianb@drdinfomanagement.com</t>
  </si>
  <si>
    <t>Diversified Welding Solutions LLC</t>
  </si>
  <si>
    <t>="Diversified Welding Solutions is dedicated to providing quality maintenance, repair, and replacement services to meet our clients welding needs. Our aim is to minimize our client’s downtime by providing prompt reliable repair service solely based on the customer’s demands."</t>
  </si>
  <si>
    <t>mailto:dws.llc@live.com</t>
  </si>
  <si>
    <t>Diversity LawnCare Inc</t>
  </si>
  <si>
    <t>http://www.diversitylawncare.com</t>
  </si>
  <si>
    <t>mailto:diversitylawncare@yahoo.com</t>
  </si>
  <si>
    <t>Diversity Media Group, Inc.</t>
  </si>
  <si>
    <t>="Ink is a weekly newspaper published in Fort Wayne, IN. It is geared to an African-American audience. The Fort Wayne Black Pages is a directory of African-American owned businesses. The majority of our payroll dollars are spent in Indiana, and our business has had a substantial, positive impact on ecomomic development of the state of Indiana."</t>
  </si>
  <si>
    <t>http://www.inknewsonline.com</t>
  </si>
  <si>
    <t>mailto:advertising@inknewsonline.com</t>
  </si>
  <si>
    <t>Newspaper Publishers</t>
  </si>
  <si>
    <t>Diversity Press</t>
  </si>
  <si>
    <t>="Diversity Press is a minority-owned provider of offset printing, direct mailing and inventory fulfillment services to all size companies throughout North America. As a full-service marketing solutions company, Diversity Press assists companies in managing all aspects of their brand and customer communications. From design to delivery, Diversity Press delivers ROI by assisting companies in consistently, effectively and creatively communicating their brand across multiple marketing vehicles and channels."</t>
  </si>
  <si>
    <t>http://www.diversity-press.com</t>
  </si>
  <si>
    <t>mailto:sales@diversity-press.com</t>
  </si>
  <si>
    <t>Diversity Printing Partners, Inc.</t>
  </si>
  <si>
    <t>="Professional printing company that specializes in the areas of logo print and design for both commercial and individual clients. Some examples of our work are prescription pads for local physicians, invitations to major events, business cards, and wedding invitations. Our completed products often exceed the customers expectations."</t>
  </si>
  <si>
    <t>http://diversityprintingpartners.com</t>
  </si>
  <si>
    <t>mailto:darrell@diversityprintingpartners.com</t>
  </si>
  <si>
    <t>Diversity Solutions Logistics, LLC</t>
  </si>
  <si>
    <t>="Diversity Solutions Logistics, LLC is full service provider of trucking services both domestic and international. This entails truckload, LTL, warehousing, brokerage ,distribution, relocation, courier service and logistics. By partnering and establishing strategic alliances with core transportation providers has enabled Diversity Solutions Logistics to leverage our resources to our customers to give great value."</t>
  </si>
  <si>
    <t>http://In Process</t>
  </si>
  <si>
    <t>mailto:krjohnson19@yahoo.com</t>
  </si>
  <si>
    <t>Dixon Coatings Inc.</t>
  </si>
  <si>
    <t>mailto:dixoncoatings@sbcglobal.net</t>
  </si>
  <si>
    <t>Dixon Phone Place, Inc.</t>
  </si>
  <si>
    <t>mailto:dixonphoneplace1@att.net</t>
  </si>
  <si>
    <t>Doc's Electrical Service Inc.</t>
  </si>
  <si>
    <t>DocuLaw Inc</t>
  </si>
  <si>
    <t>http://www.doculaw.com</t>
  </si>
  <si>
    <t>mailto:katie@doculaw.com</t>
  </si>
  <si>
    <t>Document Specialist Connection</t>
  </si>
  <si>
    <t>mailto:documentspecialist@indy.rr.com</t>
  </si>
  <si>
    <t>Documents2digital, LLC</t>
  </si>
  <si>
    <t>="Documents2Digital is a recognized document management solutions provider specializing in document conversion technologies and business process management systems. Focusing on solutions that increase efficiencies within our client organizations, our team has delivered measurable results that have provided our clients with significant time and money savings. We provide professional imaging and indexing services for any type of document or project, large or small. We also resell, and support, Alchemy Document Management software, which we have used in our office for 7 years. Please contact anytime for questions or quotes."</t>
  </si>
  <si>
    <t>http://www.documents2digital.com</t>
  </si>
  <si>
    <t>mailto:sdicks@documents2digital.com</t>
  </si>
  <si>
    <t>Dodd Title Corporation</t>
  </si>
  <si>
    <t>http://preferredtitlecorp.com</t>
  </si>
  <si>
    <t>mailto:preferredtitlecorp.com</t>
  </si>
  <si>
    <t>Dodge City Homes, Inc.</t>
  </si>
  <si>
    <t>mailto:dodgehomes@aol.com</t>
  </si>
  <si>
    <t>Manufactured (Mobile) Home Dealers</t>
  </si>
  <si>
    <t>Doerr Printing</t>
  </si>
  <si>
    <t>="Full Service Printing &amp; Copying Both Mac &amp; PC based Printing 1,2,3 &amp; 4 color Digital imaging &amp; copying Graphic design Mailing service Pickup &amp; delivery Competitive pricing Quick turnaround Letterheads Envelopes Business Cards Newletters Flyers Post Cards Invitations &amp; Announcements Booklets, catalogs &amp; price sheets Brochures Laser &amp; computer forms Carbonless forms Labels Checks Die cutting &amp; numbering"</t>
  </si>
  <si>
    <t>http://www.doerrprinting.com</t>
  </si>
  <si>
    <t>mailto:doerr@doerrprinting.com</t>
  </si>
  <si>
    <t>Unclassified Establishments</t>
  </si>
  <si>
    <t>Doina Popa</t>
  </si>
  <si>
    <t>mailto:artistic.stucco@yahoo.com</t>
  </si>
  <si>
    <t>Domain Architecture,</t>
  </si>
  <si>
    <t>http://www.domain-arch.com</t>
  </si>
  <si>
    <t>mailto:dfranklin@domain-arch.com</t>
  </si>
  <si>
    <t>Dominic Conner</t>
  </si>
  <si>
    <t>mailto:nickconner@isp.com</t>
  </si>
  <si>
    <t>Don Bales, Inc.</t>
  </si>
  <si>
    <t>http://www.donbalesinc.com</t>
  </si>
  <si>
    <t>mailto:garry@donbalesinc.com</t>
  </si>
  <si>
    <t>Don Culberson Agency</t>
  </si>
  <si>
    <t>http://Donculberson@amfam.com</t>
  </si>
  <si>
    <t>mailto:DCulbers@amfam.com</t>
  </si>
  <si>
    <t>Don Gress Construction Inc.</t>
  </si>
  <si>
    <t>http://dgressconst.com</t>
  </si>
  <si>
    <t>mailto:dgress@dgressconst.com</t>
  </si>
  <si>
    <t>Don Leslie &amp; Assoc.</t>
  </si>
  <si>
    <t>mailto:dleslie@seidata.com</t>
  </si>
  <si>
    <t>Direct Life, Health and Medical Insurance Carriers</t>
  </si>
  <si>
    <t>Don Payne, Inc.</t>
  </si>
  <si>
    <t>mailto:sales@donpaynepromo.com</t>
  </si>
  <si>
    <t>Don's Mobile Radio Company Inc.</t>
  </si>
  <si>
    <t>Donald I. Green</t>
  </si>
  <si>
    <t>mailto:digexc@gmail.com</t>
  </si>
  <si>
    <t>Donald Scott</t>
  </si>
  <si>
    <t>="Don's Auto Repair is in the business of doing major and minor repairs on your vehicles at a low cost. For instance, I do oil changes, new motors, spark plugs, fuel injectors, lube jobs, tire rotation and balance, brake repair and replacement, painting, motors, transmission work. Estimates free."</t>
  </si>
  <si>
    <t>mailto:don47303@yahoo.com</t>
  </si>
  <si>
    <t>Donna J. Hannah &amp; Associates, Inc.</t>
  </si>
  <si>
    <t>="Court reporting agency: stenograph reporters provide reporting services in depositions, hearings, arbitrations and court rooms. CART reporting: provide real-time translation for deaf or hard of hearing litigants, and students that need communication access."</t>
  </si>
  <si>
    <t>http://www.iseminger-reporters.com</t>
  </si>
  <si>
    <t>mailto:in_courtreporters@yahoo.com</t>
  </si>
  <si>
    <t>Donna Jo Smithers</t>
  </si>
  <si>
    <t>="Northpointe Surveying, Inc. was established August of 2005 by Donna Jo Smithers a Professional Land Surveyor in the State of Indiana. Ms. Smithers has been registered since 2001 and has been in the surveying profession since 1986. Northpointe offers professional land surveying and land planning services."</t>
  </si>
  <si>
    <t>mailto:donna@northpointesurveying.com</t>
  </si>
  <si>
    <t>Donna K. Unversaw, Ph.D.</t>
  </si>
  <si>
    <t>mailto:Donnaunversaw@gmail.com</t>
  </si>
  <si>
    <t>Donna Sink PC Architect</t>
  </si>
  <si>
    <t>mailto:donnasink@gmail.com</t>
  </si>
  <si>
    <t>Donna's Alteration Corporation</t>
  </si>
  <si>
    <t>="Donna's Alteration Staff has over 40 years of experience in the clothing alterations, tailoring, and manufacturing business. Our staff training, work process, quality control and genuine desire to exceed your expectations sets us apart from the rest. No appointments are needed for your fittings regardless of complexity. Customers who are running short on time and need their hems done have their hems done while they wait in as short as 15 minutes. Our pricing is highly competitive and fair. We treat our customers like we like to be treated"</t>
  </si>
  <si>
    <t>http://in.local.yahoo.biz/donnasalterati</t>
  </si>
  <si>
    <t>mailto:inform_donnasalteration@yahoo.com</t>
  </si>
  <si>
    <t>Donnell Systems, Inc</t>
  </si>
  <si>
    <t>="Founded in 1989, Donnell Systems helps major U.S. institutions achieve cross-application / cross-platform information-sharing through its Online Computer Information Exchange. OCIE (oh’-see) customers report dramatic process efficiencies and reduced operational costs. OCIE ensures disciplined, enforceable records management by integrating Enterprise Report Management and Integrated Document Archive and Retrieval. A complete solution and process – not just software – OCIE helps consolidate and migrate data from legacy systems, eliminate paper and printing, fulfill end-user needs for secure information access, and satisfy business or regulatory requirements for privacy, security, and retention. OCIE blends mining, extraction, and advanced OCR tools with a scalable, content addressed storage architecture to orchestrate the capture, indexing, retention, retrieval, delivery, and future processing of structured and unstructured fixed content information assets."</t>
  </si>
  <si>
    <t>http://www.donnell.com</t>
  </si>
  <si>
    <t>mailto:bill.adams@donnell.com</t>
  </si>
  <si>
    <t>Donnicks Real Estate Investements LLC.</t>
  </si>
  <si>
    <t>="We are a small real estate investments firm, successfully acquiring and renting real estate as a LLC for one fiscal year. Donnicks Real Estate Investments,,LLC provides Real Estate purchase options through contracts to families with low income and poor credit. We also provide regional Field Inspection service, as well as network with Investors regarding the acquisition, sale, lease and rehabilitation of investment properties with in Marion county. Recently, we have adopted a contractor program, with intentions of providing contractor staffing services while linking the contractor/skilled tradesmen with real estate construction and rehabilitation work."</t>
  </si>
  <si>
    <t>https://www.Donnicks.realtors.officelive</t>
  </si>
  <si>
    <t>mailto:Donnicksrei@att.net</t>
  </si>
  <si>
    <t>Activities Related to Real Estate</t>
  </si>
  <si>
    <t>Door Closer Service Company, Inc.</t>
  </si>
  <si>
    <t>mailto:Rob@doorcloserservice.com</t>
  </si>
  <si>
    <t>Door Services of Indiana, Inc.</t>
  </si>
  <si>
    <t>mailto:megan@dsi-wbe.com</t>
  </si>
  <si>
    <t>Wood Window and Door Manufacturing</t>
  </si>
  <si>
    <t>Door2Door Transportation Service, LLC</t>
  </si>
  <si>
    <t>http://www.door2doortransportationservic</t>
  </si>
  <si>
    <t>mailto:www.info@door2doortransportationservice.com</t>
  </si>
  <si>
    <t>Doorway to L.I.F.E. Services</t>
  </si>
  <si>
    <t>="Doorway to L.I.F.E Services' purpose is to promote healthy and effective living by building people from the inside out through life skills education, workshops, speaking engagements, counseling, case management, coaching, and educational services, so that people can become more productive in their personal life, families, and community."</t>
  </si>
  <si>
    <t>mailto:laratlif@yahoo.com</t>
  </si>
  <si>
    <t>Dora L Grant</t>
  </si>
  <si>
    <t>http://www.hamiltonrelocationservices.co</t>
  </si>
  <si>
    <t>mailto:dgrant@hamiltonrelocationservices.com</t>
  </si>
  <si>
    <t>Dorman Painting</t>
  </si>
  <si>
    <t>mailto:dormanpainting@insightbb.com</t>
  </si>
  <si>
    <t>Dorsett Bros., Inc.</t>
  </si>
  <si>
    <t>http://www.dorsettbrosinc.com</t>
  </si>
  <si>
    <t>mailto:dorsettbros@pdswireless.com</t>
  </si>
  <si>
    <t>Dotlich Trucking &amp; Excavating, Inc.</t>
  </si>
  <si>
    <t>http://www.digdotlich.com</t>
  </si>
  <si>
    <t>mailto:annie@digdotlich.com</t>
  </si>
  <si>
    <t>Dotlich VanWinkle Di</t>
  </si>
  <si>
    <t>mailto:sdotlich@aol.com</t>
  </si>
  <si>
    <t>Double Axis LLC.</t>
  </si>
  <si>
    <t>="Double Axis provides software consulting, disaster recovery planning/backup services hardware installation and maintenance network design and administration network monitoring software installations and maintenance system design technical training and technical writing custom software application development business intelligence solutions"</t>
  </si>
  <si>
    <t>http://www.doubleaxisllc.com</t>
  </si>
  <si>
    <t>mailto:sales@doubleaxisllc.com</t>
  </si>
  <si>
    <t>Double Click Graphics, Inc.</t>
  </si>
  <si>
    <t>mailto:CarlDCG@aol.com</t>
  </si>
  <si>
    <t>Double Diamond Construction Supply</t>
  </si>
  <si>
    <t>Double M. Inc</t>
  </si>
  <si>
    <t>Double T Manufacturing Corporation</t>
  </si>
  <si>
    <t>http://www.double-t-usa.com</t>
  </si>
  <si>
    <t>mailto:gary@double-t-usa.com</t>
  </si>
  <si>
    <t>Double Time Transit LLC</t>
  </si>
  <si>
    <t>="Double Time Transit covers the medical, legal, education and manufacturing industries. We offer a complete array of vehicles from car to box truck. We have offices in Indianapolis IN, Ocala FL and Dothan AL. We have agents in Dallas TX, Fargo ND, Marion IL, Tallmadge OH and Lebanon PA."</t>
  </si>
  <si>
    <t>http://www.doubletimetransit.com/</t>
  </si>
  <si>
    <t>mailto:sales@doubletimetransit.com</t>
  </si>
  <si>
    <t>Doug &amp; Steve Construction Inc</t>
  </si>
  <si>
    <t>Doug's Repair Inc</t>
  </si>
  <si>
    <t>mailto:dougsrep@pwrtc.com</t>
  </si>
  <si>
    <t>Douglas L. Terry</t>
  </si>
  <si>
    <t>http://www.FWBCapitalGroup.com</t>
  </si>
  <si>
    <t>mailto:DougTerry@FWBCapitalGroup.com</t>
  </si>
  <si>
    <t>Dove Computer Solutions</t>
  </si>
  <si>
    <t>http://google</t>
  </si>
  <si>
    <t>Dover Industrial Products/Rotary Lift Di</t>
  </si>
  <si>
    <t>="Rotary Lift is the largest manufacturer of vehicle lifting equipment in the world with locations on every continent. Rotary Lift has been in business for over 80 years with a culture that is based on a commitment to total quality. Our products and processes are environmentally friendly and meet and exceed our customers' expectations and all applicable standards."</t>
  </si>
  <si>
    <t>http://www.rotarylift.com</t>
  </si>
  <si>
    <t>mailto:bilz@rotarylift.com</t>
  </si>
  <si>
    <t>Elevator and Moving Stairway Manufacturing</t>
  </si>
  <si>
    <t>Dowdy Electric, Co.</t>
  </si>
  <si>
    <t>http://CallDowdy.com</t>
  </si>
  <si>
    <t>mailto:DowdyElectric@comcast.net</t>
  </si>
  <si>
    <t>Dowell Baker, P.C.</t>
  </si>
  <si>
    <t>http://www.dowellbaker.com</t>
  </si>
  <si>
    <t>mailto:aedowell@dowellbaker.com</t>
  </si>
  <si>
    <t>Down But Not Out #2 LLC</t>
  </si>
  <si>
    <t>="Down But Not Out is dedicated to serving all who have suffered as a result of poor choices or bad actions by equipping and preparing them to overcome personal challenges, rebuild character, develop self worth and grow spiritually! Down But Not Out Workshops will inspire audiences of all ages in a wide variety of circumstances, including youth at risk, anyone returning to the work force, ex-offenders, welfare-to-work participants, people facing rehabilitation, career and job changers, and anyone needing the light of hope."</t>
  </si>
  <si>
    <t>http://www.dbno.org</t>
  </si>
  <si>
    <t>mailto:gloryal@att.net</t>
  </si>
  <si>
    <t>Down To Earth Landscaping and Remodeling</t>
  </si>
  <si>
    <t>mailto:crlsmitchell74@yahoo.com</t>
  </si>
  <si>
    <t>Downing Plumbing &amp; Heating Inc.</t>
  </si>
  <si>
    <t>http://theduckteam.com</t>
  </si>
  <si>
    <t>mailto:office@bfp4me.com</t>
  </si>
  <si>
    <t>Downtown Mowers LLP</t>
  </si>
  <si>
    <t>mailto:downtownmowers@gmail.com</t>
  </si>
  <si>
    <t>Doxa Business Solutions, LLC</t>
  </si>
  <si>
    <t>="DOXA Business Solutions, LLC is an administrative outsourcing resource (Virtual Assistant Services) for businesses of every size. We have been providing quality virtual assistant services to companies and individuals across the U.S. since 1985. We offer over 20 years of professional experience in administrative and marketing support - with a focus on quality of service. We provide web site design and maintenance services as well as general administrative &amp; marketing support tasks such as typing, research, newsletter design, post card / flyer design and distribution, customer service support, data entry, and more. We also provide customized promotional items for organizations including t-shirts, polos, pens, cups, banners, calendars, etc. We adhere to the standards and code of ethics of the International Virtual Assistants Association and we are also proud members of the International Association of Administrative Professionals and Virtual Assistant Networking Association."</t>
  </si>
  <si>
    <t>http://www.doxa-solutions.com</t>
  </si>
  <si>
    <t>mailto:michelle@doxa-solutions.com</t>
  </si>
  <si>
    <t>Doyle Myers Concrete Walls Inc.</t>
  </si>
  <si>
    <t>mailto:doyle@huntinhoist.com</t>
  </si>
  <si>
    <t>Dr. Ruby Cain</t>
  </si>
  <si>
    <t>="Organizational management consulting services includes strategic planning, program/professional skills assessment and development, performance and change management, nonprofit board development, business performance and measurement, grant writing, and fund development. Customized curriculum and course development to match your business needs are offered for technical and business skills. Targeted skills include performance management, leadership, team building, cultural diversity, perceptions of culture, project management, computer skills, communications, customer service, conflict management, TQM process improvement, TQM problem solving, life-balance (time management), and change management."</t>
  </si>
  <si>
    <t>http://www.ctrainingexcellence.com</t>
  </si>
  <si>
    <t>mailto:rcain@ctrainingexcellence.com</t>
  </si>
  <si>
    <t>Draft Tec, Inc.</t>
  </si>
  <si>
    <t>mailto:drafttec@aiagrp.net</t>
  </si>
  <si>
    <t>Draper, Inc.</t>
  </si>
  <si>
    <t>="Draper, Inc. provides motorized, manual and portable projection screens, motorized and manual window shades, lifts and mounts for flat panel displays and projectors, indoor gymnasium equipment including basketball goals and volleyball equipment, and outdoor/playground equipment."</t>
  </si>
  <si>
    <t>http://www.draperinc.com</t>
  </si>
  <si>
    <t>mailto:draper@draperinc.com</t>
  </si>
  <si>
    <t>Photographic and Photocopying Equipment Manufacturing</t>
  </si>
  <si>
    <t>Dream Street Graphics, Inc.</t>
  </si>
  <si>
    <t>http://www.DreamStreetGraphics.com</t>
  </si>
  <si>
    <t>mailto:Teri@Dreamstreetgraphics.com</t>
  </si>
  <si>
    <t>Dreamscape Lawn Service, Inc.</t>
  </si>
  <si>
    <t>mailto:dreamscapelawns@aol.com</t>
  </si>
  <si>
    <t>Dreamworks, LLC</t>
  </si>
  <si>
    <t>Drellishak &amp; Drellishak, Inc.</t>
  </si>
  <si>
    <t>http://www.protechsales.com</t>
  </si>
  <si>
    <t>mailto:sales@protechsales.com</t>
  </si>
  <si>
    <t>Dreyer Reinbold Inc.</t>
  </si>
  <si>
    <t>http://dreyerreinbold.com</t>
  </si>
  <si>
    <t>Driftwood Builders, Inc.</t>
  </si>
  <si>
    <t>http://driftwoodbuildersinc.com</t>
  </si>
  <si>
    <t>mailto:slamaster@driftwoodbuildersinc.com</t>
  </si>
  <si>
    <t>Driving Ambition Inc.</t>
  </si>
  <si>
    <t>http://www.drivingambitioninc.com</t>
  </si>
  <si>
    <t>mailto:vicki@drivingambitioninc.com</t>
  </si>
  <si>
    <t>Drug and Alcohol Con</t>
  </si>
  <si>
    <t>http://www.dacac.org</t>
  </si>
  <si>
    <t>mailto:dac@dacac.org</t>
  </si>
  <si>
    <t>Civic and Social Organizations</t>
  </si>
  <si>
    <t>Dube Business Group, LLC</t>
  </si>
  <si>
    <t>http://www.dubemax.com</t>
  </si>
  <si>
    <t>mailto:dubejd@comcast.net</t>
  </si>
  <si>
    <t>Dubois County Auditor</t>
  </si>
  <si>
    <t>http://www.duboiscountyin.org</t>
  </si>
  <si>
    <t>mailto:auditor@duboiscountyin.org</t>
  </si>
  <si>
    <t>Dubois County Tire S Supply, Inc.</t>
  </si>
  <si>
    <t>http://www.duboiscountytire.com</t>
  </si>
  <si>
    <t>mailto:dctsales1@fullnet.com</t>
  </si>
  <si>
    <t>Dubois Distributors, Inc.</t>
  </si>
  <si>
    <t>="Dubois Distributors is a wholesale distributor of animal health medication and related animal health products including antibiotics, biologicals, boots, disposables, equine products, equipment, feed additives, gloves, identification tags, insecticides, pet products, pharmaceuticals, rodenticides, sanitizers and wormers as well as other items."</t>
  </si>
  <si>
    <t>http://www.duboisdistributors.com</t>
  </si>
  <si>
    <t>mailto:dubdist@psci.net</t>
  </si>
  <si>
    <t>Dubois-Pike-Warrick EOC, Inc.</t>
  </si>
  <si>
    <t>="Dubois-Pike-Warrick Economic Opportunity Committee, Inc., d/b/a TRI-CAP is a private not-for-profit social service agency. Our mission is to assist low-income individuals and families to meet their full potential to become self sufficient and physically and emotionally healthy."</t>
  </si>
  <si>
    <t>Dudeck Roofing &amp; Sheet Metal, Inc.</t>
  </si>
  <si>
    <t>="We are a commercial roofing &amp; architectural sheet metal company. We fabricate sheet metal items up to 14' for certain shapes. We install all types of roofing but specialize in the very difficult projects that other choose not to bid. We also install wall systems and skylights."</t>
  </si>
  <si>
    <t>http://www.dudeckroofing.com</t>
  </si>
  <si>
    <t>mailto:greg@dudeckroofing.com</t>
  </si>
  <si>
    <t>Dugan &amp; Repay, LLP</t>
  </si>
  <si>
    <t>http://www.dr-legal.com</t>
  </si>
  <si>
    <t>mailto:jadugan@dr-legal.com</t>
  </si>
  <si>
    <t>Dugdale Communications, Inc.</t>
  </si>
  <si>
    <t>="Dugdale Communications, Inc., founded in 1986 and headquartered in Indianapolis, is a communications company specializing in IP Telephony Products, Circuit Switched PBX’s, Cisco &amp; Alcatel Data Equipment, as well as “Best-of-Class” peripheral products. Dugdale Communications, Inc. provides sales, service and support to customers located in 43 states and 6 countries."</t>
  </si>
  <si>
    <t>http://www.dugdale.com</t>
  </si>
  <si>
    <t>mailto:angie.witham@dugdale.com</t>
  </si>
  <si>
    <t>Dugman Enterprises, LLC</t>
  </si>
  <si>
    <t>mailto:mdc8280@yahoo.com</t>
  </si>
  <si>
    <t>Duke Realty</t>
  </si>
  <si>
    <t>http://www.dukerealty.com</t>
  </si>
  <si>
    <t>Dukes</t>
  </si>
  <si>
    <t>http://www.dukesmemorialhosp.com</t>
  </si>
  <si>
    <t>mailto:jdouglas@dukesmemorialhosp.com</t>
  </si>
  <si>
    <t>Duncan Video, Inc.</t>
  </si>
  <si>
    <t>http://www.duncanvideo.com</t>
  </si>
  <si>
    <t>Radio and Television Broadcasting and Wireless Communications Equipment Manufacturing</t>
  </si>
  <si>
    <t>Duneland Group Inc.</t>
  </si>
  <si>
    <t>="Duneland Group, Inc. is a leading project management, engineering, and surveying services company in the Midwest. With specialties in drainage engineering, site development, road design, green development, and community planning; Duneland Group can assist in any of your project design, surveying and engineering needs. We bring quality, attention to detail, customer service and a focus on maintaining the bottom line to every project we undertake. The strength of Duneland Group comes from our roster of engineering and surveying professionals whose combined education, experience and insight allows us to develop innovative and effective solutions, no matter how great the challenge. Duneland Group takes pride in our relationships with local, state and federal municipalities and our ability to work with all the many people necessary for a successful and timely project."</t>
  </si>
  <si>
    <t>http://www.dunelandgroup.com</t>
  </si>
  <si>
    <t>mailto:cray@dunelandgroup.com</t>
  </si>
  <si>
    <t>Dunes Country Partners, LLC</t>
  </si>
  <si>
    <t>http://www.dunescountry.com</t>
  </si>
  <si>
    <t>mailto:dunescountry@earthlink.net</t>
  </si>
  <si>
    <t>Dungy &amp; Associates, LLC</t>
  </si>
  <si>
    <t>="Dungy &amp; Associates, Human Capital Development Consulting Group focus's on individual and organizational development by providing human capital solutions that utilize project management, training, coaching, change management, process development/implementation, and relationship management. Dungy &amp; Associates, LLC provides the following services: • High-level support in the administration of human resources processes such as candidate screenings, exit interviews and auditing of human resources practices/policies. • Assesses organization-wide developmental needs to drive training initiatives, as well as design and implement employee training solutions. • Delivers individual career coaching focused on self analysis and reinvention in order to achieve career goals."</t>
  </si>
  <si>
    <t>http://www.dungyandassociates.com</t>
  </si>
  <si>
    <t>mailto:adungy@dungyandassociates.com</t>
  </si>
  <si>
    <t>Dunton &amp; Co., P. C.</t>
  </si>
  <si>
    <t>="Dunton &amp; Co., P.C. provides a variety of traditional and non-traditional CPA services to its small business, not-for-profit, government, and individual clients. These include audit and accounting services, tax planning and compliance, management consulting, fraud investigations, expert witness testimony, financial planning, retirement planning, and investment management."</t>
  </si>
  <si>
    <t>http://www.duntonandco.com</t>
  </si>
  <si>
    <t>mailto:jdunton@duntonandco.com</t>
  </si>
  <si>
    <t>Dup of 0000015332 Lester Recreation</t>
  </si>
  <si>
    <t>mailto:xxjohn@lesterrec.com</t>
  </si>
  <si>
    <t>Dura Overhead Door</t>
  </si>
  <si>
    <t>http://doorstoday.com</t>
  </si>
  <si>
    <t>mailto:nicholas@doorstoday.com</t>
  </si>
  <si>
    <t>Duramold Castings, Inc.</t>
  </si>
  <si>
    <t>Heavy Duty Truck Manufacturing</t>
  </si>
  <si>
    <t>Durick, Jeremy</t>
  </si>
  <si>
    <t>="Residential and light commercial contractor, specializing in Roofing, Siding, Kitchen and Bath remodels, interior and exterior trim, and custom tile installation. I take great pride in my work. Recognized for trustworthiness, reliability and integrity as evidenced by the awarding of a Department of Defense Top Secret security clearance based upon a thorough background investigation."</t>
  </si>
  <si>
    <t>mailto:durickconstruction@yahoo.com</t>
  </si>
  <si>
    <t>Durkin &amp; Villalta Partners Engineering</t>
  </si>
  <si>
    <t>http://www.dvpe.net</t>
  </si>
  <si>
    <t>Dust Bunnies 2 U Cleaning Service LLC</t>
  </si>
  <si>
    <t>mailto:dustbunnies2u@hotmail.com</t>
  </si>
  <si>
    <t>Dutch Acres Equipmen</t>
  </si>
  <si>
    <t>http://www.dutchacresequipment.com</t>
  </si>
  <si>
    <t>mailto:kaytearman@earthlink.net</t>
  </si>
  <si>
    <t>Dwight Silvers Construction, Inc</t>
  </si>
  <si>
    <t>mailto:info@computerconx.com</t>
  </si>
  <si>
    <t>Dye Lumber, Inc.</t>
  </si>
  <si>
    <t>Dyer Environmental Services</t>
  </si>
  <si>
    <t>mailto:dyerenv@yahoo.com</t>
  </si>
  <si>
    <t>Dynaloy, LLC</t>
  </si>
  <si>
    <t>http://www.dynaloy.com</t>
  </si>
  <si>
    <t>mailto:info@dynaloy.com</t>
  </si>
  <si>
    <t>Dynamark Graphics Group</t>
  </si>
  <si>
    <t>="PIP Printing and Document Services started out over 35 years ago as a small mom &amp; pop print shop. Back then, we specialized in quick printing and had limited bindery service available. Over the years, we have established ourselves as a premier printer in the Indianapolis area. We've expanded to six locations throughout the west side of Indianapolis. Today, our services are not just limited to printing and bindery. We offer a full typesetting and desigh staff, digital print on demand, on-line document management along with a full bindery, mailing and fulfillment departments."</t>
  </si>
  <si>
    <t>http://www.pipprints4u.com</t>
  </si>
  <si>
    <t>mailto:813@pipprints4u.com</t>
  </si>
  <si>
    <t>Dynamic Contracting Services, LLC.</t>
  </si>
  <si>
    <t>Dynamic Engineering Design, Inc.</t>
  </si>
  <si>
    <t>http://www.ded-inc.com</t>
  </si>
  <si>
    <t>mailto:agrinstead@ded-inc.com</t>
  </si>
  <si>
    <t>Dynamic Landscape and design Company</t>
  </si>
  <si>
    <t>http://www.landscapes4less.yolasite.com</t>
  </si>
  <si>
    <t>mailto:brandonepreston@yahoo.com</t>
  </si>
  <si>
    <t>Dynamic PC Consulting Services</t>
  </si>
  <si>
    <t>="DPCS LLC provides custom IT solutions that will help optimize your company by making your business more cost effective and efficient. Services include: IT project management, web services, computer networking services to name a few. Let DPCS manage your IT needs so you don't have to."</t>
  </si>
  <si>
    <t>http://www.consultingisdynamic.com</t>
  </si>
  <si>
    <t>mailto:rrobinson@consultingisdynamic.com</t>
  </si>
  <si>
    <t>Dynamic Synergy , LLC</t>
  </si>
  <si>
    <t>mailto:dynamicsynergy700@gmail.com</t>
  </si>
  <si>
    <t>Dynamic Transitions, LLC</t>
  </si>
  <si>
    <t>http://www.dynamictransitions.org</t>
  </si>
  <si>
    <t>mailto:suzbrn@aol.com</t>
  </si>
  <si>
    <t>Dynasty Consulting</t>
  </si>
  <si>
    <t>mailto:DynastyConsulting@ymail.com</t>
  </si>
  <si>
    <t>E &amp; B PAVING INC</t>
  </si>
  <si>
    <t>http://www.ebpaving.com</t>
  </si>
  <si>
    <t>mailto:www.ebpaving.com</t>
  </si>
  <si>
    <t>E &amp; D Sanitation, Inc.</t>
  </si>
  <si>
    <t>http://www.estesdumpster.com</t>
  </si>
  <si>
    <t>mailto:scott@estesdumpster.com</t>
  </si>
  <si>
    <t>E &amp; F Lyons Inc</t>
  </si>
  <si>
    <t>mailto:eandflyons@yahoo.com</t>
  </si>
  <si>
    <t>E &amp; L Son Enterprise, LLC</t>
  </si>
  <si>
    <t>="Conducts residential and commercial real estate development, property management, and brokerage activities. Properties are purchased, rehabilitated and placed back on the market either for sale or rent. Restoration includes but is not limited to new roofing, siding, brick work, coordinating community action support for whole house insulation (including crawl space, basement, walls and attic), replacement windows, doors, room additions including ½ and full baths, remodeling kitchens with new cabinetry and built in appliances, all new mechanicals, wiring, plumbing, floor covering, garage doors, concrete, asphalt, etc. We have recently expanded our services offered to commercial customers to include Supply Chain Management and Distribution. Serving as the single source for worry-free requisitioning of building materials, mechanical, plumbing, electrical, lumber, roofing, painting, floor covering, etc."</t>
  </si>
  <si>
    <t>http://www.elsonllc.com</t>
  </si>
  <si>
    <t>mailto:jleonard@elsonllc.com</t>
  </si>
  <si>
    <t>Roofing, Siding, and Insulation Material Merchant Wholesalers</t>
  </si>
  <si>
    <t>E &amp; R ELECTRIC, Inc</t>
  </si>
  <si>
    <t>mailto:edowe11@msn.com</t>
  </si>
  <si>
    <t>E &amp; V Construction, Inc.</t>
  </si>
  <si>
    <t>http://evconstructioninc.com</t>
  </si>
  <si>
    <t>mailto:ev@evconstructioninc.com</t>
  </si>
  <si>
    <t>E &amp; W Enterprises LLC</t>
  </si>
  <si>
    <t>="A Taste of Indana is a Gift Basket company using only Indiana-made food products and Indiana-related novelty items. Items can be purchased separately or in a gift box or basket. We are a Women-owned business with 26 years experience supporting approximately 100 Indiana companies by using their products in our gift boxes and gift baskets. We pride ourselves on our customer service and wonderful product line. We ship worldwide."</t>
  </si>
  <si>
    <t>http://www.atasteofindiana.com</t>
  </si>
  <si>
    <t>mailto:sales@atasteofindiana.com</t>
  </si>
  <si>
    <t>E Hamman Concrete and Excavating</t>
  </si>
  <si>
    <t>mailto:eric.hamman@yahoo.com</t>
  </si>
  <si>
    <t>E Property Group LLC</t>
  </si>
  <si>
    <t>E-Ride Transport, LLC</t>
  </si>
  <si>
    <t>mailto:jluther@alumni.nd.edu</t>
  </si>
  <si>
    <t>General Freight Trucking, Long-Distance, Less Than Truckload</t>
  </si>
  <si>
    <t>E-Z Living Carpet, Inc.</t>
  </si>
  <si>
    <t>E-gineering, LLC</t>
  </si>
  <si>
    <t>http://www.e-gineering.com</t>
  </si>
  <si>
    <t>mailto:info@e-gineering.com</t>
  </si>
  <si>
    <t>E. C. ORTIZ &amp; cO., LLP</t>
  </si>
  <si>
    <t>http://www.ecortiz.com</t>
  </si>
  <si>
    <t>E. E. Equipment Company, Inc.</t>
  </si>
  <si>
    <t>http://www.e-e-equipment.com</t>
  </si>
  <si>
    <t>mailto:sales@e-e-equipment.com</t>
  </si>
  <si>
    <t>E. L. Walters Air Conditioning &amp; Heating</t>
  </si>
  <si>
    <t>http://www.elwalters.com</t>
  </si>
  <si>
    <t>mailto:lonw@elwalters.com</t>
  </si>
  <si>
    <t>E.A. Outdoor Services LLC</t>
  </si>
  <si>
    <t>="EA Outdoor Services specializes in commercial, industrial and multi-family landscaping. EA’s landscaping services include: Landscaping Design, New Install, Mowing, Irrigation, Fertilization, Mulch Application, Pruning, Flowers and Leaf Removal. EA Outdoor Services provides landscaping services throughout Indiana, Illinois, Ohio, Michigan and Kentucky. EA is licensed by the Indiana State Chemist."</t>
  </si>
  <si>
    <t>http://www.eaoutdoorservices.com</t>
  </si>
  <si>
    <t>mailto:tygraves@eaoutdoorservices.com</t>
  </si>
  <si>
    <t>E.M. Hughes &amp; Assoc.</t>
  </si>
  <si>
    <t>="E.M. Hughes &amp; Associates is an accounting, tax and small business consulting firm. We act as a small business resource center offering an array of business services. We specialize in providing services for non-profit organizations and churches. We also provide business organization, grant writing and divorce settlement services. Please see our website @ emhughesassociates.com."</t>
  </si>
  <si>
    <t>http://emhughesassociates.com</t>
  </si>
  <si>
    <t>mailto:robyn@emhughesassociates.com</t>
  </si>
  <si>
    <t>E.T. Products LLC</t>
  </si>
  <si>
    <t>="Manufactures and supplies fuel additives for on and off-road #1, #2 diesel fuel, and gasoline. Additives are used in winter and summer applications and provide a wide range of benefits including premim qualification and cold weather operability. Also supplies biocide for eradication of microbial infestations occuring in fuel and storage tanks."</t>
  </si>
  <si>
    <t>http://www.etproducts.com</t>
  </si>
  <si>
    <t>mailto:sales@etproducts.com</t>
  </si>
  <si>
    <t>E.com Technologies, LLC</t>
  </si>
  <si>
    <t>http://www.firstmile.net</t>
  </si>
  <si>
    <t>mailto:info@firstmileusa.com</t>
  </si>
  <si>
    <t>Wired Telecommunications Carriers</t>
  </si>
  <si>
    <t>EA Barnett Group, Inc.</t>
  </si>
  <si>
    <t>="EA Barnett Group, Inc. is an Ohio-based corporation located at 5870 Hazeltine Blvd., Ste 100, West Chester, Ohio 45069. The company’s former name was “Baumnett, LLC” which is pending name change amendment on Indiana Articles of Incorporation. Our satellite office is located at 1761 North Sherman Drive, Suite L, Indianapolis, IN 46218. EA Barnett Group was formed in January 2008. The owners are Eddie D. Barnett and Andrea M. Barnett, a husband and wife team. EA Barnett Group is a general contractor, construction supply and business development consulting company specializing in divisions 5 (steel supply), 9 (finishes), 10 (specialties), and 12 (furnishings) for both commercial and residential projects. In the first year of business, EA Barnett Group generated nearly $500,000 with two projects in North Carolina and one in Cincinnati, Ohio. Mr. Barnett was born and raised in Indianapolis and has significant personal and professional relationships within the business community in IN."</t>
  </si>
  <si>
    <t>http://www.eabarnettgroup.com</t>
  </si>
  <si>
    <t>mailto:eddie@eabarnettgroup.com</t>
  </si>
  <si>
    <t>EAGLE GROUP INC</t>
  </si>
  <si>
    <t>http://www.eaglegroupsportswear.com</t>
  </si>
  <si>
    <t>mailto:ecogolf@aol.com</t>
  </si>
  <si>
    <t>EAGLE MECHANICAL SERVICES</t>
  </si>
  <si>
    <t>mailto:SROSS@EAGLESERVICEGRP.COM</t>
  </si>
  <si>
    <t>EAGLE STEEL PRODUCTS</t>
  </si>
  <si>
    <t>http://eaglesteelproducts.com</t>
  </si>
  <si>
    <t>mailto:gshumate@eaglesteelproducts.com</t>
  </si>
  <si>
    <t>General Warehousing and Storage Facilities</t>
  </si>
  <si>
    <t>EBM,Inc of America</t>
  </si>
  <si>
    <t>http://www.ebmofamerica.com</t>
  </si>
  <si>
    <t>mailto:cbelch@ebmofamerica.com</t>
  </si>
  <si>
    <t>EC Sales &amp; Services of Indiana, LLC</t>
  </si>
  <si>
    <t>http://www.ecsalesandservice.com</t>
  </si>
  <si>
    <t>mailto:susan@ecsalesandservice.com</t>
  </si>
  <si>
    <t>ECENBARGER INC</t>
  </si>
  <si>
    <t>http://www.appliedmetals.com</t>
  </si>
  <si>
    <t>mailto:info@appliedmetals.com</t>
  </si>
  <si>
    <t>ECES, Inc.</t>
  </si>
  <si>
    <t>mailto:ken@ecesinc.com</t>
  </si>
  <si>
    <t>ECI, Inc.</t>
  </si>
  <si>
    <t>mailto:hillgail@sbcglobal.net</t>
  </si>
  <si>
    <t>ECU Staffing Multi-Services, Inc.</t>
  </si>
  <si>
    <t>ECUSTOM DESIGN &amp; REPAIR, LLC</t>
  </si>
  <si>
    <t>http://youtu.be/A1fq1h80DWU</t>
  </si>
  <si>
    <t>mailto:PANSYNANCER@AOL.COM</t>
  </si>
  <si>
    <t>EDGE Document Solutions, LLC</t>
  </si>
  <si>
    <t>="EDGE (Electronic Document GEneration) are proprietary laser printing software solutions that compliment many student reporting and accounting enterprise systems to create checks and other printed documents from blank paper. EDGE has modules developed for Accounts Payable, Payroll, Purchasing and Student Reporting systems working through PC and Mid-Range based systems to extract data and format documents complete with signatures, logos and bank coding requirements."</t>
  </si>
  <si>
    <t>http://www.edgedocllc.com</t>
  </si>
  <si>
    <t>EE Powell Realty LLC</t>
  </si>
  <si>
    <t>http://www.eeprealty.com</t>
  </si>
  <si>
    <t>mailto:eepowell@eeprealty.com</t>
  </si>
  <si>
    <t>EEMSCO, INC.</t>
  </si>
  <si>
    <t>="HEAVY INDUSTRIAL REPAIR OF AC/DC ELECTRIC MOTORS, PUMPS, COMPRESSORS, WELDERS, GENERATORS; PLASTICS' CHOPPERS, BARRELS, TIE BARS, SCREWS; CATERPILLAR, HITACHI, KOMATSU, EXCAVATING PARTS REPAIRS; AND ON-SITE PREVENTATIVE/PREDICTIVE ANALYSIS, ALIGNMENT, AND BALANCING"</t>
  </si>
  <si>
    <t>http://WWW.EEMSCO.COM</t>
  </si>
  <si>
    <t>mailto:NMATHIAS@EEMSCO.COM</t>
  </si>
  <si>
    <t>EEO GUIDANCE, Inc.</t>
  </si>
  <si>
    <t>="A national corporation providing a number of ""NEVER BORING"" training workshops in the Human Resources field, primarily in Equal Employment Opportunity Laws and Regulations, Diversity, EEO Harassment (including sexual), Executive Order 11246, Affirmative Action Plans, Equal Employment Opportunity Plans, etc. Hourly consulting available within the above areas. Experience comes from 25 years in federal government enforcing EEO and Affirmative Action laws and regulations."</t>
  </si>
  <si>
    <t>http://www.eeoguidance.com</t>
  </si>
  <si>
    <t>mailto:Cdawson@eeoguidance.com</t>
  </si>
  <si>
    <t>EFT Solution</t>
  </si>
  <si>
    <t>http://www.eftsolution.com</t>
  </si>
  <si>
    <t>mailto:cindy@eftsolution.com</t>
  </si>
  <si>
    <t>EG Gardens Maintenance Services &amp; Landsc</t>
  </si>
  <si>
    <t>http://www.eggardens.com</t>
  </si>
  <si>
    <t>mailto:eguzman@eggardens.com</t>
  </si>
  <si>
    <t>EG&amp;G Technical Services, Inc.</t>
  </si>
  <si>
    <t>="The EG&amp;G Division is a leading provider of management and technical services to the U.S. government. Our staff of more than 13,000 employees provides program management, systems engineering and technical assistance, and operations and maintenance services to a variety of federal agencies, primarily the Departments of Defense and Homeland Security."</t>
  </si>
  <si>
    <t>http://www.egginc.com</t>
  </si>
  <si>
    <t>mailto:jhearn@egginc.com</t>
  </si>
  <si>
    <t>EHOB, Incorporated</t>
  </si>
  <si>
    <t>http://www.ehob.com</t>
  </si>
  <si>
    <t>mailto:corporate@ehob.com</t>
  </si>
  <si>
    <t>Laboratory Apparatus and Furniture Manufacturing</t>
  </si>
  <si>
    <t>EIT Consulting</t>
  </si>
  <si>
    <t>http://www.eitconsultants.com</t>
  </si>
  <si>
    <t>mailto:tony.sanders@eitconsultants.com</t>
  </si>
  <si>
    <t>EITAC Solutions Group, LLC</t>
  </si>
  <si>
    <t>="EITAC Solutions Group is a consulting and research and development firm which specializes in the creation of technology which helps persons with disabilites and others to live, learn and work more productively. Our Capabilities Include: * Assistive Technology Needs Assessments * Assistive Technology Training * Development of Assistive Software &amp; Hardware Products * Custom Software Programming &amp; Applications Development * Program Development / Consulting Services * Special Media Services (Braille, Large Print, ...)"</t>
  </si>
  <si>
    <t>http://www.eitac.net</t>
  </si>
  <si>
    <t>mailto:info@eitac.net</t>
  </si>
  <si>
    <t>EJC Technologies, LLC</t>
  </si>
  <si>
    <t>="We offer Small &amp; Medium-sized business I.T. solutions including custom application development; sales, installation and service of servers, workstations, networking equipment, back-up solutions and most windows-based software; help-desk; contract I.T. projects. Local authorized partner for F-Secure Software and STORServer backup appliances."</t>
  </si>
  <si>
    <t>http://www.ejctechnologies.com</t>
  </si>
  <si>
    <t>mailto:info@ejctechnologies.com</t>
  </si>
  <si>
    <t>EKOLOW, LLC</t>
  </si>
  <si>
    <t>http://www.ekoflow.com</t>
  </si>
  <si>
    <t>mailto:info@ekoflow.com</t>
  </si>
  <si>
    <t>ELECTRICAL MAINTENANCE &amp; CONSTRUCTION</t>
  </si>
  <si>
    <t>ELITE PARKING SERVICES OF AMERICA, INC.</t>
  </si>
  <si>
    <t>mailto:info@eliteparkingofamerica.com</t>
  </si>
  <si>
    <t>ELITE SERVICES</t>
  </si>
  <si>
    <t>mailto:ELITESERVICES317@HOTMAIL.COM</t>
  </si>
  <si>
    <t>ELITE SERVICES OF CENTRAL INDIANA, INC</t>
  </si>
  <si>
    <t>mailto:eliteservices317@hotmail.com</t>
  </si>
  <si>
    <t>ELK DISTRIBUTING, INC.</t>
  </si>
  <si>
    <t>mailto:ELKDISTRIBUTING@CHOICEONEMAIL.COM</t>
  </si>
  <si>
    <t>Plastics and Rubber Industry Machinery Manufacturing</t>
  </si>
  <si>
    <t>ELLA, Inc.</t>
  </si>
  <si>
    <t>="Organized in 2006, E.L.L.A. is an independent therapeutic practice that integrates traditional mental health practices with complimentary mind-body work to promote emotional healing. ""Equanimity in Life and Leadership Approaches"" is a concept that incorporates health benefits for a ""person and their environment"" and promotes mindfulness in every aspect of one's life. This extends not only to one's mind and body but their home and workplace as well. ELLA Inc. is an equal employment opportunity employer dedicated to the fair and equal treatment of all of its contractors without regard to age, gender, race, color, religion, creed, national origin, sexual orientation, disability, political or union affiliation, maternity status, parental status, military or veteran status, or any other basis prohibited by law."</t>
  </si>
  <si>
    <t>http://www.ellainc.com</t>
  </si>
  <si>
    <t>mailto:lhaywood@ellainc.com</t>
  </si>
  <si>
    <t>ELLIOTT EQUIPMENT CORPORATION</t>
  </si>
  <si>
    <t>http://www.elliottequipment.com</t>
  </si>
  <si>
    <t>mailto:barb@elliottequipment.com</t>
  </si>
  <si>
    <t>EMCOR Hyre Electric Company of Indiana,</t>
  </si>
  <si>
    <t>http://www.emcorhyre.com</t>
  </si>
  <si>
    <t>EMERGENCY BOOKS AND TRAINING INC</t>
  </si>
  <si>
    <t>="Retail distributor for over sixty publishers nationwide. We deal with industry, Fire, EMS, Law enforcement, Hazardous Materials, OSHA, Rescue, for training, reference materials, videos, dvd and interactive cd-roms. We also actively do onsite training for all of the disciplines listed. Some companies represented are NFPA, IFSTA, Fire Engineering, Mosby, Harcourt Brace, Delmar/Thomson, Jones and Bartlett, Action Training."</t>
  </si>
  <si>
    <t>http://www.ebtinc.com</t>
  </si>
  <si>
    <t>mailto:sales@ebtinc.com</t>
  </si>
  <si>
    <t>EMIS &amp; COBS</t>
  </si>
  <si>
    <t>EMJAY AUTOMOTIVE EQUIPMENT, LLC</t>
  </si>
  <si>
    <t>mailto:EMJAY_AUTOMOTIVE@SBCGLOBAL.NET</t>
  </si>
  <si>
    <t>EMP Technology Group LLC</t>
  </si>
  <si>
    <t>="Your data collection, labeling, marking and coding source. Enterprise solutions for manufacturing, distribution, and field mobility. Sales and service for data collection equipment including barcode and RFID tags. Labeling equipment including printers. Wireless LANs, direct part marking, WMS, and RFID equipment. Full service label production facility. Service and systems integration including custom programming and installation."</t>
  </si>
  <si>
    <t>http://www.emptechgroup.com</t>
  </si>
  <si>
    <t>mailto:marthah@emptechgroup.com</t>
  </si>
  <si>
    <t>EMPATHY INTERPRETATION AND TRANSLATION</t>
  </si>
  <si>
    <t>="Empathy offers Interpreting and Translating services in over 100 major world languages and American Sign Language. We provide Interpretation and Translation services in Healthcare, Legal and Business environment. All Empathy interpreters and translator are trained and qualified to interpret and translate in any legal, medical or business setting. Empathy provides timely, accurate, dependable and professional interpretation and translation services."</t>
  </si>
  <si>
    <t>mailto:ephyu@empathylanguages.com</t>
  </si>
  <si>
    <t>EMR Consulting</t>
  </si>
  <si>
    <t>http://www.emrconsults.com</t>
  </si>
  <si>
    <t>mailto:slblack@emrconsults.com</t>
  </si>
  <si>
    <t>Regulation and Administration of Communications, Electric, Gas, and Other Utilities</t>
  </si>
  <si>
    <t>EMT ENTERPRISES</t>
  </si>
  <si>
    <t>="Trevino's Auto Services &amp; Sales under EMT Enterprises owner and operators are Edward and Debora Trevino. Throughout the years Trevino's has established itself as the preferred shop in comprehensive repair work for all types of automobiles. His facility provides the following: 24 hour towing (light and heavy duty capability Lockout service Automotive Tune-ups A/C service and Maintenance Complete Engine Services Complete Transmission Services Complete Radiator Services Comprehensive Automotive electrical repair Automotive Emission service Paint and Body Work Frame and Uni-body alignment Front end Service Shock, strut and brake services Glass replacement Theft or collision related mechanical work Automotive preventive care Tire Services"</t>
  </si>
  <si>
    <t>Truck Trailer Manufacturing</t>
  </si>
  <si>
    <t>EMV TRUCKING LLC</t>
  </si>
  <si>
    <t>="EMV TRUCKING IS A DUMP TRUCK HAULING COMPANY WITH 6 TRUCKS. WE HAVE 1 QUAD AND 5 TRI-AXLES ALL WITH COAL DOORS AND BARN DOORS. WE CAN HAUL JUST ABOUT ANYTHING - AGGREGATES, STONE, SAND, GRAVEL, ASPHALT, SCRAPE METAL, AG LIME. ALL OF OUR DRIVERS ARE VERY EXPERIENCED WITH GOOD DRIVING RECORDS. WE ARE LOCATED IN LAFAYETTE INDIANA AND SERVICE THE CENTRAL AND NORTH CENTRAL PART OF THE STATE."</t>
  </si>
  <si>
    <t>mailto:verbry7@aol.com</t>
  </si>
  <si>
    <t>ENFORCEMENT SECURITY COMPANY LLC</t>
  </si>
  <si>
    <t>="WE OFFER A FULL RANGE OF SECURITY NEEDS FROM OUR ARMED AND UNARMED PERSONNEL TO LINKING WITH OUR PARTNERS TO INSTALL SECURITY SYSTEMS TO DOING A SECURITY EVALUATION OF YOUR BUSINESS OR PROPERTY. WE ALSO OFFER ESTATE AND PERSONAL PROTECTION SERVICES TO OUR PUBLIC OR HIGH PROFILE CLIENTS."</t>
  </si>
  <si>
    <t>http://WWW.ENFORCEMENTSECURITYCOMPANY.CO</t>
  </si>
  <si>
    <t>mailto:DOTTIE.GRIMES@HOTMAIL.COM</t>
  </si>
  <si>
    <t>ENGINEERING AGGREGATES CORP</t>
  </si>
  <si>
    <t>mailto:eac@engagg.com</t>
  </si>
  <si>
    <t>ENGLEDOW INC</t>
  </si>
  <si>
    <t>http://www.engledow.com</t>
  </si>
  <si>
    <t>mailto:inquiries@engledow.com</t>
  </si>
  <si>
    <t>ENOCHS Manufacturing, Inc.</t>
  </si>
  <si>
    <t>="ENOCHS Manufacturing Inc., nationally markets medical examination room tables, cabinets, operator stools and waste receptacles to healthcare facilities (hospitals, clinics and physician offices). ENOCHS sells these products to facilities through authorized medical supply distributors with reserved right to bid direct to federal and state agencies."</t>
  </si>
  <si>
    <t>http://enochsmed.com</t>
  </si>
  <si>
    <t>mailto:enochs@enochsmed.com</t>
  </si>
  <si>
    <t>ENTAP, Inc.</t>
  </si>
  <si>
    <t>="ENTAP, Inc. provides computer consulting services which enables its clients to better understand, utilize, and support the complex, mission critical, business software that their organizations are built upon. ENTAP specializes in enterprise software applications, such as Oracle, PeopleSoft and SAP."</t>
  </si>
  <si>
    <t>http://www.entap.com</t>
  </si>
  <si>
    <t>mailto:geninfo@entap.com</t>
  </si>
  <si>
    <t>ENVIRONMENTAL REMEDIATION SERV</t>
  </si>
  <si>
    <t>="The senior technical staff at ERS is comprised of experienced science and engineering professionals specializing in such areas as: hazardous materials management, site investigations and remediation, environmental regulatory compliance, environmental engineering and emergency spill response. All projects are managed by senior technical professionals with a personal sense of responsibility to clients, and to the success of the company. The resulting client benefits include exceptional service, technical innovation and high quality control/standards. As a well established small business, overhead costs are minimized, allowing services to be provided at rates lower than those typical of the industry."</t>
  </si>
  <si>
    <t>http://www.ersinc.net</t>
  </si>
  <si>
    <t>mailto:lpartridge@ersinc.net</t>
  </si>
  <si>
    <t>ENVISAGE Technologies Corporation</t>
  </si>
  <si>
    <t>http://www.envisagenow.com</t>
  </si>
  <si>
    <t>mailto:info@envisagenow.com</t>
  </si>
  <si>
    <t>ENthEnergy, LLC</t>
  </si>
  <si>
    <t>http://www.energyplanit.com</t>
  </si>
  <si>
    <t>mailto:mduff@enthenergy.com</t>
  </si>
  <si>
    <t>EP Graphics, Inc.</t>
  </si>
  <si>
    <t>http://www.epgraphics.com</t>
  </si>
  <si>
    <t>mailto:sales@epgraphics.com</t>
  </si>
  <si>
    <t>EQ Industrial Services, Inc.</t>
  </si>
  <si>
    <t>="EQ-The Environmental Quality Company offers a full range of high quality environmental services, including: Hazardous Waste Transportation, Treatment &amp; Disposal; Industrial Cleaning &amp; Maintenance; Recycling Services; Pharmaceutical Reverse Distribution; Remediation Services; Total Resource Management Programs; and Emergency Response Services. This unique combination of fixed-base facilities with extensive service capabilities allows EQ to manage waste from the point of generation through to final disposal or reuse. All environmental services can be managed by one organization - reducing costs and minimizing liability."</t>
  </si>
  <si>
    <t>http://www.eqonline.com</t>
  </si>
  <si>
    <t>mailto:customer.service@eqonline.com</t>
  </si>
  <si>
    <t>EQ-The Environmental Quality Company</t>
  </si>
  <si>
    <t>mailto:eq.customerservice@eqonline.com</t>
  </si>
  <si>
    <t>ERH Construction, Inc.</t>
  </si>
  <si>
    <t>mailto:erhconstruction@yahoo.com</t>
  </si>
  <si>
    <t>ERIC D. BOOKER</t>
  </si>
  <si>
    <t>http://booker.realtors.officelive.com/de</t>
  </si>
  <si>
    <t>mailto:FDPL1@YAHOO.COM</t>
  </si>
  <si>
    <t>ERMCO, Inc.</t>
  </si>
  <si>
    <t>="ERMCO, Inc. is a self-performing electrical and low voltage systems contractor. ERMCO's Large Contracts Group performs electrical installation for major commercial or industrial projects located anywhere in the United States. ERMCO's Specialty Contracts Group has Project Managers with extensive system experience in the following areas: Temperature Controls, Fire Alarm, Building Management Systems, UPS Systems, Security, Instrumentation/Validation, Panel Fabrication, and Medium/High Voltage Testing. ERMCO has a Professional Engineer, 3 RCCDs, 3 LEED APs, and a DBIA Certified Design Build Professional on staff as well as a construction services department and pre-fabrication warehouse."</t>
  </si>
  <si>
    <t>http://www.ermco.com</t>
  </si>
  <si>
    <t>mailto:dpeterson@ermco.com</t>
  </si>
  <si>
    <t>ES2 Electrical Solutions, LLC</t>
  </si>
  <si>
    <t>mailto:es2doug@hughes.net</t>
  </si>
  <si>
    <t>ESCO Communications, Inc.</t>
  </si>
  <si>
    <t>="ESCO Communications is an Audio, Video, and Life Safety Systems Integrator. As a Systems Integrator, we provide Electronic Communication Solutions for our customers. Services include Video Presentation/Training Systems, Audio, Life Safety, Nurse Call, Fire Alarm, Video Surveillance, Card Access, Intrusion Detection, Instructional and Educational Technology. ESCO Communications will work with our clients from the conceptual design through implementation, training and service."</t>
  </si>
  <si>
    <t>http://www.escocommunications.com</t>
  </si>
  <si>
    <t>mailto:david.stephenson@escocommunications.com</t>
  </si>
  <si>
    <t>ESG Security, Inc.</t>
  </si>
  <si>
    <t>http://www.esgsecurity.com</t>
  </si>
  <si>
    <t>mailto:info@esgsecurity.com</t>
  </si>
  <si>
    <t>ESW, Inc.</t>
  </si>
  <si>
    <t>="ESW, Inc. provides customized training programs to primarily industrial customers. We offer vocational training, including industrial, mechanical, electronics, hydraulics, engineering, and safety training. ESW also provides temporary and permanent technical staffing, as well as business consulting services."</t>
  </si>
  <si>
    <t>http://www.eswinc.com</t>
  </si>
  <si>
    <t>mailto:j.yoways@eswinc.com</t>
  </si>
  <si>
    <t>ESapp, LLC</t>
  </si>
  <si>
    <t>="ESapp Consulting provides business development consultation (including strategic planning, business start-up strategy, sales and marketing, turnaround services, mergers and acquisitions, exit strategy planning, and change management); executive coaching; and financial services and funding options."</t>
  </si>
  <si>
    <t>mailto:xxjsapp@xxesapp.com</t>
  </si>
  <si>
    <t>ETA Int'l</t>
  </si>
  <si>
    <t>="Electronics Technicians Assoc. Int'l is a not-for-profit trade association offering third party non-vender-specific industry certification. ETA-I was established in 1978 and maintains over 26 technical certifications for electronics technicians in communications, fiber, bio-med and others. ETA-I works in partnership with over 700 schools nationwide providing certifications."</t>
  </si>
  <si>
    <t>http://www.etainternational.org</t>
  </si>
  <si>
    <t>mailto:eta@eta-i.org</t>
  </si>
  <si>
    <t>Professional Organizations</t>
  </si>
  <si>
    <t>ETI Performance Improvement, Inc.</t>
  </si>
  <si>
    <t>="ETI's foundational beliefs and client commitment are articulated by our ""3E"" philosophy. Our intentions are actions center on this constant promise that we always work for your benefit. Educate: Continuous learning fuels continuous employee and organizational growth. Equip: Achieving your desired business results demands that your workforce be strategically prepared. Empower: Learning cultures stimulate personal achievement and accountability, where empowerment is leveraged. ETI offers client's a comprehensive single-source portfolio of training and performance solutions. Training delivered: Leadership, Coaching, Emotional Intelligence, DISC, Project Mgmt., Microsoft Office, Adobe Creative Suite, and Microsoft Technical Courses. Performance Consulting/Instructional Design: Instructor lead training, E-Learning, Blended Approaches, Curriculum/Learning Path Design, Strategic Planning for Learning. Creative and Technology Solutions: Sharepoint Collaboration Site Design, Web Site"</t>
  </si>
  <si>
    <t>http://www.etindy.com</t>
  </si>
  <si>
    <t>mailto:info@etindy.com</t>
  </si>
  <si>
    <t>ETJ Contracting Service</t>
  </si>
  <si>
    <t>mailto:ethomas191@hotmail.com</t>
  </si>
  <si>
    <t>ETJ ENTERPRISE LTD/SOPHISCATE LADY HHC</t>
  </si>
  <si>
    <t>="Home Hair Care, is a business that services the needs of our rapidly aging society. We service the sick and shut-in by offering our services to the best of retirement communities, nursing homes and hospitals affiliates. The beauty of our service is the convenience and the personal touch we give. The care of ventilator patient, isolated patients, head and scalp disorder, bed-ridden patients, we bring the salon to them with the same competitive price of traveling to it themselves. Home Hair Care is a business with a Medical/Hair combine. We are certified CPR and Professional License with the State of Indiana. We do all cultural hair, not just one, all male and female. (The disable person)"</t>
  </si>
  <si>
    <t>http://www.etjenterprisehomehaircare.com</t>
  </si>
  <si>
    <t>mailto:etjenterprise.homehaircare@gmail.com / christ.jones2034@sbcglob</t>
  </si>
  <si>
    <t>EVAPAR</t>
  </si>
  <si>
    <t>http://www.evapar.com</t>
  </si>
  <si>
    <t>mailto:webmaster@evapar.com</t>
  </si>
  <si>
    <t>EWRi Incorporated</t>
  </si>
  <si>
    <t>="We are an Indiana based Custom Computer Business specializing in personal , educational, and business notebooks built from the Common Building Blocks for all notebooks. We also sell most computer related equipment. We sell and service are products. We also sell Branded products that you may be looking for. We sell software to operated and maintain your notebooks and other type computers. We can provide you with quotes based on your specification required."</t>
  </si>
  <si>
    <t>http://www.ewri.biz</t>
  </si>
  <si>
    <t>mailto:wdaigle@ewri.biz</t>
  </si>
  <si>
    <t>EXCEL GRAPHICS INC</t>
  </si>
  <si>
    <t>http://www.excelgraphics.org</t>
  </si>
  <si>
    <t>mailto:www.excelgraphics.org/contacts.htm</t>
  </si>
  <si>
    <t>EXCELLENT ADENTURES, INC</t>
  </si>
  <si>
    <t>http://www.ExcellentAdventuresInc.com</t>
  </si>
  <si>
    <t>mailto:sales@ExcellentAdventuresInc.com</t>
  </si>
  <si>
    <t>Charter Bus Industry</t>
  </si>
  <si>
    <t>EXIT 51 TRAILER SALES INC.</t>
  </si>
  <si>
    <t>http://www.liberty-industries.com</t>
  </si>
  <si>
    <t>mailto:jclearwaters@liberty-industries.com</t>
  </si>
  <si>
    <t>EXPRESS SHIPPING AND POSTAL SERVICE CORP</t>
  </si>
  <si>
    <t>EYB Promotions LLC</t>
  </si>
  <si>
    <t>http://www.eybpromotions.com</t>
  </si>
  <si>
    <t>mailto:we-embroidery@sbcglobal.net</t>
  </si>
  <si>
    <t>EZ Connections</t>
  </si>
  <si>
    <t>mailto:connections.rodriguez@gmail.com</t>
  </si>
  <si>
    <t>Eads &amp; Son Bulldozing, Inc.</t>
  </si>
  <si>
    <t>mailto:eadsbulldozing@yahoo.com</t>
  </si>
  <si>
    <t>Eagle Accounts Group</t>
  </si>
  <si>
    <t>http://www.eagleaccounts.com</t>
  </si>
  <si>
    <t>mailto:help@eagleaccounts.com</t>
  </si>
  <si>
    <t>Eagle Aviation LLC</t>
  </si>
  <si>
    <t>Nonscheduled Chartered Passenger Air Transportation</t>
  </si>
  <si>
    <t>Eagle Hauling &amp; Conveying, Inc.</t>
  </si>
  <si>
    <t>mailto:eagleinc@mintel.net</t>
  </si>
  <si>
    <t>Construction, Transportation, Mining and Forestry Machinery and Equipment Rental and Leasing</t>
  </si>
  <si>
    <t>Eagle Magnetic Co. Inc.</t>
  </si>
  <si>
    <t>http://www.eaglemagnetic.com</t>
  </si>
  <si>
    <t>mailto:www.eaglemagnetic.com</t>
  </si>
  <si>
    <t>Eagle Point Technology, INC</t>
  </si>
  <si>
    <t>http://www.eaglepointtechnology.com</t>
  </si>
  <si>
    <t>mailto:sales@eaglepointtechnology.com</t>
  </si>
  <si>
    <t>Eagle Ridge Civil Engnrng Services, LLC</t>
  </si>
  <si>
    <t>="Provider of Civil Engineering Services including the planning, design, bidding support, and construction observation/administration for infrastructure improvements. Primary areas of expertise include roads, drainage and recreational paths. Primarily serves the public interest through clients such as municipal government, state government and universities."</t>
  </si>
  <si>
    <t>http://www.eagleridgecivil.com</t>
  </si>
  <si>
    <t>mailto:bridgway@eagleridgecivil.com</t>
  </si>
  <si>
    <t>Eagle Ventilation, LLC.</t>
  </si>
  <si>
    <t>mailto:bfrazier@eagleventilation.com</t>
  </si>
  <si>
    <t>Earl C. Rodgers &amp; Associates, Inc.</t>
  </si>
  <si>
    <t>http://ecrodgers.com</t>
  </si>
  <si>
    <t>mailto:lshaw@ecrodgers.com</t>
  </si>
  <si>
    <t>Ears 2 Hear Audio</t>
  </si>
  <si>
    <t>http://www.e2haudio.com</t>
  </si>
  <si>
    <t>mailto:thill@e2haudio.com</t>
  </si>
  <si>
    <t>Earth Exploration, Inc.</t>
  </si>
  <si>
    <t>="EEI is a consulting firm which provides a wide range of geotechnical engineering, construction monitoring and materials testing, and exploratory field services for industrial, commercial, educational and governmental projects. These services have been utilized for buildings, bridges, roadways, sewer lines, wastewater treatment facilities, tunnels, dams, levees, elevated and ground-level storage tanks, landfills and communication towers."</t>
  </si>
  <si>
    <t>http://earthengr.com</t>
  </si>
  <si>
    <t>mailto:rolson@earthengr.com</t>
  </si>
  <si>
    <t>Earth First of Kentuckiana, Inc.</t>
  </si>
  <si>
    <t>http://www.earth-first.com</t>
  </si>
  <si>
    <t>mailto:lori@earth-first.com</t>
  </si>
  <si>
    <t>Earth First, LLC</t>
  </si>
  <si>
    <t>http://www.earthfirstservices.com</t>
  </si>
  <si>
    <t>mailto:kirks@earthfirstservices.com</t>
  </si>
  <si>
    <t>Earth Laboratories</t>
  </si>
  <si>
    <t>http://www.earthlaboratories.com</t>
  </si>
  <si>
    <t>mailto:customerservice@earthlaboratories.com</t>
  </si>
  <si>
    <t>EarthWing Inc</t>
  </si>
  <si>
    <t>="Our company is based upon on making our customers more efficient and profitable by increasing efficiency, streamliing processes and automation, We provide and install of phone systems, computer systems, networks, and security cameras. We install voice and data cables, fiber optic cables, virtualize servers using VMware and provide measureable ROI to small and medium companies."</t>
  </si>
  <si>
    <t>http://www.earthwing.net</t>
  </si>
  <si>
    <t>mailto:lsalgado@earthwing.net</t>
  </si>
  <si>
    <t>Earthly Goods Ltd</t>
  </si>
  <si>
    <t>="Mind's Eye Design is a full service graphic design firm. We create and produce innovative advertising, marketing and communications solutions, including logos, web sites, bulletins, catalogs, spec sheets, capabilities and product brochures, special event invitations, signage, annual reports, packaging, direct mail, trade show exhibits, and more."</t>
  </si>
  <si>
    <t>mailto:ann@earthlygoods.com</t>
  </si>
  <si>
    <t>Easley and Associates</t>
  </si>
  <si>
    <t>mailto:reasley@indy.rr.com</t>
  </si>
  <si>
    <t>East Central Opportu</t>
  </si>
  <si>
    <t>http://www.ecoinc.org</t>
  </si>
  <si>
    <t>mailto:bdoucette@ecoinc.org</t>
  </si>
  <si>
    <t>East Noble School Corporation</t>
  </si>
  <si>
    <t>East Side Jersey Dairy</t>
  </si>
  <si>
    <t>mailto:mwren@prairiefarms.com</t>
  </si>
  <si>
    <t>Dairy Product Manufacturing</t>
  </si>
  <si>
    <t>East West Blends, LLC</t>
  </si>
  <si>
    <t>="Supplier of ultra high quality, all-natural specialty tea blends (all contained in convenient pyramid-shaped sachets for easy preparation), to upscale boutiques, spas, salons, medical offices, home furnishing stores, gourmet retailers, restaurants, and more."</t>
  </si>
  <si>
    <t>http://www.ChaiBaby.com</t>
  </si>
  <si>
    <t>mailto:dm@eastwestblends.com</t>
  </si>
  <si>
    <t>Easter Conservation Services Ltd.</t>
  </si>
  <si>
    <t>="Easter Conservation Services is an art conservation company. We clean paintings, prints, and conserve frames, furniture and gilded objects. Ceramics and glass are also part of the works of art we conserve. We work with pieces that have been in fires, have water damage, both fire and water, as well as pieces which have been torn or damaged in tornadoes. We work with three companies in Indianapolis; Wilds, Moore and Michaelis Restoration. We have done work for Purdue, IUPUI, Wabash College, and Franklin College, to name some of our clients. I have worked for the Indianapolis Museum of Art for eleven years before starting Easter Conservation Services. Our company is woman owned. Our attention to detail and personalized service allow us to give exceptional quality to any treatment we undertake. We are Professional Associates listed in the American Institute for Conservation of Historic and Artistic Works directory."</t>
  </si>
  <si>
    <t>http://www.easterconservationservices.co</t>
  </si>
  <si>
    <t>mailto:mjeaneaster@yahoo.com</t>
  </si>
  <si>
    <t>Eastern Banner Supply</t>
  </si>
  <si>
    <t>="If its a sign of any kind chances are Eastern Banner Supply can do it. Eastern Banner Supply has been supplying high quality sign banners for over 30 years. We offer digitally printed banners of any shape or size, decals, electronic message boards, banner blanks, vinyl material and more. We also offer all the accessories to display banners."</t>
  </si>
  <si>
    <t>http://www.easternbannersupply.com</t>
  </si>
  <si>
    <t>mailto:darrell@easternbannersupply.com</t>
  </si>
  <si>
    <t>Eastern Hancock Community School Corp.</t>
  </si>
  <si>
    <t>Eastland</t>
  </si>
  <si>
    <t>="We are an office furniture retailer that provides furniture as well as installation, space planning, &amp; design services for all business sizes. We represent furniture companies from budget to high end and custom as well. All of the work is done by our own employees, not subcontrators. We have been in business for over 20 years."</t>
  </si>
  <si>
    <t>http://www.workspacesolutions.com</t>
  </si>
  <si>
    <t>mailto:info@workspacesolutions.com</t>
  </si>
  <si>
    <t>Easy Glass LLC</t>
  </si>
  <si>
    <t>="Commericial, Residential and Auto Glass Services. Easy Glass was founded based on over five decades of experience in commercial and residential real estate project management – spanning across various verticals such as Hospitals, Non-Profits/Education, Government Organizations, Restaurant, Pharmaceutical, Office, Hotels, Libraries, Factories, High Rises, Apartments, Industrial and more – enabling us to leverage best practices across industry application."</t>
  </si>
  <si>
    <t>http://www.EasyGlass.biz</t>
  </si>
  <si>
    <t>mailto:kim@EasyGlass.biz</t>
  </si>
  <si>
    <t>Easy Go Lawn Care</t>
  </si>
  <si>
    <t>http://www.easygolawncare.com</t>
  </si>
  <si>
    <t>mailto:msulli1971@gmail.com</t>
  </si>
  <si>
    <t>EasyAccess LLC</t>
  </si>
  <si>
    <t>mailto:inside.sales@easyaccessap.com</t>
  </si>
  <si>
    <t>Eat Your Heart Out</t>
  </si>
  <si>
    <t>Eaton &amp; Hancock Asso</t>
  </si>
  <si>
    <t>="Our firm provides contract administration, document management, Owners Advocate, Program Management, Public Outreach, Project Definition and Lobbying. Owners are Paula S. Eaton, AIA and Dottie Hancock. This is a D/WBE corporation certified by the State of Indiana and the City of Indianapolis"</t>
  </si>
  <si>
    <t>mailto:EatonHancock@Comcast.net</t>
  </si>
  <si>
    <t>Ebbert Contracting, LLC</t>
  </si>
  <si>
    <t>="We have over twenty years of hands on experience in commercial and residential construction. From concrete foundations and slabs to roofing. Having been involved with so many aspects of the industry, diversity is our strongest asset. Getting the job done efficiently and with special attention to detail to provide a quality product is our main goal. If there is a task that we cannot perform, then we have the resources to make sure that it does get done with qualified personel."</t>
  </si>
  <si>
    <t>mailto:ebbertcontracting@att.net</t>
  </si>
  <si>
    <t>Ebbing Auto Parts, Inc.</t>
  </si>
  <si>
    <t>http://www.ebbingautoparts.com</t>
  </si>
  <si>
    <t>mailto:sales@ebbingautoparts.com</t>
  </si>
  <si>
    <t>Motor Vehicle Parts (Used) Merchant Wholesalers</t>
  </si>
  <si>
    <t>Eby Ford Sales, Inc.</t>
  </si>
  <si>
    <t>http://www.ebyford.com</t>
  </si>
  <si>
    <t>Echelon Events and Catering LLC</t>
  </si>
  <si>
    <t>http://www.myecheloncatering.com</t>
  </si>
  <si>
    <t>mailto:cljones40@hotmail.com</t>
  </si>
  <si>
    <t>Echols' Photographic</t>
  </si>
  <si>
    <t>http://www.echols.org</t>
  </si>
  <si>
    <t>mailto:steve@echols.org</t>
  </si>
  <si>
    <t>Eckhart and Company, Inc.</t>
  </si>
  <si>
    <t>http://www.eckhartandco.com</t>
  </si>
  <si>
    <t>mailto:admin@eckhartandco.com</t>
  </si>
  <si>
    <t>Eckstein Holdings LLC</t>
  </si>
  <si>
    <t>http://www.boxshoppe.com</t>
  </si>
  <si>
    <t>mailto:boxshoppe@boxshoppe.com</t>
  </si>
  <si>
    <t>Eco Logic LLC</t>
  </si>
  <si>
    <t>="Dedicated to providing the highest quality ecological restoration services for our customers. We strive to develop innovative practices in the field of vegetation management and native plant establishment by protecting Indiana’s diverse natural areas. We offer the following services: invasive plant management, ecological consulting, native plant installation/restoration and storm water management/wetlands management."</t>
  </si>
  <si>
    <t>http://www.ecologicindiana.com</t>
  </si>
  <si>
    <t>mailto:mail@ecologicindiana.com</t>
  </si>
  <si>
    <t>Eco Systems, Inc.</t>
  </si>
  <si>
    <t>http://www.soilandwater.com</t>
  </si>
  <si>
    <t>mailto:admin@soilandwater.com</t>
  </si>
  <si>
    <t>Eco-Kinetic,LLC</t>
  </si>
  <si>
    <t>http://www.eco-kinetic.net</t>
  </si>
  <si>
    <t>mailto:nancy.phillips@eco-kinetic.net</t>
  </si>
  <si>
    <t>EcoVehicle Enterprises, Inc.</t>
  </si>
  <si>
    <t>="EcoVehicle and its Ft. Wayne-based manufacturer partner offer a series of zero-emission and hybrid vehicles for personal and industrial applications where highway speed is not critical. Unlike most products, EcoVehicles can be custom fit to specifc user needs."</t>
  </si>
  <si>
    <t>http://www.ecovehicle.com</t>
  </si>
  <si>
    <t>mailto:info@ecovehicle.com</t>
  </si>
  <si>
    <t>Automobile Manufacturing</t>
  </si>
  <si>
    <t>Ecological Systems</t>
  </si>
  <si>
    <t>="Ecological Systems (ESI) is a non-hazardous waste disposal company operating a commercial wastewater treatment plant in Indianapolis. ESI is also a used oil processor. The company also provides lab pack services, regulatory and environmental consulting, environmental remediation, industrial cleaning services and regulatory / safety training."</t>
  </si>
  <si>
    <t>http://www.ecologicalsystems.com</t>
  </si>
  <si>
    <t>Econo Lodge</t>
  </si>
  <si>
    <t>Economy Machine Products, Inc.</t>
  </si>
  <si>
    <t>="Economy Machine Products is a screw machine job shop in Roanoke, Indiana, that provides “Mom’s Warm Apple Pie” comfort to our customers. Our quotes, like Mom’s advice, are free, and our on-time supply of 100% correct products provides a comfort that is second to none. If we were to produce pies as fast as parts, 1.5 million people an hour (or well over 3 billion a year) could have a piece of pie, at one heck of a cost savings! We are a woman-owned business that enjoys making our customers feel comfortable and well cared for. Check us out today! You’ll be glad you did. A WBENC-Certified Women's Business Enterprise ISO 9001:2008 Registered Ford Q1 Certified"</t>
  </si>
  <si>
    <t>http://www.economymachine.com</t>
  </si>
  <si>
    <t>mailto:dmullins@economymachine.com</t>
  </si>
  <si>
    <t>Ecstasy Cycles, Inc</t>
  </si>
  <si>
    <t>http://www.ecstasyinc.com</t>
  </si>
  <si>
    <t>mailto:ecstasy@ecstasyinc.com</t>
  </si>
  <si>
    <t>Ed-Son's Inc.</t>
  </si>
  <si>
    <t>="We are a full service printer specialiazing in offset printing 0ne &amp; two color in a 11x17 format. We have a complete line of digital print engines in one color black and 4 color digital print. We have a Thermography printing dept and a complete graphic design department. We also offer Docuement management services, along with a online ordering system."</t>
  </si>
  <si>
    <t>mailto:john@pipindpls.com</t>
  </si>
  <si>
    <t>Eddie Gilstrap Motor</t>
  </si>
  <si>
    <t>http://eddiegilstrapmotors.com</t>
  </si>
  <si>
    <t>mailto:eddieg@blueriver.net</t>
  </si>
  <si>
    <t>Eddie McKibben</t>
  </si>
  <si>
    <t>Edgar Enterprises, I</t>
  </si>
  <si>
    <t>mailto:edgarenterprises@yahoo.com</t>
  </si>
  <si>
    <t>Edge Group, LLC.</t>
  </si>
  <si>
    <t>mailto:edgegroupllc@yahoo.com</t>
  </si>
  <si>
    <t>Edge Industrial Supply</t>
  </si>
  <si>
    <t>http://www.edgeindsupply.com</t>
  </si>
  <si>
    <t>mailto:sales@edgeindsupply.com</t>
  </si>
  <si>
    <t>Edgewater Systems for Balanced Living</t>
  </si>
  <si>
    <t>="Edgewater Systems for Balanced Living, Inc. is committed to providing mental health services, partnerships, and collaborations that promote healthy sustainable communities. To that end, we develop services and programs that are unique to this region. It is our goal to assist or help anyone and everyone that walks through our doors or makes contact with us. Sometimes, that means that we will connect you with other service providers, groups, or organizations. It is about you--your needs, your interests. The typical age of our consumers range from 4 through maturity. It is our belief that no one is beyond help. Call on us for hope and help."</t>
  </si>
  <si>
    <t>http://EDGEWATERSYSTEMS.ORG</t>
  </si>
  <si>
    <t>mailto:jwinterhaler@edgewatersystems.org</t>
  </si>
  <si>
    <t>Education Systems</t>
  </si>
  <si>
    <t>http://www.keys4learning.com</t>
  </si>
  <si>
    <t>mailto:sales@keys4learning.com</t>
  </si>
  <si>
    <t>Education and Development Consultants</t>
  </si>
  <si>
    <t>http://ed-dev.org</t>
  </si>
  <si>
    <t>mailto:paula@ed-dev.org</t>
  </si>
  <si>
    <t>Educational Furniture, LTD</t>
  </si>
  <si>
    <t>http://www.edfurn.com</t>
  </si>
  <si>
    <t>mailto:info@edfurn.com</t>
  </si>
  <si>
    <t>Educational Intelligence</t>
  </si>
  <si>
    <t>Educational Partners Inc.</t>
  </si>
  <si>
    <t>http://www.edupart.com</t>
  </si>
  <si>
    <t>mailto:andy@edupart.com</t>
  </si>
  <si>
    <t>Educational Software Solutions, LLC</t>
  </si>
  <si>
    <t>="Educational Software Solutions provides schools with an enterprise software solution that performs as a data warehouse for ALL testing information as well as a web based module for the data warehousing system along with a complete student information system featuring: test data, student information, discipline, Rti, student resources, etc... Educational Software Solutions customizes and personalizes their software so users get the most out of their data."</t>
  </si>
  <si>
    <t>mailto:gguernse@yahoo.com</t>
  </si>
  <si>
    <t>Edward Alexander Inc</t>
  </si>
  <si>
    <t>="Information System Development and Strategy: Expert providers of strategic and implementation consulting services specializing in reducing capital costs of infrastructure services and improving internal and external operations for our clients. We specialize in Content Management, Knowledge Management, and Business Process Management."</t>
  </si>
  <si>
    <t>http://www.edalexanderconsulting.com</t>
  </si>
  <si>
    <t>mailto:lisa@edalexanderconsulting.com</t>
  </si>
  <si>
    <t>Edward George &amp; Associates, LLC</t>
  </si>
  <si>
    <t>="EGA is an Energy and Operations Consulting firm. We help our clients to improve the efficiency of their facility management practices with a particular focus upon energy use. We help clients to use less energy by making enhancements to their automated building management systems, replacing inefficient building systems with more efficient systems and by monitoring their energy usage over time."</t>
  </si>
  <si>
    <t>http://www.egallc.net</t>
  </si>
  <si>
    <t>mailto:JLeicht@egallc.net</t>
  </si>
  <si>
    <t>Edward J. White, Inc</t>
  </si>
  <si>
    <t>http://www.ejwhiteinc.net</t>
  </si>
  <si>
    <t>mailto:jwhite@ejwhiteinc.net</t>
  </si>
  <si>
    <t>Edward L. Janes Attorney at Law</t>
  </si>
  <si>
    <t>Edward L. Stoner</t>
  </si>
  <si>
    <t>mailto:edstoner1@att.net</t>
  </si>
  <si>
    <t>Edward P. Grimmer, P</t>
  </si>
  <si>
    <t>http://grimmerlaw.com</t>
  </si>
  <si>
    <t>mailto:ed@grimmerlaw.com</t>
  </si>
  <si>
    <t>Edwards Media Group, L.L.C.</t>
  </si>
  <si>
    <t>Edwards Software Consulting, Inc.</t>
  </si>
  <si>
    <t>http://www.edwardsoftware.com</t>
  </si>
  <si>
    <t>mailto:dwedwar@edwardsoftware.com</t>
  </si>
  <si>
    <t>Eel River Abstract, Inc.</t>
  </si>
  <si>
    <t>mailto:eelriverinc@yahoo.com</t>
  </si>
  <si>
    <t>Eel River Renovations LLC</t>
  </si>
  <si>
    <t>="We are an Indiana owned business doing various construction, roadway/ parkinglot stripe work, home and industrial renovations and repairs. We also provide traffic control, and emergency response teams. In addition we buy various products for resale and are diversified into many other areas."</t>
  </si>
  <si>
    <t>http://www,eelrivertribeofindiana.org</t>
  </si>
  <si>
    <t>mailto:nativetoamerica@earthlink.net</t>
  </si>
  <si>
    <t>Effective Performance Solutions, Inc.</t>
  </si>
  <si>
    <t>http://www.epsolutionsinc.com</t>
  </si>
  <si>
    <t>mailto:denise.rucker@epsolutionsinc.com</t>
  </si>
  <si>
    <t>Efficient Systems, Inc.</t>
  </si>
  <si>
    <t>http://www.efficientsystems.net</t>
  </si>
  <si>
    <t>mailto:ssmith@efficientsystems.net</t>
  </si>
  <si>
    <t>Effort Enterprises of Indiana, Inc.</t>
  </si>
  <si>
    <t>http://www.atlanticrelocation.com</t>
  </si>
  <si>
    <t>mailto:Tom.fagan@atlanticrelocation.com</t>
  </si>
  <si>
    <t>Used Household and Office Goods Moving</t>
  </si>
  <si>
    <t>Eggshell Technologies, Inc.</t>
  </si>
  <si>
    <t>="Eggshell Technologies, Inc. delivers custom IT software solutions. Services include custom enterprise software development using J2EE, .NET, Oracle, and open source technology. We offer data input, management and storage solutions for businesses and organizations. In addition, we provide multimedia development solutions including web design, graphical application development, and thick-client user interfaces. Previous clients include Siemens, Covance, and Purdue University."</t>
  </si>
  <si>
    <t>http://www.eggshelltech.com</t>
  </si>
  <si>
    <t>mailto:sales@eggshelltech.com</t>
  </si>
  <si>
    <t>Egloff Trucking Company, Inc.</t>
  </si>
  <si>
    <t>http://www.eglofftrucking.com</t>
  </si>
  <si>
    <t>mailto:eglofftrucking@psci.net</t>
  </si>
  <si>
    <t>Eicks &amp; Eller Auto Salvage Inc</t>
  </si>
  <si>
    <t>mailto:rangelineauto@aol.com</t>
  </si>
  <si>
    <t>Eight TwentySix Dynamics LLC</t>
  </si>
  <si>
    <t>mailto:eighttwentysix@ymail.com</t>
  </si>
  <si>
    <t>Eighty Four Lumber COmpany</t>
  </si>
  <si>
    <t>http://www.84lumber.com</t>
  </si>
  <si>
    <t>mailto:tummalac@84lumber.com</t>
  </si>
  <si>
    <t>Eilenberg LLC</t>
  </si>
  <si>
    <t>mailto:kristineilenberg@yahoo.com</t>
  </si>
  <si>
    <t>Eilts Consulting Services</t>
  </si>
  <si>
    <t>="Eilts Consulting Services, Inc. (ECS) in Greenwood, Indiana is a State of Indiana and City of Indianapolis WBE/DBE certified consulting firm established in 1999. The firm provides civil engineering consulting services including construction engineering, construction inspection &amp; management, material testing, stormwater modeling, pavement design and marking services and high pressure water blasting services."</t>
  </si>
  <si>
    <t>Eilts Consulting Services, Inc.</t>
  </si>
  <si>
    <t>="Eilts Consulting Services, Inc. provides engineering professional services including, quality control and quality assurance engineering services, construction management and inspection services, topographic survey and construction staking and special tool design and manufacturing services."</t>
  </si>
  <si>
    <t>mailto:www.lorirushin@AOL.com</t>
  </si>
  <si>
    <t>Eisenhour Home Improvements, Inc</t>
  </si>
  <si>
    <t>="Home Improvements, additions, repairs, roofing, siding, garages, sun rooms, decks indoor/outdoor remodeling, kitchen &amp; bath upgrades, windows &amp; doors. We have been serving people in northeast Indiana for 49 years, and we are well respected throughout the construction community. Competitive prices, friendly service. Please call."</t>
  </si>
  <si>
    <t>http://www.eisenhourhomeimprovements.com</t>
  </si>
  <si>
    <t>mailto:eisenhour@eisenhourhomeimprovements.com</t>
  </si>
  <si>
    <t>El Coyote Hispanic Newspaper</t>
  </si>
  <si>
    <t>http://www.elcoyoteonline.com</t>
  </si>
  <si>
    <t>mailto:elcoyote@elcoyoteonline.com</t>
  </si>
  <si>
    <t>El Puente, LLC</t>
  </si>
  <si>
    <t>="El Puente (The Bridge), the only Spanish-language newspaper focused in the South Bend, Goshen, Elkhart, and Fort Wayne area, publishes 9,000 issues the first and third Tuesdays of each month. The newspaper is available in these cities as well as in Mishawaka, Milford, Ligonier, Plymouth, Bremen, Nappanee, and Warsaw. El Puente also is in several cities in Michigan like Three Rivers, Niles and Sturgis. Currently in its 18th year of publication, El Puente serves the Michiana community by providing a bridge between the Anglo and Hispanic communities. El Puente is one of the few Spanish-language media in Northern Indiana. We provide our Hispanic readers with local, national and international news. We also provide legal and cultural information of interest to Hispanics. Much of this information is not available in other Spanish-language media sources. A great Media Provider to reach out to the Hispanic Community."</t>
  </si>
  <si>
    <t>http://www.webelpuente.com</t>
  </si>
  <si>
    <t>mailto:design@webelpuente.com</t>
  </si>
  <si>
    <t>ElOso Construction</t>
  </si>
  <si>
    <t>Elaine Pardieck</t>
  </si>
  <si>
    <t>="Independent sales rep with educational products for elementary, middle school and high school students. Also, products for adult education, ESL products and GED learning materials and exam prep. I am currently an independent rep for Sed de Saber which provides Adult ESL learning and a family literacy program; Bellwork which is a daily practice for Reading, Math, Algebra, Science, Biology, History and Summer School; Scooter Kids which has the Adventures of Scooter McDoogal graphic novels which targets grades 4-9 providing a learning program for struggling readers in the subjects of Science, Social Studies and Health Standards."</t>
  </si>
  <si>
    <t>http://www.elainepardieck.com</t>
  </si>
  <si>
    <t>mailto:elaine@elainepardieck.com</t>
  </si>
  <si>
    <t>Elaine's Cleaning Service Corp</t>
  </si>
  <si>
    <t>mailto:ethomsen853@sbcglobal.net</t>
  </si>
  <si>
    <t>Elan Development</t>
  </si>
  <si>
    <t>http://www.elandevelopment.com</t>
  </si>
  <si>
    <t>mailto:jon.reynolds@elandevelopment.com</t>
  </si>
  <si>
    <t>Electric Metal Fab Inc</t>
  </si>
  <si>
    <t>="EMF is a fully equipped design, fabrication &amp; services company. Services include: Design/Build, Custom Fabrication, CNC Machining, Electropolish, Passivation. Products include: Lab Equipment, Cleanroom Furnishings:Casework, Tables, Carts, Racks, Trays, and Change Parts, Conveyors. Capabilities include: Turn-Key Conveyor Systems, Equipment Development, Product Line Expansion, Transitions, Enclosures, On-site Modifications/Repairs. EMF specializes in aseptic products and/or applications utilizing stainless steel and other non-ferrous metals. To learn more, please visit us at www.electricmetalfab.com, call us at (812) 988-9353, or email sales@electricmetalfab.com. EMF – Electric Metal Fab, Inc. is located in Nashville, Indiana, and is a WBENC certified woman owned business. For more inquiries, contact Mandy Chittum at mandy@electricmetalfab.com"</t>
  </si>
  <si>
    <t>http://www.electricmetalfab.com</t>
  </si>
  <si>
    <t>mailto:sales@electricmetalfab.cm</t>
  </si>
  <si>
    <t>Electric Plus, Inc.</t>
  </si>
  <si>
    <t>http://www.electricplus.com</t>
  </si>
  <si>
    <t>mailto:twhicker@electricplus.com</t>
  </si>
  <si>
    <t>Electrical Construction &amp; Design, Inc</t>
  </si>
  <si>
    <t>http://www.nwigenerator.com</t>
  </si>
  <si>
    <t>mailto:april@nwigenerator.com</t>
  </si>
  <si>
    <t>Electrical Equipment Company Inc.</t>
  </si>
  <si>
    <t>="Electrical Equipment provides installation, service and distribution for multiple products in the electrical industry. Products include but are not limited to fire alarm, life safety, video, audio, security, cctv, telecommunications, cable, wire and various other electrical products."</t>
  </si>
  <si>
    <t>http://www.eeco-online.com</t>
  </si>
  <si>
    <t>mailto:sales@eeco-online.com</t>
  </si>
  <si>
    <t>Electrical Mechanica</t>
  </si>
  <si>
    <t>mailto:lebates@sbcglobal.net</t>
  </si>
  <si>
    <t>Electricom, Inc.</t>
  </si>
  <si>
    <t>="Electricom, Inc was incorporated in 1960 to engage in power &amp; communications construction. We work in almost every state east of the Mississippi River for various utility companies. We have also completed projects in Arkansas and Missouri. These projects include telephone transmission lines, both aerial and buried and power line work. We also have fiber splicing and directional boring crews."</t>
  </si>
  <si>
    <t>http://www.electricominc.com</t>
  </si>
  <si>
    <t>Electronic Communication Systems Inc.</t>
  </si>
  <si>
    <t>Electronic Evolutions, Inc.</t>
  </si>
  <si>
    <t>http://www.electronicevolutios.com</t>
  </si>
  <si>
    <t>mailto:dknotts@electronicevolutions.com</t>
  </si>
  <si>
    <t>Electronic Services Delivery &amp; Support,</t>
  </si>
  <si>
    <t>http://www.esdsindy.com</t>
  </si>
  <si>
    <t>mailto:kferrara@esdsindy.com</t>
  </si>
  <si>
    <t>Electronic Strategies Incorporated</t>
  </si>
  <si>
    <t>http://www.esitechadvisors.com</t>
  </si>
  <si>
    <t>mailto:mcollis@esiindy.com</t>
  </si>
  <si>
    <t>Electronic Surveillance Ent. Global</t>
  </si>
  <si>
    <t>="Electronic Surveillance Enterprise Global, LLP is a certified woman and minority owned company located in Indiana. We have our CCR in place, we are registered as vendors with the City of Indianapolis and the State. We are members of Minority Business Enterprise Council (MBEC) among others. We are currently in process for our SDB certification. We offer our clients experience and expertise including design for Security Cameras, Wireless Security Technology, Card Access Systems, Radio Communications, First Responders Systems, and Facial and License Plate Recognition hardware and software . As a small business our goal is to assist the prime contractors in providing equipment and supplies at a competitive price. We also have the capacity to assist with installation and training if the opportunity presents itself. We are currently working on a project and providing equipment and installation for the department of defense as a sub-contractor.."</t>
  </si>
  <si>
    <t>http://www.eseglobal.biz</t>
  </si>
  <si>
    <t>mailto:sales@eseglobal.biz</t>
  </si>
  <si>
    <t>Electronic Telephone Systems, Inc.</t>
  </si>
  <si>
    <t>Electronics Depot Inc.</t>
  </si>
  <si>
    <t>="Our company is a wholesale distributor. Our main focus is the sourcing and supply of NSN# Components, Datacom Networking Components &amp; Cable, Video Security Systems and Commercial Sound Systems. Our basic parts lines and inventory is in maintenance and repair of existing equipment."</t>
  </si>
  <si>
    <t>http://eldepot.com</t>
  </si>
  <si>
    <t>mailto:sandy@eldepot.com</t>
  </si>
  <si>
    <t>Electrostatic Solutions Incorporated</t>
  </si>
  <si>
    <t>="On-site electrostatic painting of metal items in sensitive areas where overspray cannot be tolerated. We specialize in grocery stores, offices buildings, schools, healthcare facilities, factories and intricate outdoor metals. Our process is perfect for refrigeration cases, filing cabinets, lockers, machinery, railing, fencing, etc. Over 100-years of experience on staff."</t>
  </si>
  <si>
    <t>http://www.electropainters.com</t>
  </si>
  <si>
    <t>mailto:epindy@electropainters.com</t>
  </si>
  <si>
    <t>Elegan Sportswear</t>
  </si>
  <si>
    <t>http://www.elegan.com</t>
  </si>
  <si>
    <t>mailto:cwilliams@elegan.com</t>
  </si>
  <si>
    <t>Elements Engineering, LLC</t>
  </si>
  <si>
    <t>mailto:jrobertspe@iquest.net</t>
  </si>
  <si>
    <t>Elevate Consulting</t>
  </si>
  <si>
    <t>http://elevateconsults.com</t>
  </si>
  <si>
    <t>mailto:rcrenshaw@elevateconsults.com</t>
  </si>
  <si>
    <t>Elevated Minds LLC</t>
  </si>
  <si>
    <t>="Elevated MInds LLC is a professoinal counseling agency that provides cost-effective services, including individual, family, and couples counseling. We work collaboratively with each client to identify the underlying sources of their emotional distress, to identify and change self-defeating patterns in their relationships, and to develop more effective ways of coping with life's challenges."</t>
  </si>
  <si>
    <t>http://www.elevatedmindsinc.com</t>
  </si>
  <si>
    <t>mailto:kmoore@elevatedmindsinc.com</t>
  </si>
  <si>
    <t>Elish Plumbing &amp; Sewer, Inc.</t>
  </si>
  <si>
    <t>="I have been in the plumbing industry for 15 years and a plumbing contractor for a year and a half. I do new construction homes and repair existing plumbing and sewers. If given the opportunity, you would see our quality of work is excellent and always done on time."</t>
  </si>
  <si>
    <t>http://www.elishplumbing.com</t>
  </si>
  <si>
    <t>mailto:elishplumbing@sbcglobal.net</t>
  </si>
  <si>
    <t>Elite Accounting &amp; Tax, LLC</t>
  </si>
  <si>
    <t>mailto:admin@eliteacctg.com; tfisher@eliteacctg.com</t>
  </si>
  <si>
    <t>Elite Biomedical Services Inc</t>
  </si>
  <si>
    <t>="Medical Equipment Repair, Sales and Service. We buy and sell used Medical Equipment as well as maintaining and servicing your current equipment inventory. We can Liquidate your unused or unwanted Medical equipment inventory and help with Medical Equipment Purchases. We specialize in Patient-care equipment."</t>
  </si>
  <si>
    <t>mailto:elibio@icloud.com</t>
  </si>
  <si>
    <t>Elite Decals</t>
  </si>
  <si>
    <t>="A full service Sign &amp; Graphics business specializing in custom signs and graphics for all needs. We can provide vehicle/fleet graphics, banners, wraps, channel letters, window lettering and graphics, apparel, large format full color digital printing, magnetic signs, yard/real estate signs, boat graphics, safety signs, lighted cabinet signs, and more."</t>
  </si>
  <si>
    <t>http://www.elitedecals.com</t>
  </si>
  <si>
    <t>mailto:sales@elitedecals.com</t>
  </si>
  <si>
    <t>Elite Glass LLC</t>
  </si>
  <si>
    <t>mailto:jrrolltide@sbcglobal.net</t>
  </si>
  <si>
    <t>Elite Mechanical LLC</t>
  </si>
  <si>
    <t>http://www.elitemechanical-hvac.com</t>
  </si>
  <si>
    <t>mailto:kechols@elitemechanical-hvac.com</t>
  </si>
  <si>
    <t>Elite Painting LLC</t>
  </si>
  <si>
    <t>="We are a full service commercial and residential painting company. We Specialize in: Commercial Painting Industrial Painting Residential Painting Maintenance/Repair Epoxy Flooring Systems Vinyl Wall Covering and Murals Commercial Caulking Drywall Finishing"</t>
  </si>
  <si>
    <t>mailto:keenandarby@hotmail.com</t>
  </si>
  <si>
    <t>Elite Printing, Inc.</t>
  </si>
  <si>
    <t>="Family owned and operated for nearly 25 years. We have two indianapolis locations providing commercial printing services with graphic designers on staff. Some of the services we offer include: corporate identity, high speed copying, variable data, storage, full service printing, mailing, finishing, laminating, die cutting, foiling and more."</t>
  </si>
  <si>
    <t>http://www.eliteprintingindy.com</t>
  </si>
  <si>
    <t>mailto:suzette@eliteprintingindy.com</t>
  </si>
  <si>
    <t>Elite Property Services of Michiana, Inc</t>
  </si>
  <si>
    <t>="Elite Property Services Of Michiana, Inc., is a commercial property maintenance company. EPS provides commercial and industrial clients with seasonal, exterior maintenance services. These services include, but are not limited to, landscape maintenance, snow and ice management, pressure washing, and parking lot sweeping."</t>
  </si>
  <si>
    <t>http://EPSFacilityMaintenance.com</t>
  </si>
  <si>
    <t>mailto:info@EPSFacilityMaintenance.com</t>
  </si>
  <si>
    <t>Elite Quality Striping</t>
  </si>
  <si>
    <t>="We are a pavement striping company; whether you need new parking lines or ADA-compliant painting completed, Elite Striping has what it takes to get the job done quickly and correctly. Our staff uses state-of-the-art striping machinery at every job, and can provide unique layout design, if needed. We work hard to maximize every inch of your parking lot, get the job done quickly, and get your lot open for business again. Our pavement marking services include: •Striping layout redesign •Parking lot striping •Parking lot stencils •ADA parking stencils •Signage"</t>
  </si>
  <si>
    <t>http://www.elitequalitystriping.com</t>
  </si>
  <si>
    <t>Elite Security LLC</t>
  </si>
  <si>
    <t>http://www.e-litesecurity.com</t>
  </si>
  <si>
    <t>mailto:bradbentley@e-litesecurity.com</t>
  </si>
  <si>
    <t>Elizabeth Mahoney</t>
  </si>
  <si>
    <t>="EM DESIGN is a full-service graphic design, creative services and advertising practice. We work together with our clients throughout Indiana and the United states to produce highly effective projects from concept to completion that motivate, inspire and create change. For nearly twenty years, we’ve produced print and electronic media, including the creative development, design, layout, writing, photography, printing and production management of: • Corporate Identities, Logo &amp; Branding Development • Marketing Plans • Press Releases • Advertising Campaigns (Print- Magazine/Newspaper, Media &amp; Web) • Corporate Brochures, Catalogs, Direct Mail, Annual Reports, Newsletters, • Website Design, e-Newsletters • PowerPoint Presentations • Point of Purchase Signage/Banners • Environmental/Architectural Signage • Trade Show Displays • Radio and Video Production • Green Specialty Products and Promotional Items • Print Buy and Management"</t>
  </si>
  <si>
    <t>http://www.emdesign.net</t>
  </si>
  <si>
    <t>mailto:dialogue@emdesign.net</t>
  </si>
  <si>
    <t>Elkhart County Gravel, Inc.</t>
  </si>
  <si>
    <t>http://www.elkhartcountygravel.com</t>
  </si>
  <si>
    <t>mailto:info@elkhartcountygravel.com</t>
  </si>
  <si>
    <t>Elkhart General Hosp</t>
  </si>
  <si>
    <t>http://egh.org</t>
  </si>
  <si>
    <t>Elkhart Service company</t>
  </si>
  <si>
    <t>="Commercial office cleaning services, covering • Commercial Cleaning • General Office Cleaning • Carpet Cleaning • Special Event Clean-Up • Post Construction Clean-Up • Store/Business Remodels • Strip &amp; Refinish (wax) Tile Floor Service • Ceramic/Stone Floor Cleaning * School Cleaning Services including Colleges"</t>
  </si>
  <si>
    <t>http://www.corporatecleaningind.com</t>
  </si>
  <si>
    <t>mailto:lora@corporatecleaningind.com</t>
  </si>
  <si>
    <t>Ellington Trucking LLC</t>
  </si>
  <si>
    <t>mailto:ellingtontrucking@sbcglobal.net</t>
  </si>
  <si>
    <t>Elliott-Williams Co.</t>
  </si>
  <si>
    <t>http://www.elliott-williams.com</t>
  </si>
  <si>
    <t>mailto:ew@elliott-williams.com</t>
  </si>
  <si>
    <t>Ellis Automation Solutions, Inc.</t>
  </si>
  <si>
    <t>http://www.ellisautomationsolutions.com</t>
  </si>
  <si>
    <t>mailto:ed@ellisautomationsolutions.com</t>
  </si>
  <si>
    <t>Ellis Mechanical Inc</t>
  </si>
  <si>
    <t>http://www.ellismechanicalinc.com</t>
  </si>
  <si>
    <t>mailto:deborah@ellismechanicalinc.com</t>
  </si>
  <si>
    <t>Eloquence Language Services LLC</t>
  </si>
  <si>
    <t>="Eloquence is a full-service Indianapolis, Indiana-based company providing professional foreign language translation and interpretation services in most language combinations for Business, Legal, Medical and Healthcare entities around the world. Founded on integrity, partnership, excellence and accomplishment, we are powerfully drawn towards making a difference in the lives of others through clear and full communication. Eloquence is proud to have earned the designation of Certified Woman’s Business Enterprise (WBE) with the State of Indiana and City of Indianapolis. Empower your company’s access to the world. Contact us at info@eloquencelanguage.com or www.eloquencelanguage.com. Eloquence Language Services: Smart Translation. Smart Choice."</t>
  </si>
  <si>
    <t>http://www.eloquencelanguage.com</t>
  </si>
  <si>
    <t>mailto:info@eloquencelanguage.com</t>
  </si>
  <si>
    <t>Elrod Grain Service, Inc.</t>
  </si>
  <si>
    <t>mailto:elrodgrain@yahoo.com</t>
  </si>
  <si>
    <t>Elrod's Carpet Cleaning Service</t>
  </si>
  <si>
    <t>mailto:elrodscarpet@aol.com</t>
  </si>
  <si>
    <t>Elsten Security, Inc</t>
  </si>
  <si>
    <t>http://www.elstensecurity.com</t>
  </si>
  <si>
    <t>mailto:sean@elstensecurity.com</t>
  </si>
  <si>
    <t>Elston Systems, Inc.</t>
  </si>
  <si>
    <t>="We provide test equipment for computer diagnostic such as PC POST diagnostic test cards for desktop and laptop computers. We also provide educational discounts up to 40% for products that will be used for educational purposes. We provide other products not limited to: scrolling LED badges, cell phone detector pens, and other LED products. Please check out our online store for other products. http://shopv2.elstonsystems.com"</t>
  </si>
  <si>
    <t>http://shopv2.elstonsystems.com</t>
  </si>
  <si>
    <t>mailto:store@elstonsystems.com</t>
  </si>
  <si>
    <t>Computer and Electronic Product Manufacturing</t>
  </si>
  <si>
    <t>Elwest, Inc. dba The Great Frame Up</t>
  </si>
  <si>
    <t>mailto:tgfu@sbcglobal.net</t>
  </si>
  <si>
    <t>Elwood Staffing Services, Inc.</t>
  </si>
  <si>
    <t>="Elwood Staffing offers employment solutions for clerical, light industrial and professional positions, and is currently one of the top five largest staffing companies in Indiana. Elwood Staffing is privately owned, headquartered in Columbus, IN, and has 17 branches throughout the state."</t>
  </si>
  <si>
    <t>http://www.elwoodstaffing.com</t>
  </si>
  <si>
    <t>mailto:jobs@elwoodstaffing.com</t>
  </si>
  <si>
    <t>Elysian Fields Case Management, Inc.</t>
  </si>
  <si>
    <t>="Elysian Fields Case Management, Inc provides case management services for individuals in Indiana that are being served under the Medicaid Waiver Programs. Case Managment services include compliance to all Indiana code for individuals with and services brokeraging and supervision of services to individuals with disabilities. We function as an independent aspect of an individual's treatment team and are responsible for best practices positive outcomes for the consumers we serve."</t>
  </si>
  <si>
    <t>mailto:Timwash47@aol.com</t>
  </si>
  <si>
    <t>EmNet</t>
  </si>
  <si>
    <t>http://www.emnet.net</t>
  </si>
  <si>
    <t>mailto:support@wmnet.net</t>
  </si>
  <si>
    <t>Instruments and Related Products Manufacturing for Measuring, Displaying, and Con. Ind. Proc. Var.</t>
  </si>
  <si>
    <t>Emagine Developments LLC</t>
  </si>
  <si>
    <t>Emerald Sustainability Consulting LLC</t>
  </si>
  <si>
    <t>="We specialize in LEED® project administration, including green building strategies and innovations that are most appropriate and cost effective, as well as documentation of the LEED process. We can also analyze your current operations to identify and inventory your carbon emissions, set goals for emission reduction and help you reduce your overall carbon footprint."</t>
  </si>
  <si>
    <t>http://www.emeraldsustainability.com</t>
  </si>
  <si>
    <t>mailto:paul.pritchard@emeraldsustainability.com</t>
  </si>
  <si>
    <t>Emerald Trucking, LLC</t>
  </si>
  <si>
    <t>mailto:emeraldtruck65@aol.com</t>
  </si>
  <si>
    <t>Emergency Radio Service INC</t>
  </si>
  <si>
    <t>="Emergency Radio Service (ERS) has six Indiana locations: Indianapolis, Muncie, Kokomo, Elkhart, Ligonier, Ft. Wayne. We have been a Motorola dealer and service center for wireless voice and data systems for over 50 years. Our products and services include: Two-way radio; Dispatch consoles and furniture; Mobile Data; Wireless broadband; wireless networking; Fleet management; Tower sales, erection, and service; Wide area and on-site trunked radio systems; Security camera systems; Paging; SCADA; Radio rentals; Canopy; Mesh; Maintenance agreements; Repair and installation; System design and consulting; Site management. ERS strives to provide high quality, cost-effective communication solution that meet our customer needs."</t>
  </si>
  <si>
    <t>http://www.ers2way.com</t>
  </si>
  <si>
    <t>mailto:jedwards@ers2way.com</t>
  </si>
  <si>
    <t>Emergency Services Education Center</t>
  </si>
  <si>
    <t>http://www.esecindy.org</t>
  </si>
  <si>
    <t>mailto:barb_gammon@esecindy.org</t>
  </si>
  <si>
    <t>Emkay Enterprises, LLC</t>
  </si>
  <si>
    <t>Mobile Food Services</t>
  </si>
  <si>
    <t>mailto:kasimms@attglobal.net</t>
  </si>
  <si>
    <t>Emma's Cleaning Service</t>
  </si>
  <si>
    <t>http://www.emmacleans.com</t>
  </si>
  <si>
    <t>mailto:doug@emmacleans.com</t>
  </si>
  <si>
    <t>Emmert Group Properties, LLC</t>
  </si>
  <si>
    <t>Emmis Communications</t>
  </si>
  <si>
    <t>="Community Outreach is a department of Emmis Communications that specializes in working with community-focused corporations, foundations, government entities and nonprofit organizations. We work directly with our clients to create public outreach campaigns that use media vehicles to educate the public on important issues facing our community."</t>
  </si>
  <si>
    <t>http://www.emmiscommunityoutreach.com</t>
  </si>
  <si>
    <t>Radio Stations</t>
  </si>
  <si>
    <t>Emmis Indiana Broadcasting, L.P.</t>
  </si>
  <si>
    <t>http://www.emmis.com</t>
  </si>
  <si>
    <t>Broadcasting (except Internet)</t>
  </si>
  <si>
    <t>Emmis Operating Company</t>
  </si>
  <si>
    <t>="We are a marketing and communications firm that specializes in marketing that motivates positive behavior change. Using our unique access to entertainment and media to inspire action, Incite develops strategic outreach and engagement campaigns that drive measured impact."</t>
  </si>
  <si>
    <t>http://www.InciteImpact.com</t>
  </si>
  <si>
    <t>mailto:kferries@inciteimpact.com</t>
  </si>
  <si>
    <t>Emmis Publishing</t>
  </si>
  <si>
    <t>http://indianapolismonthly.com</t>
  </si>
  <si>
    <t>Empire Real Estate Partners</t>
  </si>
  <si>
    <t>http://www.empirerepos.com</t>
  </si>
  <si>
    <t>mailto:info@empirerepos.com</t>
  </si>
  <si>
    <t>Employee Benefit Advisors, LLC</t>
  </si>
  <si>
    <t>="Employee Benefit Consulting Services for large employer groups including: Employee benefit analysis for consumer driven incentive based plan designs. Utilization data analysis and plan recommendationsfor both fully insured and Self-funded contracts. Employee on-site communications Coordination of employee benefits with multiple vendors. Support of contract negotiations with vendors."</t>
  </si>
  <si>
    <t>mailto:djdaubenspeck@indy.rr.com</t>
  </si>
  <si>
    <t>Employers Security</t>
  </si>
  <si>
    <t>="Employers Security Insurance Company (ESI) is a casualty insurance carrier that underwrites and issues workers' compensation insurance policies for employers in Indiana and throughout the Midwest. ESI is based in Indianapolis, and was established in 1992 by a group of independent insurance agents who wanted to offer their clients truly superior customer service. ESI employs insurance professionals who are charged with the responsibility of helping policyholders reduce the costs associated with their job-related injuries and illnesses."</t>
  </si>
  <si>
    <t>http://www.esic.com</t>
  </si>
  <si>
    <t>mailto:postmaster@esic.com</t>
  </si>
  <si>
    <t>Employment Plus, Inc</t>
  </si>
  <si>
    <t>http://www.employmentplus.com</t>
  </si>
  <si>
    <t>mailto:dburgess@employmentplus.com</t>
  </si>
  <si>
    <t>Emporium Entertainment, LLC</t>
  </si>
  <si>
    <t>="Business if private events and catering. Restaurant is located at 6901 West 38th, Indianapolis, In 46254. Restaurant is capable for private events and can hold up to 200+ for sit down dining. Capable of hosting receptions and larger parties. Contact info is Donte' Adams 317-289-1172"</t>
  </si>
  <si>
    <t>mailto:donteadams@yahoo.com</t>
  </si>
  <si>
    <t>Empowerment Assoc In</t>
  </si>
  <si>
    <t>mailto:quinlan@joink.com</t>
  </si>
  <si>
    <t>EnCon Lighting LLC</t>
  </si>
  <si>
    <t>mailto:tsb1258@yahoo.com</t>
  </si>
  <si>
    <t>Encore Catering LLC</t>
  </si>
  <si>
    <t>http://my-encore.com</t>
  </si>
  <si>
    <t>Encore Catering,llc</t>
  </si>
  <si>
    <t>Energy Conservation Solutions, Inc.</t>
  </si>
  <si>
    <t>mailto:Contactecs@yahoo.com</t>
  </si>
  <si>
    <t>Energy Harness Corporation</t>
  </si>
  <si>
    <t>http://www.energyharness.com</t>
  </si>
  <si>
    <t>mailto:patricio@energyharness.com</t>
  </si>
  <si>
    <t>Lighting Fixture Manufacturing</t>
  </si>
  <si>
    <t>Energy Solutions by JMS</t>
  </si>
  <si>
    <t>="After a seeing a need in the marketplace for a single firm to be able to design and construction energy efficient systems for Owners, Johnson-Melloh Solutions and Schmidt Associates came together to form Energy Solutions by JMS. The mission of Energy Solutions by JMS is to provide energy-efficient solutions, achieving long-term value for Owners. Services include: • Systems Engineering • Design Build • Building Optimization • Certification • Analysis for Renewable Resources • Alternative Funding Assistance • 24-Hour Mechanical Service."</t>
  </si>
  <si>
    <t>http://www.energysolutionsbyjms.com</t>
  </si>
  <si>
    <t>Energy Systems Group, LLC</t>
  </si>
  <si>
    <t>http://www.energysystemsgroup.com</t>
  </si>
  <si>
    <t>Energy Tech 21, LLC</t>
  </si>
  <si>
    <t>mailto:lights@insightbb.com</t>
  </si>
  <si>
    <t>http://www.energytech 21.com</t>
  </si>
  <si>
    <t>mailto:sales@energytech21.com</t>
  </si>
  <si>
    <t>EnergyUSA-TPC</t>
  </si>
  <si>
    <t>="EnergyUSA-TPC Commercial/Industrial Energy allows you to focus on your core business - doing what you do best, while we do what we do best - managing natural gas and electricity supply. There's no need for you to divert qualified company resources to administer the complex process of energy delivery and management. Our expertise and depth make EnergyUSA-TPC the best choice for effectively managing your energy needs."</t>
  </si>
  <si>
    <t>http://www.energyusa-tpc.com</t>
  </si>
  <si>
    <t>mailto:rnuss@nisource.com</t>
  </si>
  <si>
    <t>Engaging Solutions</t>
  </si>
  <si>
    <t>mailto:debbie@engagingsolutions.net</t>
  </si>
  <si>
    <t>Engel-Man Family Trucking</t>
  </si>
  <si>
    <t>Engel-Man Trucking, Inc.</t>
  </si>
  <si>
    <t>mailto:sengelj@verizon.net</t>
  </si>
  <si>
    <t>Engelking Law Group, LLC</t>
  </si>
  <si>
    <t>http://www.engelkinglawgroup.net</t>
  </si>
  <si>
    <t>mailto:engelking@e-lawgroup.net</t>
  </si>
  <si>
    <t>Engineered Construction Group, LLC</t>
  </si>
  <si>
    <t>http://www.ecgway.com</t>
  </si>
  <si>
    <t>mailto:rovin@ecgway.com</t>
  </si>
  <si>
    <t>Engineered Control Systems, Inc.</t>
  </si>
  <si>
    <t>="ECS will design, furnish, install and commission complete temperature control systems for your buildings. ECS has years of experience in both renovation of existing systems and new construction. Representing state of the art Alerton DDC Temperature Controls."</t>
  </si>
  <si>
    <t>http://www.ecs-indy.com</t>
  </si>
  <si>
    <t>mailto:jnance@ecs-indy.com</t>
  </si>
  <si>
    <t>Engineered Solutions Midwest, Inc.</t>
  </si>
  <si>
    <t>mailto:emily@engineeredsolutions.com</t>
  </si>
  <si>
    <t>Engineered Specialty Products, Inc.</t>
  </si>
  <si>
    <t>http://www.engspecproducts.com</t>
  </si>
  <si>
    <t>mailto:engspecproducts@aol.com</t>
  </si>
  <si>
    <t>Engineering Resources, Inc.</t>
  </si>
  <si>
    <t>http://www.erwebsite.com</t>
  </si>
  <si>
    <t>Specialized Design Services</t>
  </si>
  <si>
    <t>Engineering Systems Consultants, Inc</t>
  </si>
  <si>
    <t>http://intoyourweb.com</t>
  </si>
  <si>
    <t>mailto:habdul@intoyourweb.com</t>
  </si>
  <si>
    <t>Engineering Technologies, Inc.</t>
  </si>
  <si>
    <t>mailto:jeff.weaver@engtech-inc.com</t>
  </si>
  <si>
    <t>Enginuity Consultants LLC</t>
  </si>
  <si>
    <t>="Enginuity Consultants is a small civil engineering consulting firm (applying for DBE and 8(a) certification) specializing in roadway projects, private site development, and municipal public projects. Specifically experienced in all phases of roadway projects which includes proposed horizontal and vertical alignments, proposed roadway typical sections and cross sections, proposed roadway plan and profile, proposed retaining walls design plan and profile, maintenance of traffic (MOT) and staging, planning and feasibility studies, conceptual design, schematics, environmental documents, and PS&amp;E projects, etc. Additional experience in context sensitive design, sustainable design, preparing site layout, grading, erosion control, storm water management, sanitary and storm sewer systems, and water distribution systems."</t>
  </si>
  <si>
    <t>http://www.enginuityconsultants.com</t>
  </si>
  <si>
    <t>mailto:lsummers13@gmail.com</t>
  </si>
  <si>
    <t>Englehart Group LLC</t>
  </si>
  <si>
    <t>="The Englehart Group is a strategic marketing communications firm located in Indianapolis, with specific experience with governmental and non-profit clients. We provide consultation, development and implementation in the areas of strategic planning, market research, program development, advertising, public relations, online marketing, video production, website development, social media, collateral literature, print materials and event production."</t>
  </si>
  <si>
    <t>http://www.englehartgroup.com</t>
  </si>
  <si>
    <t>mailto:ray@englehargroup.com</t>
  </si>
  <si>
    <t>Enhanced Network Solutions Group</t>
  </si>
  <si>
    <t>="ENS Group is a technology consulting firm that is committed to the success of our client's development and infrastructure projects. ENS technology consultants focus their energies on how technology can complement your business goals. When opportunities for improvement are identified a new business process can then be designed to incorporate best practices and improvements. We deliver enterprise solutions that may involve one, some, or all of our technical services areas. We maintain a high degree of skill in multiple disciplines, including system integration, software and web development, and customized training. Our ultimate goal is to understand, design and implement innovative technology solutions that will help our customers increase their bottom line by generating income or reducing expenses."</t>
  </si>
  <si>
    <t>http://www.ensi.com</t>
  </si>
  <si>
    <t>mailto:matthew.gerber@ensi.com</t>
  </si>
  <si>
    <t>Enid's Cleaning Service LLC</t>
  </si>
  <si>
    <t>http://www.enidscleaningservice.com</t>
  </si>
  <si>
    <t>mailto:enid@enidscleaningservice.com</t>
  </si>
  <si>
    <t>Enpak, LLC.</t>
  </si>
  <si>
    <t>http://www.enpakllc.com</t>
  </si>
  <si>
    <t>mailto:info@enpakllc.com</t>
  </si>
  <si>
    <t>Enroute Massage &amp; Spa Indiana LLC</t>
  </si>
  <si>
    <t>http://www.passporttravelspa.com</t>
  </si>
  <si>
    <t>mailto:info@passporttravelspa.com</t>
  </si>
  <si>
    <t>Entara Technology Group</t>
  </si>
  <si>
    <t>="Entara provides information technology and services to clients. Technology-wise, we specialize in applications used by knowledge workers to gather, analyze, and share information. Examples of knowledge workers include researchers, health care practitioners, social workers, legal professionals, etc. Services-wise, we specialize in the areas of business analysis, quality assurance, and program management. Because technology and organizations interact, we also provide services in the areas of organizational transformation and leadership."</t>
  </si>
  <si>
    <t>http://www.entaratech.com</t>
  </si>
  <si>
    <t>mailto:cward@entaratech.com</t>
  </si>
  <si>
    <t>Enterprise Associates LLC</t>
  </si>
  <si>
    <t>="Provide management consultant services to government, schools and nonprofits. Conduct feasibility studies, business process improvement, customized research and information packaging, impact studies, operating advice and assistance, grant research, needs assessment, fiscal planning"</t>
  </si>
  <si>
    <t>mailto:enterprise@accelplus.net</t>
  </si>
  <si>
    <t>Enterprise Consulting, Inc.</t>
  </si>
  <si>
    <t>http://www.enterpriseconsulting.biz</t>
  </si>
  <si>
    <t>Enterprise Electrical and Mechanical</t>
  </si>
  <si>
    <t>http://www.enterprise-co.com/</t>
  </si>
  <si>
    <t>Enterprise Leasing Co. of Indianapolis,</t>
  </si>
  <si>
    <t>="Largest car rental company in North America with over 6,500 locations and 700,000 vehicles (over 90 locations and 7000 vehicles in Indiana). The Enteprise Business Rental Program offers companies and/or ogranizations a customized corporate account with award-winning customer service, competitive local and airport rates, flexibility, and the largest network of locations and vehicle availability."</t>
  </si>
  <si>
    <t>http://www.enterprise.com</t>
  </si>
  <si>
    <t>mailto:dan.batanian@erac.com</t>
  </si>
  <si>
    <t>Passenger Car Rental</t>
  </si>
  <si>
    <t>Enterprise Machinery Sales Inc.</t>
  </si>
  <si>
    <t>http://www.entermach.com</t>
  </si>
  <si>
    <t>mailto:emsindy@gmail.com</t>
  </si>
  <si>
    <t>Machinery, Equipment and Supplies Wholesalers</t>
  </si>
  <si>
    <t>Enterprise Machiney Sales Inc.</t>
  </si>
  <si>
    <t>http://www.enterprisemachinerysalesinc.c</t>
  </si>
  <si>
    <t>mailto:jack@enterprisemachinerysalesinc.com</t>
  </si>
  <si>
    <t>Enterprise Marking Products</t>
  </si>
  <si>
    <t>http://empcid.com</t>
  </si>
  <si>
    <t>mailto:info@empcid.com</t>
  </si>
  <si>
    <t>Entouch Communications Solutions, Inc.</t>
  </si>
  <si>
    <t>http://www.entouchcommunications.com</t>
  </si>
  <si>
    <t>mailto:support@entouch.us</t>
  </si>
  <si>
    <t>Enviro Ink LLC</t>
  </si>
  <si>
    <t>="At Enviro Ink we specialize in the supply of remanufactured ink and toner cartridges, while also offering OEM products. Enviro Ink was founded on the principals of ensuring customers the most advanced and environmentally responsible and affordable recycling solutions for ink and toner cartridges."</t>
  </si>
  <si>
    <t>mailto:sales@myenviroink.com</t>
  </si>
  <si>
    <t>Enviro-Assist, LLC</t>
  </si>
  <si>
    <t>http://www.enviro-assistllc.com</t>
  </si>
  <si>
    <t>Enviro-Shred, Inc.</t>
  </si>
  <si>
    <t>mailto:Enviro-Shred@comcast.net</t>
  </si>
  <si>
    <t>EnviroSolutions, Inc.</t>
  </si>
  <si>
    <t>="EnviroSolutions is a full service environmental and engineering consulting company in business since 1991. Our headquarters are located in Westland, Michigan with regional service offices in Traverse City, Michigan and South Bend, Indiana. Our clients include retail petroleum companies, manufacturing companies, energy/public utilities, government, and financial institutions. We specialize in the following environmental service areas: • Air permitting (Title V, new source review, and air quality management) • Due diligence (Phase I/II, BEAs, and Brownfield Redevelopment) • Remediation system design and construction • Operation &amp; maintenance of remediation systems • Investigations &amp; risk assessments • Total Environmental Compliance (Auditing, SPCC/PIPP, Environmental permitting, ISO 14000 support, etc.)"</t>
  </si>
  <si>
    <t>http://www.envirosolutionsinc.net</t>
  </si>
  <si>
    <t>mailto:gazzoli@envirosolutionsinc.net</t>
  </si>
  <si>
    <t>Envirocorp, Inc.</t>
  </si>
  <si>
    <t>http://www.envirocorpinc.com</t>
  </si>
  <si>
    <t>mailto:pfsb@envirocorpinc.com</t>
  </si>
  <si>
    <t>Envirokleen, LLC</t>
  </si>
  <si>
    <t>="Our company's president, Wally Kamman, has extensive experience in the institutional cleaning market spanning over 30 years to private institutions and government agencies. Envirokleen's team continues today in the production and distribution, utilizing the latest developments in technology to insure the highest quality cleaning products in portion control and bulk packaging for liquids and powders to the market place. Envirokleen is located in Indianapolis, Indiana metropolitan area. We are proud to present our product line as 100% ""Made in America."""</t>
  </si>
  <si>
    <t>http://www.ecsenvirokleen.com</t>
  </si>
  <si>
    <t>mailto:info@envirokleeninfo.com</t>
  </si>
  <si>
    <t>Environmental Certification Labs, Inc.</t>
  </si>
  <si>
    <t>="Environmental Certification Labs, Inc. (EC Labs) offers extensive capabilities for inorganic, organic and general chemistry analysis as well as a broad range of specialty analytical services. This exceptional capability allows us to meet the stringent requirements of our customers as well as the regulatory community. Our commitment to service and quality is backed by continual investment in state-of-the-art equipment that delivers outstanding precision and consistency and exceeds regulatory requirements for quality assurance. For over a decade, Environmental Certification Labs, Inc. (EC Labs) has been providing independent analytical laboratory services for regulatory compliance, as well as support of manufacturing plant process control. Our strength is in our personnel’s commitment in providing the client with the best service available."</t>
  </si>
  <si>
    <t>http://www.eclabs.org</t>
  </si>
  <si>
    <t>mailto:eclabs@eclabs.org</t>
  </si>
  <si>
    <t>Environmental Equipment, Inc.</t>
  </si>
  <si>
    <t>Administrative and Support, Waste Management and Remediation Services</t>
  </si>
  <si>
    <t>Environmental Greenscapes, Inc</t>
  </si>
  <si>
    <t>http://www.environmentalgreenscapes.com</t>
  </si>
  <si>
    <t>mailto:info@environmentalgreenscapes.com</t>
  </si>
  <si>
    <t>Environmental Inc.</t>
  </si>
  <si>
    <t>="Environmental Incorporated is an environmental consulting company with over 40 years experience in contamination investigation, assessment, remediation, Brownfields, RCRA, VRP, RISC, compliance issues. We provide unparalleled performance and cost effective solutions."</t>
  </si>
  <si>
    <t>mailto:envincmlpalm@comcast.net</t>
  </si>
  <si>
    <t>Environmental Laboratories, Inc.</t>
  </si>
  <si>
    <t>="We are a full-service laboratory that specializes in the analysis of drinking water, wastewater, hazardous waste, biosolids, soil, swimming pools, storm water, and special organics. A recent expansion and the acquisition of state-of-the-art equipment helps us provide great customer service, quick turn-around times, competitive pricing and quality analytical results."</t>
  </si>
  <si>
    <t>http://www.envirolabsinc.com</t>
  </si>
  <si>
    <t>mailto:kharsin@envirolabsinc.com</t>
  </si>
  <si>
    <t>Environmental Remediation Services, Inc</t>
  </si>
  <si>
    <t>="Environmental Remediation Services is a full service environmental contracting and consulting firm. Emergency spill response and cleanup; tank cleaning and removal; site remedaition; Brownfields; industrial cleaning services; mercury cleanup and monitoring; groundwater remediation"</t>
  </si>
  <si>
    <t>Environmental Safety Assurance Institute</t>
  </si>
  <si>
    <t>Environmental Safety Products</t>
  </si>
  <si>
    <t>http://www.buyfromesp.com</t>
  </si>
  <si>
    <t>mailto:sales@buyfromesp.com</t>
  </si>
  <si>
    <t>Environmental Services Associates</t>
  </si>
  <si>
    <t>="we are environmental consultants, we advise people and entities who develop and redevelop real estate, we provide Phase I environmental Site Assessments, we provide Phase II testing services such as Asbestos, Lead and Mold Inspections, testing and sampling, we complete site characterizations for remediation projects and we design and implement remediation systems for soil and groundwater remediation projects."</t>
  </si>
  <si>
    <t>http://www.esallc.com</t>
  </si>
  <si>
    <t>mailto:jwatkins@esallc.com</t>
  </si>
  <si>
    <t>Environmental and Geo. Consulting, Inc.</t>
  </si>
  <si>
    <t>mailto:Might@comcast.net</t>
  </si>
  <si>
    <t>Envirosure Integrated Pest Control Servi</t>
  </si>
  <si>
    <t>="Commercial (business-to-business only) pest control and consulting services, specializing USDA, FDA, ISDH, FSIS and AIB regulated facilities in central Indiana only. Complete documentation maintenence, 21CFR compliant. Specialize in large facility operations, food processing, food distribution, medically related industries."</t>
  </si>
  <si>
    <t>http://www.envirosureipm.com</t>
  </si>
  <si>
    <t>mailto:President@envirosureipm.com</t>
  </si>
  <si>
    <t>Envisage Consulting, LLC</t>
  </si>
  <si>
    <t>="Envisage Consulting is a technology services, application development, migration specialists, and an Internet Consulting company. We are committed to providing our clients innovation, imagination, and dedication which in turn provides them with solutions tailored to their organization. With multifaceted technological expertise, Envisage Consulting will strive to deliver the right resources and solutions to your organizations computing needs. We help our clients solve challenging business obstacles with a mixture of packaged software, our enterprise solutions and technical knowledge base. Whether your organization is large or small, we can assist the gathering, analysis, and testing of information from the front desk to back office, and across your enterprise network."</t>
  </si>
  <si>
    <t>http://www.envisageconsulting.com</t>
  </si>
  <si>
    <t>mailto:vinh_q_dang@yahoo.com</t>
  </si>
  <si>
    <t>Envisio Design LLC</t>
  </si>
  <si>
    <t>="EnvisioIT is a service and solutions oriented Technology Company based out of northern Indiana. Our emphasis is utilizing technology that directly addresses the needs and problems of our customers. Whether it is a CRM system, cloud solution, web design, storage,security, we will have a solution."</t>
  </si>
  <si>
    <t>http://www.envisioIT.com</t>
  </si>
  <si>
    <t>mailto:joe@envisioIT.com</t>
  </si>
  <si>
    <t>Envtl Mgmt Inst</t>
  </si>
  <si>
    <t>="We are an Indiana nonprofit and a 501(c)(3) charitable organization dedicated to improving our clients management of hazardous materials. We provide training. Each year we train over 2000 people in over 75 different courses, about managing hazardous materials of all kinds. We are Indiana's largest asbestos and lead trainer and the largest private sector trainer for the OSHA HAZWOPER specialties. Our training is funded in part by support from the National Institute for Environmental Health Sciences (NIEHS). Our 5000-square foot facility on the west side of Indianapolis gives us an all-weather training site for doing hands-on training in heated/air-conditioned comfort. And most of our courses can be taken on the road and customized for our client's convenience. We also provide information and compliance assistance to many people. Hardly a day passes without calls from clients and referrals for information, almost all of which is provided promptly and at no charge."</t>
  </si>
  <si>
    <t>http://www.EnvtlMgmt.org</t>
  </si>
  <si>
    <t>mailto:info@EnvtlMgmt.org</t>
  </si>
  <si>
    <t>Enzyme Solutions, Inc</t>
  </si>
  <si>
    <t>="Enzyme Solutions is a Garrett, Indiana based biotech firm that ferments and blends the enzymes for its skin soaps, degreasers, floor and surface cleaners, as well as lubes for various global industries and markets. ESI services a diverse healthcare, industrial, institutional, food service and veterinary client base."</t>
  </si>
  <si>
    <t>http://www.enzymesolutions.com</t>
  </si>
  <si>
    <t>mailto:info@enzymesolutions.com</t>
  </si>
  <si>
    <t>Epiphany Behavioral Services, LLC</t>
  </si>
  <si>
    <t>="Provide consultation services to businesses and staff or private individuals that want to increase proper communication skills, understand and implement stress management tactics, understand and implement assertiveness training and anger management and/ or provide alcohol and drug assessment and smoking cessation education."</t>
  </si>
  <si>
    <t>Epperson Painting, Inc.</t>
  </si>
  <si>
    <t>http://eppaint.com</t>
  </si>
  <si>
    <t>Equipment Depot</t>
  </si>
  <si>
    <t>="Equipment depot sells CAT, Mitsubishi, and Jungheinrich Forklifts and warehouse material handling products. We also sell JLG, Skyjack, and Genie Aerial Lift Platforms. Our service and parts departments are able to support all brands of forklifts and aerial lifts."</t>
  </si>
  <si>
    <t>http://www.eqdepot.com/locations/details</t>
  </si>
  <si>
    <t>mailto:tj.brinker@eqdepot.com</t>
  </si>
  <si>
    <t>Equity Guard LLC</t>
  </si>
  <si>
    <t>http://www.caribbeancovehotel.com</t>
  </si>
  <si>
    <t>Eric Dickerson Buick</t>
  </si>
  <si>
    <t>mailto:gchaney1@indy.rr.com</t>
  </si>
  <si>
    <t>Eriks Chevrolet, Inc.</t>
  </si>
  <si>
    <t>http://erikschevrolet.com</t>
  </si>
  <si>
    <t>Ernst &amp; Young LLP</t>
  </si>
  <si>
    <t>http://www.ey.com</t>
  </si>
  <si>
    <t>Erosion Resources &amp; Supply, Inc</t>
  </si>
  <si>
    <t>http://www.erosionresources.us</t>
  </si>
  <si>
    <t>mailto:info@erosionresources.us</t>
  </si>
  <si>
    <t>Ervin Video Services</t>
  </si>
  <si>
    <t>http://www.ervinvideo.com</t>
  </si>
  <si>
    <t>mailto:dave@ervinvideo.com</t>
  </si>
  <si>
    <t>Erwin Energy Inc.</t>
  </si>
  <si>
    <t>="Batteries Plus sells batteries for everything! We have batteries for all your battery needs including: office/retail, construction/transportation, medical, communication such as laptop computers, two-way radios, UPS's, and chargers, generators, and hard to find specialty batteries. We have a tech center to rebuild battery packs."</t>
  </si>
  <si>
    <t>mailto:bp9008@batterisplus.net</t>
  </si>
  <si>
    <t>Escholwood Corp</t>
  </si>
  <si>
    <t>mailto:terrys.transcripts@gmail.com</t>
  </si>
  <si>
    <t>Escobar Construction, Inc.</t>
  </si>
  <si>
    <t>mailto:escobarpd@yahoo.com</t>
  </si>
  <si>
    <t>Escobedo Cont. Inc.</t>
  </si>
  <si>
    <t>mailto:carlos_larranaga@hotmail.com</t>
  </si>
  <si>
    <t>Eshelman Excavating, Inc</t>
  </si>
  <si>
    <t>Esource Resources, L</t>
  </si>
  <si>
    <t>http://www.esourceresources.net</t>
  </si>
  <si>
    <t>mailto:www.erivers@esourceresources.net</t>
  </si>
  <si>
    <t>Esperanza Ministries Inc</t>
  </si>
  <si>
    <t>="Faith Based not for profit social service ministry serving minorities in central indiana. particularly in Johnson and southern marion county. Focus on social services for the immigrants of our area. Also serving the receiving community to help in the process of inclusion. Offering cultural training, English Classes, Parenting Classes, Health Education, Leadership development, Community Health worker case management, Spiritual and emotional counsel, mentoring and motivational speaking on collaboration and how to serve the poor."</t>
  </si>
  <si>
    <t>http://www.esperanzanjesus.org</t>
  </si>
  <si>
    <t>mailto:esperanzaministries@gmail.com</t>
  </si>
  <si>
    <t>Essential Cleaning LLC</t>
  </si>
  <si>
    <t>="We are an experienced and insured cleaning company based out of Michigan City, Indiana. We specialize in new construction and remodeling cleanup, daily or weekly commercial business and residential housekeeping maintenance. Our company offers a variety of cleaning services including Floor stripping and waxing, dusting, vacuuming, window cleaning, drywall dust cleanup, paint removal and appliance cleaning."</t>
  </si>
  <si>
    <t>http://essentialcleaningonline.com</t>
  </si>
  <si>
    <t>mailto:essentialcleaning1@sbcglobal.net</t>
  </si>
  <si>
    <t>Estes Enterprises, LLC</t>
  </si>
  <si>
    <t>="Estes Dumpster Service covers all areas of commercial and industrial waste disposal. We provide dumpster services for all types of businesses including construction sites, restaurants, offices, schools, apartments and retail stores. Sizes range from 2,4,6,8yd Front Load containers and 10,20,30,40yd open top Roll-Off containers. Customer service is very important to us and meeting the needs of our customers on a timely basis is top priority."</t>
  </si>
  <si>
    <t>mailto:sales@estesdumpster.com</t>
  </si>
  <si>
    <t>Eswine, Inc.</t>
  </si>
  <si>
    <t>http://www.marketingcompany.com</t>
  </si>
  <si>
    <t>mailto:tmc@marketingcompany.com</t>
  </si>
  <si>
    <t>Etc, Inc.</t>
  </si>
  <si>
    <t>http://www.etc-inc.net</t>
  </si>
  <si>
    <t>mailto:office@etc-inc.net</t>
  </si>
  <si>
    <t>Eternal cleaning</t>
  </si>
  <si>
    <t>http://eternal-cleaning.com</t>
  </si>
  <si>
    <t>mailto:eternalcleaning@netnitco.net</t>
  </si>
  <si>
    <t>Ethos Services, LLC</t>
  </si>
  <si>
    <t>http://www.linkedin.com/pub/ethos-market</t>
  </si>
  <si>
    <t>mailto:ethosservicesllc@gmail.com</t>
  </si>
  <si>
    <t>EuDaly Investments,</t>
  </si>
  <si>
    <t>Eugene Jackson</t>
  </si>
  <si>
    <t>Evacus Technologies, LLC</t>
  </si>
  <si>
    <t>="Evacus has two divisions: Social Media Support Services and Franchise Coaching. Social Media Support Services provides assistance to Job Seeker, Entrepreneurs, and Hiring Managers, with a focus on LinkedIn. We primary individuals looking for employment, being laid off, changing jobs, entering the job market (graduates/military transition) and support the growth of small businesses. We take complicated processes and simplify them so people understand how to be successful using social media. Our results provide individuals and businesses an inside track into what works and gives them an opportunity to position themselves ahead of the competition. Under Franchise Coaching, Evacus provides expertise and guidance throughout the selection process of finding the right franchise that fits your interest and overall financial objectives. Veterans are eligible for special discounts, including an exclusive veteran funding program."</t>
  </si>
  <si>
    <t>mailto:support@evacustech.com</t>
  </si>
  <si>
    <t>Evans &amp; Swinney Inc.</t>
  </si>
  <si>
    <t>Evans Agency</t>
  </si>
  <si>
    <t>Evans Armament LLC</t>
  </si>
  <si>
    <t>Small Arms Manufacturing</t>
  </si>
  <si>
    <t>Evansville ARC, Inc.</t>
  </si>
  <si>
    <t>="ARC Industries, a division of Evansville ARC, is a leading provider of flexible assembly, packaging, distribution, recycling and warehousing services. ARC Industries, an ISO 9001 certified company, partners with many regional and national companies in assembling, packaging and distributing their products. ARC Industries can provide service for companies in its facility, located in Evansville, IN, or can implement on-site projects at customer locations. Our facility provides customers with “clean area” totaling over 105,000 square feet. At ARC Industries, we combine skilled employees with leading-edge technology to serve your complete assembly, packaging, distribution, recycling and warehousing needs. A combination of skills, abilities, and state-of-the-art equipment gives us the flexibility to exceed our customers’ requirements."</t>
  </si>
  <si>
    <t>http://www.arc-industries.com</t>
  </si>
  <si>
    <t>mailto:dverkamp@evansvillearc.org</t>
  </si>
  <si>
    <t>Evansville Realty</t>
  </si>
  <si>
    <t>http://evannsvillehomesforrent.com</t>
  </si>
  <si>
    <t>mailto:rent@evansvillehomesforrent.com</t>
  </si>
  <si>
    <t>Evansville Winnelson Co.</t>
  </si>
  <si>
    <t>http://WWW.WINNELSON.COM/EVANSVILLE/</t>
  </si>
  <si>
    <t>mailto:EWINNELSON136@HOTMAIL.COM</t>
  </si>
  <si>
    <t>Evens Time, Inc.</t>
  </si>
  <si>
    <t>http://www.evenstime.com</t>
  </si>
  <si>
    <t>mailto:sherry@evenstime.com</t>
  </si>
  <si>
    <t>EventPro Services, Inc.</t>
  </si>
  <si>
    <t>="EventPro is an Indianapolis based mobile marketing and event/conference management firm. We specialize in mobile demonstration units for clients such as Hewlett-Packard and Sony. We also provide conference management, including online registration, site selection, etc. for our clients."</t>
  </si>
  <si>
    <t>http://www.eventpro.com</t>
  </si>
  <si>
    <t>mailto:bizops@eventpro.com</t>
  </si>
  <si>
    <t>Everblue Media, LLC</t>
  </si>
  <si>
    <t>http://www.everblue.tv/</t>
  </si>
  <si>
    <t>mailto:info@everblue.tv</t>
  </si>
  <si>
    <t>Evergreen Investment</t>
  </si>
  <si>
    <t>http://www.evergreeninvest.com</t>
  </si>
  <si>
    <t>mailto:abrowning@evergreeninvest.com</t>
  </si>
  <si>
    <t>Evergreen Rental Company LLC</t>
  </si>
  <si>
    <t>http://www.evergreenrentalco.com</t>
  </si>
  <si>
    <t>mailto:rental@evergreenrentalco.com</t>
  </si>
  <si>
    <t>Everon Incoporated</t>
  </si>
  <si>
    <t>http://www.everoninc.com</t>
  </si>
  <si>
    <t>mailto:silouan@mac.com</t>
  </si>
  <si>
    <t>Everyone Living Independently Inc.</t>
  </si>
  <si>
    <t>="Attendant Care for the Elderly and the Disabled. Over 25 years of combined experience with direct care. A client home based business, that provided care for the Elderly and the Disabled. We provide services that include but not limited to: mobility, meal preparation, light housekeeping, personal hygiene assistance, errands, and rewarding companionship."</t>
  </si>
  <si>
    <t>mailto:cricket116@verizon.net</t>
  </si>
  <si>
    <t>Everything Engraving, LLC</t>
  </si>
  <si>
    <t>http://everythingengraving.net</t>
  </si>
  <si>
    <t>mailto:amyblackwell@everythingengraving.net</t>
  </si>
  <si>
    <t>Coating, Engraving, Heat Treating and Allied Activities</t>
  </si>
  <si>
    <t>Everything Indiana LLC</t>
  </si>
  <si>
    <t>="We provide gifts and gift baskets where all products are made in Indiana. Most of our suppliers are small ""mom &amp; pop"" type shops or local artisans. We can provide everything from boxed candies to elaborate gift baskets. We can also help clients identify Indiana businesses to use as sources for their gift giving needs."</t>
  </si>
  <si>
    <t>http://www.EverythingIndiana.com</t>
  </si>
  <si>
    <t>mailto:sales@EverythingIndiana.com</t>
  </si>
  <si>
    <t>Everything Under The Sun</t>
  </si>
  <si>
    <t>="My business mainly sells promotional/advertising items that will help market your company or office. Basically anything you can put your name on! Pens, hats, t-shirts, clothing, magnets, etc. Also as a procurement professional I can help you find anything you may need in your biusiness"</t>
  </si>
  <si>
    <t>http:everythingunderthesun.logomall.com</t>
  </si>
  <si>
    <t>mailto:jessica3397@embarqmail.com</t>
  </si>
  <si>
    <t>Display Advertising</t>
  </si>
  <si>
    <t>Everything Wireless, Inc.</t>
  </si>
  <si>
    <t>="We are a Nextel Preferred Partner and Authorized Service Center. We have been selling Nextel Communications for over five years and have a proven track record. Nextel Communications offers cellular voice solutions as well as a multitude of data applications spanning from E-mail to GPS solutions. We are truly a one stop shop for Nextel Communications products and services. We are a full service and repair center. We have the ability to take care of your Nextel account in all its facets."</t>
  </si>
  <si>
    <t>mailto:julieallen@mcleodusa.net</t>
  </si>
  <si>
    <t>Evolution Development Group, LLC</t>
  </si>
  <si>
    <t>mailto:ssb@evolutiondevelopmentgroup.com</t>
  </si>
  <si>
    <t>Evolution Industrial Cleaning LLC</t>
  </si>
  <si>
    <t>Evolution Process Service, LLC</t>
  </si>
  <si>
    <t>http://www.evolutionprocessIN.com</t>
  </si>
  <si>
    <t>mailto:info@evolutionprocessIN.com</t>
  </si>
  <si>
    <t>Evonne Long</t>
  </si>
  <si>
    <t>http://www.hotmail.com</t>
  </si>
  <si>
    <t>mailto:jasperinacotton@hotmail.com</t>
  </si>
  <si>
    <t>Evotem, LLC dba AOTMP</t>
  </si>
  <si>
    <t>="AOTMP is an information services company focused on establishing and maintaining high-performance, best-in-class fixed and mobile telecom environments. Partnering with enterprises and public sector organizations and their telecom vendors, the AOTMP Efficiency First® Program uses information and analytics to drive efficiency, performance and productivity while significantly reducing costs."</t>
  </si>
  <si>
    <t>mailto:cindig@aotmp.com</t>
  </si>
  <si>
    <t>Eway Foundation</t>
  </si>
  <si>
    <t>="Eway Entertainment &amp; Foundation is a hybrid organization, promoting a universal culture of peace through the arts, humanities, and social services. Our programs aim to create economic opportunities for Indiana residents, while generating savings to the City of Indianapolis and its citizens through nuance contracting initiatives."</t>
  </si>
  <si>
    <t>http://www.ewayentertinment.com, www.ewa</t>
  </si>
  <si>
    <t>mailto:info@ewayfoundation.com</t>
  </si>
  <si>
    <t>Ewing Tire Co</t>
  </si>
  <si>
    <t>mailto:ewingtire@aol.com</t>
  </si>
  <si>
    <t>Exact-Tech Machining Inc</t>
  </si>
  <si>
    <t>="Exact-Tech Machining Inc. is a woman owned and operated CNC machine shop. We started business in 1984. We are rapidly growing adding new customers weekly. Exact-Tech Specializes in Proto-type to high production runs with turnings, milling, vibratory finishing, stampings and plasma cutting. We also have full welding capabilities, including a welding robot."</t>
  </si>
  <si>
    <t>http://www.exact-tech.com</t>
  </si>
  <si>
    <t>mailto:gkramer@exact-tech.com</t>
  </si>
  <si>
    <t>Exatone inc</t>
  </si>
  <si>
    <t>mailto:exatone2@gmail.com</t>
  </si>
  <si>
    <t>Exceedion, LLC</t>
  </si>
  <si>
    <t>="Exceedion is an Indianapolis Web design and Website development based firm specializing in solutions to improve business performance, productivity and profitability through innovative web-based technology. Exceedion provides high-end Web design services, proven Web-based applications development, interactive Flash development as well as other Internet related services."</t>
  </si>
  <si>
    <t>http://www.exceedion.com</t>
  </si>
  <si>
    <t>mailto:info@exceedion.com</t>
  </si>
  <si>
    <t>Excel Co-op</t>
  </si>
  <si>
    <t>http://www.excelcoop.com</t>
  </si>
  <si>
    <t>Excel Decorators</t>
  </si>
  <si>
    <t>http://www.exceldecorators.com</t>
  </si>
  <si>
    <t>mailto:dperry@exceldecorators.com</t>
  </si>
  <si>
    <t>Excel Equipment</t>
  </si>
  <si>
    <t>="Petroleum equipment distributor for retail and commercial fueling sites we stock large inventories of underground and aboveground fuel storage tanks, pumps, piping, valves, fittings, submersible pumps, lighting, canopies, card lock systems for commercial fueling facilities, automatic tank gauge systems, compliance systems, lubrication systems and grease pumps, air compressors, tire changers, and wheel balancers, aboveground vehicle lifts and hoists, Point of Sale credit card systems, lighting, and fuel dispensing pumps and meters. We design, supply, install, and service fuel and lube systems."</t>
  </si>
  <si>
    <t>http://www.excel-equipment.com</t>
  </si>
  <si>
    <t>mailto:sales@excel-equipment.com</t>
  </si>
  <si>
    <t>Excel Home Care LLC</t>
  </si>
  <si>
    <t>http://www.excelhomecare@sbcglobal.net</t>
  </si>
  <si>
    <t>mailto:excelhomecare@sbcglobal.net</t>
  </si>
  <si>
    <t>Excel Moving &amp; Hauling Inc.</t>
  </si>
  <si>
    <t>="The EMH Logistics Inc. team has been servicing the transportation industry for nearly a decade. Our mission is to provide quality service to our customers, prospects, and suppliers with every transaction. We have the resources available to solve the most complex logistical challenges. We are committed to helping you meet your business objectives and grow your company. With EMH Logistics Inc. you have the best of both worlds. We operate with the entrepreneurial spirit that has made this country great, while developing successful relationships with world class transportation providers. EMH Logistics Inc. is proficient at providing a full range of ground, air, ocean, LTL freight, and warehouse logistics services. Feel confident that you are receiving exceptional services by choosing EMH Logistics Inc."</t>
  </si>
  <si>
    <t>http://EMHIncorporated.com</t>
  </si>
  <si>
    <t>mailto:excelmoving@sbcglobal.net</t>
  </si>
  <si>
    <t>Excel Tool Inc.</t>
  </si>
  <si>
    <t>="Excel Tool builds stamping dies, plastic injection molds and special machines for a wide variety of industries. Repairs, engineering changes and reverse engineering are other services offered. Customer/Industries are automotive, truck, material handling, drainage and home products. ISO 9001:2000 certified."</t>
  </si>
  <si>
    <t>http://exceleti.com</t>
  </si>
  <si>
    <t>mailto:jay@exceleti.com</t>
  </si>
  <si>
    <t>Excell Services, LLC</t>
  </si>
  <si>
    <t>mailto:excellservices@earthlink.net</t>
  </si>
  <si>
    <t>Excellent QualityServices</t>
  </si>
  <si>
    <t>mailto:evanserica30@gmail.com</t>
  </si>
  <si>
    <t>Exclusive Body Works, Inc.</t>
  </si>
  <si>
    <t>mailto:bodyman1@sigecom.net</t>
  </si>
  <si>
    <t>Exco Inc.</t>
  </si>
  <si>
    <t>mailto:excocdl@mindspring.com</t>
  </si>
  <si>
    <t>Execuclean Indiana LLC</t>
  </si>
  <si>
    <t>="Execuclean Indiana is a full-service commercial cleaning company. We provide janitorial/cleaning service to churches, schools, industrial, medical, dental and general office buildings. In addition, we provide service to banking and retail businesses. We will also take care of carpet and upholstery cleaning, tile stripping/waxing/scrubbing/buffing, and window cleaning. We pride ourselves on providing excellent, personal customer service and look forward to earning your business."</t>
  </si>
  <si>
    <t>http://www.execucleanindiana.com</t>
  </si>
  <si>
    <t>mailto:amber@execucleanindiana.com</t>
  </si>
  <si>
    <t>Executive Adv. Spec.</t>
  </si>
  <si>
    <t>="Executive Advertising Specialties is an advertising specialties company that provides promotional products that enable a business to target, capture and maintain current and perspective business opportunities through name and logo recognition. Executive Advertising Specialties will help convey your personal business message by providing everything from personalized writing instruments to customized executive leather and crystal gifts. We imprint and embroider any item you can imagine. There is virtually no item Executive Advertising Specialties cannot procure to promote your business. Let us increase your consumer awareness and drive new business. We are in business to help you build your business. Catalogs can be provided upon request. Over 800,000 items are available."</t>
  </si>
  <si>
    <t>http://WWW.EXECUTIVEADSP.COM</t>
  </si>
  <si>
    <t>mailto:CROBERTSON@NETSCAPE.COM</t>
  </si>
  <si>
    <t>Executive Elevator Company</t>
  </si>
  <si>
    <t>="Executive Elevator is a full service elevator Company. MBE Certified. Services offered include installation of all types of passenger and freight elevator systems including holeless and MRL packages. Elevator maintenance and repair are offered on a 24 Hour basis. Elevator modernizations (upgrades) are offered on all makes of existing elevator systems. Executive Elevator also specializes in Accessibility products, both commercial and residential. We serve the Indiana, Kentucky and Tennessee Market."</t>
  </si>
  <si>
    <t>http://www.exelevator.com</t>
  </si>
  <si>
    <t>mailto:terui@exelevator.com</t>
  </si>
  <si>
    <t>Executive Image Building Services</t>
  </si>
  <si>
    <t>="Provider of Janitorial and Landscaping Services thru-out the State of Indiana. Established 11 years ago as a small landscaping service, today provides full service janitorial, landcaping, and grounds keeping services. Experienced, references, fully insured, and bonded. Franchise Owners Do Business As Executive Image Building Services, Inc."</t>
  </si>
  <si>
    <t>http://www.executiveimageco.com</t>
  </si>
  <si>
    <t>mailto:info@executiveimageco.com</t>
  </si>
  <si>
    <t>Executive LLC</t>
  </si>
  <si>
    <t>http://www.21exec.com</t>
  </si>
  <si>
    <t>mailto:bill@bmccabe.com</t>
  </si>
  <si>
    <t>Executive Management Services, Inc.</t>
  </si>
  <si>
    <t>="Executive Management Services, Inc. is a privately owned and operated commercial cleaning corporation based in Indianapolis, Indiana. Dedicated to serving the Indiana, Ohio, Kentucky, Illinois, Georgia, North Carolina, South Carolina, Florida, Pennsylvania, Missouri, Michigan and Texas, New Mexico markets, EMS prides itself on it’s capability to service customers on local, regional and national levels. EMS would also like to welcome Executive Management Services Southwest, Inc. to the EMS Group. With this recent acquisition, EMS will now be serving the Arizona and Kansas markets. In addition to commercial cleaning, EMS offers a variety of other services to complement daily cleaning. These services include carpet cleaning, day staff services, marble and granite restoration, and light maintenance."</t>
  </si>
  <si>
    <t>Executive Media</t>
  </si>
  <si>
    <t>="Executive Media is an Indiana-owned, full-service public relations agency in Indianapolis. We focus on public affairs, working within the State of Indiana to raise public awareness and support for issues, ideas and organizations. Our services include writing, editing, media relations, event management, counseling, media training, issue management, grassroots and audio/video production."</t>
  </si>
  <si>
    <t>http://www.executivemedia.com</t>
  </si>
  <si>
    <t>mailto:david@executivemedia.com</t>
  </si>
  <si>
    <t>Executive Networks LLC</t>
  </si>
  <si>
    <t>http://www.executivenetworksllc.com</t>
  </si>
  <si>
    <t>mailto:enetllc@gmail.com</t>
  </si>
  <si>
    <t>Executive Property Investments</t>
  </si>
  <si>
    <t>="A property managing company. We plan on purchasing foreclosed, vacated, or disstressed properties and renovating them and investing in each property. We will be renting to lower income and lower credit score individuals. We will have a program to help renters become homeowners in a 24 month time period."</t>
  </si>
  <si>
    <t>http://executiveinvestments.webs.com/ind</t>
  </si>
  <si>
    <t>mailto:Quantrell.EPI@gmail.com</t>
  </si>
  <si>
    <t>Executive VPZ LLC</t>
  </si>
  <si>
    <t>http://www.c21valpo.com</t>
  </si>
  <si>
    <t>mailto:dawncollins@century21.com</t>
  </si>
  <si>
    <t>Exit 51 Trailer Sales Inc.</t>
  </si>
  <si>
    <t>="Exit 51 Trailer Sales Inc. is a trailer dealership with an inventory of the following: utility trailers, dump trailers, equipment haulers, flatbeds, car haulers, pan trailers, tilt trailers and enclosed/cargo trailers. We strive to satisfy all of our customers with only selling quality trailers and providing excellent customer service."</t>
  </si>
  <si>
    <t>http://www.exit51trailers.com</t>
  </si>
  <si>
    <t>mailto:jclearwaters@exit51trailers.com</t>
  </si>
  <si>
    <t>Exotic Designs</t>
  </si>
  <si>
    <t>mailto:bennie10@peoplepc.com</t>
  </si>
  <si>
    <t>Floriculture Production</t>
  </si>
  <si>
    <t>Expedio Technologies Inc.</t>
  </si>
  <si>
    <t>="Expedio Technologies is an IT consulting firm serving Northwest Indiana. With over 20 years of experience in the Information Technology field Expedio Technologies is ready to assist with all of your company's technology needs. In a society driven by constant changing technology, keeping up and knowing what your actual technology needs are can be difficult. Small to mid-sized businesses may not have the capacity, IT staff, time or leadership to devote to these issues, causing them to miss out on opportunities. Expedio Technologies can help!"</t>
  </si>
  <si>
    <t>http://expediotechnologies.com</t>
  </si>
  <si>
    <t>mailto:info@expediotech.com</t>
  </si>
  <si>
    <t>Experience Marketing</t>
  </si>
  <si>
    <t>mailto:lynnd@experience-marketing-group.com</t>
  </si>
  <si>
    <t>Experienced Office Solutions</t>
  </si>
  <si>
    <t>="Experienced Office Solutions (EOS) is a computer support, networking and custom software development company established in Fort Wayne, Indiana. Our goal is to provide our clients with technology solutions and services of unsurpassable quality, while maintaining a challenging and exciting environment for our employees. Since it’s inception, EOS has provided professional consulting, mentoring and support services to a variety of companies ranging from small local businesses to high-tech startups and international corporations. Our project experience includes client / server software development, data modeling on platforms ranging from MS Access™ to clustered SQL™ systems and support, as well as web-based e-commerce applications. EOS strives to increase our clients’ productivity. It is our goal to partner with each of our clients in order to provide solutions that make solid business sense and enhance client’s performance, focus and bottom-line, while minimizing their risk expos"</t>
  </si>
  <si>
    <t>http://www.4eos.com</t>
  </si>
  <si>
    <t>mailto:sales@4eos.com</t>
  </si>
  <si>
    <t>Experienced Office Solutions, LLC</t>
  </si>
  <si>
    <t>="Experienced Office Solutions (EOS) is an IT Technology Consulting Firm. Design, Supply, Install and Maintain Computer Network Systems. Provide Service on all brands off computer equipment. One of the Largest Dell Resellers in Indiana. Server Hosting and Co-Location Services."</t>
  </si>
  <si>
    <t>Expo Designers Co., Inc.</t>
  </si>
  <si>
    <t>http://www.expodesign.net</t>
  </si>
  <si>
    <t>Express Employment Professionals</t>
  </si>
  <si>
    <t>="Staffing -- Traditional temporary/contract staffing – Helps companys remain productive when core staff members are out on vacation or sick leave, or for special projects. Evaluation hire – Provides the critical opportunity to review a prospective candidate’s work habits, skill level, etc. for a predetermined period of time prior to adding that person to your core staff. After the trial period, you have the opportunity to hire the associate full-time if you believe he or she matches your needs. Direct hire/search – Involves outsourcing the hassle of the recruiting and screening process of full-time employees. Additionally, it provides you access to the extensive Express database of candidates. Onsite services – Allows for the onsite administration of your company’s entire flexible workforce or assumption of any level of onsite management responsibility your workforce demands. In addition Express offers several HR Services, designed to meet a company's needs."</t>
  </si>
  <si>
    <t>http://nwindiana.expresspros.com/</t>
  </si>
  <si>
    <t>mailto:jobs.valparaisoin@expresspros.com</t>
  </si>
  <si>
    <t>Express Fire Protection, Inc.</t>
  </si>
  <si>
    <t>http://www.expressfireprotect.com</t>
  </si>
  <si>
    <t>mailto:rwalter@expressfireprotect.com</t>
  </si>
  <si>
    <t>Express Trucking Company LLC</t>
  </si>
  <si>
    <t>mailto:express.trucking@yahoo.com</t>
  </si>
  <si>
    <t>Exquisite Fashion's Inc.</t>
  </si>
  <si>
    <t>mailto:exquisitefashions@gmail.com</t>
  </si>
  <si>
    <t>Exterior Pro Inc</t>
  </si>
  <si>
    <t>http://Exterior Pro inc</t>
  </si>
  <si>
    <t>mailto:info@exteriorproinc.com</t>
  </si>
  <si>
    <t>Exterior Solutions Plus, INC</t>
  </si>
  <si>
    <t>http://esp46158.com</t>
  </si>
  <si>
    <t>mailto:esp.46158@yahoo.com</t>
  </si>
  <si>
    <t>Extinguisher Co. No. 1</t>
  </si>
  <si>
    <t>http://www.priority1safety.com</t>
  </si>
  <si>
    <t>mailto:Sandy@priority1safety.com</t>
  </si>
  <si>
    <t>Extra Mile Enterpris</t>
  </si>
  <si>
    <t>="This site contains: discounted promotional products, discounted advertising specialties, printed promotional products, printed advertising specialties, imprinted promotional products, imprinted advertising specialties, promotional products on sale, and advertising specialties on sale. Examples: coffee mugs, neck lanyards, ID badges, disposable plates, nakins, glasses, cups, vinyl binders, shopping bags (paper or plastic), paper cubes, coasters, pens, pencils, rain ponchos, balloons, candies, sports balls, pom poms, foam balls, plastic balls, shirts, jackets, sweats, T-shirts, key tags, yard signs, static and permanent decals. You name it and we print on it."</t>
  </si>
  <si>
    <t>http://www.extra-mile.com</t>
  </si>
  <si>
    <t>mailto:sales@extra-mile.com</t>
  </si>
  <si>
    <t>Extraordinary Feet, LLC</t>
  </si>
  <si>
    <t>="Extraordinary Feet, LLC., is a new web-based business serving the explosive large shoe industry for women. Located in Indianapolis, Indiana, the crossroads of the Midwest, we have ready access to a wealth of experienced, web-savvy designers, essential media contacts, and a host of vendors. Our shoes appeal to women with large feet because we not only provide a stylish shoe in their size, we also eliminate the hassle of driving to various stores only to be disappointed because they do not carry larger shoe sizes. By offering a quality product, personal service, prompt delivery, excellent communication, and various payment options, we meet the primary needs of this untapped target market."</t>
  </si>
  <si>
    <t>http://www.extraordinaryfeet.com</t>
  </si>
  <si>
    <t>mailto:kdeshay@yahoo.com</t>
  </si>
  <si>
    <t>Extreme Concrete Cutting inc</t>
  </si>
  <si>
    <t>mailto:merrill.kent@gmail.com</t>
  </si>
  <si>
    <t>Extreme Organizer, LLC</t>
  </si>
  <si>
    <t>="Extreme Organizer, LLC provides residential and business organizing services. Residential services include organization of areas such as garage, attic, closet, small office, and systems for living skills. Specialization in hoarding situations that require intervention and long term maintenance. Business services include filing systems, electronic organization, key note speaking, and Lunch &amp; Learn activities."</t>
  </si>
  <si>
    <t>http://www.extremeorganizerllc.com</t>
  </si>
  <si>
    <t>mailto:cbell@extremeorganizerllc.com</t>
  </si>
  <si>
    <t>Extreme Technologies LLC</t>
  </si>
  <si>
    <t>mailto:jat82051@sbcglobal.net</t>
  </si>
  <si>
    <t>Exturnia, Inc</t>
  </si>
  <si>
    <t>="Exturnia is a provider of custom IT solutions to include server and client based software and services. Exturnia can also offer blended IT outsourcing. Exturnia aims to be an external partner in the delivery and implementation of Information Technology solutions designed to help businesses extend their reach and drive business."</t>
  </si>
  <si>
    <t>http://www.exturnia.com</t>
  </si>
  <si>
    <t>mailto:administrator@exturnia.com</t>
  </si>
  <si>
    <t>Eye Contact Design and Multimedia</t>
  </si>
  <si>
    <t>http://www.eyecontactonline.com</t>
  </si>
  <si>
    <t>mailto:info@eyecontactonline.com</t>
  </si>
  <si>
    <t>Eyes on You, AP</t>
  </si>
  <si>
    <t>Eylander Financial Services, Inc</t>
  </si>
  <si>
    <t>="My expertise is in Financial Planning and Financial Advising. I am a Certified Financial Planner and Registered Investment Advisor. I provide unique solutions to protect, preserve, build and enhanse wealth. I manage clients moneys on a fee basis. If you need advise for your Pension Plan, 401K Plan or for your personal wealth, please call me. You will be glad you did!"</t>
  </si>
  <si>
    <t>http://www.eylanderfinancial.com</t>
  </si>
  <si>
    <t>mailto:reylander@eylanderfinancial.com</t>
  </si>
  <si>
    <t>F&amp;A Electrical</t>
  </si>
  <si>
    <t>F. E. Harding Asphalt Company</t>
  </si>
  <si>
    <t>="F.E. Harding Asphalt Company is a manufacturer of hot asphaltic concrete materials. We have been a full service paving contractor for fifty years. Additionaly we have an asphalt maintenance division that does resurfacing, cracksealing, sealcoating, striping, and drain installation and repair. We also can do milling, excavating, sawcutting, and speed bumps. We have an excellent reputation for quality work."</t>
  </si>
  <si>
    <t>http://www.hardingasphalt.com</t>
  </si>
  <si>
    <t>mailto:kries@hardingasphalt.com</t>
  </si>
  <si>
    <t>F. Robert Figgins</t>
  </si>
  <si>
    <t>="Progressive Learning provides associate development resources in the areas of Behaviors, Values, Talents and 360 feedback processes. These resources are used in applications such as performance management, leadership development, career planning,team development, diversity, and all apects of associate development."</t>
  </si>
  <si>
    <t>http://www.progressivelearningresources.</t>
  </si>
  <si>
    <t>mailto:progressivelearning@msn.com</t>
  </si>
  <si>
    <t>F.A.Y. Manufacturing and Engineering</t>
  </si>
  <si>
    <t>="We are an electronics cable assembly (wire harness) manufacturer. We are capable of building any build to print cable assembly. We are especially experienced in the following types of assemblies; tester interface cables, a wide range of industrial cable applications, data cables, camera data cable, RF Cables. We are also experienced in a wide variety of audio cable applications and room sound proofing."</t>
  </si>
  <si>
    <t>http://www.faysolutions.com</t>
  </si>
  <si>
    <t>mailto:shellyg@faysolutions.com</t>
  </si>
  <si>
    <t>F.J. Rettig and Sons INC.</t>
  </si>
  <si>
    <t>="F. J. Rettig &amp; Sons, Inc., was founded in 1888 by Frank J. Retting in Wabash, Indiana. What first started as a small hardware store and auto repair shop, is now a full service industrial hardware and mill supply company. Our company has been in business over 115 years because of excellent customer service, quality products, and fair pricing. Rettig's is your one stop shop for all of your supply needs. We have everything from tools, nuts and bolts, belts, pipes and fittings, valves and hydraulics... just to name a few products. Visit our products page to see a full list of the products we carry. Or visit our online store to purchase the part or supply you need. One way we ensure quality is by only carrying products from trusted and quality manufactures. We carry Parker Brass Fittings, Morse Cutting Tools, Carborundum Abrasives, Osborn International, and many other quality brands. Visit our manufactures page to see a full list of brands we sell. Visit our online store to buy these "</t>
  </si>
  <si>
    <t>http://www.rettigs.com</t>
  </si>
  <si>
    <t>mailto:info@rettigs.com</t>
  </si>
  <si>
    <t>F.M. K9</t>
  </si>
  <si>
    <t>http://www.fmk9.com</t>
  </si>
  <si>
    <t>mailto:fmk9training@gmail.com</t>
  </si>
  <si>
    <t>F/S Mechanical Inc</t>
  </si>
  <si>
    <t>="We're a heating &amp; air conditioning service/installation company. Our services extend into residential and commercial applications. We specialize in the home investment market and are predominantly positioned in the replacement market. We also do an extensive amount of work in the commercial buildings field. Rooftop/package units, warehouses, office place and retail spaces are our general spectrum of operation. We have a residential division that maintain our already large clientele. Repair, new installation and service contracts are the general capacity in which we deal."</t>
  </si>
  <si>
    <t>http://fsmechanical.com</t>
  </si>
  <si>
    <t>mailto:fsmech1@verizon.net</t>
  </si>
  <si>
    <t>F5 enterprises, LLC</t>
  </si>
  <si>
    <t>http://www.f5enterprises.com</t>
  </si>
  <si>
    <t>mailto:mhampton@f5enterprises.com</t>
  </si>
  <si>
    <t>FABRICATED STEEL CORP</t>
  </si>
  <si>
    <t>mailto:FABSTEEL@SBCGLOBAL.NET</t>
  </si>
  <si>
    <t>All Other General Purpose Machinery Manufacturing</t>
  </si>
  <si>
    <t>FACILITY MANAGEMENT &amp; ENGINEER</t>
  </si>
  <si>
    <t>mailto:wlwashington@facilitymgt.com</t>
  </si>
  <si>
    <t>FAMILY SERVICE ASSOCIATION OF THE WABASH</t>
  </si>
  <si>
    <t>="We are a not-for-profit {501(c)3} private counseling agency founded in 1882. During 2007, we are celebrating our 125th anniversary. Our mission is to improve the quality of life in the Wabash Valley by providing affordable counseling and community services."</t>
  </si>
  <si>
    <t>http://fsacounseling.org</t>
  </si>
  <si>
    <t>mailto:fsacounseling@gmail.com</t>
  </si>
  <si>
    <t>FAST STATS</t>
  </si>
  <si>
    <t>http://WWW.FASTSTATS.BIZ</t>
  </si>
  <si>
    <t>mailto:INFO@FASTSTATS.BIZ</t>
  </si>
  <si>
    <t>FAZETRON-STTV CO. IN</t>
  </si>
  <si>
    <t>http://WWW.STAGELIGHTING.COM</t>
  </si>
  <si>
    <t>mailto:SERVICE@STAGELIGHTING.COM</t>
  </si>
  <si>
    <t>FCS Group, Inc.</t>
  </si>
  <si>
    <t>="FCS Group is a suppiler of automated file storage and retrieval systems, including high densisty moveable shelving and automated power file systems. FCS Group employs a service staff located in Indianapolis that can service and relocate all shelving and power file systems by all manufacturers"</t>
  </si>
  <si>
    <t>http://www.fcsgroup.net</t>
  </si>
  <si>
    <t>mailto:info@fcsgroup.net</t>
  </si>
  <si>
    <t>FELDERMAN MANAGEMENT CORP.</t>
  </si>
  <si>
    <t>http://www.felderman.com</t>
  </si>
  <si>
    <t>FELTS LOCK CO., INC</t>
  </si>
  <si>
    <t>http://www.feltslock.com</t>
  </si>
  <si>
    <t>mailto:sales@feltslock.com</t>
  </si>
  <si>
    <t>FERGUSON ADVERTISING INC</t>
  </si>
  <si>
    <t>="Advertising is simple. At least we think it should be. We’re Ferguson Advertising and we believe in discovering the truth of your agency or program and conveying that truth, our fellow Hoosiers, in the most human, interesting and engaging manner possible. That’s it. As a full-service marketing communications firm we can accomplish this any number of ways, but at the end of the day it’s all about your agency, your message and making sure that message is delivered with sniper precision and crystal clarity. Some of the services we offer are: brand development, broadcast and print advertising, design identity, displays, digital communications, website, apps, online ads, SEO, SEM, video production, integrated campaigns, collateral communications, planning and strategy, media services, public relations, and social media."</t>
  </si>
  <si>
    <t>http://www.fai2.com</t>
  </si>
  <si>
    <t>mailto:info@fai2.com</t>
  </si>
  <si>
    <t>FERN LLC</t>
  </si>
  <si>
    <t>http://www.fernhr.com</t>
  </si>
  <si>
    <t>mailto:d.schroeder@fernhr.com</t>
  </si>
  <si>
    <t>FIGMENT GROUP, INC.</t>
  </si>
  <si>
    <t>="Our team of Workplace Solutions Consultants provide workplace safety consulting and training to organizations that must adhere to OSHA and Department of Transportation (DOT) Regulations. Our focus is people, processes &amp; technology for improved safety performance. Our clients include transportation, railroads, pipelines, utilities, government, police, fire, construction, manufacturers, school systems, transit, retail, trade unions, and healthcare. Our staff is experienced in OSHA (Dept. of Labor authorized trainers) security management, safety &amp; health, hazmat, Drug-Free Workplace Programs, DOT compliance, disaster preparedness, human resources and organizational development. Additionally, we have broad experience/expertise in strategic planning, project management, human resources, marketing plan development, technical writing, design graphics and administrative office services."</t>
  </si>
  <si>
    <t>http://www.figmentgroupinc.com</t>
  </si>
  <si>
    <t>mailto:mwellnitz@figmentgroupinc.com</t>
  </si>
  <si>
    <t>FILTRATION TECHNOLOGIES, INC.</t>
  </si>
  <si>
    <t>mailto:ERIC.KNOWLTON@SBCGLOBAL.NET</t>
  </si>
  <si>
    <t>FLANAGIN'S BULK MAIL SERVICE</t>
  </si>
  <si>
    <t>="We are a mail house that will mail your direct mail pieces at the best possible automation postage rates that the post office will allow for your particular mail piece and list. These deep postage discounts are passed on to you. You can use this savings toward a portion or all of our labor costs. It is a true win-win situation. We are WBE certified."</t>
  </si>
  <si>
    <t>mailto:DFLANA22@NETNITCO.NET</t>
  </si>
  <si>
    <t>FLASHER BARRICADE &amp; LITE CO</t>
  </si>
  <si>
    <t>="We provide rental and sales of road construction safety equipment (barricades, barrels, cones, lights, flashing arrow boards, etc.) throughout Indiana. We also provide rental of portable chemical restrooms. Our headquarters are in Indianapolis with branch offices in Fort Wayne and Jeffersonville."</t>
  </si>
  <si>
    <t>http://www.flasher-barricade.com</t>
  </si>
  <si>
    <t>mailto:info@flasher-barricade.com</t>
  </si>
  <si>
    <t>FLOATING DOCKS MFG CO</t>
  </si>
  <si>
    <t>FMCI, Inc.</t>
  </si>
  <si>
    <t>mailto:FMCI@juno.com</t>
  </si>
  <si>
    <t>FNO PROFESSIONAL SERVICES, INC.</t>
  </si>
  <si>
    <t>FORD SAWMILLS INC</t>
  </si>
  <si>
    <t>FORREST INTEGRITY CONSULTING, LLC</t>
  </si>
  <si>
    <t>="Consulting services focused on needs of Indiana Medicaid providers - supporting internal due diligence and business improvement. Available to perform compliance audits, implementation of resolutions, staff development, speaking engagements, &amp; other services designed to meet provider's needs. Focused on assisting providers &amp; organizations to evaluate and improve their level of compliance with State &amp; National Medicaid guidelines. Working with businesses to avoid potentially costly overpayments &amp; other negative outcomes resulting from audits while improving overall documentation and compliance practices."</t>
  </si>
  <si>
    <t>mailto:forrestintegrity@yahoo.com</t>
  </si>
  <si>
    <t>FOUR RIVERS RESOURCE SERVICES INC</t>
  </si>
  <si>
    <t>="SCARC Industries has several industrial sewing machines of varying types; which include sergers. box-x, programmable, straight stitch-single and double needle, bar tackers, and waistbanders. We also have a 28' table with a fabric spreader, two 9"" Eastman Knives for cutting material. We are experienced in producing large quantities of clothing items, as well as flags, web straps, identification panels for tanks, and web doors utilized by the postal service."</t>
  </si>
  <si>
    <t>http://www.frrs.org</t>
  </si>
  <si>
    <t>mailto:mberkshire@frrs.org</t>
  </si>
  <si>
    <t>FOURMAN ENTERPRISES</t>
  </si>
  <si>
    <t>All Other Miscellaneous Fabricated Metal Product Manufacturing</t>
  </si>
  <si>
    <t>FP Enterprises Limited</t>
  </si>
  <si>
    <t>="Consulting: Records Management, Information Management, Information Governance, Information Protection, E-Discovery, Privacy Information Consulting has a simple objective: to improve our client's ability to find, to use, to manage and to protect its business information. Because information is both an asset and a risk to organizations, our consultants develop policies, procedures, processes, training and utilize best practices and technology to construct usable Information Governance Programs."</t>
  </si>
  <si>
    <t>http://www.InformationConsulting.biz</t>
  </si>
  <si>
    <t>mailto:lbtayman@informationconsulting.biz</t>
  </si>
  <si>
    <t>FPBH, Inc.</t>
  </si>
  <si>
    <t>="FPBH, Inc. is a 37 year Indiana business, specializing in Civil Engineering, and Surveying, but also offering Planning, Inspection, and Environmental services. Located in North Vernon, Indiana, serving Southeastern, Indiana, we only work in Indiana, and all employees live in Indiana."</t>
  </si>
  <si>
    <t>http://fpbhonline.com</t>
  </si>
  <si>
    <t>FRANZEN &amp; ROBERTS REPORTING, INC.</t>
  </si>
  <si>
    <t>="Franzen &amp; Roberts Reporting, Inc., Registered Professional Reporters, is a full-service court reporting firm located in the heart of the wholesale district of downtown Indianapolis, only steps away from the city's most luxurious hotels. At Franzen &amp; Roberts Reporting, Inc. we provide each and every client with the utmost in quality transcripts and the best, most up-to-date services possible. All of our reporters meet our high standard of performance, integrity and professionalism that we have been providing Indiana for over 20 years. Experience the difference with FRANZEN &amp; ROBERTS REPORTING, INC. Call us today to handle all of your court reporting, litigation support and video needs. Services: Arbitrations, Hearings, Trials, Sworn Statements, 24-hour online Repository, Multi-party litigation, Technical / Medical, Video, Expedited delivery, statewide travel/service Need a service not listed? Contact Us and we will be happy to accommodate you!"</t>
  </si>
  <si>
    <t>http://www.frreporting.com</t>
  </si>
  <si>
    <t>mailto:fandrreporting@aol.com</t>
  </si>
  <si>
    <t>FREDERICK SHEET METAL INC</t>
  </si>
  <si>
    <t>mailto:fredsm@psci.net</t>
  </si>
  <si>
    <t>FRESH Concepts, Inc</t>
  </si>
  <si>
    <t>="FRESH Concepts, Inc. provides coaching to individuals and teams to promote a healthy corporate culture, raise productivity, and increase customer satisfaction. Clifton's StrengthsFinder Assessment tool is used to gain a better understanding of individual's and team's strengths and create customized training programs to enhance these strengths. FRESH Concepts, Inc. provides training to develop and support a thriving workforce."</t>
  </si>
  <si>
    <t>http://www.freshconceptsonline.com</t>
  </si>
  <si>
    <t>mailto:sarah@freshconceptsonline.com</t>
  </si>
  <si>
    <t>FRICK LUMBER CO INC</t>
  </si>
  <si>
    <t>FRIEDA M KING</t>
  </si>
  <si>
    <t>http://WWW.KINGELECTRONICS.COM</t>
  </si>
  <si>
    <t>mailto:INFO@KINGELECTRONICS.COM</t>
  </si>
  <si>
    <t>FRONTLINE MFG. INC.</t>
  </si>
  <si>
    <t>mailto:mslabaugh@mchsi.com</t>
  </si>
  <si>
    <t>FSG Holdings Inc.</t>
  </si>
  <si>
    <t>http://www.fsg-corp.com</t>
  </si>
  <si>
    <t>mailto:jchristman@fsg-corp.com</t>
  </si>
  <si>
    <t>FST TRUCKING LLC</t>
  </si>
  <si>
    <t>mailto:fst_trucking_llc@YAHOO.COM</t>
  </si>
  <si>
    <t>FUTURE CONSTRUCTION LLC</t>
  </si>
  <si>
    <t>FX DESIGN INC</t>
  </si>
  <si>
    <t>="FX Design specializes in brand development and the translation of a unified identity across all touchpoints including brochures, annual reports, catalogs, newspaper and trade magazine ads, websites, and direct mail pieces. With over 20 years of design and promotional experience, our team is well suited to working with you on any design and marketing needs your company may have."</t>
  </si>
  <si>
    <t>http://www.fx-design.com</t>
  </si>
  <si>
    <t>mailto:TMZ@FX-DESIGN.COM</t>
  </si>
  <si>
    <t>Fabcon LLC</t>
  </si>
  <si>
    <t>http://www.fabcon-usa.com</t>
  </si>
  <si>
    <t>mailto:sales@fabcon-usa.com</t>
  </si>
  <si>
    <t>Fabrion of Central Indiana, Inc.</t>
  </si>
  <si>
    <t>Fabulous Sites, LLC</t>
  </si>
  <si>
    <t>="Fabulous Sites is indeed a unique company. With multiple disciplined backgrounds, each member of fabuloussites.com brings his or her own creative skills and experience to the company, providing some of the most inventive, high-tech customized web solutions on the Internet today. Our Mission statement is To offer a flexible, reliable and a complete online/offline solutions for our customers to add a competitive advantage to their businesses and lead the competition in their industry. Whatever our clients desire in a solution, we use the latest technology to develop an integrated product that successfully represents the image, style, and ambition of all our clients. We believe that clear communication and personal service are paramount in guaranteeing client satisfaction. At Fabulous Sites, we have the creativity, technology, and enthusiasm to make the Web work for you!"</t>
  </si>
  <si>
    <t>http://www.fabuloussites.com</t>
  </si>
  <si>
    <t>mailto:info@fabuloussites.com</t>
  </si>
  <si>
    <t>Facility Control Solutions LLC</t>
  </si>
  <si>
    <t>="Facility Management services for a total solution package to assist in optimizing the asset performance for your facility. ""YOUR Facility Management Solution"" manage your facility equipment, report on the productivity of staff, keep track of your inventory. Facility Control Solutions offers software, implementation, data entry of equipment and assets for management needs, and staff training on a working implemented Facility Management program. Your computer maintenance management solution."</t>
  </si>
  <si>
    <t>mailto:angelam@psci.net</t>
  </si>
  <si>
    <t>Facility Management &amp; Engineering, Inc.</t>
  </si>
  <si>
    <t>Facility Solutions Group</t>
  </si>
  <si>
    <t>="Facility Solutions Group (FSG) a dynamic family of companies, is one of the nation’s largest providers of lighting and electrical products, electrical services, and energy management solutions. From new construction to remodels to on-going operations, FSG identifies your smartest choices in lighting and electrical products impacting your design, installation, maintenance, safety and energy efficiency."</t>
  </si>
  <si>
    <t>http://www.fsgi.com</t>
  </si>
  <si>
    <t>mailto:phillip.jones@fsgi.com</t>
  </si>
  <si>
    <t>Factors, Ltd.</t>
  </si>
  <si>
    <t>mailto:factors@factorsltd.com</t>
  </si>
  <si>
    <t>Fahrenheit Design</t>
  </si>
  <si>
    <t>http://www.fahren-heit.com</t>
  </si>
  <si>
    <t>mailto:info@fahren-heit.com</t>
  </si>
  <si>
    <t>Fairbanks Hospital, Inc</t>
  </si>
  <si>
    <t>="Fairbanks is a nonprofit organization focused on recovery from alcohol and other drug problems, serving as a resource to improve the well-being of individuals, families and communities by offering hope and support through its programs and services. Addiction treatment and recovery is our focus. We understand the disease of addiction and what it takes to recover. Fairbanks is a leading, non-profit addiction treatment facility located in Indianapolis, Indiana. Since 1945, Fairbanks has been focused on treatment, education and research of alcohol and drug abuse and addiction."</t>
  </si>
  <si>
    <t>http://www.fairbankscd.org</t>
  </si>
  <si>
    <t>Psychiatric and Substance Abuse Hospitals</t>
  </si>
  <si>
    <t>Fairfax Interiors</t>
  </si>
  <si>
    <t>mailto:fairfax333m@yahoo.com</t>
  </si>
  <si>
    <t>Fairfield Inn, Bloomington, IN</t>
  </si>
  <si>
    <t>http://www.Marriott.com/BMGFI</t>
  </si>
  <si>
    <t>mailto:bmf@fhginc.com</t>
  </si>
  <si>
    <t>Fairfield Service Company of Indiana, LL</t>
  </si>
  <si>
    <t>="FSCI offers a wide variety of wastewater equipment to accommodate the requirements of both new and existing facilities. FSCI also offers a diverse background in the design and manufacturing of custom built equipment, i.e. bar screens, conveyors, screw compactors, screw press, grit collectors and classifiers."</t>
  </si>
  <si>
    <t>http://www.fairfieldservice.com</t>
  </si>
  <si>
    <t>mailto:aldrichp@fairfieldservice.com</t>
  </si>
  <si>
    <t>Metal Valve Manufacturing</t>
  </si>
  <si>
    <t>Fairmount Door Corporation</t>
  </si>
  <si>
    <t>http://fairmountdoor.com</t>
  </si>
  <si>
    <t>mailto:matth@fairmountdoor.com</t>
  </si>
  <si>
    <t>Fairnet LLC</t>
  </si>
  <si>
    <t>http://www.fairnet.info</t>
  </si>
  <si>
    <t>mailto:info@ffni.com</t>
  </si>
  <si>
    <t>Faith Daniel &amp; Compa</t>
  </si>
  <si>
    <t>mailto:fdcllc@direcway.com</t>
  </si>
  <si>
    <t>Faithful Janitorial</t>
  </si>
  <si>
    <t>Falcon Manufacturing, LLC</t>
  </si>
  <si>
    <t>="Manufacturing and assembling engine components and accessories, including without limitation governors, and other specialty assembly. - Quality control, including materials and product testing, synthesis and inspection, equipment testing and calibration and production standards development. - Project management, including feasibility studies, project screening, location studies, economic evaluation of projects and administration and planning of projects. - Industrial management, including factory management, specification standardization, supply chain analysis and professional procurement services. - Supply chain management, including logistics, transit analysis, transport finance, facilitation and planning. - Production planning, control, scheduling and statistics collection/analysis services - Facilities management, including safety/risk analysis - Sales of products and services"</t>
  </si>
  <si>
    <t>Machinery Manufacturing</t>
  </si>
  <si>
    <t>Fall Creek Health &amp; Safety, Inc.</t>
  </si>
  <si>
    <t>http://www.drugfreeworkplace.com</t>
  </si>
  <si>
    <t>mailto:brian@drugfreeworkplace.com</t>
  </si>
  <si>
    <t>Medical and Diagnostic Laboratories</t>
  </si>
  <si>
    <t>mailto:info@drugfreeworkplace.com</t>
  </si>
  <si>
    <t>Offices of Physicians</t>
  </si>
  <si>
    <t>Families First Indiana, INC</t>
  </si>
  <si>
    <t>="Families First is a nonprofit social service organization providing mental health counseling, addictions counseling, parent education, alternatives to domestic violence, homemaker services, geriatric care management, EAP services, and other social services in the Central Indiana area."</t>
  </si>
  <si>
    <t>http://www.familiesfirstindiana.org</t>
  </si>
  <si>
    <t>mailto:edieo@familiesfirstindiana.org</t>
  </si>
  <si>
    <t>Families Forward, Inc.</t>
  </si>
  <si>
    <t>http://www.familiesforwardinc.com</t>
  </si>
  <si>
    <t>mailto:kristy@familiesforwardinc.com</t>
  </si>
  <si>
    <t>Families Reaching for Rainbows, Inc.</t>
  </si>
  <si>
    <t>="Rainbows, run by and for families, provides support and services to parents/caregivers of children with challenging behaviors, including a monthly support group, respite care, parenting classes, peer mentoring, and Wellness Recovery Action Plan training for youth."</t>
  </si>
  <si>
    <t>http://www.ChoicesTeam.org/Rainbows.html</t>
  </si>
  <si>
    <t>mailto:candler@ChoicesTeam.org</t>
  </si>
  <si>
    <t>Families United, Inc.</t>
  </si>
  <si>
    <t>="Social Service Agency - Serving Fountain, Warren, Benton, White, Montgomery, Boone &amp; Tippecanoe Counties (other counties as needed and requested) We offer services to families and children in need. Office Based Counseling - Home Based Therapy - Home Based Casework - Supervised Visitation - Sex Offender Treatment (Victim &amp; Offender) - Healthy Families Indiana"</t>
  </si>
  <si>
    <t>mailto:familiesunited@familiesunited.us</t>
  </si>
  <si>
    <t>Families by Choice</t>
  </si>
  <si>
    <t>="Families by Choice (FBC) is a non-profit operating under the federal umbrella of Wabash Valley Urban Connection's Federal ID number. I FBCis also registered in the state of Indiana as a corporation. FBC provides transitional housing and mentoring to the homeless. Presently it operates one program called Deborah's House, which serves homeless mothers and children. In 2008 we will open a program for young men, preference given to those exiting foster care, between the ages of 18 and 22."</t>
  </si>
  <si>
    <t>http://www.familiesbychoice.org</t>
  </si>
  <si>
    <t>mailto:familiesbychoice@hotmail.com</t>
  </si>
  <si>
    <t>Other Community Housing Services</t>
  </si>
  <si>
    <t>Family &amp; Children's Center Properties Ma</t>
  </si>
  <si>
    <t>http://www.fccin.org</t>
  </si>
  <si>
    <t>mailto:info@fccin.org</t>
  </si>
  <si>
    <t>Family Centered Serv</t>
  </si>
  <si>
    <t>http://www.familycenteredservices.org</t>
  </si>
  <si>
    <t>mailto:fcs@parlocity.com</t>
  </si>
  <si>
    <t>Family Focus , Inc.</t>
  </si>
  <si>
    <t>="Family Focus Inc. has been successfully providing home-based family preservation services to Northwest Indiana for sixteen (16) years. Our programs have traditionally included home-based crisis intervention and family preservation services (INTACT, KKISS), intensive time limited reunification services (KKISS-REUNIFY), Post-Adopts services to prevent disruption, child maltreatment preventative services (KIDS), and parenting classes (Positive Parenting, TransParenting). All Family Focus programs have been designed to decrease child maltreatment and removal from the home by teaching families (as defined by the family) more adaptive strategies for parenting and coping with day-to-day stressors. In order to reach this goal, our programs focus on environmental challenges (e.g., housing stability and habitability, employment, food and nutrition, financial management, personal hygiene, and transportation); parental abilities (e.g., discipline and supervision); adult functioning (e.g., men"</t>
  </si>
  <si>
    <t>mailto:j.burns@familyfocusinc.net</t>
  </si>
  <si>
    <t>Family Health Center of Harrison County</t>
  </si>
  <si>
    <t>Family Interventions, Inc.</t>
  </si>
  <si>
    <t>mailto:familyinterventions@tds.net</t>
  </si>
  <si>
    <t>Family Matters Institute, Inc.</t>
  </si>
  <si>
    <t>mailto:osaweg@hotmail.com</t>
  </si>
  <si>
    <t>Family Optical Cente</t>
  </si>
  <si>
    <t>Offices of Optometrists</t>
  </si>
  <si>
    <t>Family Service</t>
  </si>
  <si>
    <t>="Family Service is a private, not-for-profit agency established in 1968. Our goal is to enhance the effectiveness of the family and well-being of its individual members. We provide counseling for individuals and families, provide classes in parenting, anger management and a class for children of divorce. Our Healthy Families and Caring Parents programs are programs designed to assist families of newborns newborns, with no cost to the participants."</t>
  </si>
  <si>
    <t>mailto:famserv@iquest.com</t>
  </si>
  <si>
    <t>Family Service Association of Howard Cou</t>
  </si>
  <si>
    <t>="Family Service Association provides the following social services in north central Indiana: Domestic Violence Shelter and comprehensive program, mental health counseling, home cleaning for the elderly and disabled, child abuse prevention and treatment, in-home family re-unification services, and credit counseling. Many services are free to qualifying applicants, and some services have special rates for those who live, work, or attend school in Howard County."</t>
  </si>
  <si>
    <t>mailto:don@fsahc.org</t>
  </si>
  <si>
    <t>Family Service Society, Inc.</t>
  </si>
  <si>
    <t>="Family Service Society, Inc. is a multi-service community-based social service organization in Grant, Wabash and surrounding counties that provides a variety of confidential programs and therapy to help improve family wellness and development. Comprehensive programs are available to help local families in areas of education, personal assistance, safe shelter, divorce and custody issues, family interaction, and personal growth. The agency has been at the forefront of offering comprehensive counseling and rehabilitation services to clients and their families since 1919. The agency's goal has not wavered from that of helping children and families reach their full potential."</t>
  </si>
  <si>
    <t>http://www.famservices.com</t>
  </si>
  <si>
    <t>Family Stepping Stones</t>
  </si>
  <si>
    <t>="Family Stepping Stones offers professional mental health therapy, counseling, education, coaching, and support for adults and families. The following services are reflective of our standard operations: Individual and Couples Counseling Family Counseling Mental Health Counseling (Depression, Anxiety, etc.) Adult Survivors Counseling Family Team Building Programs Step-Family Workshops Step-Family Success Coaching Women’s Issues Counseling Collaborative Divorce Services Parent Coordination Services Divorce Counseling &amp; Coaching Co-Parenting Coaching Divorce Recovery Programs Family Mediation (Non-Legal) Programs &amp; Referrals for Children and Teens Extensive Network of Support Services"</t>
  </si>
  <si>
    <t>http://www.familysteppingstones.com</t>
  </si>
  <si>
    <t>mailto:info@familysteppingstones.com</t>
  </si>
  <si>
    <t>Family Time, Inc.</t>
  </si>
  <si>
    <t>="Family Time has been protecting children and serving families since 1998. We have a combined total of over 100 years experience in providing social services to families. Our mission is to facilitate family visitation in an environment where children are protected physically and emotionally while parents and caregivers are treated with utmost respect."</t>
  </si>
  <si>
    <t>mailto:Angelaray1@yahoo.com</t>
  </si>
  <si>
    <t>Family Wellness Services of ECI</t>
  </si>
  <si>
    <t>mailto:familywellservices@yahoo.com</t>
  </si>
  <si>
    <t>Family Works, Inc.</t>
  </si>
  <si>
    <t>http://www.family-works-inc.com</t>
  </si>
  <si>
    <t>mailto:lgreen@family-works-inc.com</t>
  </si>
  <si>
    <t>Family and Children's Center Inc.</t>
  </si>
  <si>
    <t>mailto:kdennis@fccin.org</t>
  </si>
  <si>
    <t>Family to Family, Inc.</t>
  </si>
  <si>
    <t>http://www.fvindiana.org</t>
  </si>
  <si>
    <t>mailto:info@fvindiana.org</t>
  </si>
  <si>
    <t>Farah &amp; Sons, Inc.</t>
  </si>
  <si>
    <t>="We provide complete selection of casing and screen manufactured from stainless steel, mild steel and PVC, along with other well construction materials. We take a system approach to the operational needs of the driller and to sell well equipment and tools. We also provide leasing of well equipment."</t>
  </si>
  <si>
    <t>mailto:farahsons@msn.com</t>
  </si>
  <si>
    <t>Fargo Insulation</t>
  </si>
  <si>
    <t>http://www.fargoinsulation.com</t>
  </si>
  <si>
    <t>mailto:joanne.powers@fargoinsulation.com</t>
  </si>
  <si>
    <t>Farm Boy Meats</t>
  </si>
  <si>
    <t>http://farmboyfoodservice.com</t>
  </si>
  <si>
    <t>mailto:farmboymark@insightbb.com</t>
  </si>
  <si>
    <t>Meat Product Manufacturing</t>
  </si>
  <si>
    <t>Farm Fertilizers &amp; Seeds Inc</t>
  </si>
  <si>
    <t>http://www.farmfert.com</t>
  </si>
  <si>
    <t>mailto:farmfert@earthlink.net</t>
  </si>
  <si>
    <t>Farm Master Inc.</t>
  </si>
  <si>
    <t>="We at Farm Master specialize in Agricultural Farm Equipment, Hopper Bottom Grain Trailers, Land Levelers,Tornado Storm Shelters for farms and communities. We have added value- Steel Fabrication of all kinds,Chrome Plating,Heat Treat, and offer CNC Machining capabilities. We have 10 years experience and work hard to give a quality product at a reasonable price. Financing is available and delivery... Call for Quotes... WE LOOK FORWARD TO WORKING WITH YOU in the near future"</t>
  </si>
  <si>
    <t>http://farmmastertrailers.com</t>
  </si>
  <si>
    <t>mailto:info@farmmastertrailers.com</t>
  </si>
  <si>
    <t>Farnsworth Engineering Group, Inc.</t>
  </si>
  <si>
    <t>="Farnsworth is a full-service engineering and architecture firm with nearly 300 staff members located nationwide. Our company was founded in the 1890s, after a local land surveyor traveled from community to community providing survey services for municipalities. Farnsworth’s earliest employees operated under the same premise that still exists today: “The client is our first priority.” The firm is an Engineering News Record (ENR) Top 500 Design Firm, offering engineers, architects, surveyors, scientists, technicians and support personnel providing solutions to our clients’ challenging problems. Our services include civil, transportation, petroleum pipeline, environmental, mechanical, electrical, plumbing, structural, and municipal engineering, architecture and surveying. Farnsworth is recognized as one of the pioneers in sustainable design, building commissioning and LEED consulting. The firm has more than 60 LEED Accredited Professionals encompassing every major discipline."</t>
  </si>
  <si>
    <t>http://www.f-w.com</t>
  </si>
  <si>
    <t>mailto:jfisher@f-w.com</t>
  </si>
  <si>
    <t>Fast Print, Inc.</t>
  </si>
  <si>
    <t>="Specializing in short run printing and digital copying from one to full color. Large format poster size full color prints. Standard (bulk) mail department with assembly and fulfillment services. Unique personalized gifts. In business since 1975, with exceptional customer service."</t>
  </si>
  <si>
    <t>http://www.fastprintinc.com</t>
  </si>
  <si>
    <t>mailto:dan@fastprintinc.com</t>
  </si>
  <si>
    <t>Fastenal Compnay</t>
  </si>
  <si>
    <t>="Nationwide Distributor of Industrial &amp; MRO Supplies. Multiple Indiana store locations focusing on ""growth through customer service"". Central warehouse in Indianapolis. Products Categories Include: Fasteners Construction Products _ Strut &amp; pipe hangers, anchors, etc. Tools Equipment &amp; Accessories. Metalworking Accessories, Cutting Tools &amp; equipment. Hydraulics, Pneumatics &amp; Power Transmission Equipment Plumbing &amp; HVAC, Pumps Material Handling, Storage bins, and Packaging Janitorial Supplies Electrical Supplies Safety Supplies Chemicals &amp; Paints Welding Equipment Abrasives Tooling Components &amp; Precision Measuring Equipment Raw Materials &amp; Machinery"</t>
  </si>
  <si>
    <t>http://www.fastenal.com</t>
  </si>
  <si>
    <t>mailto:jfellows@fastenal.com</t>
  </si>
  <si>
    <t>Fathom Five Research LLC</t>
  </si>
  <si>
    <t>Faulkner Fabricating</t>
  </si>
  <si>
    <t>mailto:faulknerfab@kconline.com</t>
  </si>
  <si>
    <t>Faulkner Strategies, LLC</t>
  </si>
  <si>
    <t>="Faulkner Strategies is a full-service marketing firm with in-house strategic thinking, design, and MOST importantly in-house printing capabilities. We offer quick turnaround and superior quality on low-volume work and work to serve all of your high-volume needs. Give us your toughest challenges and let us give you solutions."</t>
  </si>
  <si>
    <t>http://www.faulknerstrategies.com</t>
  </si>
  <si>
    <t>mailto:sales@faulknerstrategies.com</t>
  </si>
  <si>
    <t>Fauquher's Foliage</t>
  </si>
  <si>
    <t>http://www.fauquhersfoliage.com</t>
  </si>
  <si>
    <t>mailto:gabe@fauquhersfoliage.com</t>
  </si>
  <si>
    <t>Favorite Part of My Day, LLC</t>
  </si>
  <si>
    <t>="Offers technical assistance, leadership development, individual and cross systems trainings, specialized workshops and keynote addresses on the core principles that drive systems toward equity. Provides both short and long term consulting at the local, state and national level to systems and institutions in the fields of child welfare, juvenile justice, education and criminal justice. Understands the importance of providing leaders with the institutional knowledge to assist in the development of an equity analysis using equity principles as a foundation for real and lasting systemic changes."</t>
  </si>
  <si>
    <t>http://www.favoritepartofmyday.com</t>
  </si>
  <si>
    <t>mailto:Cassandra@favoritepartofmyday.com</t>
  </si>
  <si>
    <t>Favour Transportations,LLC</t>
  </si>
  <si>
    <t>Fayette Memorial Hospital Assoc., Inc.</t>
  </si>
  <si>
    <t>http://www.fayetteregional.org</t>
  </si>
  <si>
    <t>mailto:karenb@fayetteregional.org</t>
  </si>
  <si>
    <t>Featherfield LLC</t>
  </si>
  <si>
    <t>="We provide comprehensive writing services, including advertising and marketing materials, newsletters, brochures, reports, grant proposals, speeches, letters, position papers and more. Principal has 30+ years professional writing experience in government, corporate, not-for-profit,association and small business sectors."</t>
  </si>
  <si>
    <t>mailto:nikkil@hughes.net</t>
  </si>
  <si>
    <t>FedEx Corporation</t>
  </si>
  <si>
    <t>http://www.fedex.com</t>
  </si>
  <si>
    <t>Federal Field Servic</t>
  </si>
  <si>
    <t>http://www.federalfieldservices.com</t>
  </si>
  <si>
    <t>Federated Publications, Inc</t>
  </si>
  <si>
    <t>http://www.jconline.com</t>
  </si>
  <si>
    <t>Fedor Inc</t>
  </si>
  <si>
    <t>http://www.fedorinc.com</t>
  </si>
  <si>
    <t>Nursery, Garden Center, and Farm Supply Stores</t>
  </si>
  <si>
    <t>Feighner Insurance, Inc.</t>
  </si>
  <si>
    <t>http://www.insmgt.com</t>
  </si>
  <si>
    <t>mailto:sumpter@insmgt.com</t>
  </si>
  <si>
    <t>Fence Masters Inc.</t>
  </si>
  <si>
    <t>="Fence Masters Inc. was established in 1983 and specializes in commercial and industrial fence construction. We have experience dealing with public entities, private industry and general contractors. We can handle any size job from small repairs to large prime contracts with workmanship and service second to none."</t>
  </si>
  <si>
    <t>http://www.fencemastersinc.com/</t>
  </si>
  <si>
    <t>mailto:earl@fencemastersinc.com</t>
  </si>
  <si>
    <t>Fences Unlimited</t>
  </si>
  <si>
    <t>Ferguson Const Inc</t>
  </si>
  <si>
    <t>mailto:deforest@iquest.net</t>
  </si>
  <si>
    <t>Fernando Montoya</t>
  </si>
  <si>
    <t>Ferrantella Construction Corporation</t>
  </si>
  <si>
    <t>="Civil construction &amp; maintenance for industrial, commercial and municipal users of construction services. Services include, but are not limited to, concrete demolition, underground utility construction, asphalt paving &amp; repair, retaining walls, equipment grouting, excavation &amp; grading, reinforced concrete foundations, carpentry services, railroad construction &amp; design, and concrete flatwork and curbs."</t>
  </si>
  <si>
    <t>Ferrill Fisher Inc</t>
  </si>
  <si>
    <t>http://ferrillfisher.com</t>
  </si>
  <si>
    <t>mailto:ferrillfisher@comcast.net</t>
  </si>
  <si>
    <t>Fiber By-Products Corp.</t>
  </si>
  <si>
    <t>http://www.fiberby-products.com</t>
  </si>
  <si>
    <t>mailto:info@fiberby-products.com</t>
  </si>
  <si>
    <t>Fiber Technologies Networks, L.L.C.</t>
  </si>
  <si>
    <t>http://www.fibertech.com</t>
  </si>
  <si>
    <t>mailto:dclifton@fibertech.com</t>
  </si>
  <si>
    <t>FiberCamp, Inc</t>
  </si>
  <si>
    <t>http://www.fibercamp.com</t>
  </si>
  <si>
    <t>mailto:jamie@fibercamp.com</t>
  </si>
  <si>
    <t>Fibertech Inc.</t>
  </si>
  <si>
    <t>="Fibertech Inc. manufactures high quality, custom-engineered plastic products such as bulk containers, plastic pallets and plastic lockers. Made from 100% virgin polyethylene, our proprietary line of products are FDA and USDA compliant. We also repair plastic material handling products and offer industrial plastic recycling services. Fibertech bulk material handling products are used in the automotive, food, agriculture, pharmaceutical, and general industry. The heart of our company is solely based in the relationships with our customers. We believe the bottom line is not what has grown our company, rather its customers and our responsibility and commitment to them. Every product produced by Fibertech, Inc. is a testimony to our dedication to quality, durability, and skill as experts in the field."</t>
  </si>
  <si>
    <t>http://www.fibertechinc.net</t>
  </si>
  <si>
    <t>mailto:brohleder@fibertechinc.net</t>
  </si>
  <si>
    <t>Fidelity Enterprise Solutions LLC</t>
  </si>
  <si>
    <t>mailto:slburnside@fidelityenterprise.com</t>
  </si>
  <si>
    <t>Fields Environmental, Inc.</t>
  </si>
  <si>
    <t>="Environmental Consulting Services Environmental Project Management Environmental Engineering ASTM Phase I Environmental Site Assessments (ESA) Phase II Environmental Investigations/Site Characterization Investigations UST/LUST Remediation/Removal Excess Liability Trust Fund (ELTF) claims and cost recovery Brownfield Redevelopment Demolition/Decontamination/Restoration Waste Characterization/Disposal Remediation Three Dimensional Solid Modeling Database Management Groundwater Monitoring Ground water Sampling Soil, Air, Vapor Intrusion, Water, and Waste Sampling, monitoring, and mitigation"</t>
  </si>
  <si>
    <t>http://fieldsenvironmentalinc.com/</t>
  </si>
  <si>
    <t>mailto:aaron@fieldsenvironmentalinc.com</t>
  </si>
  <si>
    <t>Fields Tree Service LLC</t>
  </si>
  <si>
    <t>="We are a small female owned business offering complete tree service along with vegetation management. Some of our services include complete tree removal, pruning, tree risk/health evaluation, emergency storm cleanup, organic fertilization, brush clearing, land clearing, stump grinding, vegetation management, road side/right of way land clearing. Our owner has a 4 year degree in public safety management partnered by our operations manager who has 10+ years experience in the industry and is an aspiring climber and working towards a certified arborist."</t>
  </si>
  <si>
    <t>mailto:fieldstreeservice@gmail.com</t>
  </si>
  <si>
    <t>Fifth Third Bank</t>
  </si>
  <si>
    <t>http://53.com</t>
  </si>
  <si>
    <t>Figg Publishing</t>
  </si>
  <si>
    <t>mailto:tonyafigg@live.com</t>
  </si>
  <si>
    <t>Fikes-Marnitz Pest Control Corp., Inc.</t>
  </si>
  <si>
    <t>http://www.fikespestcontrol.com</t>
  </si>
  <si>
    <t>mailto:fikesfresh@earthlink.net</t>
  </si>
  <si>
    <t>Final Clean Corporation</t>
  </si>
  <si>
    <t>="Provider of Residential and Commercial Interior Post Construction Cleaning Services * Window Cleaning Services * Pressure Washing Services * Office Cleaning Services * Janitorial Services* Over 15 + Years Experience * Fully Insured * Indiana Based * Serving IN, OH, KY and IL"</t>
  </si>
  <si>
    <t>HTTP://WWW.FINALCLEANCORP.COM</t>
  </si>
  <si>
    <t>mailto:INFO@FINALCLEANCORP.COM</t>
  </si>
  <si>
    <t>Final Cut Video, Inc</t>
  </si>
  <si>
    <t>="Web design, video production, web based training, knowledge management systems, promotional videos, training videos, duplication services, training, writing, script writing, produce live events, videotape live events, lighting and lighting design, set design and set builds, audio production, sound or audio for live events and sound design (mixing business meetings or bands)"</t>
  </si>
  <si>
    <t>http://www.FCVP.net</t>
  </si>
  <si>
    <t>mailto:FCVP@aol.com</t>
  </si>
  <si>
    <t>Final Touches...Make the Difference, LLC</t>
  </si>
  <si>
    <t>="The Etiquette School of Indiana offers a variety of classes that teach good manners, social graces and life skills. Indiana is one of only eight states that has ""character education"" mandated in its cirruculum. The Etiquette School of Indiana has three programs that are offered R.E.S.P.E.C.T. 2-5 grade, FRESH START 6-9 grade, READY,SET, GROW 10-12 grade, Backpack to Briefcase college students. Upon request sessions can be tailored to fit the specific needs of your group or organization. All classes are designed to build confidence, are interactive and fun."</t>
  </si>
  <si>
    <t>http://www.INetiquette.com</t>
  </si>
  <si>
    <t>mailto:INetiquette@gmail.com</t>
  </si>
  <si>
    <t>Finally Kleen Professional Service, Inc</t>
  </si>
  <si>
    <t>mailto:finallykleen@insightbb.com</t>
  </si>
  <si>
    <t>Financial Care of the Wabash Valley, Inc</t>
  </si>
  <si>
    <t>mailto:prminfo1@aol.com</t>
  </si>
  <si>
    <t>Financial Planning Consultants, Inc</t>
  </si>
  <si>
    <t>http://www.fpcadvisor.com</t>
  </si>
  <si>
    <t>mailto:info@fpcadvisor.com</t>
  </si>
  <si>
    <t>Financial Transactions Processing, Reserve, and Clearing House Activities</t>
  </si>
  <si>
    <t>Finch &amp; Finch Inc.</t>
  </si>
  <si>
    <t>mailto:finchfinch@sbcglobal.net</t>
  </si>
  <si>
    <t>Finch Constructors Inc</t>
  </si>
  <si>
    <t>http://www.finchconstructors.com</t>
  </si>
  <si>
    <t>mailto:tbrooks@finchconstructors.com</t>
  </si>
  <si>
    <t>Find8 Digital, LLC</t>
  </si>
  <si>
    <t>="Find8 Digital specializes in helping for-profit businesses, nonprofit organizations, and government agencies get seen, heard, and found on the Internet. Our services range from traditional marketing to all aspects of Internet marketing, including web design (either standard design or wholly customized), social media strategy and implementation, and search engine optimization (SEO) at the local, regional, and national levels. We have the capability to create secure websites with membership log-in abilities, perfect for organizations such as townships and cities that might need to assign several levels of security roles to different users. With our technological capabilities and the expertise of our staff, we’re ready to handle the marketing and Internet needs of any business."</t>
  </si>
  <si>
    <t>http://www.findeight.com</t>
  </si>
  <si>
    <t>mailto:help@findeight.com</t>
  </si>
  <si>
    <t>Fine Light, Inc.</t>
  </si>
  <si>
    <t>http://www.finelight.com</t>
  </si>
  <si>
    <t>mailto:hpawluk@finelight.com</t>
  </si>
  <si>
    <t>Fine Line Laminates,</t>
  </si>
  <si>
    <t>http://www.indyfinelinefurniture.com/</t>
  </si>
  <si>
    <t>mailto:finelinefurn@hotmail.com</t>
  </si>
  <si>
    <t>Fine Promotions Inc.</t>
  </si>
  <si>
    <t>http://www.finepromotions.com</t>
  </si>
  <si>
    <t>mailto:info@finepromotions.com</t>
  </si>
  <si>
    <t>Fineline Graphics, Inc</t>
  </si>
  <si>
    <t>="Fineline is a leading commercial graphics and mailing provider in the Midwest. Started in 1981, Fineline has grown to fill a 56,000 square foot facility in Indianapolis with over 60 employees and state-of-the-art production equipment. Fineline is a privately held, minority-owned business certified by the city of Indianapolis; states of Indiana, Ohio, New York, Illinois, and Wisconsin; and US Small Business Administration. Fineline is also certified to ISO 9001:2008 standards."</t>
  </si>
  <si>
    <t>http://www.finelink.com</t>
  </si>
  <si>
    <t>mailto:info@finelink.com</t>
  </si>
  <si>
    <t>Finest Cleaning Solution</t>
  </si>
  <si>
    <t>mailto:heard.wanda@ymail.com</t>
  </si>
  <si>
    <t>Finish It Grading and Seeding, LLC</t>
  </si>
  <si>
    <t>mailto:finish.it@insightbb.com</t>
  </si>
  <si>
    <t>Finishline Technologies, Inc.</t>
  </si>
  <si>
    <t>="FinishLine Technologies, Inc. is an expert in all aspects of industrial painting and coatings. FLT Inc. has over 60 combined years of experience in coatings, chemicals, equipment, system management, fabrication, repair and service for automotive and industrial coatings. FLT Inc. supplies coatings, equipment and systems for liquid, powder, Electrocoat, UV coatings and adhesive systems. Services include design, engineering and programming for robotic and other automated processes, as well as service and maintenance of these systems. FLT Inc. also engineers, designs and produces metal fabrication and other products for the industrial plumbing, HVAC, road construction, heavy equipment, ornamental metal, food service, institutional industries"</t>
  </si>
  <si>
    <t>http://flt-inc.com</t>
  </si>
  <si>
    <t>mailto:jacc1@tds.net</t>
  </si>
  <si>
    <t>Fink &amp; Co., Inc.</t>
  </si>
  <si>
    <t>="Fink &amp; Company, Inc. is a manufacturer representative for HVAC equipment in the state of Indiana. The equipment we sell consists of boilers, water heaters, fan coil units, hot water/steam unit heaters, finned tube radiation, custom hot water/steam coils, expansion joints, chilled beams and steam specialty equipment."</t>
  </si>
  <si>
    <t>http://www.finkandcompany.com</t>
  </si>
  <si>
    <t>Fins &amp; Flowers Water Gardens LLC</t>
  </si>
  <si>
    <t>http://www.finsandflowerswatergardens.bi</t>
  </si>
  <si>
    <t>mailto:finsandflowers@comcast.net</t>
  </si>
  <si>
    <t>Finzels Mastertech</t>
  </si>
  <si>
    <t>mailto:finzels.mastertech@verizon.net</t>
  </si>
  <si>
    <t>Fire &amp; Rain, LLC</t>
  </si>
  <si>
    <t>http://www.fireandrain.com</t>
  </si>
  <si>
    <t>mailto:info@fireandrain.com</t>
  </si>
  <si>
    <t>Fire Starter LLC</t>
  </si>
  <si>
    <t>http://www.sponsoradvocate.com</t>
  </si>
  <si>
    <t>mailto:sfinkam@sponsoradvocate.com</t>
  </si>
  <si>
    <t>FireSign Inc</t>
  </si>
  <si>
    <t>="We are a full-service promotional product agency that can handle any product under the sun that you may need or want with your company’s name on it (special events are our specialty). We run the gamut from ad specialties, corporate gifts, incentives, apparel &amp; much more. Even if you don’t think we carry it, call us we are great with accommodation. We are W/MBE Certified. Our motto is we get business ignited! Give us the opportunity to light your fire!"</t>
  </si>
  <si>
    <t>http://www.firesigninc.com</t>
  </si>
  <si>
    <t>mailto:info@firesigninc.com</t>
  </si>
  <si>
    <t>Firebelly Technologies</t>
  </si>
  <si>
    <t>="element three is a creative firm specializing in brilliant creative rooted in sound brand strategy that supports business growth goals. our mission is to create a sustainable competitive strategy in the marketplace for our clients. in short, we help companies define their claim of distinction and communicate that message to their audience. We are the essential element at the intersection of business, brand and creative."</t>
  </si>
  <si>
    <t>http://www.discoverelementthree.com</t>
  </si>
  <si>
    <t>Firebelly, Inc.</t>
  </si>
  <si>
    <t>http://www.firebellymarketing.com</t>
  </si>
  <si>
    <t>mailto:duncan@firebellymarketing.com</t>
  </si>
  <si>
    <t>Firematic Sprinkler LLC</t>
  </si>
  <si>
    <t>mailto:sblack@firematic.comcastbiz.net</t>
  </si>
  <si>
    <t>Firestone International Associates Inc.</t>
  </si>
  <si>
    <t>="Specialists in Human Resource Consulting including HR audits and the implementation of hiring and employee development processes to ensure that employers hire and retain top performers. Additionally, we provide change management services; successful implementation on the people side. Services include seminars, workshops, meeting facilitation and training on the above topics. Services are relevant to all industries and all size organization."</t>
  </si>
  <si>
    <t>http://www.firestoneinternational.com</t>
  </si>
  <si>
    <t>mailto:fiai@earthlink.net</t>
  </si>
  <si>
    <t>First Advantage Enterprise Screening Cor</t>
  </si>
  <si>
    <t>http://www.fadv.com</t>
  </si>
  <si>
    <t>First Appraisal Group, Inc.</t>
  </si>
  <si>
    <t>http://www.firstappraisalgroup.com</t>
  </si>
  <si>
    <t>mailto:ajohnson@firstappraisalgroup.com</t>
  </si>
  <si>
    <t>First Choice Trucking, Llc.</t>
  </si>
  <si>
    <t>First Electric Supply</t>
  </si>
  <si>
    <t>First Group Engineering, Inc.</t>
  </si>
  <si>
    <t>First In Response Equipment LLC</t>
  </si>
  <si>
    <t>http://www.firellc.us</t>
  </si>
  <si>
    <t>mailto:sales@firstinresponseequipment.com</t>
  </si>
  <si>
    <t>First Mile Health, LLC</t>
  </si>
  <si>
    <t>="First Mile Health help employers contain their rapidly rising health costs by improving the physical environment of the workplace. We are the leading corporate wellness experts that utilize the physical workplace environment to support a healthier workforce. Our clients have modest budgets and look to us to provide health-related cost savings and optimize existing wellness programs. Healthy work environments produce healthier employees! Our management team has over 25 years of experience in leading health care and behavior change initiatives."</t>
  </si>
  <si>
    <t>http://www.firstmilehealth.com</t>
  </si>
  <si>
    <t>mailto:info@firstmilehealth.com</t>
  </si>
  <si>
    <t>First Nation Enterprises</t>
  </si>
  <si>
    <t>mailto:CFEGREG@ATT.NET</t>
  </si>
  <si>
    <t>First Partners, LP</t>
  </si>
  <si>
    <t>First Quality Printi</t>
  </si>
  <si>
    <t>http://firstqualityprint.com</t>
  </si>
  <si>
    <t>mailto:fqkmrand@sbcglobal.net</t>
  </si>
  <si>
    <t>First Response Services, Inc.</t>
  </si>
  <si>
    <t>http://first-response-services.com</t>
  </si>
  <si>
    <t>mailto:mark@first-response-services.com</t>
  </si>
  <si>
    <t>Firstline Corp.</t>
  </si>
  <si>
    <t>="Building/Construction Construction i.e. C&amp;A Poly Sheeting Winter Enclosure Film, Clear, String Reinforced Housewrap Vapor Barriers Job site cleanup bags Concrete Curing Covers Asphalt Saturated Building Paper Dry-Wall/Paint Drop Cover Film Concrete Wet Cure Covers &amp; Blankets Equipment Covers Brick Wrap Civil Engineering Landfill Day Covers Pond &amp; Ditch Liners (Heavy Gauge HDPE) Geotextile Separation &amp; Stabilizing Fabrics Agriculture Field Covers Silage Pit Liners Hay Bags Hay Covers Cotton Bale Wrap Cotton Module Covers Fumigation Film Embossed Mulch Film Shade Film Nursery i.e. Fall Film Seedling Wrap Poultry House Film &amp; Fabric Curtains Stock Pile Covers Film Sheeting Bags &amp; Tubing Shrink Film Stretch Film (Pallet Wrap) Reinforced Paper Wrap Shrouding, Storage Covers Car Liners Pallet Covers Gaylord Box Liners Bags-On-Roll Brick Wrap Bubble Wrap Protective Pack Metal Processing Steel Wrap, Printed Aluminum Coi"</t>
  </si>
  <si>
    <t>http://firstlinecorp.com</t>
  </si>
  <si>
    <t>mailto:jkmeade3@sbcglobal.net</t>
  </si>
  <si>
    <t>Fischer Candy Co., Inc</t>
  </si>
  <si>
    <t>="Fisher Candy consists of 3 divisions: 1) Complete vending service, 2)Wholesale candy, sancks, popcorn, concession supplies, fund raising, and 3)Office coffee service. Our vending department services primarily southwestern Indiana, while our Wholesale division serves that region and more. This is a family owned and operated business since 1952."</t>
  </si>
  <si>
    <t>mailto:karenfc@sigecom.net</t>
  </si>
  <si>
    <t>Fischer Contractors</t>
  </si>
  <si>
    <t>mailto:dfischercontractors@aol.com</t>
  </si>
  <si>
    <t>Fischer Trucking,Inc</t>
  </si>
  <si>
    <t>mailto:kbrookhart@fischertrucking.com</t>
  </si>
  <si>
    <t>Fiscus Consulting LLC</t>
  </si>
  <si>
    <t>="My company provides support for Microsoft SharePoint products. Upgrade, install, configuration, maintenance, branding, search configuration, custom built forms etc. We have over 10 years experience with SharePoint. We work with the on premise version as well as O365/SharePoint Online. We contract by the hour so you only pay for what you have done."</t>
  </si>
  <si>
    <t>https://fiscusconsulting.net</t>
  </si>
  <si>
    <t>mailto:perry.fiscus@fiscusconsulting.net</t>
  </si>
  <si>
    <t>Fishbowl Marketing and Public Relations</t>
  </si>
  <si>
    <t>="Fishbowl Marketing and Public Relations is a small operation, with big impact. As sole proprietor, I work to give my clients amazing marketing and public relations tools and resources, while always watching their bottom dollar. Clients include small and large business in healthcare, publishing, adult learning and real estate. I assist clients with marketing, media relations, advertising, graphic design, public events, presentation preparation, copy writing and editing. Call or email me for more information."</t>
  </si>
  <si>
    <t>http://fishbowl.wordpress.com</t>
  </si>
  <si>
    <t>mailto:fishbowlmarketingandpr@gmail.com</t>
  </si>
  <si>
    <t>Fisher CPA Group, LLC</t>
  </si>
  <si>
    <t>="Fisher CPA Group, LLC is a full service accounting firm located in Indianapolis. Great client service and a results-driven approach for each engagement are vital components to our service delivery process. When we engage a client, the primary service you will provide is our expert knowledge. Below is a list of our accounting, tax, and consulting services: • Audit, Review and Compilation Services • Financial Statement Preparation • Tax Preparation • Bookkeeping/Write-up • Web Based Accounting • New Business/Start-up Services • Business Plans • Business Consulting • Internal Audit • Fraud Investigations"</t>
  </si>
  <si>
    <t>http://www.AccountingCompanion.com</t>
  </si>
  <si>
    <t>mailto:tfisher@fishercpagroup.com</t>
  </si>
  <si>
    <t>Fit 4 Life Coaching, LLC</t>
  </si>
  <si>
    <t>="Providing consulting services and guidance for you and your company in the areas of wellness, fitness, nutrition, health and work/life balance. We will show you how to save money by having a healthier and happier workforce, and will implement a unique plan for your company and its employees--- your most valuable asset. We also offer individualized consulting for health and wellness."</t>
  </si>
  <si>
    <t>mailto:SMcGoff@comcast.net</t>
  </si>
  <si>
    <t>Fit For The King</t>
  </si>
  <si>
    <t>http://fitfortheking.com</t>
  </si>
  <si>
    <t>mailto:fftk@seidata.com</t>
  </si>
  <si>
    <t>Fit4Duty LLC</t>
  </si>
  <si>
    <t>="Occupational Health and medical clinic catering to industries and adult patients (12 years of age and older). We offer DOT/pre-employment/school physicals; drug/alcohol testing; respirator testing; random drug testing for industries. We treat minor illnesses and minor injuries for the general public as well as employees of our customers. Workmen's comp insurance not accepted, however, we will treat minor work related injuries."</t>
  </si>
  <si>
    <t>http://www.fit4dutyllc.biz</t>
  </si>
  <si>
    <t>mailto:admin@fit4dutyllc.biz</t>
  </si>
  <si>
    <t>Fitness Funk LLC</t>
  </si>
  <si>
    <t>http://themodernhippie.com</t>
  </si>
  <si>
    <t>mailto:fitnessfunk@hotmail.com</t>
  </si>
  <si>
    <t>Fitzgerald &amp; Fitzgerald Co</t>
  </si>
  <si>
    <t>Fitzgerald Enterprize</t>
  </si>
  <si>
    <t>="LAWN lawn mowing-weed eating-edging-aerating-dethatching-lawn repair weed control TREES/SHRUBS FLOWERS/PLANTS planting-trimming-pruning-removal MULCH removal new install re-dying MISC lot clearing-brush hog work-debris removal-chipper/shredder work FLOWERS/PLANTS planting dividing REMOVAL OF ALL CUTTINGS AND DEBRIE SNOW REMOVAL"</t>
  </si>
  <si>
    <t>mailto:Fitzgeraldent@comcast.net</t>
  </si>
  <si>
    <t>Fitzgerald Forestry</t>
  </si>
  <si>
    <t>mailto:edfitzy@yahoo.com</t>
  </si>
  <si>
    <t>Fitzgerald | Isaac p.c.</t>
  </si>
  <si>
    <t>="Fitzgerald | Isaac p.c., located in Indianapolis, Indiana, is a locally-owned firm of independent certified public accountants. The firm, founded in 1978, provides a variety of accounting, taxation and consulting services to numerous commercial and tax exempt organizations. These services include annual audits of financial statements, establishment of accounting systems, assistance with computer applications, filings of tax exemptions and annual returns, development of cost allocation plans, organizational audits and strategic planning. Fitzgerald | Isaac p.c. is dedicated to providing quality professional services within the flexible framework of an independent local CPA firm. The firm is a member of the American Institute of Certified Public Accountants and the Indiana CPA Society. Membership requires the firm to pass a rigid inspection by peers in the accounting profession; accordingly, membership demonstrates a commitment to excellence."</t>
  </si>
  <si>
    <t>http://www.fipc.net</t>
  </si>
  <si>
    <t>mailto:fipc@fipc.net</t>
  </si>
  <si>
    <t>Five J's Services, Inc.</t>
  </si>
  <si>
    <t>http://www.engravables.net</t>
  </si>
  <si>
    <t>mailto:sales@engravables.net</t>
  </si>
  <si>
    <t>Five Star Enterprises, Inc.</t>
  </si>
  <si>
    <t>mailto:kevin@precisionservice.us</t>
  </si>
  <si>
    <t>Five Star Products Inc.</t>
  </si>
  <si>
    <t>="Five Star Products, Inc. provides roofing and waterproofing products and consulting service to maximize budgets. With an extensive background in roof repair, maintenance, and restoration we are able to stop leaks and extend the life of older roof systems of all types (single ply epdm/tpo/pvc, asphalt, modified bitumen, and metal) to avoid costly new roof systems. The company’s president has extensive experience in the roofing industry since 1978. In addition to providing low slope new sustainable SBS modified bitumen roofing solutions, we also represent longer lasting higher quality SBS modified asphalt shingles for steep slope roofs. Lastly, as a consultant to the Department of Corrections and Department of Natural Resources, we provide roof evaluation reports with photographs, analysis of problems, and best value solutions."</t>
  </si>
  <si>
    <t>mailto:blroofsolutions@gmail.com</t>
  </si>
  <si>
    <t>Five Star Roofing</t>
  </si>
  <si>
    <t>="We are a national roofing company, dedicated to providing you with commercial roofing services with the highest degree of quality and craftsmanship. We specialize in re-roofing flat and metal roofs. With our professional roofers and courteous sales staff, we are aimed at meeting every need of your growing business. We ensure a safe, secure and maintenance free roof for your business for years to come - guaranteed! The success of our company is due to the durability and reliability of our roofing system - the Cold Process Roofing System. The benefits of Cold Process Roofing outweigh the competition in many ways, but the largest advantage of our system is how it is applied to make a seamless roof. The base material, a modified asphalt mastic, is actually sprayed onto the roof instead of being nailed or tacked down. The mastic conjoining with the poly-fiber membrane allows the roof to become all one piece, removing of any possible seam leaks. Seam failure is the largest problem in roof"</t>
  </si>
  <si>
    <t>http://www.fivestarroof.com</t>
  </si>
  <si>
    <t>mailto:steve.robillard@fivestarroof.com</t>
  </si>
  <si>
    <t>Five Star Transportation, Inc.</t>
  </si>
  <si>
    <t>http://www.5starindy.com</t>
  </si>
  <si>
    <t>mailto:reservations@5starindy.com</t>
  </si>
  <si>
    <t>Five Star Travel</t>
  </si>
  <si>
    <t>Five-Star Technology Solutions</t>
  </si>
  <si>
    <t>http://www.five-startech.com</t>
  </si>
  <si>
    <t>mailto:info@five-startech.com</t>
  </si>
  <si>
    <t>Flag Frenzy</t>
  </si>
  <si>
    <t>="Flag Frenzy sells flags, flag poles, banners, vertical message panels, and accessories. Our American and state flags are made in America. We provide flag sizes of all sizes from stick flags to 2'x3' and 3'x5' flags to football field sized flags. We strive to provide outstanding customer service and free shipping."</t>
  </si>
  <si>
    <t>http://www.flagfrenzy.com</t>
  </si>
  <si>
    <t>mailto:sales@flagfrenzy.com</t>
  </si>
  <si>
    <t>Flags &amp; More</t>
  </si>
  <si>
    <t>mailto:DeWok71@yahoo.com</t>
  </si>
  <si>
    <t>Flags Over Indiana</t>
  </si>
  <si>
    <t>mailto:kmcconahay@yahoo.com</t>
  </si>
  <si>
    <t>Flaming Phoenix MD, LLC</t>
  </si>
  <si>
    <t>="Flaming Phoenix MD Global Logistic (FPMD) is the leading industry provider for world-class project management and logistical rigging. FPMD has over ten years of experience working with companies such as: Siemens, Lockheed Martin, SAIC, Boeing, US Army Corp of Engineers, US Air Force, Department of Homeland Security (DHS) and Milwaukee Metropolitan Sewage District (MMSD). FPMD’s success flourishes through our structured proactive approach, handpicked project management, and specialized rigging operations to ensure a confident movement and quick turnaround. FPMD is devoted to aggressively managing our projects while keeping our customer and their time schedule in mind. FPMD consistently stands."</t>
  </si>
  <si>
    <t>http://www.flamingphoenixmd.com</t>
  </si>
  <si>
    <t>mailto:deb@flamingphoenixmd.com</t>
  </si>
  <si>
    <t>Flash Pro-Techsperts</t>
  </si>
  <si>
    <t>="Flash Pro-Techsperts is filling consumer demand for fast, efficient, computer repair service, both on-site and drop off. We are the leaders in quick response and quick turnaround. We upgrade used &amp; custom build new computers to order. We pay cash for your trade (500mhz+( as of 6-10-06) or better). Perform secure data transfers as needed. Microsoft Networking support. Notebook sales and service also. Hewlett Packard printers, scanners &amp; notebooks. Since 1995!"</t>
  </si>
  <si>
    <t>http://www.flashprotechsperts.com</t>
  </si>
  <si>
    <t>mailto:tmoser@flashprotechsperts.com</t>
  </si>
  <si>
    <t>Flash's Suzuki &amp; Kawasaki</t>
  </si>
  <si>
    <t>FlashPoint, Inc.</t>
  </si>
  <si>
    <t>="Based in Indianapolis, Indiana, FlashPoint provides customized talent management consulting in three practices areas: talent systems and processes, talent development, and coaching. Bottom line: we help you leverage your talent. FlashPoint partners with mid-size to large organizations to help leverage talent and develop leaders in order to accomplish strategic business objectives."</t>
  </si>
  <si>
    <t>http://www.FlashPointHR.com</t>
  </si>
  <si>
    <t>mailto:info@FlashPointHR.com</t>
  </si>
  <si>
    <t>Flashlight Outlet</t>
  </si>
  <si>
    <t>="Flashlight Outlet specializes in providing support and access to the most advanced portable safety lighting devices available, most guaranteed for life! We are direct distributors for several manufactures including: Streamlight, Underwater Kinetics, Pelican, Browning, Powerflare, Tektite, wobble Light and others. We supply light to first responders, sportsmen, and professionals if you need light call us!"</t>
  </si>
  <si>
    <t>Http://www.FlashlightOutlet.com</t>
  </si>
  <si>
    <t>mailto:sales@salebay.com</t>
  </si>
  <si>
    <t>http://FlashlightOutlet.com</t>
  </si>
  <si>
    <t>mailto:lb@FlashlightOutlet.com</t>
  </si>
  <si>
    <t>Flat Rock Furniture</t>
  </si>
  <si>
    <t>="Manufacturer of hand-crafted hickory furniture for upscale living. We sell to the design trade and supply contract orders as well for major installations such as Hilton and Marriott. You will see our furniture featured in Southern Living Magazine and other publications and some of our celebrity customers include Roger Penske and Gloria Estafon."</t>
  </si>
  <si>
    <t>http://www.flatrockhickory.com</t>
  </si>
  <si>
    <t>mailto:amy@flatrockhickory.com</t>
  </si>
  <si>
    <t>Fleck Education Services, LLC</t>
  </si>
  <si>
    <t>http://www.fleckeducation.com</t>
  </si>
  <si>
    <t>mailto:fleckeducation@gmail.com</t>
  </si>
  <si>
    <t>Fleming Circle Associates LLC</t>
  </si>
  <si>
    <t>http://ecoluminator.com</t>
  </si>
  <si>
    <t>mailto:dduba@lightbound.com</t>
  </si>
  <si>
    <t>Fleming Stage, LLC</t>
  </si>
  <si>
    <t>="Fleming Stage, LLC is a law firm providing the following services: corporate and business law, gaming, charitable gaming, adminstrative law, non-profit law, charitable gaming, promotions and sweepstakes, labor and employment law, litigation, estate planning, planned giving, certified business enterprises and supplier diversity."</t>
  </si>
  <si>
    <t>http://www.flemingstage.com</t>
  </si>
  <si>
    <t>mailto:Kay.Fleming@flemingstage.com</t>
  </si>
  <si>
    <t>Fletcher Chrysler Pr</t>
  </si>
  <si>
    <t>http://www.fletcherchrysler.com</t>
  </si>
  <si>
    <t>mailto:k.fox@fletcherchrysler.com</t>
  </si>
  <si>
    <t>Fletcher Communications, LLC</t>
  </si>
  <si>
    <t>http://www.fletchercomm.com</t>
  </si>
  <si>
    <t>mailto:twhitfield@fletchercomm.com</t>
  </si>
  <si>
    <t>Fletcher's Trucking Limited</t>
  </si>
  <si>
    <t>Flex-Pac Inc</t>
  </si>
  <si>
    <t>="Flex-Pac Inc. is Distributor of Industrial and Retail Packaging. ie: Stretch Film, Shrink Film, Carton Sealing Tape, Void Fill, Bags and Boxes. We also distribute a complete line of janitorial products and supplies including disposable paper products, liners, sanitary chemicals and the like."</t>
  </si>
  <si>
    <t>http://www.flexp.com</t>
  </si>
  <si>
    <t>mailto:flexpac@flexp.com</t>
  </si>
  <si>
    <t>Flexible H.R. Solutions, LLC</t>
  </si>
  <si>
    <t>="Flexible H.R. Solutions is a Human Resource consulting company that assists small to mid-sized companies with their Human Resource needs. Some of the services that our company provides include: - H.R. consulting to Management - Recruiting, Staff Augmentation, Reference &amp; Background Checks - Employee Relations Advice and Employee Conduct Investigations - Employee Handbooks, Policies &amp; Procedures, New Hire Orientation, Job Descriptions, etc. - H.R.-Related Training (Interviewing Skills, Management Skills, etc.) - Disaster Preparedness Training Our Company takes pride in being flexible to your Company's unique needs, while providing quality service and products with the utmost integrity."</t>
  </si>
  <si>
    <t>http://www.flexiblehr.net</t>
  </si>
  <si>
    <t>mailto:diane@flexiblehr.net</t>
  </si>
  <si>
    <t>Flint Complete Personnel Service Inc.</t>
  </si>
  <si>
    <t>http://flintpersonnel.com</t>
  </si>
  <si>
    <t>mailto:vikki@flintpersonnel.com</t>
  </si>
  <si>
    <t>Floor Craft Sanding LLC</t>
  </si>
  <si>
    <t>="At Floor Craft Sanding we specialize in all aspects of hardwood flooring: installation, refinishing. cleaning and repairs in the Indianapolis and greater Central Indiana area. We offer hardwood flooring that is unsurpassed in Quality, Beauty and Environmental-Responsibility. Here are a list of our specialties: - Hardwood Refinishing - Hardwood Installation - Hardwood Cleaning - Hardwood Repair - Hardwood Maintenance - Custom Hardwood Medallions - Custom Graphics and Borders - Residential and Commercial Hardwood Flooring Services - Gym and Athletic Hardwood Flooring - Restaurant and Retail Hardwood Flooring We take great pride in offering GREENGUARD certified products and service. Giving our clients the best protection for their family and customers. Such as: - Dustless Refinishing; state-of-the-art indoor air quality protection - Water-based Finishes: only the best for your floors and your family - Professional Cleaning: deep clean with environmentally-safe p"</t>
  </si>
  <si>
    <t>http://www.floorcraftsanding.com</t>
  </si>
  <si>
    <t>mailto:info@floorcraftsanding.com</t>
  </si>
  <si>
    <t>Floor Store of South Bend, Inc.</t>
  </si>
  <si>
    <t>mailto:floor5471@aol.com</t>
  </si>
  <si>
    <t>Floor Stores of America, Inc</t>
  </si>
  <si>
    <t>="We are a full service floor covering store. We have in stock or will special order the following products: carpet (residential or commercial) vinyl (residential or commercial) tile or sheet goods, ceramic tile, porcelain tile, quarry tile and natural stone tile for residential or commercial use, solid wood, engieneered wood and laminate flooring in a variety of species and brands suitable for residential or commercial, cork flooring and bamboo flooring for residential or commercial applications, installers supplies, setting materials, adhesives, cleaners and sealers. etc."</t>
  </si>
  <si>
    <t>http://thefloorstorelp.com</t>
  </si>
  <si>
    <t>mailto:thefloorstore@csinet.net</t>
  </si>
  <si>
    <t>Flor-Tek, LLC</t>
  </si>
  <si>
    <t>mailto:verncarter@sbcglobal.net</t>
  </si>
  <si>
    <t>FloraAnn Accessories</t>
  </si>
  <si>
    <t>mailto:floraann_acc@yahoo.com</t>
  </si>
  <si>
    <t>Flores Services LLC</t>
  </si>
  <si>
    <t>http://www.floresservices.com</t>
  </si>
  <si>
    <t>mailto:cflores@floresservices.com</t>
  </si>
  <si>
    <t>Floyd County Health Department</t>
  </si>
  <si>
    <t>http://floydcountyhealthdept-in.gov</t>
  </si>
  <si>
    <t>mailto:cbass@floydcounty.in.gov</t>
  </si>
  <si>
    <t>Legal Counsel and Prosecution</t>
  </si>
  <si>
    <t>Floyd E. Burroughs &amp; Associates</t>
  </si>
  <si>
    <t>http://www.febengr.com</t>
  </si>
  <si>
    <t>mailto:frntdesk@febengr.com</t>
  </si>
  <si>
    <t>Floyd Trucking, LLC</t>
  </si>
  <si>
    <t>mailto:floydtruckingmbe@yahoo.com</t>
  </si>
  <si>
    <t>Floyd-Hunter Enironmental, LLP</t>
  </si>
  <si>
    <t>mailto:floydacres@aol.com</t>
  </si>
  <si>
    <t>Floyds Knobs Body Repair, Inc.</t>
  </si>
  <si>
    <t>http://www.floydsknobsbody.com</t>
  </si>
  <si>
    <t>mailto:floydsknobsbody@sbcglobal.net</t>
  </si>
  <si>
    <t>Fluid Waste Services</t>
  </si>
  <si>
    <t>http://www.fluidwasteservices.com</t>
  </si>
  <si>
    <t>mailto:fws1777@aol.com</t>
  </si>
  <si>
    <t>Flynn &amp; Zinkan Realty Company</t>
  </si>
  <si>
    <t>mailto:dcourtney@flynnandzinkan.com</t>
  </si>
  <si>
    <t>Flywheel Healthcare LLC</t>
  </si>
  <si>
    <t>http://yahrx.com</t>
  </si>
  <si>
    <t>mailto:eyoung@yahrx.com</t>
  </si>
  <si>
    <t>Focus Contracting</t>
  </si>
  <si>
    <t>mailto:bdelaney@focuscontractinginc.com</t>
  </si>
  <si>
    <t>FocusDyne LLC</t>
  </si>
  <si>
    <t>="Focusdyne offers technology services like Onsite Consulting, Project Management, Custom Software Development, Quality Assurance, IT Staffing and Business Process Management. We offer a flexible development process that can be customized to meet the needs of almost every firm and IT/IS entity. Our biggest differentiator is the adaptability to customer's processes. We run a transparent operation making it extremely easy to gauge value addition Visit our website http://www.focusdyne.com for more details."</t>
  </si>
  <si>
    <t>http://www.focusdyne.com</t>
  </si>
  <si>
    <t>mailto:info@focusdyne.com</t>
  </si>
  <si>
    <t>Fohl Construction</t>
  </si>
  <si>
    <t>Foley Family Support Services, Inc.</t>
  </si>
  <si>
    <t>mailto:foleyfss@yahoo.com</t>
  </si>
  <si>
    <t>Food Bank of Northern Indiana</t>
  </si>
  <si>
    <t>http://www.feedindiana.org</t>
  </si>
  <si>
    <t>Force 5 Media, Inc.</t>
  </si>
  <si>
    <t>http://www.forcefivemedia.com</t>
  </si>
  <si>
    <t>mailto:info@forcefivemedia.com</t>
  </si>
  <si>
    <t>Force Mechanical, LLC</t>
  </si>
  <si>
    <t>mailto:forcemechanical@gmail.com</t>
  </si>
  <si>
    <t>Ford Autoworld, Inc.</t>
  </si>
  <si>
    <t>http://www.driveautoworld.com</t>
  </si>
  <si>
    <t>mailto:mjamerson@myersautoworld.com</t>
  </si>
  <si>
    <t>Ford Family Trucking</t>
  </si>
  <si>
    <t>http://www.fordfamtrucking.com</t>
  </si>
  <si>
    <t>mailto:admin@fordfamtrucking.com</t>
  </si>
  <si>
    <t>ForeRunner Consulting</t>
  </si>
  <si>
    <t>mailto:Jeff.Stickel@fore-runner.net</t>
  </si>
  <si>
    <t>Forensic Legal Nurse Consultants, Inc.</t>
  </si>
  <si>
    <t>="Our firm is versatile and provides both services and supplies related to the medical care and needs of individuals throughout the life span. Our consulting division provides a firm comprised of Registered Nurses who use specialized healthcare knowledge and expertise to consult on medical related cases where health, illness or injury is an issue. Work includes case review and analysis, malpractice, fraud identification, nurse assessment, staffing and more. In addition to medical consulting, we also provide a wide range of business consulting services, such as marketing, client development, and corporate identity. Our supply division can assist your organization in obtaining all of your consumable medical supplies at the best cost to meet your needs."</t>
  </si>
  <si>
    <t>http://www.flncinc.com</t>
  </si>
  <si>
    <t>mailto:dawn@flncinc.com</t>
  </si>
  <si>
    <t>Foresight Benefit Solutions, LLC</t>
  </si>
  <si>
    <t>mailto:foresightbenefits@yahoo.com</t>
  </si>
  <si>
    <t>Foresight Land Surveying, Inc.</t>
  </si>
  <si>
    <t>mailto:normantravis@netzero.com</t>
  </si>
  <si>
    <t>Foresight Painting and Remodeling, Inc.</t>
  </si>
  <si>
    <t>="Foresight Painting and Remodeling is family owned and operated. We have extensive experience interior &amp; exterior painting in new construction, repaints in residential and commercial properties and large remodeling projects. We do Pastel Cote' application, Interior &amp; exterior staining, stucco &amp; acoustic ceilings, puttying, glazing &amp; caulking, wallpaper stripping &amp; hanging, drywall repair, wood replacement, carpentry &amp; power washing. We buy all our materials from Indiana owned businesses."</t>
  </si>
  <si>
    <t>mailto:foresightpainting@yahoo.com</t>
  </si>
  <si>
    <t>Foresight Systems, Inc.</t>
  </si>
  <si>
    <t>http://www.foresightengineering.com</t>
  </si>
  <si>
    <t>mailto:info@foresightengineering.com</t>
  </si>
  <si>
    <t>Forever Green Irriga</t>
  </si>
  <si>
    <t>http://forevergreenirrigations-indy.com</t>
  </si>
  <si>
    <t>mailto:johngardner2@comcast.net</t>
  </si>
  <si>
    <t>Forever Young, LLC</t>
  </si>
  <si>
    <t>http://feyrx.com</t>
  </si>
  <si>
    <t>Form/Tec Plastics, Inc.</t>
  </si>
  <si>
    <t>="Manufacture formed (thermoformed) and post-coated (our exclusive SUPERCOAT, a silicone based hard-coat) polycarbonte windshields, windows, windscreens, and canopies for all industries: heavy equipment, military, racing, marine, recreation, faceshields, and more. We produce OEM products, retail replacement products, and perform custom work. Our Heavy Equipment replacement windows offer the quality of glass with all the safety and performance advantages of formed and post-coated polycarbonate."</t>
  </si>
  <si>
    <t>http://www.racingshields.com</t>
  </si>
  <si>
    <t>mailto:bshields@racingshields.com</t>
  </si>
  <si>
    <t>Forsey Construction, Inc.</t>
  </si>
  <si>
    <t>http://www.4cconstruction.com</t>
  </si>
  <si>
    <t>mailto:tom@4cconstruction.com</t>
  </si>
  <si>
    <t>Fort Wayne Laundry Solutions Inc.</t>
  </si>
  <si>
    <t>http://IndianaCommercialLaundry.com</t>
  </si>
  <si>
    <t>mailto:FWLSINC.com</t>
  </si>
  <si>
    <t>Fort Wayne Roofing and Sheet Metal Corp.</t>
  </si>
  <si>
    <t>Fort Wayne Urban League, Inc.</t>
  </si>
  <si>
    <t>="The mission of the Fort Wayne Urban League (FWUL) is to enable the urban poor and others to secure economic self-reliance, parity, power and civil rights. Our strategies include: ensuring that our children are well-educated and equipped for economic self-reliance in the 21st century; helping adults attain economic self-sufficiency through good jobs, homeownership, entrepreneurship and wealth accumulation; and ensuring our civil rights by eradicating all barriers to equal participation in the economic and social mainstream of America. We provide a variety of services in the areas of education, youth development, &amp; economic development/employment, that assist families to increase their knowledge/skills/abilities required for self-reliance. Goals include: • The youth we serve will achieve academically and become self-reliant, contributing adults; • Our clients will obtain good jobs, have an opportunity to own their own homes and businesses; • Our community will become more inclusive"</t>
  </si>
  <si>
    <t>http://FWUrbanLeague.org</t>
  </si>
  <si>
    <t>mailto:JRay@FWUrbanLeague.org</t>
  </si>
  <si>
    <t>Fortified Development Group LLC</t>
  </si>
  <si>
    <t>mailto:dale_pruitt@yahoo.com</t>
  </si>
  <si>
    <t>Multifamily Housing Construction</t>
  </si>
  <si>
    <t>Forum Architects LLC</t>
  </si>
  <si>
    <t>http://www.forumarchitectsllc.com</t>
  </si>
  <si>
    <t>mailto:mail@forumarchitectsllc.com</t>
  </si>
  <si>
    <t>Forward Engineering</t>
  </si>
  <si>
    <t>="FORWARD ENGINEERING, LLC provides experience in software development and technical leadership for embedded systems applications. While the team has a strong background in the development of high profile telematics and DVD audio/video products, it also brings experience in a variety of other embedded technologies. FORWARD can provide the necessary expertise and leadership to help bring your ideas to market. See our website at www.forwardes.com for more details."</t>
  </si>
  <si>
    <t>http://www.forwardes.com</t>
  </si>
  <si>
    <t>mailto:solutions@forwardes.com</t>
  </si>
  <si>
    <t>Forward, Inc.</t>
  </si>
  <si>
    <t>mailto:dlcormican@aol.com</t>
  </si>
  <si>
    <t>Foso Construction, LLC.</t>
  </si>
  <si>
    <t>http://www.fosoconstruction.com</t>
  </si>
  <si>
    <t>mailto:info@fosoconstruction.com</t>
  </si>
  <si>
    <t>Fossil Industries, Inc.</t>
  </si>
  <si>
    <t>="THE MOST DURABLE SIGNS &amp; MURALS MADE … GUARANTEED! They’re the durable choice for many state and national parks, zoos and theme parks. Fossil digital High Pressure Laminate graphics are graffiti proof, impervious to moisture, can never delaminate or crack, and extremely resistant to scratching, impact…even cigarette burns. Fossil signs do not require framing and are easily attached to pedestals, posts, railings and walls. Fossil offers mounting hardware and graphic design service. Fossil signs are guaranteed for 20 years against fading and weather deterioration. Please contact us for a catalog and sample. Fossil Industries, Inc. www.FOSSILinc.com 800-244-9809"</t>
  </si>
  <si>
    <t>http://www.FOSSILinc.com</t>
  </si>
  <si>
    <t>mailto:info@FOSSILinc.com</t>
  </si>
  <si>
    <t>Foster Brothers LLC</t>
  </si>
  <si>
    <t>mailto:fosterbrothers@verizon.net</t>
  </si>
  <si>
    <t>Foster Land Surveying, Inc.</t>
  </si>
  <si>
    <t>="A professional surveying company that specializes in mapping, subdivisions, site design, watershed &amp; drainage, sewers, and roadways. Representaive projects span from residential site design and construction staking to right-of-way engineering and transportation layout. Services include GPS, Control Networks, Robotic Total Stations, Photogrammetry, 3-D Terrain Modeling, and Drafting."</t>
  </si>
  <si>
    <t>http://www.fosterlandsurveying.com</t>
  </si>
  <si>
    <t>mailto:jimfoster@fosterlandsurveying.com</t>
  </si>
  <si>
    <t>Foster Printing Service, Inc.</t>
  </si>
  <si>
    <t>http://www.fosterprinting.com</t>
  </si>
  <si>
    <t>Other Publishers</t>
  </si>
  <si>
    <t>Foster Results, LLC</t>
  </si>
  <si>
    <t>="Foster Results provides bookkeeping, training, and part-time CFO consulting services to Indianpolis based small and mid-sized companies. We can produce your monthly financial statements, take complete responsibility for your day to day business financials, or function in a strategic role. Foster Results understands the challenges small and mid-sized businesses face. Our accounting processes will simplify your bookkeeping, and free your schedule. Ninety days from hiring us your financials will run smoothly. That’s peace of mind. While Foster Results works on the details, you can focus on your core business. We promise you will enjoy working with us, as we remove that thorn in your side."</t>
  </si>
  <si>
    <t>http://www.fosterresults.com</t>
  </si>
  <si>
    <t>mailto:info@fosterresults.com</t>
  </si>
  <si>
    <t>Foundation 648, Inc.</t>
  </si>
  <si>
    <t>="Foundation 648, Inc. specializes in providing advanced web, CMS, social and enterprise search solutions to our clients with cutting edge design, content and marketing tools. we also provide the managed hosting infrastructure needed to support them. We are certified implementation partners with Ektron, Sitefinity, Sitecore and Telligent. Our emphasis is on strategy and properly designing, implementing, customizing, integrating and hosting these complex web applications and providing the support and expertise our clients' need. Our success is our clients’ success, period."</t>
  </si>
  <si>
    <t>http://www.foundation648.com</t>
  </si>
  <si>
    <t>mailto:contact@foundation648.com</t>
  </si>
  <si>
    <t>Four Corners Framing, LLC</t>
  </si>
  <si>
    <t>mailto:four_corners_4@hotmail.com</t>
  </si>
  <si>
    <t>Four Moore Inc.</t>
  </si>
  <si>
    <t>Four Seasons Motel</t>
  </si>
  <si>
    <t>="We are a family owned business. Our family began this business in 1968. We operate and manage the business daily, in addition to having 60 off-site rental properties, from efficiencies, apartments, duplexes, and even homes to lease from short to long terms. All of our rooms have high speed broadband internet, microwave, refrigerator, and coffee maker. We also have DVD players in our queens, kings, and suites. There is also a business center, including a computer in the office that you may use to check your email. Since we are located close to major businesses, if you stay with us, you will have plenty of time to golf, play tennis, fish, work out at the 24 hour gym, or jog. We are located within 5 miles of the following businesses, General Electric, ADM Milling Co, CF Industries, Consolidated Grain, Countrymark, MG Industries, Southwind Maritime Centre, BWXT, and John T. Myers Locks &amp; Dam (12 miles)."</t>
  </si>
  <si>
    <t>http://www.fourseasons-motel-indiana.com</t>
  </si>
  <si>
    <t>mailto:banksfourseasons@us.com</t>
  </si>
  <si>
    <t>Fourth Generation Investing, LLC</t>
  </si>
  <si>
    <t>mailto:fourthgenerationinvesting@gmail.com</t>
  </si>
  <si>
    <t>Fowler Motor Group</t>
  </si>
  <si>
    <t>mailto:fowlermotors1@yahoo.com</t>
  </si>
  <si>
    <t>Fox Solutions Corp</t>
  </si>
  <si>
    <t>="Fox Solutions Corporation is a Distributor/Dealer of Electrical Supplies, Lighting, Equipment, Wiring and Construction Materials. We are also a provider of Computer Hardware and Software Services, Information Services, Internet Service and Telecommunications provider."</t>
  </si>
  <si>
    <t>http://www.foxcorporation.com</t>
  </si>
  <si>
    <t>mailto:jfox@foxcorporation.com</t>
  </si>
  <si>
    <t>Foxfire Environmental Inc</t>
  </si>
  <si>
    <t>="Foxfire Environmental, Inc., founded in 1986, is a multi-disiplined firm that provides an array of enviornmental and geotechnical consulting services to business owners, developers, engineering firms, lending institutions, contractors, and government agencies. Typical services offered by Foxfire include geotechnical and hydrological investigations, environmental consulting, various laboratory analysis, air monitoring, regulatory coordination, emergency response, and site remediation/environmental cleanup."</t>
  </si>
  <si>
    <t>http://www.teamfoxfire.com</t>
  </si>
  <si>
    <t>mailto:jmonroe@teamfoxfire.com</t>
  </si>
  <si>
    <t>Fraley Truck and IMp</t>
  </si>
  <si>
    <t>http://www.fraleytruck.com</t>
  </si>
  <si>
    <t>mailto:sales.fti@harvestmail/net</t>
  </si>
  <si>
    <t>Frame Station Inc.</t>
  </si>
  <si>
    <t>Frameworks Marketing Group</t>
  </si>
  <si>
    <t>http://www.frameworksmg.com</t>
  </si>
  <si>
    <t>mailto:customerservice@frameworksmg.com</t>
  </si>
  <si>
    <t>Francesville Drain Tile Corp</t>
  </si>
  <si>
    <t>http://www.fratco.com</t>
  </si>
  <si>
    <t>mailto:tredlin@fratco.com</t>
  </si>
  <si>
    <t>Francine Bond Insurance Agency, Inc.</t>
  </si>
  <si>
    <t>mailto:francinebond@att.net</t>
  </si>
  <si>
    <t>Franco Consulting Engineers</t>
  </si>
  <si>
    <t>http://www.francoengineers.com</t>
  </si>
  <si>
    <t>mailto:gfranco@francoengineers.com</t>
  </si>
  <si>
    <t>Frangipani Body Products</t>
  </si>
  <si>
    <t>http://www.frangipanibodyproducts.com</t>
  </si>
  <si>
    <t>mailto:frangipani@frangipanibodyproducts.com</t>
  </si>
  <si>
    <t>Cosmetics, Beauty Supplies and Perfume Stores</t>
  </si>
  <si>
    <t>Frank E. Irish, Inc.</t>
  </si>
  <si>
    <t>Frank Ladd Sales, In</t>
  </si>
  <si>
    <t>mailto:sales@frankladd.com</t>
  </si>
  <si>
    <t>Frank's Violins, LLC</t>
  </si>
  <si>
    <t>http://www.franksviolins.com</t>
  </si>
  <si>
    <t>mailto:info@franksviolins.com</t>
  </si>
  <si>
    <t>Musical Instrument and Supplies Stores</t>
  </si>
  <si>
    <t>Franke Environmental Systems LLC</t>
  </si>
  <si>
    <t>Franklin Barry LTD Inc</t>
  </si>
  <si>
    <t>="Since 1960 providing fine picture framing, original artwork and prints to private , business, government &amp; not-for-profit clients. On premise workshop, gallery &amp; showroom. On-site consultations and installations. Specialty: conservation framing and design. Over 1,000 frame styles.Largest single order - 27,000 frames."</t>
  </si>
  <si>
    <t>mailto:theframeshopindy@aol.com</t>
  </si>
  <si>
    <t>Franklin County Government</t>
  </si>
  <si>
    <t>Franklin Drywall II, LLC</t>
  </si>
  <si>
    <t>http://www.franklindrywall.net</t>
  </si>
  <si>
    <t>mailto:franklindrywall@insightbb.com</t>
  </si>
  <si>
    <t>Franklin Stamping Industries, Inc.</t>
  </si>
  <si>
    <t>http://www.franklinstamping.com</t>
  </si>
  <si>
    <t>mailto:randfsi@att.net</t>
  </si>
  <si>
    <t>Pulp Mills</t>
  </si>
  <si>
    <t>Frascio Int'l LLC</t>
  </si>
  <si>
    <t>http://www.frasciointernational.com</t>
  </si>
  <si>
    <t>mailto:nathan2frasciointernational.com</t>
  </si>
  <si>
    <t>Frecker Optical INC.</t>
  </si>
  <si>
    <t>mailto:freckeroptical@choiceonemail.com</t>
  </si>
  <si>
    <t>Freckles Graphics, Inc.</t>
  </si>
  <si>
    <t>http://www.frecklesgraphics.com</t>
  </si>
  <si>
    <t>mailto:rick@frecklesgraphics.com</t>
  </si>
  <si>
    <t>Fredricka F. Joyner</t>
  </si>
  <si>
    <t>mailto:fjoyner@comcast.net</t>
  </si>
  <si>
    <t>Freedom Cleaning &amp; Restoration, LLC</t>
  </si>
  <si>
    <t>Freedom Enterprises LLC</t>
  </si>
  <si>
    <t>="A leader in the industrial and process piping, plumbing, heating, and air conditioning service industry; Freedom Enterprises is committed to providing and installing only the highest quality equipment at its customer’s facilities to ensure longevity in the life of the equipment, as well as reductions in maintenance costs. We also have extensive experience in a wide range of other market segments including residential, commercial education, and health care facilities. Freedom Enterprises has the ability to self-perform all requirements within our core areas of expertise. Freedom Enterprises LLC is a Service Disabled Veteran Owned Small Business and is led by Craig Wagoner Sr., Lieutenant Colonel, USA, retired, who served 30 years before founding Freedom Enterprises LLC. Freedom Enterprises seeks to employ qualified Veterans and a core business value."</t>
  </si>
  <si>
    <t>http://www.freedom-enterprises.net</t>
  </si>
  <si>
    <t>mailto:cwagoner@freedom-enterprises.net</t>
  </si>
  <si>
    <t>Freedom Flag Inc.</t>
  </si>
  <si>
    <t>="We sale sectional, telescopic, and one piece flagpoles. We offer installation as well as maintenance on existing flagpoles. We sale all types of flags-American flags, state and territory flags, International flags, Military flags, Religious flags, Sports flags, Blade flags, Custom corporate flags, Holiday Flags, and Printed flags. We also carry all types of accessories."</t>
  </si>
  <si>
    <t>http://www.freedomflaginc.com</t>
  </si>
  <si>
    <t>mailto:sam@freedomflaginc.com</t>
  </si>
  <si>
    <t>Freedom Pharmacy</t>
  </si>
  <si>
    <t>mailto:eyoung@f-rx.com</t>
  </si>
  <si>
    <t>Freedom Staffing LLC</t>
  </si>
  <si>
    <t>http://www.freedomstaffing.us</t>
  </si>
  <si>
    <t>mailto:contact@freedomstaffing.us</t>
  </si>
  <si>
    <t>Freedom Staffing, Llc.</t>
  </si>
  <si>
    <t>="Freedom Staffing, Llc. is a employment staffing agency based in Indianapolis Indiana. Freedom Staffing, LLC. has proven recruitment expertise in Hardware, Software, Networking, Telecommunications, Semiconductor industries, insurance, DBA, help desk support, Biotechnology Research, Medical, Construction and related support technologies. We offer fully customized staffing solutions, both on site and off. We also provide background checks, credit checks and drug screens for all employees. Freedom Staffing, Llc. is proud to support our troops at home and abroad. We work closely with the Veterans Administration to help our returning solders find quality jobs here at home. We specialize in job placement for veterans. Veterans have a long history of being dependable, reliable, adaptable, skilled and dedicated hard working individuals and represent everything that Freedom Staffing, LLC. is about."</t>
  </si>
  <si>
    <t>Freeman Mechanical S</t>
  </si>
  <si>
    <t>mailto:freemanmechanical@earthlink.net</t>
  </si>
  <si>
    <t>Freeway Trucking, LLC</t>
  </si>
  <si>
    <t>mailto:mrsdiamondone@yahoo.com</t>
  </si>
  <si>
    <t>Freight Masters Systems Inc.</t>
  </si>
  <si>
    <t>http://www.gofml.com</t>
  </si>
  <si>
    <t>Freiman Consulting Inc.</t>
  </si>
  <si>
    <t>="Freiman Consulting offers professional consulting services specializing in the areas of: -Strategic Planning -Project Planning -Project Management -Grant Development, Management, Evaluation, Writing -Program Development, Management, Evaluation -Policy Development -Best Practices Reviews -Training -Presentation Development -Facilitation -Public Awareness Campaign Development, Implementation"</t>
  </si>
  <si>
    <t>mailto:christine@freimaninc.com</t>
  </si>
  <si>
    <t>Fremont Sand &amp; Gravel LLC</t>
  </si>
  <si>
    <t>French Associates, Inc. Architects</t>
  </si>
  <si>
    <t>="French Associates, Inc. has been in business for nearly 40 years and is a mid-sized architectural firm with offices in Indiana and Michigan.. French Associates is a leading architectural firm specializing in educational, medical and municipal markets, yet our commitment to customer service and the highest quality work has never changed. We continue to develop and expand our talents without losing track of our roots. Many of our original clients have retained our services over the duration of our existence. In fact, our first client, retained in 1971, is still our client today. Simply stated, we stand by our word and deliver on our promises."</t>
  </si>
  <si>
    <t>http://www.frenchaia.com</t>
  </si>
  <si>
    <t>mailto:christophers@frenchaia.com</t>
  </si>
  <si>
    <t>Fresh Start</t>
  </si>
  <si>
    <t>Frick Trucking, Inc.</t>
  </si>
  <si>
    <t>mailto:nolag@msn.com</t>
  </si>
  <si>
    <t>Fritcha Construction Company, Inc.</t>
  </si>
  <si>
    <t>mailto:sodbuster210@comcast.net</t>
  </si>
  <si>
    <t>Frittle Candy LLC</t>
  </si>
  <si>
    <t>="We specialize in nostalgia, with a twist. Frittle™ Candy sells direct to businesses, organizations, and retailers in Indiana. We offer a line of nostalgia treats beautifully packaged to be an indulgent break in your day–a little sweet, peanut treat–Flavors that will transport you straight back to mom’s kitchen. Available in custom sizes and a variety of flavors, in keepsake boxes. A great way to say “thanks” to staff members, guests, clients, or anyone you really want to show your gratitude!"</t>
  </si>
  <si>
    <t>http://www.frittlecandy.com</t>
  </si>
  <si>
    <t>mailto:carrie@frittlecandy.com</t>
  </si>
  <si>
    <t>Sugar and Confectionery Product Manufacturing</t>
  </si>
  <si>
    <t>From My Heart CPR &amp; FA Training, LLC</t>
  </si>
  <si>
    <t>mailto:frommyheartcpr@yahoo.com</t>
  </si>
  <si>
    <t>From-the-Heart Parenting, Inc.</t>
  </si>
  <si>
    <t>="Organize and facilitate parenting education classes, workshops, and seminars for schools, businesses, organizations, churches, state and local agencies; and, promote responsible and effective parenting through our April is Parenting Awareness Month Indiana and Help a Parent - Save a Child initiative."</t>
  </si>
  <si>
    <t>http://www.fthparenting.com</t>
  </si>
  <si>
    <t>mailto:info@fthparenting.com</t>
  </si>
  <si>
    <t>Frontier Business Services</t>
  </si>
  <si>
    <t>="Frontier Business Services is a multi faceted reseller of goods and services to Public and Private corporations and government entities in Indiana. We can source and purchase any type of items needed by any government agency. We offer courteous, rapid response, and competitive pricing. Frontier Business Services also provides Accounting, Tax and other Business support services to small Businesses in Indiana."</t>
  </si>
  <si>
    <t>mailto:vicki.frontierbusiness@comcast.net</t>
  </si>
  <si>
    <t>Frontier Machine &amp; Tool, Inc.</t>
  </si>
  <si>
    <t>Machine Tool (Metal Cutting Types) Manufacturing</t>
  </si>
  <si>
    <t>Frontier Technologies, LLC</t>
  </si>
  <si>
    <t>http://FrontierLED.com</t>
  </si>
  <si>
    <t>mailto:sales@frontierled.com</t>
  </si>
  <si>
    <t>Frontline Construction Inspection, Inc.</t>
  </si>
  <si>
    <t>mailto:rdfjwf@comcast.net</t>
  </si>
  <si>
    <t>Frontline Logic, Inc.</t>
  </si>
  <si>
    <t>="Frontline Logic provides senior engagement leadership to guide companies toward greater efficiency of information access. Frontline creates and deploys solutions that consistently exceed client expectations, ranging from security customizations, software and portal integrations, and standard-setting imaging services, to the development and implementation of enterprise-wide web management accelerators. With precision focus on deploying document and content management solutions Frontline Logic’s professionals provide a high level of assurance to our clients through our experienced approach, adherence to structured methodologies, and results oriented problem solving."</t>
  </si>
  <si>
    <t>http://www.frontlinelogic.com</t>
  </si>
  <si>
    <t>Frontline National LLC.</t>
  </si>
  <si>
    <t>="FRONTLINE NATIONAL provides hospitals, health systems, long-term care and assisted living facilities, and other healthcare-related institutions with a full-range of recruitment, staffing, and permanent Placement as well as short term Healthcare and Administrative Professional Staffing Solutions."</t>
  </si>
  <si>
    <t>http://www.frontlinenational.com</t>
  </si>
  <si>
    <t>mailto:Kathy@frontlinenational.com</t>
  </si>
  <si>
    <t>Frost Engineering &amp; Consulting Company</t>
  </si>
  <si>
    <t>http://www.frosteng.net</t>
  </si>
  <si>
    <t>mailto:contactus@frosteng.net</t>
  </si>
  <si>
    <t>Frozen Food Service</t>
  </si>
  <si>
    <t>http://www.salemfoodservice.com</t>
  </si>
  <si>
    <t>mailto:slmfoods@blueriver.net</t>
  </si>
  <si>
    <t>Meat and Meat Product Wholesalers</t>
  </si>
  <si>
    <t>Fruehman Group Ltd</t>
  </si>
  <si>
    <t>http://fruehmangroup.com</t>
  </si>
  <si>
    <t>mailto:pf@fruehmangroup.com</t>
  </si>
  <si>
    <t>Fry Tech Edible Oils</t>
  </si>
  <si>
    <t>mailto:GBroadlick@aol.com</t>
  </si>
  <si>
    <t>Other Grocery and Related Products Merchant Wholesalers</t>
  </si>
  <si>
    <t>Frye Brokerage Co.</t>
  </si>
  <si>
    <t>http://www.fryebrokerage.com</t>
  </si>
  <si>
    <t>mailto:sales@fryebrokerage.com</t>
  </si>
  <si>
    <t>Fulcrum STUDIOS, PC</t>
  </si>
  <si>
    <t>="Fulcrum STUDIOS, PC is an architectural, interiors, and graphic design firm located in Indianapolis, IN. We have experience as a full service firm with corporate, university, low-income housing, government, restoration, planning, religious, interiors, and graphic experience. This includes projects as high as $42 million in construction fees. We are involved with innovative design focusing on the constructibility of our designs. In addition, we have become involved with LEED projects and their implementation here in the midwest."</t>
  </si>
  <si>
    <t>http://www.fulcrum-studios.com</t>
  </si>
  <si>
    <t>mailto:sperez@fulcrum-studios.com</t>
  </si>
  <si>
    <t>Fulcrum Services, LLC</t>
  </si>
  <si>
    <t>="Fulcrum Services mission is to provide high quality Engineering, Logistics, Information Technology, Program Management, and Administrative Services to all US Government Agencies, with primary emphasis on the Department of Defense (Army, Navy, Marine Corps, and Air Force), and the Homeland Defense Agency. Logistics Services: -Reliability Engineering -Maintainability Engineering -Maintenance Planning -Supply Support -Support &amp; Test Equipment -Equipment Support -Manpower &amp; Personnel -Training &amp; Training Support -Technical Data/Publications -Computer Resources Support Facilities -Packaging, Handling, Storage, &amp; Transportation (PHS&amp;T) Design Interface Program Management Capabilities: -Earned Value Management -Manage Complex Programs/Projects -Plan Project Lifecycle Deployment -Define Resources &amp; Scheduling -Create Strategies for Risk Mitigation &amp; Contingency Planning -Plan &amp; Schedule Project Deliverables &amp; Goals, &amp; Milestones -Directs &amp; Oversees Project"</t>
  </si>
  <si>
    <t>http://www.fulcrumservicesonline.com</t>
  </si>
  <si>
    <t>mailto:deanna.ford@fulcrumservicesonline.com</t>
  </si>
  <si>
    <t>Fulcrum Technology, LLC</t>
  </si>
  <si>
    <t>="Engineering Services, Custom Computer Programming Services, Computer Systems Design Services, Computer Facilities Management Services, Other Computer Related Services, Administrative Management and General Management Consulting Services, Human Resources and Executive Search Consulting Services, Marketing Consulting Services, Process, Physical Distribution, and Logistics Consulting Services, Other Management Consulting Services, Environmental Consulting Services, Other Scientific and Technical Consulting Services, Office Administrative Services, Facilities Support Services"</t>
  </si>
  <si>
    <t>http://www.fulcrumtechnologyonline.com</t>
  </si>
  <si>
    <t>mailto:Kevin.Suddeth@fulcrumtechnologyonline.com</t>
  </si>
  <si>
    <t>Fullenkamp Machine &amp; Mfg., Inc.</t>
  </si>
  <si>
    <t>="Design &amp; build services for jigs,fixtures, special machines, material handling equipment, and prototype parts. CNC Machining. Emergency repair or replacement of machined or fabricated parts. Metal fabrication of all types, specializing in stainless steel. Welding services, both in-house and portable. Abrasive Waterjet Machining."</t>
  </si>
  <si>
    <t>http://www.fullenkampmachine.com</t>
  </si>
  <si>
    <t>mailto:sales@fullenkampmachine.com</t>
  </si>
  <si>
    <t>Fulton County Government</t>
  </si>
  <si>
    <t>http://FULTON.CO.IN.US</t>
  </si>
  <si>
    <t>mailto:auditor@co.fulton.in.us</t>
  </si>
  <si>
    <t>Fultz Auto Supplies, Inc.</t>
  </si>
  <si>
    <t>Fusek's True Value</t>
  </si>
  <si>
    <t>http://fusekstruevalue.com</t>
  </si>
  <si>
    <t>mailto:sfusek@truevalue.net</t>
  </si>
  <si>
    <t>Fusion Alliance, Inc</t>
  </si>
  <si>
    <t>="Fusion Alliance is an Indianapolis based company with around 200 employees locally. Fusion was listed as the largest Web consulting firm by the IBJ for the third year in a row. 80% of the staff is on the application development side of the house (Java, .NET ...), with the other 20% split between Infrastructure (LAN/WAN) and Creative Design (Web front-end). One of our biggest differentiators is our approach to projects ... with a strong project management team and our proprietary Catalyst Framework (Design-Build-Test-Deploy), we are able to provide the quality assurance necessary to complete IT projects on time and within budget."</t>
  </si>
  <si>
    <t>http://www.fusionalliance.com</t>
  </si>
  <si>
    <t>mailto:jharrison@fusionalliance.com</t>
  </si>
  <si>
    <t>Fusion Integrated Solutions LLC</t>
  </si>
  <si>
    <t>="Fusion Integrated Solutions provides engineering and IT services. The Engineering Business Unite specializes in mechanical, civil/structural, electrical and process engineering/design services, including project management, materials procurement, construction field supervision, and reprographics/CAD. Our IT Services group provides solutions and services to deploy and manage Enterprise and eBusiness Applications, with focus on PeopleSoft, Microsoft.NET, SQL, SAP, Oracle, Siebel platforms."</t>
  </si>
  <si>
    <t>http://www.hitech-integrated.com</t>
  </si>
  <si>
    <t>mailto:solutions@fusion-etc.com</t>
  </si>
  <si>
    <t>Fusion by Design, Inc.</t>
  </si>
  <si>
    <t>http://www.fusion-bydesign.com</t>
  </si>
  <si>
    <t>mailto:fusion-fusion-bydesign.com</t>
  </si>
  <si>
    <t>Future Audio Video</t>
  </si>
  <si>
    <t>="Residential &amp; Commercial Audio &amp; Video Sales &amp; Installation including the following: HDTV(LCD &amp; Plasma, DLP,LCOS),Projectors &amp; Screens, Distributed Audio, Distributed Video, Security Systems, Security Camera Systems, Studio &amp; Recording Equipment &amp; Installation, Pro-Audio Sales &amp; Installation, Pre-wire of Low Voltage Wires(phone &amp; TV,etc.) Gymnasium, conference room, CustomTheaters, Intercom."</t>
  </si>
  <si>
    <t>http://www.futureaudiovideo.com</t>
  </si>
  <si>
    <t>mailto:futureaudiovideo@yahoo.com</t>
  </si>
  <si>
    <t>Future Communications, Inc.</t>
  </si>
  <si>
    <t>http://www.futurecomm.info</t>
  </si>
  <si>
    <t>mailto:info@futurecomm.info</t>
  </si>
  <si>
    <t>Future Enterprises Inc.</t>
  </si>
  <si>
    <t>http://www.elangham.com</t>
  </si>
  <si>
    <t>mailto:johnobrien@elangham.com</t>
  </si>
  <si>
    <t>Future Form Plastics, Inc.</t>
  </si>
  <si>
    <t>http://www.futureformplastics.com</t>
  </si>
  <si>
    <t>mailto:info@futureformplastics.com</t>
  </si>
  <si>
    <t>Future Wave Graphics</t>
  </si>
  <si>
    <t>G &amp; G CONSTRUCTION</t>
  </si>
  <si>
    <t>="This company performance any work related with framing for commercial &amp; residential. We have 9 years of experience, having efficient carpenters. This company performance work according the contracts signed for both parties. We work for you to expidite your business."</t>
  </si>
  <si>
    <t>http://gilmabonilla@sbcglobal.net</t>
  </si>
  <si>
    <t>mailto:gilmabonilla@sbcglobal.net</t>
  </si>
  <si>
    <t>Framing Contractors</t>
  </si>
  <si>
    <t>G &amp; M ACE HARDWARE</t>
  </si>
  <si>
    <t>G &amp; M Supply of Indiana LLC</t>
  </si>
  <si>
    <t>G &amp; R General Construction LLC</t>
  </si>
  <si>
    <t>="G&amp;R General Construction LLC is a family owned business. With many years in business, G&amp;R has delivered the best value in building services by placing expert construction professionals on every project undertaken. We are Licensed, Bonded and fully Insured. We only work with professional and prepared employees to provide you with outstanding quality service offering: -New Construction -Roofing -Siding -Framing -Interior Carpentry -Concrete Work -Iron Works -Remodeling"</t>
  </si>
  <si>
    <t>http://www.gr-generalconstruction.com</t>
  </si>
  <si>
    <t>mailto:gr.generalconstruction@live.com</t>
  </si>
  <si>
    <t>G &amp; S Enterprises of Bloomington, Inc.</t>
  </si>
  <si>
    <t>http://grahamsecuritypatrol.com</t>
  </si>
  <si>
    <t>mailto:asimpson@egix.netq</t>
  </si>
  <si>
    <t>G E Energy Co LLC</t>
  </si>
  <si>
    <t>="Plumbing Contractor: (Residential, Commercial, Industrial, Apt Maintenance &amp; Property Management.... Plumbing Services: Septic System Installation &amp; Repair, Drain &amp; Sewer Cleaning, Well &amp; Pump Service, Water Line and Gas Leak Repair. Excavation Services: Site Preparation-Clearing-Demolition-Leveling, Swimming Pool Excavation, Landscape Excavation, Ponds-Lakes and Basements"</t>
  </si>
  <si>
    <t>http://www.geenergyco.com</t>
  </si>
  <si>
    <t>mailto:info@geenergyco.com</t>
  </si>
  <si>
    <t>G E Marshall Inc</t>
  </si>
  <si>
    <t>http://www.gemarshall.com</t>
  </si>
  <si>
    <t>mailto:info@gemarshall.com</t>
  </si>
  <si>
    <t>G Force, Inc</t>
  </si>
  <si>
    <t>http://www.gf-inc.com</t>
  </si>
  <si>
    <t>mailto:carlos.gaitani@gf-inc.com</t>
  </si>
  <si>
    <t>G G Trucking, Inc</t>
  </si>
  <si>
    <t>mailto:ggtruckinginc@hotmail.com</t>
  </si>
  <si>
    <t>G&amp;C Towing, LLC</t>
  </si>
  <si>
    <t>mailto:gctowing_llc@yahoo.com</t>
  </si>
  <si>
    <t>G&amp;J Automotive and Truck Parts Center</t>
  </si>
  <si>
    <t>http://www.carquest.com</t>
  </si>
  <si>
    <t>mailto:gahanney@verizon.net</t>
  </si>
  <si>
    <t>G&amp;M Training &amp; Services, LLC</t>
  </si>
  <si>
    <t>="We are a bilingual (Spanish/English)OSHA safety training company, that has worked in the manufacturing, construction and heavy industrial work environments. We do on-site safety audits, develop safety programs and manuals, 10 &amp; 30 Hour OSHA training, 40-Hour Hazwpoer classes, confined spaces, fall protection as well as any of the other OSHA required regulations. We have translated this information into the Spanish language and in a format that is designed to be easily understood and retained by this segment of the workforce. The training also includes hands on demonstrations on how to inspect, and properly use personal protective equipment, fall protection, lockout/tagout devices, fill out confined space permits, as well as safe use of chemicals (Hazardous Communications)."</t>
  </si>
  <si>
    <t>mailto:gilbertvelez@comcast.net</t>
  </si>
  <si>
    <t>="We provide Occupational Health and Safety training and related services. This includes safety or risk analysis, OSHA safety training, and spanish interpretation services. We provide training tailored to a company's specific safety needs. We are qualified to do OSHA 10 &amp; 30 Hour classes for the Construction and General Industry. Training can be done in Spanish or English. We do 40- Hour Hazwoper Training and 8-Hour refreshers in Spanish or English. We also do permit required confined spaces, excavation, fall protection, forklift and any other safety related courses in Spanish or English. We will also evaluate and develop written safety programs to meet a company's specific needs."</t>
  </si>
  <si>
    <t>G&amp;R SEEDS, INC.</t>
  </si>
  <si>
    <t>="We condition agricultural seeds from field bulk seed to a clean product that is bagged and palletized to any size small bag, mini bulk, or bulk containment . Our main production is the conditioning of soybean and wheat seed, but we can do any small grass seeds, etc. We can also treat the seed with insecticide and fungicides. We can provide seed sizes and germination results for these products as well."</t>
  </si>
  <si>
    <t>mailto:rwilliams01@juno.com</t>
  </si>
  <si>
    <t>Support Activities for Crop Production</t>
  </si>
  <si>
    <t>G&amp;T SERVICES INC.</t>
  </si>
  <si>
    <t>http://GTSITESERVICES.COM</t>
  </si>
  <si>
    <t>mailto:GREGL@GTSITESERVICES.COM</t>
  </si>
  <si>
    <t>G.A.S. Business Development Solutions</t>
  </si>
  <si>
    <t>http://gasbds.com</t>
  </si>
  <si>
    <t>mailto:ggcroucher@gasbds.com</t>
  </si>
  <si>
    <t>G.E. Energy Co LLC</t>
  </si>
  <si>
    <t>mailto:customerservice@geenergyco.com</t>
  </si>
  <si>
    <t>G3 Foodservice Consulting, LLC</t>
  </si>
  <si>
    <t>="G3 Foodservice Consulting, LLC provides design and consultant services to all types of commercial foodservice operations. Service include, but are not limited to, design development, kitchen layouts, equipment specifications, spot rough-ins, fabrication drawings, operational flow management, budget cost estimates, replacement planning strategies, and energy audits."</t>
  </si>
  <si>
    <t>http://g3foodservice.wix.com/g3foodservi</t>
  </si>
  <si>
    <t>mailto:g3foodservice@gmail.com</t>
  </si>
  <si>
    <t>G3 Logistics, LLC</t>
  </si>
  <si>
    <t>http://www.g3logistics.com</t>
  </si>
  <si>
    <t>mailto:info@g3logistics.com</t>
  </si>
  <si>
    <t>G3 Partners, Inc</t>
  </si>
  <si>
    <t>="G3 Technology Partners is in the business of designing, implementing and supporting state of the art converged voice, data and multi-media networks and solutions. Using the experience of the G3 Technology Partners associates and leveraging the technologies of our strategic partners G3 Technology Partners is positioned to assists it’s clients in gaining efficiencies and competitive advantage."</t>
  </si>
  <si>
    <t>http://www.g3tp.com</t>
  </si>
  <si>
    <t>G4S Secure Solutions (USA) Inc.</t>
  </si>
  <si>
    <t>="G4S is a global security solutions leader that specializes in providing high quality armed and unarmed manned guarding services and innovative technological solutions (i.e., real-time incident reporting systems, risk management software, remote monitoring capabilities, security hardware, visitor management systems, etc.)."</t>
  </si>
  <si>
    <t>http://www.g4s.us</t>
  </si>
  <si>
    <t>mailto:info@usa.g4s.com</t>
  </si>
  <si>
    <t>GADD</t>
  </si>
  <si>
    <t>GADD Professional Services</t>
  </si>
  <si>
    <t>GALLOWAY PHOTO INC</t>
  </si>
  <si>
    <t>http://gallowaycamera.com</t>
  </si>
  <si>
    <t>mailto:gallowaycamera@aol.com</t>
  </si>
  <si>
    <t>Camera and Photographic Supplies Stores</t>
  </si>
  <si>
    <t>GAMEDAY LAND MANAGEMENT</t>
  </si>
  <si>
    <t>="All facets of Construction Project Management Service; Consulting Services; assist in overall master planning and project planning, civil engineering design and construction planning. Correspondence with Ciivil Engineer Firms, Towns, City and Governmental Agencies, Construction observation and documentation reports, assistance with permitting and general construction cost estimating."</t>
  </si>
  <si>
    <t>mailto:gamedaylandman@sbcglobal.net</t>
  </si>
  <si>
    <t>GARCIA CONTRACTING</t>
  </si>
  <si>
    <t>mailto:garciainsuranceindiana@gmail.com</t>
  </si>
  <si>
    <t>Farm Labor Contractors and Crew Leaders</t>
  </si>
  <si>
    <t>GB Manufacturing Company</t>
  </si>
  <si>
    <t>http://www.gbmfg.com</t>
  </si>
  <si>
    <t>mailto:nreyes@gbmfg.com</t>
  </si>
  <si>
    <t>GBI Air Systems, Inc</t>
  </si>
  <si>
    <t>="We are manufacturer's representatives for New York Blower, Bananza Air Management, Rapid Engineering, Donaldson Torit, Breidert, Jenn Fan, FOF and Super Radiator Coils. We sell Commerical and Industrial Heating and Cooling Systems, Dust Control Systems and Industrial Ventilation."</t>
  </si>
  <si>
    <t>mailto:diane@gbiairsystems.com</t>
  </si>
  <si>
    <t>GC PAINTING</t>
  </si>
  <si>
    <t>http://www.gcpainting.zoomshare.com</t>
  </si>
  <si>
    <t>mailto:gc_painting@yahoo.com</t>
  </si>
  <si>
    <t>GC Solutions, Inc.</t>
  </si>
  <si>
    <t>mailto:215@fastsigns.com</t>
  </si>
  <si>
    <t>GCA Distribution LLC</t>
  </si>
  <si>
    <t>mailto:gcadistribution@aol.com</t>
  </si>
  <si>
    <t>GD Smith, Inc</t>
  </si>
  <si>
    <t>="GD Smith, Inc possesses over a hundred years of combined service experience in the indoor environmental field. You will find; hard working, dedicated, trustworthy, honest-to-goodness citizens that live in your area to service their neighbors and establishments they frequent. We will do our very best to address your needs with courtesy, fariness and honesty. Our goal is to consistently provide the very finest service, by ensuring to keep all of our customers satisfied, by implementing rigourous quality control standards, and intensive technical training to keep abreast of the rapid changes in the industry. Services offered: Heating, Air Conditioning, Refrigeration, Sheet Metal, Hydronic, Back Flow Valve State Certification, Water Coolers, Plumbing, Ventilation. 24-hour Emergency Service, Planned Service Agreements, Design-Build Projects, Assisted Engineering Services, and Extended Warranties."</t>
  </si>
  <si>
    <t>http://gdsmithinc.com</t>
  </si>
  <si>
    <t>mailto:service@gdsmithinc.com</t>
  </si>
  <si>
    <t>GENE BELTZ SHADELAND DODGE INC</t>
  </si>
  <si>
    <t>http://www.shadelanddodge.com</t>
  </si>
  <si>
    <t>mailto:sales@shadelanddodge.com</t>
  </si>
  <si>
    <t>GENERAL MARKETING</t>
  </si>
  <si>
    <t>="Graphic design, website design, trade show displays, banners, printing and promotional products, specialty advertising, multimedia, logo illustration, marketing, direct mail, advertising design, coffee cups, pens, brochures, presentation folders, teeshirts, magnets, keychains, keytags, flyers, photography, calendars, catalog design"</t>
  </si>
  <si>
    <t>http://www.gmdinc.net</t>
  </si>
  <si>
    <t>mailto:info@gmdinc.net</t>
  </si>
  <si>
    <t>GENERAL RENTAL INC</t>
  </si>
  <si>
    <t>http://www.rentalhq.com/genren46360</t>
  </si>
  <si>
    <t>mailto:genren46360@yahoo.com</t>
  </si>
  <si>
    <t>GENERAL SUPPLY INC</t>
  </si>
  <si>
    <t>="General Supply is a locally owned and operated business. We are a wholesale and retail supplier to the manufactured, modular and residential housing industry. We specialize in parts , supplies and HVAC equipment and accessories. We also sell HVAC equipment for residential housing as well as state and federal approved weatherization materials."</t>
  </si>
  <si>
    <t>http://www.generalsupplyinc.com</t>
  </si>
  <si>
    <t>mailto:sales@generalsupplyinc.com</t>
  </si>
  <si>
    <t>GEOTILL INC.</t>
  </si>
  <si>
    <t>="GEOTILL offers a wide range of geotechnical services in investiga¬tion, design and inspection capacities for residential, commercial, industrial and transportation development. Delivering value engineering, cost reduction and optimal geotechnical solutions to the most challenging geotechnical problems. GEOTILL operates construction materials testing laboratories capable of performing in-house or on-site testing and inspection services. Our Geotechnical Consulting Practice includes numerical analysis in 2 D and 3 D for the optimized design and assessment of ground displacements and soil-structure interaction. GEOTILL maintains a state-of-the-art geotechnical testing laboratory with services ranging from index testing to advanced strength and permeability testing. Complete geotechnical and soil testing services are available. As a result of our years of experience we offer clients forensic engineering expertise for foundations, retaining walls, slopes and pavement distress studies."</t>
  </si>
  <si>
    <t>http://www.geotill.com</t>
  </si>
  <si>
    <t>mailto:msmadi@geotill.com</t>
  </si>
  <si>
    <t>GEPA Hotel Operator Indianapolis</t>
  </si>
  <si>
    <t>GFS, Inc.</t>
  </si>
  <si>
    <t>="GFS, Inc. dba U.S. Safety Depot is a SDVO small business located in Greenwood, Indiana. Since 1997 U.S. Safety Depot has been focused on providing safety products and services to a wide range of industrial and governmental clients. Our focus is driven by passion to help prevent workplace injuries through product innovation, consultation and training. We stock a broad range of safety products and have 5 full-time safety consultants on staff. Our website is www.ussafetydepot.com We look forward to serving your safety needs."</t>
  </si>
  <si>
    <t>http://www.ussafetydepot.com</t>
  </si>
  <si>
    <t>mailto:kent@ussafetydepot.com</t>
  </si>
  <si>
    <t>GG Consulting, Inc.</t>
  </si>
  <si>
    <t>mailto:ggconsultinginc@att.net</t>
  </si>
  <si>
    <t>GG ENTERPRIZES LLC</t>
  </si>
  <si>
    <t>="GG Enterprizes LLC provides professional services in the areas of: carpet cleaning, water extraction, strip/scrub and refinish vinyl tile flooring, sweep, mop &amp; buff, full line janitorial services, painting, drywalling, roofing, carpet installer, window washing, new construction cleanup, minor maintenance repairing and lawn services. These services are provided to Anderson, Muncie, Indianapolis and surrounding counties."</t>
  </si>
  <si>
    <t>http://www.ggenterprizes.org / www.ggent</t>
  </si>
  <si>
    <t>mailto:ggenterprizes@att.net</t>
  </si>
  <si>
    <t>GG TRUCK BROKERAGE INC</t>
  </si>
  <si>
    <t>http://www.mytransportex.com</t>
  </si>
  <si>
    <t>GH Painters</t>
  </si>
  <si>
    <t>mailto:mgilbe8@aol.com</t>
  </si>
  <si>
    <t>GHG Financial Planning</t>
  </si>
  <si>
    <t>="Assist clients with achieving financial goals through the development and implementation of clear and realistic financial planning. Specialties include overall financial planning, which includes budgeting, retirement planning with a focus on accumulations and income distribution strategies that creates multiple income streams, 401 K rollovers, investment planning, and insurance and health insurance planning for individuals and small business owners"</t>
  </si>
  <si>
    <t>http://www.ghgfinancialplanning.com</t>
  </si>
  <si>
    <t>mailto:gina.hitchens@natplan.com</t>
  </si>
  <si>
    <t>GHS, Inc.</t>
  </si>
  <si>
    <t>http://ghsinc2.com</t>
  </si>
  <si>
    <t>mailto:stoopsdavis@aol.com</t>
  </si>
  <si>
    <t>GIBSON &amp; ASSOCIATES, LLC</t>
  </si>
  <si>
    <t>http://www.gibsonandassociates.biz</t>
  </si>
  <si>
    <t>mailto:Liz@gibsonandassociates.biz</t>
  </si>
  <si>
    <t>GILLIATTE GENERAL CONTRACTOR INC</t>
  </si>
  <si>
    <t>http://www.gilliatte.com</t>
  </si>
  <si>
    <t>GILSINGER IMPLEMENT CO INC</t>
  </si>
  <si>
    <t>http://www.gilsingerimplement.com</t>
  </si>
  <si>
    <t>mailto:general@gilsinger.com</t>
  </si>
  <si>
    <t>GIS Inc.</t>
  </si>
  <si>
    <t>="Distributor of electrical discharge machine (EDM), electrical, industrial and filtration supplies and systems. Expertise in sourcing miscellaneous parts and used EDM machines. Pursuing industrial and government eco-friendly solutions with water and oil filtration systems, reverse osmosis (RO) and closed loop systems to reuse and recycle liquids. Representative of Gisco, Hitachi, OKI &amp; Sumitomo EDM wire, electrode material, Ebbco filtration and filters, Alemite lubrication products, Tyton Hellerman cable management products, Baumer Electric switches, sensors, encoders &amp; optics, Belden connectors, Littlefuse circuit protection, Torit dust collectors, Wearwell mats, Loc Line hoses, Saf-T-Lite and packaging materials."</t>
  </si>
  <si>
    <t>http://www.gisedminc.com</t>
  </si>
  <si>
    <t>mailto:cheller@gisedminc.com</t>
  </si>
  <si>
    <t>GJS Communications, LLC</t>
  </si>
  <si>
    <t>mailto:gjs.communications@earthlink.net</t>
  </si>
  <si>
    <t>GLAS-COL LLC</t>
  </si>
  <si>
    <t>="Glas-Col is a leading international supplier of heating and mixing equipment for chemical, biotech, environmental, and pharmaceutical laboratories. The company also specializes in standard and custom heating and mixing equipment for semiconductor, petroleum, food processing, and other related industries."</t>
  </si>
  <si>
    <t>http://www.glascol.com</t>
  </si>
  <si>
    <t>mailto:mswitzer@glascol.com</t>
  </si>
  <si>
    <t>Industrial Process Furnace and Oven Manufacturing</t>
  </si>
  <si>
    <t>GLASCOCK EQUIPMENT</t>
  </si>
  <si>
    <t>http://gesales.com</t>
  </si>
  <si>
    <t>mailto:loren@k-inc.com</t>
  </si>
  <si>
    <t>GLENAIR Supply Co.,Inc</t>
  </si>
  <si>
    <t>mailto:glenairsupply@hotmail.com</t>
  </si>
  <si>
    <t>GLENN L FIRME &amp; ASSO</t>
  </si>
  <si>
    <t>mailto:firme@adsnet.com</t>
  </si>
  <si>
    <t>GLENROY CONSTRUCTION CO INC</t>
  </si>
  <si>
    <t>GLOBAL 3RD GROUP, LLC</t>
  </si>
  <si>
    <t>="Global 3rd Group is a medical distributor that supplies all the key critical medical supplies to hospitals, nursing homes, and clinics located through out the city of Indianapolis and the State of Indiana. Our company specializes in providing several different products including diabetes supplies, glucose supplies, disposable products, lab coats, lab jackets, insulin syringes, and paper products. We ensure we have adequate stock at all times. We also ensure that our medical supplies are handled in secure and safe way."</t>
  </si>
  <si>
    <t>http://www.global3rdgroup.com</t>
  </si>
  <si>
    <t>mailto:STEVELOCKE03@ATT.NET</t>
  </si>
  <si>
    <t>GLOBE MEDICAL-SURGICAL SUPPLY</t>
  </si>
  <si>
    <t>="Globe Medical is a distributor of Medical-Surgical Supplies and Equipment. Globe Medical is a privately-owned business. Our company supplies a full line of medical, surgical, and janitorial products, such as powder free vinyl/latex gloves, used by clinics, hospitals, and surgicenters. We also sell medical equipment and outpatient testing kits and supplies. We have been selling these products to city, state, and county agencies, as well as, outpatient clinics, surgicenters, and home health agencies for the last 20 years. All of our products are stored in our Lansing, IL warehouse. Our customers are the only reason we are in business. Our primary concern is meeting your needs!"</t>
  </si>
  <si>
    <t>http://WWW.GLOBEMEDICALSUPPLIES.COM</t>
  </si>
  <si>
    <t>mailto:RONAKLAL@AOL.COM</t>
  </si>
  <si>
    <t>GLP Construction Inc</t>
  </si>
  <si>
    <t>="GLP Construction has been in business for 5 years and has recently changed its name to GLP. Our company specializes in drywall, siding, flooring, roofing, window installation and repair, painting concrete and welding. We are a residental and commercial business. Our goal is to provide professional quality work and customer satisfaction to our customers."</t>
  </si>
  <si>
    <t>GLS Staffing, Inc</t>
  </si>
  <si>
    <t>="We help business leaders become more strategic in their planning and process improvements; ultimately increasing profitability and employee morale through creative staffing solutions. In addition to traditional Professional Recruiting, Flexible and Evaluation Hire Staffing, we: • offer collaborative services for your staffing initiatives designed to meet your business goals. • provide an in-depth business review to find ways to increase our level of service and meet your future needs. • enlist additional HR Sources such as our HR Hotline, Organization Effectiveness Survey, HR Handbook Review/Creation and Training. As we work together, our relationship grows both through the services we offer, and the trust we place in each other. Our clients expect a continually improving level of service with customized solutions to meet their needs. Ultimately, our goal is to earn the right to be an integral part of our client company’s success."</t>
  </si>
  <si>
    <t>http://www.evansvillein.expresspros.com</t>
  </si>
  <si>
    <t>mailto:jobs.evansvillein@expresspros.com</t>
  </si>
  <si>
    <t>GLS, INC.</t>
  </si>
  <si>
    <t>mailto:GLSINDY@SBCGLOBAL.NET</t>
  </si>
  <si>
    <t>GM SUPPLY COMPANY</t>
  </si>
  <si>
    <t>="GM Supply is an industrial supply company providing industrial products, integrated supply services and assembly services to manufacturing plants and companies in the United States. Products we provide are MRO, Cutting Tools, Abrasives, Packaging, Safety, Janitorial, Electrical, Plumbing, etc."</t>
  </si>
  <si>
    <t>http://WWW.GMSUPPLYCO.COM</t>
  </si>
  <si>
    <t>mailto:gmsupply@gmsupplyco.com</t>
  </si>
  <si>
    <t>GMG Suppliers LLC</t>
  </si>
  <si>
    <t>mailto:tunfi88@gmail.com</t>
  </si>
  <si>
    <t>GNA Assessment Professionals LLC</t>
  </si>
  <si>
    <t>mailto:ginny@gnaassessmentprofessionals.com</t>
  </si>
  <si>
    <t>GNOME INDUSTRIES</t>
  </si>
  <si>
    <t>mailto:JAKE@COMPLETEVALVE.COM</t>
  </si>
  <si>
    <t>GNP Consultants</t>
  </si>
  <si>
    <t>="Provide management consultanting services to government and commercial businesses. Specialize in cost/economic analysis and work measurement. Perform manpower management services determining efficient required manpower resources. Develop procedural documentation. Conduct organizational analysis determining most efficient organization and function structures."</t>
  </si>
  <si>
    <t>mailto:Gpappas960@cs.com</t>
  </si>
  <si>
    <t>GOLD Pro Development</t>
  </si>
  <si>
    <t>="GOLD is a provider of unique services, possessing over a decade of experience. We design the prefect trainings to address the desired needs and outcomes of your organization. Our services range from adult learning to professional development. We offer face-to-face and Webinar trainings to meet the demands of your local or national business or organization. Leading the way in providing innovative professional training techniques; GOLD provides services and products to accommodate a variety of companies. Developing and creating unique trainings to enhance an organization’s productivity and professionalism."</t>
  </si>
  <si>
    <t>http://www.goldnpro.com</t>
  </si>
  <si>
    <t>mailto:telisalloyd@goldnpro.com</t>
  </si>
  <si>
    <t>GOLDLEAF PROMOTIONAL</t>
  </si>
  <si>
    <t>http://www.goldleafpromotions.com</t>
  </si>
  <si>
    <t>mailto:gldleaf@aol.com</t>
  </si>
  <si>
    <t>GORDON PLUMBING, INC</t>
  </si>
  <si>
    <t>="We have been in business since 1984. We have over 52 employees. We have 24/7 emergency service that includes residential, commercial service. We have construction, service, drain and industrial piping divisions. Our services include, residential, commercial, industrial plumbing, air, gas, hydronic, steam and weld piping. Water source loop systems, plumbing inspections, sewer and drain cleaning, sanitary and storm lift stations, sewer line jetting, grease trap and septic cleaning and repairs"</t>
  </si>
  <si>
    <t>http://www.gordonplumbing.com</t>
  </si>
  <si>
    <t>mailto:ron.hart@gordonplumbing.com</t>
  </si>
  <si>
    <t>GOSPORT MANUFACTURIN</t>
  </si>
  <si>
    <t>http://www.gosportmfg.com</t>
  </si>
  <si>
    <t>mailto:salesinfo@gosportmfg.com</t>
  </si>
  <si>
    <t>GOURLEY EXCAVATING, LLC</t>
  </si>
  <si>
    <t>="We are excavating contractors available to do the following types of services: Land Clearing, Footer Installation, Septic System Installation, Grade Work and Site Preparation, Land Management and Mowing, Seeding and Strawing of leveled ground, Trenching, Installation of underground Utilities, Dig Basements, Demolition, Site Work, and Miscellaneous other excavation services"</t>
  </si>
  <si>
    <t>mailto:GOURLEYEXCAVATING@AOL.COM</t>
  </si>
  <si>
    <t>GP Designs LLC</t>
  </si>
  <si>
    <t>="GP Designs is the nation's premier designer and manufacturer in the commercial Holiday Lighting and Decoration industry. We also offer a full line of seasonal and special event banners. Through the years many changes have occurred. However, some things never change, such as our commitment to quality and innovation. Serving thousands of businesses, municipalities and drive through theme parks nationwide we will always be at the forefront. Remember the products you view on our website are just a small sample of our design and manufacturing capabilities."</t>
  </si>
  <si>
    <t>http://www.gpdesigns.biz</t>
  </si>
  <si>
    <t>mailto:sales@gpdesigns.biz</t>
  </si>
  <si>
    <t>GPC Plumbing, Inc.</t>
  </si>
  <si>
    <t>mailto:gpcplumbinginc@comcast.net</t>
  </si>
  <si>
    <t>GRAEBEL INDIANAPOLIS MOVERS</t>
  </si>
  <si>
    <t>="Graebel provides Indiana with the highest quality commercial moving and storage services, local and interstate household moving services as well as unparalleled International relocation services. Graebel is focused on delivering the highest industry standards to customers throughout Indiana."</t>
  </si>
  <si>
    <t>mailto:trentharris@graebel.com</t>
  </si>
  <si>
    <t>GRAHAM SHELTER, INC</t>
  </si>
  <si>
    <t>="We are a service provider for children that have been taken out of their homes for abuse and neglect. Each child in our care was placed by the juvenile court system. Each child stays with us until family reunification or they age out of the ""system"" and transition to thier own living arrangements. During their stay we provider routine daily living services for them."</t>
  </si>
  <si>
    <t>http://www.grahamshelter.com</t>
  </si>
  <si>
    <t>mailto:grahamshelter@yahoo.com</t>
  </si>
  <si>
    <t>GRAINGER INDUSTRIAL SUPPLY</t>
  </si>
  <si>
    <t>="Grainger is a global leading broad line supplier of facilities maintenance products serving businesses and institutions. Our 18,000 employees are driven to serve customers and the community in exceptional ways focusing on delivering the highest level of service. The Grainger team works closely with customers to better understand their challenges and provide cost-saving solutions. Grainger's employees serve customers more than 115,000 times every day through multiple channels. As part of a high-performing team, you'll be able to develop your talents, and make a difference. Grainger is a Fortune 500 company and a perennial member of Fortune magazine's Most Admired Companies list."</t>
  </si>
  <si>
    <t>http://www.grainger.com</t>
  </si>
  <si>
    <t>GRAPHIC ARTS SUPPLY</t>
  </si>
  <si>
    <t>http://www.graphicartssupply.com</t>
  </si>
  <si>
    <t>mailto:sales@graphicartssupply.com</t>
  </si>
  <si>
    <t>GREEN AIR, LLC</t>
  </si>
  <si>
    <t>="Green Air Technology make environmental control systems for Residential &amp; Commercial purposes. We offer 2 products mainly an Energy Saving Smart Thermostat with or without Wi-Fi capabilities which control the humidity &amp; temperature factors. These Thermostats are capable of connecting via Smart Grid for Peak Time Energy Saving."</t>
  </si>
  <si>
    <t>http://www.greenair-technology.com</t>
  </si>
  <si>
    <t>mailto:josmon_george@yahoo.com</t>
  </si>
  <si>
    <t>GREENES TRUCK/AUTO SERVICE</t>
  </si>
  <si>
    <t>http://www.greenestruckautoservice.com</t>
  </si>
  <si>
    <t>mailto:gtas@sbcglobal.net</t>
  </si>
  <si>
    <t>GRENGEL LLC</t>
  </si>
  <si>
    <t>GROUP TELECOM, INC</t>
  </si>
  <si>
    <t>="Group Telecom offers the lowest possible long distance rates and data rates. We handle millions of minutes of long distance for companies and other groups. This allows us to leverage exceptionally low rates from major carriers for our customers. DATA: Dedicated Internet Access; Point-to-Point Data Circuits all at lowest possible prices. LOCAL: Often major savings on local phone lines PROFESSIONAL SERVICE: Indiana-based service office offers professional individual support. Call us for a free evaluation of the savings available to you. 888-655-3537 or 260-744-2525. Group Telecom"</t>
  </si>
  <si>
    <t>http://www.grouptele.com</t>
  </si>
  <si>
    <t>mailto:csimon@grouptelecom</t>
  </si>
  <si>
    <t>GRW Engineers, Inc.</t>
  </si>
  <si>
    <t>="GRW is nationally recognized for its quality engineering services to the municipal and governmental marketplace. Since our founding in 1964, GRW’s principal business has been the planning, design and construction management of transportation, water, stormwater and wastewater facilities. As a result of this vast experience, we have become a leader in the engineering community. Our work has resulted in environmentally sound, cost effective and practical projects that meet all applicable local, state and federal requirements. We have a full service in-house staff that is required to plan, design and construction manage any project, including professionals in the engineering fields of civil, transportation, site development, water resources, sanitary/environmental, structural, mechanical, electrical, instrumentation, surveying and architecture. We also have in-house aerial photography and mapping capabilities to help in the planning and design of our projects."</t>
  </si>
  <si>
    <t>http://www.grwinc.com</t>
  </si>
  <si>
    <t>mailto:gwright@grwinc.com</t>
  </si>
  <si>
    <t>GS Robins and Company</t>
  </si>
  <si>
    <t>http://www.gsrobins.com</t>
  </si>
  <si>
    <t>mailto:juliem@gsrobins.com</t>
  </si>
  <si>
    <t>GSF USA, Inc.</t>
  </si>
  <si>
    <t>http://gsf-usa.com</t>
  </si>
  <si>
    <t>mailto:sjones@gsf-usa.com</t>
  </si>
  <si>
    <t>GTA CONTAINERS, INC</t>
  </si>
  <si>
    <t>="Manufacturer of Fabric, Collapsible, Flexible containers for storage and/or transporting diesel and jet fuels, potable drinking water, dirty water, Brine liquids for snow removal, liquid fertilizers, various chemical and fracking water. Manufactures pond liners, secondary contentment systems. Manufacturer of Pneumatic air jack, Onion tank, ground cloth. Manufacturer of collapsible and non collapsible and lay flat hoses for water fuels and chemicals."</t>
  </si>
  <si>
    <t>http://www.gtacontainers.com</t>
  </si>
  <si>
    <t>mailto:sales@gtacontainers.com</t>
  </si>
  <si>
    <t>GTQ, LLC</t>
  </si>
  <si>
    <t>mailto:napamarionwarehouse@yahoo.com</t>
  </si>
  <si>
    <t>GUIDESOFT INC d/b/a KNOWLEDGE SERVICES</t>
  </si>
  <si>
    <t>="Knowledge Services offers a complete staffing solution for today's competitive business environment. We focus on contract, contract to hire and direct hire staffing, managed service provider and consulting services for the temporary staffing industry. Our relationship with an industry leading vendor management system enables us to offer our clients a complete solution to their staffing needs. Knowledge Services also offers technical training in ten cities in a variety of exciting technologies and disciplines, including Oracle, PeopleSoft, SAS, and Project Management. We offer standardized vendor curriculum, custom, on-site and one-on-one mentoring. Knowledge Services also provides sophisticated yet comfortable and private training and seminar suites that have been designed to meet the most demanding and focused business meeting and training needs."</t>
  </si>
  <si>
    <t>http://www.knowledge-services.com</t>
  </si>
  <si>
    <t>mailto:info@knowledge-services.com</t>
  </si>
  <si>
    <t>GUTHRIES HOB INC</t>
  </si>
  <si>
    <t>http://BLOOMINGTONPOWERSPORTS.COM</t>
  </si>
  <si>
    <t>mailto:bps@kiva.net</t>
  </si>
  <si>
    <t>GVS Technologies, LLC</t>
  </si>
  <si>
    <t>="GVS Technologies is a world class production machining company located in Elkhart, Indiana. GVS is proud to be ISO 9001:2000 registered. At GVS we take pride in reducing scrap, maximizing efficiency, and delivering quality that exceeds your expectations. Machining Capabilities •Bar stock up to 4” O.D. through the spindle with lengths up to 8’. •Maximum turned length in a single chucking is 27”. •Under 27” length, turning up to 15” in diameter. •Milling, drilling, tapping, large dia. threading, keyways, counterboring, and porting. •Small hole production drilling and centering. •Light fabrication / in house 360º welding (i.e. spindle brake flanges). •Induction heating and bending up to 2.25” diameter."</t>
  </si>
  <si>
    <t>http://www.gvsproductionmachining.com</t>
  </si>
  <si>
    <t>mailto:afugate@trpintl.com</t>
  </si>
  <si>
    <t>GVW Tire Inc</t>
  </si>
  <si>
    <t>http://gvwtire.com</t>
  </si>
  <si>
    <t>GYANSYS INC</t>
  </si>
  <si>
    <t>="GyanSys is an innovative, fast growing company offering full breadth of Consulting Services focusing on enterprise solutions to deliver Bottom-Line results. We provide Right People, Right Processes, &amp; Right Solutions to attain Maximum Efficiency and Competitive Advantage. GyanSys serves as your extended IT organization. We are supported by a full team of technology specialists. We focus on providing the highest customer satisfaction, meeting and beating your expectaions, delivering competent solutions with the highest quality service. We provide complete SAP Implementation Solutions."</t>
  </si>
  <si>
    <t>http://www.gyansys.com</t>
  </si>
  <si>
    <t>mailto:info@gyansys.com</t>
  </si>
  <si>
    <t>Gaea Consultants, LLC</t>
  </si>
  <si>
    <t>="GAEA provides the following services: Environmental Consulting and Engineering, Civil Engineering, Water Resources Engineering, Forensic Hydrology, Expert Witness Testimony, Water-Wastewater Engineering, Construction Management, Historic Research Services and Asbestos Inspection Risk Assessment LEED Certification"</t>
  </si>
  <si>
    <t>http://www.gaeaconsultants.com</t>
  </si>
  <si>
    <t>mailto:gaea@gaeaconsultants.com</t>
  </si>
  <si>
    <t>Gage Tool &amp; Engineering</t>
  </si>
  <si>
    <t>http://www.gagetool.com</t>
  </si>
  <si>
    <t>mailto:mgage@gagetool.com</t>
  </si>
  <si>
    <t>Gale Force Software Corporation</t>
  </si>
  <si>
    <t>="Gale Force Software provides our clients with software engineering services that cover the full life-cycle of product development - from specification and design through implementation, test, verification, documentation, manufacturing test, and market launch and post-launch support. Gale Force® services are provided by a totally U.S.-based team made up of knowledgeable, highly-experienced software engineers who offer great value and productivity."</t>
  </si>
  <si>
    <t>http://www.galeforcecorp.com/home.html</t>
  </si>
  <si>
    <t>mailto:sales@galeforcecorp.com</t>
  </si>
  <si>
    <t>Gallatin Accounting</t>
  </si>
  <si>
    <t>mailto:hgallatin@aol.com</t>
  </si>
  <si>
    <t>Galt Gaming Consultants LLC</t>
  </si>
  <si>
    <t>="Galt Gaming Consultants LLC is a Limited Liability Company established in the State of Indiana. It was established in March 2009. There is one office located at: 5562 Elkhorn Dr. Suite 314 Indianapolis, IN 46254 The company provides gaming consulting to state jurisdictions, casinos, and suppliers of gaming equipment and services. GGC can work with other states that currently have gaming or are contemplating adding gaming. GGC can help establish and structure the states’ investigation sections, aid in recruitment of investigators and provide training. GGC can also work with casinos and other gaming suppliers to help them navigate the gaming licensing processes. The president and principal is James R. Beebe."</t>
  </si>
  <si>
    <t>mailto:jbeebe98@yahoo.com</t>
  </si>
  <si>
    <t>Gambs Mucker &amp; Bauman</t>
  </si>
  <si>
    <t>http://www.gmbslaw.com</t>
  </si>
  <si>
    <t>mailto:office@gmbslaw.com</t>
  </si>
  <si>
    <t>Game Point</t>
  </si>
  <si>
    <t>="Custom products of all kind, anything you can put a logo on also, available with out logos, large or small. If you are not sure what you want, our experience staff can help. I also have over 30 years of basketball experience on all levels. Contact us for camps, clinics or personal training."</t>
  </si>
  <si>
    <t>http://www.gamepoint.ws</t>
  </si>
  <si>
    <t>mailto:joej@gamepoint.ws</t>
  </si>
  <si>
    <t>Garage Medic, LLC</t>
  </si>
  <si>
    <t>mailto:trtool@bluemarble.net</t>
  </si>
  <si>
    <t>Garcia LE &amp; Associates, LLC</t>
  </si>
  <si>
    <t>="Garcia Consulting Engineers offer services with a wide range of capabilities in the planning, development, design, construction and operation of governmental, commercial and private ventures. Our clients include state, county and local governments, contractors, utility companies developers and private individuals. We use state-of -the-art engineering equipment in all of our design services. Our computer aided drafting and design (CADD) and surveying hardware include the latest in technological advances and features. Our staff maintains a high level of expertise through involvement in continuing education and active participation in professional organizations. Garcia Consulting Engineers are involved in numerous road projects. Our services include the identification of funding resources and assistance with obtaining funding. We offer road design and construction observation services for municipal and developmental projects."</t>
  </si>
  <si>
    <t>http://www.garcia-consulting.com</t>
  </si>
  <si>
    <t>mailto:garcia-consulting,com</t>
  </si>
  <si>
    <t>Garciaserra &amp; Assoc.</t>
  </si>
  <si>
    <t>="Garciaserra &amp; Associates, Inc. specializes in two key areas: 1. The implementation and management of Oracle based systems (including High Availability configurations). Our services include Oracle infrastructure design and implementation, database design, development and support. 2. Project Management - out project managers have experience with successfully managing a wide range of Information Technology projects, everything from software development to complex hardware infrastructure implementations. All of our associates are either certified Project Management Professionals (PMP), Oracle Certified Professionals (OCP) or both."</t>
  </si>
  <si>
    <t>http://www.garciaserra.com</t>
  </si>
  <si>
    <t>mailto:tony@garciaserra.com</t>
  </si>
  <si>
    <t>Gardens of Growth, Inc</t>
  </si>
  <si>
    <t>http://www.gardensofgrowth.com</t>
  </si>
  <si>
    <t>mailto:rikki@gardensofgrowth.com</t>
  </si>
  <si>
    <t>Gardner Metal Services &amp; Supply LLC</t>
  </si>
  <si>
    <t>mailto:gardnermss@comcast.net</t>
  </si>
  <si>
    <t>Metal Service Centers and Other Metal Merchant Wholesalers</t>
  </si>
  <si>
    <t>Gariup Construction Co., Inc.</t>
  </si>
  <si>
    <t>http://www.gariup.com</t>
  </si>
  <si>
    <t>mailto:info@gariup.com</t>
  </si>
  <si>
    <t>Garland Guild, Inc.</t>
  </si>
  <si>
    <t>mailto:garlandguild@ameritech.net</t>
  </si>
  <si>
    <t>Garrett Innovations LLC</t>
  </si>
  <si>
    <t>mailto:garrett_tom@hotmail.com</t>
  </si>
  <si>
    <t>Garrett's Smoke House BBQ Inc.</t>
  </si>
  <si>
    <t>http://www.garrettsbbq.com</t>
  </si>
  <si>
    <t>mailto:garrettssmokehousebbq@yahoo.com</t>
  </si>
  <si>
    <t>Garus Trucking Inc</t>
  </si>
  <si>
    <t>="Garus Trucking Inc. is a family owned business since 1996. We have 25 trucks with aluminium light weight trailers for all your dump needs. With 17 years experience in the dump industry with professional and safety oriented crew we are ready to transport any materials."</t>
  </si>
  <si>
    <t>mailto:pgarus@gmail.com</t>
  </si>
  <si>
    <t>Gary Community Health Center</t>
  </si>
  <si>
    <t>mailto:jseabrook@garychc.org</t>
  </si>
  <si>
    <t>Gary E. Sermersheim</t>
  </si>
  <si>
    <t>Gary Metal Mfg. LLC</t>
  </si>
  <si>
    <t>mailto:dstrilich@yahoo.com</t>
  </si>
  <si>
    <t>Gary's Welding &amp; Machining</t>
  </si>
  <si>
    <t>mailto:gary@garysweldingandmachine.com</t>
  </si>
  <si>
    <t>Garza Maintenance &amp; Construction LLC</t>
  </si>
  <si>
    <t>="Industrial and commercial construction company signatory with a variety of unions providing services with qualified and trained technicians in the following trades. Boilermakers, ironworkers, millwrights, carpenters and certified CDL AB truck drivers. Ability to provide a labor force to meet the needs of additional time and material projects."</t>
  </si>
  <si>
    <t>mailto:rgarzmc@comcast.net</t>
  </si>
  <si>
    <t>Garzolini Tire</t>
  </si>
  <si>
    <t>Gate Masters &amp; More LLC</t>
  </si>
  <si>
    <t>mailto:indygatemasters@gmail.com</t>
  </si>
  <si>
    <t>Gates Professional Engineering LLC</t>
  </si>
  <si>
    <t>mailto:indycarter@frontier.com</t>
  </si>
  <si>
    <t>Gateway Association</t>
  </si>
  <si>
    <t>="The Mission of Gateway Association, Inc. is to be actively involved in changing people’s lives, through pediatric rehabilitative services, developmental preschool, parent education, and respite care. We believe early intervention is the key to unlocking a child’s potential. Supportive prevention services change family life through parent education and respite care, eliminating environmental barriers and preventable developmental delays."</t>
  </si>
  <si>
    <t>http://www.gatewayassociation.org</t>
  </si>
  <si>
    <t>mailto:jwright_gateway@acsc.net</t>
  </si>
  <si>
    <t>Gateway Business Sys</t>
  </si>
  <si>
    <t>="Gateway Business Systems offers Konica Copiers/Printers from 12 to 160 pages per minute, color and black and white. We also carry Panasonc Copiers/Printers both black and white and color models, Duplo Duplicators and Panafax Fax Machines. We are authorized sales and service for these machines, as well as HP Printers. We also carry calculators and typewriters. We offer connected products and total support packages that include applications and consulting services. Call us today and we willbe happy to review your needs."</t>
  </si>
  <si>
    <t>http://www.gateway-biz.com</t>
  </si>
  <si>
    <t>mailto:www.Gateway-biz.com</t>
  </si>
  <si>
    <t>Gatlin Plumbing &amp; Heating, Inc.</t>
  </si>
  <si>
    <t>http://gatlinplumbing.com</t>
  </si>
  <si>
    <t>mailto:gatlinplumbing@comcast.net</t>
  </si>
  <si>
    <t>Gauge Telematics LLC</t>
  </si>
  <si>
    <t>="Gauge Telematics provides solutions related to data collection from remote assets of all kinds. Gauge specializes in combining application specific hardware with a web based portal for report analysis and presentation. additional engineering capabilities include electronics design, board layout, mobile applications and web development."</t>
  </si>
  <si>
    <t>http://www.gaugetelematics.com</t>
  </si>
  <si>
    <t>Gaunt &amp; Son Asphalt, Inc.</t>
  </si>
  <si>
    <t>Gaylor Electric, Inc.</t>
  </si>
  <si>
    <t>http://www.gaylor.com</t>
  </si>
  <si>
    <t>mailto:gaylor@gaylor.com</t>
  </si>
  <si>
    <t>Gebert's Cleaning Service</t>
  </si>
  <si>
    <t>mailto:gebclsvc@dmrtc.net</t>
  </si>
  <si>
    <t>Geeslin &amp; Associates</t>
  </si>
  <si>
    <t>mailto:jgeeslinjr@aol.com</t>
  </si>
  <si>
    <t>Geeta Enterprises, Inc.</t>
  </si>
  <si>
    <t>http://www.carlsontravel.com/blooomingto</t>
  </si>
  <si>
    <t>mailto:vacations@carlsontravel.com</t>
  </si>
  <si>
    <t>Gehlhausen Consulting, LLC</t>
  </si>
  <si>
    <t>mailto:beth@gehlhausenconsulting.com</t>
  </si>
  <si>
    <t>Geiger &amp; Peters, Inc</t>
  </si>
  <si>
    <t>http://www.gpsteel.com</t>
  </si>
  <si>
    <t>mailto:sales@gpsteel.com</t>
  </si>
  <si>
    <t>Geiger Bros</t>
  </si>
  <si>
    <t>http://www.geigermall.com/jessray</t>
  </si>
  <si>
    <t>mailto:jray@geiger.com</t>
  </si>
  <si>
    <t>Gem City Tire, LLC</t>
  </si>
  <si>
    <t>="As a Goodyear authorized dealer, Gem City Tire provides premium Goodyear Tires and a multitude of the finest tire-related services available in the Midwest. From tires and retreading to alignment and wheel refinishing, Gem City Tire adds value through unparalleled service, TIA-certified technicians and competitive pricing."</t>
  </si>
  <si>
    <t>http://www.gemcitytire.com</t>
  </si>
  <si>
    <t>Gemmer Enterprises, Inc.</t>
  </si>
  <si>
    <t>="We offer quality fluid power training as well as service and repairs on all types of machinery and equipment. We are a Parker Products Center, as well as offering Duplomatic, Toshiba, Wright Tools, Viking Tools, Reliance and Leeson Motors, and UFI products. We have access to many other brand products and the resources to get hard to find parts. G.E.I. is equipped with a ""workshop on wheels"" that is furnished with a hose machine, hose assembly items as well as many other fittings and components. We can usually make repairs right at your plant, thus eliminating long downtimes and delays. G.E.I. - Specialists in Sales, Service and Training. Stop in and see our new Industrial Training Facility in Milan, IN."</t>
  </si>
  <si>
    <t>http://www.geifluidpower.com</t>
  </si>
  <si>
    <t>mailto:sales@geifluidpower.com</t>
  </si>
  <si>
    <t>GenSet Service, LLC</t>
  </si>
  <si>
    <t>mailto:gensetservice@aol.com</t>
  </si>
  <si>
    <t>GenTech Associates, Inc.</t>
  </si>
  <si>
    <t>="GenTech is an award-winning provider of business solutions to the Federal and State Government. Our services are organized in four areas: Accounting and Finance solutions; Information Technology Solutions; Human Capital Management; and Program Management, Operations, and Support. Our clients praise our work, customer service and innovative solutions."</t>
  </si>
  <si>
    <t>http://www.gentechassociates.com</t>
  </si>
  <si>
    <t>mailto:info@gentechassoicates.com</t>
  </si>
  <si>
    <t>General Devices Co, Inc.</t>
  </si>
  <si>
    <t>="In operation for over 50 years. Manufacturer of ball bearing, solid bearing, and bottom mount slides; Cabinets and enclosures; Communication shelters; Hardware and Accessories; Custom sheet metal fabrication; In house plating and Powder Coat Painting, ISO 9001."</t>
  </si>
  <si>
    <t>http://generaldevices.com</t>
  </si>
  <si>
    <t>mailto:tomberkopes@generaldevices.com</t>
  </si>
  <si>
    <t>General Hotels Corporation</t>
  </si>
  <si>
    <t>="General Hotels Corporation is one of Indiana's largest hotel management companies. We offer a full range of complete management services including accounting, human resources, training, sales, marketing and property maintenance. While General Hotels Corporation continues to look for new growth opportunities, the corporation chooses new ventures carefully as our emphasis is first and foremost on quality. This management approach has led our hotels to consistently receive numerous awards within their respective brands."</t>
  </si>
  <si>
    <t>http://www.ichotelsgroup.com/h/d/hi/1/en</t>
  </si>
  <si>
    <t>mailto:hisnindysales@genhotels.com</t>
  </si>
  <si>
    <t>General Medical Supplies, Inc</t>
  </si>
  <si>
    <t>http://www.genmedsupplies.com</t>
  </si>
  <si>
    <t>mailto:ty@genmedsupplies.com</t>
  </si>
  <si>
    <t>General Rentals Corporation</t>
  </si>
  <si>
    <t>http://generalrentals.com</t>
  </si>
  <si>
    <t>mailto:grcorp@generalrentals.com</t>
  </si>
  <si>
    <t>General Rental Centers</t>
  </si>
  <si>
    <t>Generation Elevator, LLC</t>
  </si>
  <si>
    <t>http://www.generationelevator.com</t>
  </si>
  <si>
    <t>mailto:dsizemore@generationelevator.com</t>
  </si>
  <si>
    <t>Genesis ElderCare Rehabilitation Service</t>
  </si>
  <si>
    <t>="Genesis Rehabilitation Services provides rehab services to Long Term Care Facilities, Hospitals, Assisted Livings, Home Health and Outpatient Clinics. We have been providing Physical, Occupational and Speech Therapy Services for over 20 years. Our services are patient focused with a committment to the financial success of our customers. Our unmatched industry expertise, dedicated clinical support, guaranteed financial results, innovative on-site wellness adn customized marketing approach set us apart from our competion. For more information call Julie Bridegroom at 317-272-4278 or email at Julie.Bridegroom@GenesisHCC.com."</t>
  </si>
  <si>
    <t>http://www.genesisrehab.com</t>
  </si>
  <si>
    <t>mailto:valerie.saruga@GenesisHCC.com</t>
  </si>
  <si>
    <t>Offices of Physical, Occupational and Speech Therapists and Audiologists</t>
  </si>
  <si>
    <t>Genesis Electrical Supply, Inc.</t>
  </si>
  <si>
    <t>="GES is a State of Indiana certified WBE/MBE/DBE owned and operated firm located in Gary, IN. We are also HUBZone certified and located in the Federal Empowerment and State Enterprise zones. GES can provide a wide range of your electrical/industrial supply needs to include but not limited to: • Cutler-Hammer/Westinghouse Control &amp; Power Distribution • 423610 Electric motors, wiring supplies, and lighting fixtures. • Switchboards, Panelboards, Generators, Transformers (except electronic) • 423840 Hydraulic and pneumatic (fluid power) pumps, motors, pistons, and valves. • We also have the capability to find those hard to find and obsolete electrical parts."</t>
  </si>
  <si>
    <t>mailto:danbaker.ges@sbcglobal.net</t>
  </si>
  <si>
    <t>Genesis Factor, LLC</t>
  </si>
  <si>
    <t>mailto:sanders5224@sbcglobal.net</t>
  </si>
  <si>
    <t>Genesis Medical Inc.</t>
  </si>
  <si>
    <t>http://www.genesis-med.com</t>
  </si>
  <si>
    <t>Genesis Outreach, Inc.</t>
  </si>
  <si>
    <t>="Genesis Outreach, Inc. is a community housing development organization dedicated to the preservation and reunification of families. Services include but are not limited to: homebased casework and case management, social detox services, housing rehabilitation, addictions support groups, transitional living facilities, permanent housing assistance, advocacy, life skills training, workforce development, food pantry, and clothing bank."</t>
  </si>
  <si>
    <t>mailto:genesisoutreach@aol.com</t>
  </si>
  <si>
    <t>Genesis Real Estate Services, Inc.</t>
  </si>
  <si>
    <t>="We provide brokerage and management services for private investors of real estate, primarily professionals such as doctors, attorneys, accountants and business owners who invest in income producing real estate. We provide homeowner association management services for Developer-controlled proeprties and condominums, townhomes, zero-lot line and single family communities. We work with investors in brokerage of their current holdings or to represent thim in the purchase or leasing of new space or property. We are uniquely qualified to assist those Developers of commercial condominium space."</t>
  </si>
  <si>
    <t>http://www.genesisre.net</t>
  </si>
  <si>
    <t>mailto:lstoeffler@genesisre.net</t>
  </si>
  <si>
    <t>Genesis Security Group, LLC</t>
  </si>
  <si>
    <t>http://www.genesissecurity.biz</t>
  </si>
  <si>
    <t>mailto:info@genesissecurity.biz</t>
  </si>
  <si>
    <t>Genesis Technologies</t>
  </si>
  <si>
    <t>="We deal telecommunications. Installation and servicing of key telephone systems. We also deal in structured wiring and fiber optics. Systems that we service include but are not limmited to are: Toshiba(Authorized dealer), Nortel, Avaya, Comdial(Authorized dealer), Mitel, Norstar, and Partner."</t>
  </si>
  <si>
    <t>http://www.GenTec1.com</t>
  </si>
  <si>
    <t>mailto:Jim@GenTec1.com</t>
  </si>
  <si>
    <t>Genesis Tillage, Inc</t>
  </si>
  <si>
    <t>="We manufacture soil aeration equipment for farms, ranches, orchards, gold courses, athletic fields etc. We provide both standard and heavy duty machines in sizes ranging from 5' width to 30' width and can produce larger custom made units. Our equipment works well in conservation tillage situations as well as no till farming oerations and orchards"</t>
  </si>
  <si>
    <t>http://www.genesistillage.com</t>
  </si>
  <si>
    <t>mailto:bmckinley@genesistillage.com</t>
  </si>
  <si>
    <t>Gengee LLC</t>
  </si>
  <si>
    <t>="Gengee is an energy and sustainable building design, consulting, and commissioning firm that specializes in many facts of green building. We provide design, commissioning, and installation services for all of your energy efficiency and green building projects."</t>
  </si>
  <si>
    <t>http://www.gengee.com</t>
  </si>
  <si>
    <t>mailto:info@gengee.com</t>
  </si>
  <si>
    <t>Genric USA Limited</t>
  </si>
  <si>
    <t>http://www,genric.com</t>
  </si>
  <si>
    <t>mailto:pcdrake@genric.com</t>
  </si>
  <si>
    <t>GeoSolutions, Inc.</t>
  </si>
  <si>
    <t>="Engineering consulting firm providing technical support services in the areas of geotechnical engineering and design, laboratory testing, exploratory field services, construction materials engineering and testing, construction monitoring and environmental engineering services."</t>
  </si>
  <si>
    <t>mailto:skandaraj@aol.com</t>
  </si>
  <si>
    <t>GeodataBasics, LLC</t>
  </si>
  <si>
    <t>http://www.geodatabasics.com</t>
  </si>
  <si>
    <t>mailto:sally@geodatabasics.com</t>
  </si>
  <si>
    <t>George E Valentine</t>
  </si>
  <si>
    <t>http://Pressed4Time.com</t>
  </si>
  <si>
    <t>mailto:George720p4t@yahoo.com</t>
  </si>
  <si>
    <t>Laundry Services</t>
  </si>
  <si>
    <t>George Junior Republic In Indiana</t>
  </si>
  <si>
    <t>http://www.GEORGEJUNIORREPUBLIC.ORG</t>
  </si>
  <si>
    <t>George Okantey</t>
  </si>
  <si>
    <t>="GO-Training &amp; Performance Solutions is committed to engaging clients in learning successful actions that result in managing differently to improve performance, relationships, and achieve superior business results. We specialize in integrated solutions that help people and organizations set and achieve meaningful goals for change. Our services include facilitative coaching, customized leadership development, building trusting, and committed teams. We provide workplace learning and performance services to small to medium size businesses, educational institutions, and community leadership organizations to help them achieve excellence through capacity building, transformation and empowerment. We provide timely and cost effective services, including customized crucial conversations workshops and project management training. The keys to our success are responsiveness, engagement and follow-up."</t>
  </si>
  <si>
    <t>http://www.gotpsolutions.com</t>
  </si>
  <si>
    <t>mailto:solutions@gotpsolutions.com</t>
  </si>
  <si>
    <t>George P Stewart Printing Co Inc</t>
  </si>
  <si>
    <t>http://www.indianapolisrecorder.com</t>
  </si>
  <si>
    <t>mailto:angiek@indyrecorder.com</t>
  </si>
  <si>
    <t>George R. Harvey &amp; Son, Inc.</t>
  </si>
  <si>
    <t>mailto:j.dohrn@georgerharveyandson.com</t>
  </si>
  <si>
    <t>Heavy and Civil Engineering Construction</t>
  </si>
  <si>
    <t>Georgetown Manor</t>
  </si>
  <si>
    <t>mailto:drg1ea@aol.com</t>
  </si>
  <si>
    <t>Geotechnical and Materials Engineers Inc</t>
  </si>
  <si>
    <t>http://www.gme-geotechnical.com</t>
  </si>
  <si>
    <t>mailto:gmeeng@aol.com</t>
  </si>
  <si>
    <t>Geothermal Sales &amp; Service Inc.</t>
  </si>
  <si>
    <t>mailto:geothermal@locl.net</t>
  </si>
  <si>
    <t>Gerald Evan Hardister</t>
  </si>
  <si>
    <t>="Mozaic Media offers a tried and true approach to organizational branding and identity. As our name implies, we meet with clients face-to-face, listening with intent. We get to know our client's unique personae, and then focus our collective creative mind to develop graphic design solutions that best address the specific need. The Mozaic Media experience is both diverse and centered. Our concern is not for ego; but for the client's visual voice. We deliver design and visual messaging that puts our client's ""best face"" forward in an increasingly complex and competitive marketplace. Mozaic Media. Our body of work is diverse, and our range of capability is broad. We are the best at what we do for our clients."</t>
  </si>
  <si>
    <t>http://www.mozaic-media.com</t>
  </si>
  <si>
    <t>mailto:gerald@mozaic-media.com</t>
  </si>
  <si>
    <t>Gerber &amp; Co Foods</t>
  </si>
  <si>
    <t>http://www.gerberandcompanyfoods.com</t>
  </si>
  <si>
    <t>mailto:hmr@gerberandcompany.com</t>
  </si>
  <si>
    <t>Gerig Enterprises, Inc</t>
  </si>
  <si>
    <t>="Northeast Indiana's largest provider of Personal Emergency Response Systems. By pushing a small help button worn around the neck or on the wrist, our 24 hour emergency response center is notified if help is needed by client. Family, friends, neighbors or emergency services can be dispatched to get individual the help they need. The service is ideal for individuals that are still able to live alone but what the security that help can be summond if neccessary. In business since 1991, thousands of individuals in Northeast Indiana have relied on and continue to rely on Companion Lifeline. Companion Lifeline is a division of Gerig Enterprises, Inc."</t>
  </si>
  <si>
    <t>http://companionlifeline.com</t>
  </si>
  <si>
    <t>mailto:RLGerig@comcast.net</t>
  </si>
  <si>
    <t>Gerig-Ottenweller Contracting, LLC.</t>
  </si>
  <si>
    <t>http://www.gocllc.com</t>
  </si>
  <si>
    <t>mailto:info@gocllc.com</t>
  </si>
  <si>
    <t>Gerks Custom Trailers &amp; Welding</t>
  </si>
  <si>
    <t>mailto:gerks@rocketmail.com</t>
  </si>
  <si>
    <t>Plate Work Manufacturing</t>
  </si>
  <si>
    <t>German Township Volunteer Fire Departmen</t>
  </si>
  <si>
    <t>Gerry's Automotive LLC</t>
  </si>
  <si>
    <t>mailto:gerrywildeman@sit-co.net</t>
  </si>
  <si>
    <t>Get It Done Cleaning Services, LLC</t>
  </si>
  <si>
    <t>mailto:get4clean@yahoo.com</t>
  </si>
  <si>
    <t>Get Organized</t>
  </si>
  <si>
    <t>="Our company operates in residential and commercial markets. IWe offer variety of cabinets and home/office furniture storage systems. The primary products for the residential markets are the following: - Home closets (bedrooms, hall walk in; kitchen pantries etc.) - Build ins - Custom furniture wall units - Home-office unupholstered furniture - Library - Laundry room cabinets; - Garage organization systems The company manufacturs cabinets and basic office furniture (desks; libraries) for the following commercial entities: - Retail Clients (fixtures and displays); - Builders/ remodelers - Office clients: offices of independent professionals - attorneys; small business operations (beauty salons; mail box services; cleaners etc.). - Health care clients: medical practices, hospitals - Government / Institutional clients: schools; museums; state projects - Hospitality clients - Plants/Factories - Facility managers – construction management compa"</t>
  </si>
  <si>
    <t>http://healthycloset.com</t>
  </si>
  <si>
    <t>mailto:lena.osinnya@sbcglobal.net</t>
  </si>
  <si>
    <t>Get Started Supply L.L.C</t>
  </si>
  <si>
    <t>http://www.getstartedworldwide.com</t>
  </si>
  <si>
    <t>mailto:rico@getstartedworldwide.com</t>
  </si>
  <si>
    <t>Electrical and Electronic Goods Merchant Wholesalers</t>
  </si>
  <si>
    <t>Get Stuff, Inc.</t>
  </si>
  <si>
    <t>mailto:kelly@getstuffinc.com</t>
  </si>
  <si>
    <t>Gharmony, inc.</t>
  </si>
  <si>
    <t>mailto:gharmony@comcast.net</t>
  </si>
  <si>
    <t>Gibault, Inc.</t>
  </si>
  <si>
    <t>="Gibault, Inc. provides life changing opportunities for children, adults, families and communities. Gibault serves children with mild emotional disturbances, aggressive and oppositional behaviors, substance abuse issues, victims and perpetrators of physical and sexual abuse, learning disabled children, and children with a variety of clinical issues."</t>
  </si>
  <si>
    <t>http://www.gibault.org</t>
  </si>
  <si>
    <t>mailto:gibault.org</t>
  </si>
  <si>
    <t>Other Residential Care Facilities</t>
  </si>
  <si>
    <t>Gibraltar Construction Corp, Inc.</t>
  </si>
  <si>
    <t>http://www.gibraltarconstruction.com</t>
  </si>
  <si>
    <t>mailto:msmith@gibraltarconstruction.com</t>
  </si>
  <si>
    <t>Gibson Teldata, Inc.</t>
  </si>
  <si>
    <t>="Telecommunications Interconnect providing sales, installation and service of business telecommunication needs. Focus on sales and service of telephone systems, voice mails, call accounting, paging and other peripheral devices. Also, BICSI certified installers for voice and data cabling needs."</t>
  </si>
  <si>
    <t>http://www.bgibson.com</t>
  </si>
  <si>
    <t>mailto:dbarrett@bgibson.com</t>
  </si>
  <si>
    <t>Gibson-Lewis of Indianapolis, LLC</t>
  </si>
  <si>
    <t>="A construction company specializing in self performing the following types of work: rough and finished carpentry, insulation, exterior finish systems, doors, frames and hardware, metal studs and drywall, plastering, acoustical ceilings, specialties, sound doors, and general construction on interior renovation projects"</t>
  </si>
  <si>
    <t>Gideon VI LLC</t>
  </si>
  <si>
    <t>="Business Description Gideon VI LLC is a business and technology consulting company, specializing in providing customized software, IT contractors, project management and business consultation and services. Our specialists have over 20 years of experience assisting businesses to grow stronger and conduct business smarter by saving time and selecting the right products and people."</t>
  </si>
  <si>
    <t>http://www.gideonvi.com</t>
  </si>
  <si>
    <t>mailto:ttwallace@gideonvi.com</t>
  </si>
  <si>
    <t>Giesler Electric, In</t>
  </si>
  <si>
    <t>Gifts, Etc.and Flower Bouquet</t>
  </si>
  <si>
    <t>http://www.give-giftsetc.com</t>
  </si>
  <si>
    <t>mailto:jbiltz@cnz.com</t>
  </si>
  <si>
    <t>Gigrich Creative Landscapes, Inc.</t>
  </si>
  <si>
    <t>Gil Hendrickson Asc</t>
  </si>
  <si>
    <t>http://www.gilinspex.com</t>
  </si>
  <si>
    <t>mailto:gilinspex@msn.com</t>
  </si>
  <si>
    <t>GilCo Group, Inc.</t>
  </si>
  <si>
    <t>="Specialized in providing turn-key and comprehensive Engineering, Project Management, Construction Management, and Specialized Services for: tunnels, microtunnels, trenchless technologies, and associated underground structures; including risk assessment analysis, technical support during construction, claim analysis and mediation."</t>
  </si>
  <si>
    <t>http://www.gilcogroup.com</t>
  </si>
  <si>
    <t>mailto:gil.garcia@gilcogroup.com</t>
  </si>
  <si>
    <t>Gilbert J Rode&amp;Sons</t>
  </si>
  <si>
    <t>http://no web site</t>
  </si>
  <si>
    <t>mailto:rodesons@gibsoncounty.net</t>
  </si>
  <si>
    <t>Gilbert S. Mordoh</t>
  </si>
  <si>
    <t>="We have been appraising residential and commercial real estate in Indiana for over 25 years. We provide excellent service and accurate values for purchases, refinances, tax appeal, divorce, government right-of-way, acquisition and land appraisals. VA, FHA, Indiana Housing and Rural Housing approved."</t>
  </si>
  <si>
    <t>http://www.gilbertmordoh.com</t>
  </si>
  <si>
    <t>mailto:gil@gilbertmordoh.com</t>
  </si>
  <si>
    <t>Gilles Cycling and Fitness</t>
  </si>
  <si>
    <t>Gillespie Florists</t>
  </si>
  <si>
    <t>http://www.gillespieflorists.com</t>
  </si>
  <si>
    <t>mailto:info@gillespieflorists.com</t>
  </si>
  <si>
    <t>Gillis Case Management, LLC</t>
  </si>
  <si>
    <t>mailto:Lgillis@indy.rr.com</t>
  </si>
  <si>
    <t>Gillman Inc.</t>
  </si>
  <si>
    <t>http://gillmanhomecenter.com</t>
  </si>
  <si>
    <t>mailto:wayne@gillmanhomecenter.com</t>
  </si>
  <si>
    <t>Gilpin Electric and Generator Services</t>
  </si>
  <si>
    <t>="Gilpin Electric and Generator Services Inc. is a small family owned company in which our office is located in Jennings County in Indiana. We pride our self's on Emergency back up power. We also sale Kohler Power equipment. We install all types of Back up power equipment and Offer Service contracts on all Manufactures of Emergency and Primary power sources. We also offer electrical services."</t>
  </si>
  <si>
    <t>mailto:bgilpingenset@live.com</t>
  </si>
  <si>
    <t>Electric Power Generation</t>
  </si>
  <si>
    <t>Gilpin Ironworks Inc</t>
  </si>
  <si>
    <t>http://www.gilpinironworks.com</t>
  </si>
  <si>
    <t>mailto:sales@gilpinironworks.com</t>
  </si>
  <si>
    <t>Ornamental and Architectural Metal Products Manufacturing</t>
  </si>
  <si>
    <t>Gindor, Inc.</t>
  </si>
  <si>
    <t>="Gindor provides high quality die cut gaskets. We manufacture gaskets, seals, and diaphragms to almost any configuration, from practically any material. We stock many rubber and rubber -containing materials with and without pressure-sensitive adhesive. We also process thin plastics and paper-based materials. Parts can be supplied as individual parts, web cuts, kiss cut, and strip cuts. ISO 9001:2000 AS 9100 B Certified."</t>
  </si>
  <si>
    <t>http://www.gindor.com</t>
  </si>
  <si>
    <t>mailto:gindor-gov@bnin.net</t>
  </si>
  <si>
    <t>Gasket, Packing, and Sealing Device Manufacturing</t>
  </si>
  <si>
    <t>="Gindor, Inc. manufactures die cut gaskets, seals and diaphragms made from nonmetallic materials with and without adhesive, for the Aerospace, Agricultural, Automotive, Medical, Military, RV and Security Industries. Gindor, Inc. is quality certified ISO9001:2008 and AS 9100."</t>
  </si>
  <si>
    <t>GingerK Center/ J&amp;P Professional Service</t>
  </si>
  <si>
    <t>mailto:jacktubbs@wowway.com</t>
  </si>
  <si>
    <t>Ginovus, LLC</t>
  </si>
  <si>
    <t>="INCENTIVE PROCUREMENT SERVICES Ginovus offers comprehensive incentive procurement services to our clients. Based upon a client's needs, Ginovus develops a strategy to access local, state and federal government economic development programs designed to help growth-oriented businesses. Local, state and federal governmental agencies offer a number of programs designed to meet their ever-changing needs. Programs address such issues as: human capital development, property tax abatement/exemption, corporate income tax credits, tax-exempt financing, public infrastructure improvements, energy efficiency, export assistance, low interest loans and research and development tax credits. S ITE S E L ECTION ANALYSIS After a client has made the decision to expand its capacity to better serve its clients, Ginovus collaboratively coordinates efforts on behalf of our client to examine several communities and determine the best location for the company to locate a new or expand an existing operat"</t>
  </si>
  <si>
    <t>http://www.ginovus.com</t>
  </si>
  <si>
    <t>mailto:info@ginovus.com</t>
  </si>
  <si>
    <t>Gipson Computer Service, Inc</t>
  </si>
  <si>
    <t>http://gipsoncomputers.com</t>
  </si>
  <si>
    <t>mailto:gipsonfd@gmail.com</t>
  </si>
  <si>
    <t>Gipson Legal &amp; Consulting LLC</t>
  </si>
  <si>
    <t>Giuseppes Italian House</t>
  </si>
  <si>
    <t>Given &amp; Spindler Inc</t>
  </si>
  <si>
    <t>http://www.given-spindler.com</t>
  </si>
  <si>
    <t>mailto:info@given-spindler.com</t>
  </si>
  <si>
    <t>GlasCraft, Inc.</t>
  </si>
  <si>
    <t>="GlasCraft is the world’s leading designer and manufacturer of advanced application equipment for the Fiberglass Composites, Foam, and Coatings industries. In 1959, GlasCraft became the first company to manufacture a ""production-use"" spray-up system for fiberglass spray application. Years later, GlasCraft patented a revolutionary new spray gun for the foam and coatings marketplace called the Probler. To this day, GlasCraft strives for continual and cutting-edge innovation across all product lines. From the revolutionary NEW Probler P2 Spray Gun to the exclusive Guardian Mobile, Modular, Hydraulic (MMH) Spray System, GlasCraft continues to demonstrate leadership in technology, environmental health and safety, and high-performance products that save our customers time, money, and maintenance. We design our composites manufacturing and other equipment lines to be more efficient and environmentally responsible than other offerings available in the market."</t>
  </si>
  <si>
    <t>http://www.glascraft.com</t>
  </si>
  <si>
    <t>mailto:www.glascraft.com</t>
  </si>
  <si>
    <t>Glass Depot, Inc.</t>
  </si>
  <si>
    <t>mailto:glassdepot-sales@sbcglobal.net</t>
  </si>
  <si>
    <t>Glass Painting Company</t>
  </si>
  <si>
    <t>mailto:JamesGlassPainting@yahoo.com</t>
  </si>
  <si>
    <t>Gleaners Food Bank of Indiana, Inc.</t>
  </si>
  <si>
    <t>http://www.gleaners.org</t>
  </si>
  <si>
    <t>mailto:gleaners@gleaners.org</t>
  </si>
  <si>
    <t>Glenrock-Indianapoli</t>
  </si>
  <si>
    <t>="Distributor of construction supplies relating to sealants, coatings, epoxies, grouts, patching materials, waterproofing and related products. Includes manufacturers such as Sonneborn, Hyrdozo, MasterBuilders, Sika, Thoroc, Tremco, GE, Thoro, CON-SPEC, ChemTrete, Textured Coatings, Prosoco etc."</t>
  </si>
  <si>
    <t>mailto:glenrockindy@hotmail.com</t>
  </si>
  <si>
    <t>Global Actuarial Services</t>
  </si>
  <si>
    <t>="Global Actuarial Services is an Actuarial and management consulting firm headquartered in Indianapolis, IN with offices in Chicago, IL, Farmington, CT, and Pittsburg, PA. Our experience is in healthcare and health insurance, where we work primarily for insurers, care management companies, and larger employers in the following areas: •Data cleansing and validation •Data mining and predictive modeling using custom and industry models •Cost and utilization models •Trend studies •Care/disease management program studies, both feasibility and evaluation"</t>
  </si>
  <si>
    <t>http://www.gactuarial.com</t>
  </si>
  <si>
    <t>mailto:tab@gactuarial.com</t>
  </si>
  <si>
    <t>Global Dynasty, LLC</t>
  </si>
  <si>
    <t>mailto:globaldynasty@aol.com</t>
  </si>
  <si>
    <t>Global Equipment, LLC</t>
  </si>
  <si>
    <t>mailto:billy.stewart@insightbb.com</t>
  </si>
  <si>
    <t>Global Exhibit Shipping of Indiana, Inc.</t>
  </si>
  <si>
    <t>mailto:gesinc@comcast.net</t>
  </si>
  <si>
    <t>Other Personal Services</t>
  </si>
  <si>
    <t>Global Industrial Supply Inc.</t>
  </si>
  <si>
    <t>http://www.globalindustrialsupply.us</t>
  </si>
  <si>
    <t>mailto:mgardner@globalindustrialsupply.us</t>
  </si>
  <si>
    <t>Global Infrastructure LLC</t>
  </si>
  <si>
    <t>http://www.globalinfrastructure.com</t>
  </si>
  <si>
    <t>mailto:jrolette@globalinfrastructure.com</t>
  </si>
  <si>
    <t>Global Insurance Man</t>
  </si>
  <si>
    <t>http://www.globalinsurancemanagers.com</t>
  </si>
  <si>
    <t>mailto:kkebo@globalinsurancemanagers.com</t>
  </si>
  <si>
    <t>Global Land Surveying LLC</t>
  </si>
  <si>
    <t>http://www.global-landsurveying.com</t>
  </si>
  <si>
    <t>mailto:shem@global-landsurveying.com</t>
  </si>
  <si>
    <t>Global Maintenance &amp; Co.</t>
  </si>
  <si>
    <t>="Global Maintenance &amp; Co. (service is our business) has been in business for 15 years and is family-owned. We are a janitorial service that provides not only daily cleaning services to both residential and commercial clients, but also carpet shampooing and stripping/waxing tiled floors and grout cleaning. We use environmentally safe products and personally supervise the work."</t>
  </si>
  <si>
    <t>http://www.globalmaintenance.net</t>
  </si>
  <si>
    <t>mailto:globalmain@aol.com</t>
  </si>
  <si>
    <t>Global Managemnet Group Inc.</t>
  </si>
  <si>
    <t>Global Market Ventures, Inc.</t>
  </si>
  <si>
    <t>="Global Market Ventures, Inc. is a minority-owned business consulting firm incorporated in the State of Indiana. Our company provides consulting services in the area of international business. We help our clients find ways to improve business performance by taking advantage of global market opportunities. We serve businesses that are interested in serving customers or developing business ventures internationally. For more detailed information about our company please visit us at www.GlobalMarketVentures.com or contact Roberto Curci, Ph.D. at rcurci@GlobalMarketVentures.com"</t>
  </si>
  <si>
    <t>http://www.globalmarketventures.com</t>
  </si>
  <si>
    <t>mailto:rcurci@globalmarketventures.com</t>
  </si>
  <si>
    <t>Global Perspectives, Inc.</t>
  </si>
  <si>
    <t>http://www.globlaorientations.com</t>
  </si>
  <si>
    <t>mailto:jm@globalorientations.com</t>
  </si>
  <si>
    <t>Global Security &amp; Investigation LLC</t>
  </si>
  <si>
    <t>mailto:panamawilliams@yahoo.com</t>
  </si>
  <si>
    <t>Global Security, Inc.</t>
  </si>
  <si>
    <t>="We are Global Security, Inc. and we have over 20 years experience in Law Enforcement, Security, and Military Training. This makes use well-rounded Security Company and Consultants in all areas. Global Security Inc. specializes in providing professional security services such as Unarmed &amp; Armed Guards, Road Flaggers, Roving Patrols and Police Officers for clients in the State of Indiana. Global Security Inc. is unique in that we only employ individuals who are current or prior law enforcement officer or security officers who are professionals. Our commitment to excellence and professionalism assures you that your business will be safe with protection and represented with professionally."</t>
  </si>
  <si>
    <t>mailto:pwoods@globalsecurityinc.org</t>
  </si>
  <si>
    <t>Global Shred, Inc.</t>
  </si>
  <si>
    <t>http://www.globalshred.com</t>
  </si>
  <si>
    <t>mailto:david@globalshred.com</t>
  </si>
  <si>
    <t>Global Water Technology, Inc.</t>
  </si>
  <si>
    <t>http://www.gwt-inc.com</t>
  </si>
  <si>
    <t>mailto:tmosby@gwt-inc.com</t>
  </si>
  <si>
    <t>GlobalMagic Corporation</t>
  </si>
  <si>
    <t>="GlobalMagic has been using the Web to make our clients better at what they do. We help clients execute business critical initiatives…solve business problems…improve systems and processes…connect with internal and external customers…and use the Web in ways to gain marketplace advantage. We employ a mix of sound strategies, real-world thinking, compelling and memorable design, applications expertise and proven technologies to reach our client’s goals. Our solutions are creative, on point, customized to our client’s operational structure, integrated with existing technology and adapted to a given budget. We provide key elements required for “net” results––Strategy, Design, and Technology Solutions. We have a track record for being on time and on budget. We have a reputation as a trusted and resourceful partner. At GlobalMagic, we’re changing the way businesses and organizations use the Web to build brand, build business, and build success."</t>
  </si>
  <si>
    <t>http://www.globalmagic.com</t>
  </si>
  <si>
    <t>mailto:info@globalmagic.com</t>
  </si>
  <si>
    <t>Globe Asphalt Paving Co., Inc.</t>
  </si>
  <si>
    <t>http://www.globeasphalt.com</t>
  </si>
  <si>
    <t>mailto:jshumaker@globeasphalt.com</t>
  </si>
  <si>
    <t>Glomax</t>
  </si>
  <si>
    <t>="Glomax provides innovative foam and plastic solutions to the transportation, medical, automotive, and aerospace industry. We provide custom molded foam that absorbs and redirect energy for automotive and aircraft parts, blast protection for Department of Defense and Homeland Security, specialty packaging and creating, insulating concrete foam for commercial and residential building, and our patented air ride pallets."</t>
  </si>
  <si>
    <t>mailto:samie@simdeskcorp.com</t>
  </si>
  <si>
    <t>Polystyrene Foam Product Manufacturing</t>
  </si>
  <si>
    <t>GlowTech Inc</t>
  </si>
  <si>
    <t>http://www.glowtechinc.com</t>
  </si>
  <si>
    <t>mailto:h2jhale@yahoo.com</t>
  </si>
  <si>
    <t>Gluesenkamps Designscape</t>
  </si>
  <si>
    <t>="Designscape Horticultural Services, entering its 23rd year in business, is an upstanding, award-winning company that prides itself on dependable, quality work offered to clients by professional, responsible individuals. landscape design, installation and maintenance."</t>
  </si>
  <si>
    <t>http://www.designhort.com</t>
  </si>
  <si>
    <t>mailto:design@bloomington.in.us</t>
  </si>
  <si>
    <t>Go Electric LLC</t>
  </si>
  <si>
    <t>="Go Electric produces Level II and Level III charging solutions for electric vehicles. The products integrate with natural gas generators, providing reliable electric power to EV's even during an electric utility power outage. Go Electric's mobile charging solution fast charges an electric vehicle right at the roadside."</t>
  </si>
  <si>
    <t>http://www.goelectricinc.com</t>
  </si>
  <si>
    <t>mailto:Lisa@goelectricinc.com</t>
  </si>
  <si>
    <t>All Other Miscellaneous Electrical Equipment and Component Manufacturing</t>
  </si>
  <si>
    <t>Go Services LLC</t>
  </si>
  <si>
    <t>http://none</t>
  </si>
  <si>
    <t>mailto:usegoservices@yahoo.com</t>
  </si>
  <si>
    <t>Goad Machine Works Inc.</t>
  </si>
  <si>
    <t>Goal Link Internatio</t>
  </si>
  <si>
    <t>http://obetts.ordermygift.com</t>
  </si>
  <si>
    <t>mailto:obetts@insightbb.com</t>
  </si>
  <si>
    <t>Other Miscellaneous Nondurable Goods Wholesalers</t>
  </si>
  <si>
    <t>Godby Home Furnishings</t>
  </si>
  <si>
    <t>="Godby Home Furnishings is an Indiana family owned business since 1974, serving central Indiana's furnishing needs. We carry the finest names such as La-Z-Boy, Sealy Mattress, Ashley, Vaughan-Bassett and Best Furniture. We carry living room, casual and formal dining, bedroom, mattresses, home office, home entertainment and occasional furnishings. We also have professional salespeople to assist you in making the right decisions based on your preferences and your room."</t>
  </si>
  <si>
    <t>http://www.godbyhomefurnishings.com</t>
  </si>
  <si>
    <t>mailto:godby@godbyhomefurnishings.com</t>
  </si>
  <si>
    <t>Gods Will Carpet Cleaning LLC</t>
  </si>
  <si>
    <t>mailto:godswillcarpetcleaning@yahoo.com</t>
  </si>
  <si>
    <t>Godspeed Staffing, LLC</t>
  </si>
  <si>
    <t>="Godspeed Staffing, LLC is a professional nurse and medical staffing agency dedicated to providing quality healthcare services. Using supplemental healthcare staff from Godspeed Staffing is an efficient and productive partnership that will allow organizations to easily expand and contract their staff as needed. We provide reliable, cost-effective alternatives to meeting our customers short and long term staffing needs."</t>
  </si>
  <si>
    <t>http://www.godspeedstaffing.com</t>
  </si>
  <si>
    <t>mailto:info.godspeedstaffing.com</t>
  </si>
  <si>
    <t>Goebel Bros., Inc.</t>
  </si>
  <si>
    <t>mailto:GoebelBrosInc@gmail.com</t>
  </si>
  <si>
    <t>Goelzer Investment Management, Inc.</t>
  </si>
  <si>
    <t>http://www.goelzerinc.com</t>
  </si>
  <si>
    <t>mailto:ggoelzer@goelzerinc.com</t>
  </si>
  <si>
    <t>Golars LLC</t>
  </si>
  <si>
    <t>="Golars offers a full range of environmental engineering, consulting and construction services including site remediation, contaminated sediment services, waste management and munitions response programs. Applying innovative, creative, and value-based approaches is integral to every project we work on. Golars saves you money and time by focusing efforts that balance practicality, regulatory requirements, and cost-effectiveness."</t>
  </si>
  <si>
    <t>http://www.golars.com</t>
  </si>
  <si>
    <t>mailto:contact@golars.com</t>
  </si>
  <si>
    <t>GoldStar Management LLC</t>
  </si>
  <si>
    <t>mailto:heathelyn@goldstarmanagementllc.com</t>
  </si>
  <si>
    <t>Golden Auto Parts, Inc.</t>
  </si>
  <si>
    <t>mailto:gapmcb@core.com</t>
  </si>
  <si>
    <t>Golden Impressions Printing</t>
  </si>
  <si>
    <t>mailto:goldenimpressions@sbcglobal.net</t>
  </si>
  <si>
    <t>Golden Impressions Printing, Incorporate</t>
  </si>
  <si>
    <t>="• Commercial Printing • Business Forms • Rubber Stamps • Magnetic Signs • Checks • Graduation Invitations • Labels • Banners • Business Cards • Promotional Products • Foil Stamping • Embossing • Die Cutting • Graphic Design • Perferating • Scoring • Copying Services • Full Color Printing • Carbonless Forms • Presentation Folders • Continuous Forms • Pinfed Forms"</t>
  </si>
  <si>
    <t>http://www.goldenimpressions.net</t>
  </si>
  <si>
    <t>mailto:gi@goldenimpressions.net</t>
  </si>
  <si>
    <t>Golden Rule Insurance Company</t>
  </si>
  <si>
    <t>http://www.goldenrule.com</t>
  </si>
  <si>
    <t>Golden Years Homemaker Services, LLC</t>
  </si>
  <si>
    <t>mailto:goldenyears85@yahoo.com</t>
  </si>
  <si>
    <t>Goldman Electrical Contracting, Inc.</t>
  </si>
  <si>
    <t>mailto:shannon@goldmanelectrical.com</t>
  </si>
  <si>
    <t>Goldpoint LLC</t>
  </si>
  <si>
    <t>="Goldpoint LLC is an Indiana company that posseses the legal and certified regional franchise licensee's rights to operate an Expense Reduction Analysts Consulting practice that helps client organizations reduce on-going business expenses, typically in the area of non-core operating expenses."</t>
  </si>
  <si>
    <t>http://www.expensereduction.com</t>
  </si>
  <si>
    <t>mailto:chood@expensereduction.com</t>
  </si>
  <si>
    <t>Gonzalez Productos Intrenacionales, Inc.</t>
  </si>
  <si>
    <t>mailto:agonzalez@gpi-inc.com</t>
  </si>
  <si>
    <t>Gonzalez Saggio &amp; Harlan LLP</t>
  </si>
  <si>
    <t>="Gonzalez Saggio &amp; Harlan, a national, certified minority-owned law firm, provides legal representation in areas including Litigation, Employment, Environmental, Corporate &amp; Transactional, Energy Communications &amp; Utilities Law, Real Estate, Public Finance and Intellectual Property &amp; Technology. The firm has sixteen offices nationwide located in offices located in Atlanta; Boca Raton, Fla.; Boston; Chicago; Cleveland; Indianapolis; Los Angeles; Milwaukee; Nashville, Tenn.; New York; Phoenix; Pasadena, Calif., Stamford, Conn.; Washington, D.C.; Wayne, N.J; and West Des Moines, Iowa. The Firm has been named a “Go-To Law Firm” by Fortune 500 Companies and “Who Represents America’s Biggest Companies” by Fortune 100 Companies."</t>
  </si>
  <si>
    <t>http://www.gshllp.com</t>
  </si>
  <si>
    <t>mailto:pam_bertieri@gshllp.com</t>
  </si>
  <si>
    <t>Gonzalez Saggio Harlan LLC</t>
  </si>
  <si>
    <t>="Gonzalez Saggio Harlan LLC is a minorty owned law firm based out of Indianapolis, Indiana. Our attorneys have extensive experience in a wide variety of areas and handle matters throughout the Midwest in a cost-effective and efficient manner. We have a proven track record of representing public and private corporations, governmental entities, and individuals with a keen insight and understanding into our clients' complex business environment."</t>
  </si>
  <si>
    <t>mailto:alejandro_valle@gshllp.com</t>
  </si>
  <si>
    <t>Good Seeds LLC</t>
  </si>
  <si>
    <t>="Using a nimble team of creative, entrepreneurial, seasoned professionals from a wide variety of fields and experiences, we support organizational excellence and effectiveness by helping nonprofit, governmental, educational and philanthropic leaders with: facilitation, learning/training design, strategic/annual planning, organizational/program/proposal evaluation, program or special project management, board development, authentic collaboration and partnership development, executive coaching and thinking partnerships, and research that grows outcome/evidence-based strategies for transformative positive community change."</t>
  </si>
  <si>
    <t>mailto:anne@goodseedsconsulting.com</t>
  </si>
  <si>
    <t>Good Vibes Media</t>
  </si>
  <si>
    <t>http://www.goodvibesmedia.com</t>
  </si>
  <si>
    <t>mailto:info@goodvibesmedia.com</t>
  </si>
  <si>
    <t>mailto:mhusain@goodvibesmedia.com</t>
  </si>
  <si>
    <t>Good Works Book Company</t>
  </si>
  <si>
    <t>="Good Works Book Company distributes books, videos, software and assessments that deal with the job search and career exploration process. These materials are used to help people explore and find the occupation that is right for them. We also conduct training workshops that address the needs of workforce professionals with guidance that gets results."</t>
  </si>
  <si>
    <t>http://www.goodworksbooks.com</t>
  </si>
  <si>
    <t>mailto:barry@gwbks.com</t>
  </si>
  <si>
    <t>Gooden &amp; Ellis Architects, LLP</t>
  </si>
  <si>
    <t>="Gooden and Ellis Architects has provided architectural services to the Muncie community for over 30 years. We deliver high-quality architectural services in response to your needs. By limiting the size of our organization, we are able to provide our clients with a direct connection to an individual who is actively and consistently involved with your project from programming through construction. We are fortunate to have an outstanding and diverse group of people whose talents and enthusiasm produce quality work."</t>
  </si>
  <si>
    <t>mailto:mellis@geaarchitects.com</t>
  </si>
  <si>
    <t>Gooding Brown &amp; Company, Inc.</t>
  </si>
  <si>
    <t>http://www.goodingbrownandcompany.com</t>
  </si>
  <si>
    <t>mailto:customerservice@goodingbrownandcompany.com</t>
  </si>
  <si>
    <t>Goodman Networks, Inc.</t>
  </si>
  <si>
    <t>="Since its founding in 2000, Goodman Networks has grown to become one of the largest end-to-end communications solutions providers in the United States. The growth of Goodman Networks is a reflection of our reputation for completing communication projects with industry-leading quality and on-time performance metrics at competitive prices. As a leader in telecom services innovation and integration, Goodman Networks is committed to continual investment in its people, processes, and systems."</t>
  </si>
  <si>
    <t>http://www.goodmannetworks.com</t>
  </si>
  <si>
    <t>mailto:mmyers@goodmannetworks.com</t>
  </si>
  <si>
    <t>Goodwill Industries of Michiana, Inc.</t>
  </si>
  <si>
    <t>http://www.goodwill-ni.org/</t>
  </si>
  <si>
    <t>mailto:info@goodwill-ni.org</t>
  </si>
  <si>
    <t>Goodwin Bros Automobile co, INC</t>
  </si>
  <si>
    <t>http://www.goodwinbros.com</t>
  </si>
  <si>
    <t>mailto:sales@goodwinbros.com</t>
  </si>
  <si>
    <t>Gorman Consulting Services, Inc</t>
  </si>
  <si>
    <t>="We help you ask the right questions and consider the key points to make the best software decision to improve efficiency and effectiveness for your organization. We develop training materials and perform on-site training in your environment. We tailor training to fit your business needs. We help relieve the stress during roll-out and implementation of new software by being on site to provide fully accessible support. We provide continuous hands-on support by providing direct access to the trainers and staff your organization and employees have built a relationship with during training and implementation."</t>
  </si>
  <si>
    <t>http://www.gormansvcs.com</t>
  </si>
  <si>
    <t>mailto:info@gormancompanies.com</t>
  </si>
  <si>
    <t>Gose Enterprises Inc</t>
  </si>
  <si>
    <t>="Water, food and drink vending distributor. We offer containers of 5 gallon bottled water and cooler rental with hot and cold dispursement. Great marketing opportunity with individual size waters in various sizes such as 20 and 10 ounce with custom labels for advertising your business or organization. In addition to water, we offer full service vending machines for beverages, including water, pop, juices, fitness, and coffee. Snack machines include salty snacks such as chips and crackers, candy, healthy snacks, and sandwichs."</t>
  </si>
  <si>
    <t>Goshen Coach, Inc.</t>
  </si>
  <si>
    <t>http://www.goshencoach.com</t>
  </si>
  <si>
    <t>mailto:sales@goshencoach.com</t>
  </si>
  <si>
    <t>Goshen Farm &amp; Lawn Center, Inc</t>
  </si>
  <si>
    <t>http://www.goshenfarmandlawn.com</t>
  </si>
  <si>
    <t>mailto:gflc@tln.net</t>
  </si>
  <si>
    <t>Goshert Associates LLC</t>
  </si>
  <si>
    <t>="Goshert Associates is a consulting firm focused on assisting clients with organizational objectives in Human Resources, Leadership Development and Project Management. As a flexible, multi-faceted consulting firm, Goshert Associates does what you need most - support with organizational initiatives you don't have time and/or expertise to do in-house. With 30 years of Human Resources and consulting experience Goshert Associates has the expertise to turn your goals to reality and help you build a stronger team while allowing you to remain focused on running your business."</t>
  </si>
  <si>
    <t>http://www.goshert.com</t>
  </si>
  <si>
    <t>mailto:wendy@goshert.com</t>
  </si>
  <si>
    <t>Gough, Inc.</t>
  </si>
  <si>
    <t>http://www.goughinc.com</t>
  </si>
  <si>
    <t>mailto:postmaster@goughinc.com</t>
  </si>
  <si>
    <t>Gouloff-Jordan Surveying and Design, Inc</t>
  </si>
  <si>
    <t>mailto:Todd.GouloffJordan@verizon.net</t>
  </si>
  <si>
    <t>Government Payment Service, Inc.</t>
  </si>
  <si>
    <t>="Government Payment Service, Inc. (GovPayEXP) is the leading provider of remote credit and debit card payment processing for government agencies. Over 1,100 state, county and local government customers in 31 states rely on GovPayEXP to process their payments. GovPayEXP’s services are available 24 hours a day, 7 days a week with both phone and Internet payment processing enabling consumers to use their credit or debit card to pay a fee or obligation to government agencies. Payments include: Taxes, Child Support, Remote Bail, Bail, Reimbursement/Housing, Commissary Deposits, Traffic Fines, Court Costs, and many other fees."</t>
  </si>
  <si>
    <t>http://www.GovPayEXP.com</t>
  </si>
  <si>
    <t>mailto:info@GovPayEXP.com</t>
  </si>
  <si>
    <t>Government Solutions Inc</t>
  </si>
  <si>
    <t>Graber Post Building</t>
  </si>
  <si>
    <t>http://www.graberpost.com</t>
  </si>
  <si>
    <t>Primary Metal Manufacturing</t>
  </si>
  <si>
    <t>Grabner Blasting &amp; Consulting, Inc</t>
  </si>
  <si>
    <t>mailto:Fredgrabner@msn.com</t>
  </si>
  <si>
    <t>Grace Island Specialty Foods, Inc.</t>
  </si>
  <si>
    <t>="Grace Island Baked Cheese Crisps are a delicious, crunchy baked cheese snack that is suitable for both gourmet consumers and specialized dietary needs and lifestyle choices. Fine artisanal cheeses serve as the base for these “crackers,” making this product exceptional in its taste and texture. It offers a sturdy, crisp crunch that is welcomed by those unable or preferring not to eat carbohydrates. Grace Island Baked Cheese Crisps contain no wheat, corn, soy, or other grain and are naturally gluten-free and sugar-free."</t>
  </si>
  <si>
    <t>http://www.graceislandfoods.com</t>
  </si>
  <si>
    <t>mailto:info@graceislandfood.com</t>
  </si>
  <si>
    <t>Other Snack Food Manufacturing</t>
  </si>
  <si>
    <t>Grace Yates Rieger</t>
  </si>
  <si>
    <t>="As a Business Consultant I evaluate, or perform an organizational assessment and based on said results, I provide advice/recommendations related to overall business efficiencies and quality of services. I also provide leadership training, coaching, training related to high payoff hiring, as well as, how to develop high performing teams and strategies."</t>
  </si>
  <si>
    <t>http://www.gz-consulting.com</t>
  </si>
  <si>
    <t>mailto:grace@gz-consulting.com</t>
  </si>
  <si>
    <t>Grade A Cleaning Inc</t>
  </si>
  <si>
    <t>mailto:jcgradea@yahoo.com</t>
  </si>
  <si>
    <t>Gradeworks, Inc.</t>
  </si>
  <si>
    <t>mailto:gradeworks@live.com</t>
  </si>
  <si>
    <t>Grady Brothers, Inc.</t>
  </si>
  <si>
    <t>http://www.gradybros.com</t>
  </si>
  <si>
    <t>mailto:gradybros@sbcglobal.net</t>
  </si>
  <si>
    <t>Graessle-Mercer Co,</t>
  </si>
  <si>
    <t>mailto:graessle@tls.net</t>
  </si>
  <si>
    <t>Graham &amp; Hurley, P.C.</t>
  </si>
  <si>
    <t>GramTel, Inc</t>
  </si>
  <si>
    <t>="At GramTel we help organizations prevent &amp; respond to emergencies that may cause IT systems to become unavailable. Our proactive plans and solutions combat the frustration – and financial losses – of downtime. We believe that even though you’ll pay less with GramTel, you should still expect more. And we promise to deliver."</t>
  </si>
  <si>
    <t>http://www.gramtel.net</t>
  </si>
  <si>
    <t>Grand Champion Tack &amp; Saddlery</t>
  </si>
  <si>
    <t>Horses and Other Equine Production</t>
  </si>
  <si>
    <t>Grand Foods, LLC</t>
  </si>
  <si>
    <t>="Grand Foods, LLC offers a broad-range of food, paper and cleaning supplies to fit the needs of food service and cleaning programs. We will work with your team to select popular items like Kellogg’s, Kraft, Eco-Lab and Starbucks to satisfy a wide array of tastes and needs. We are a certified minority owned (MBE) firm with unlimited delivery and product capabilities. This allows Grand Foods, LLC to compete for your business on our lower pricing, higher quality and high regard for superior customer service."</t>
  </si>
  <si>
    <t>http://www.grandfoodsllc.com</t>
  </si>
  <si>
    <t>mailto:grandfoodsllc@yahoo.com</t>
  </si>
  <si>
    <t>GrandView Healthcare, Inc.</t>
  </si>
  <si>
    <t>="GrandView Pharmacy was founded as Elliot and Hood Drug Company in Connersville, Indiana. In 1960, due to the proximity of the pharmacy’s location to the Grandview School District, the owners appropriately renamed the pharmacy to become GrandView Pharmacy. GrandView Beginnings Through the years, the single neighborhood pharmacy has grown to four east central Indiana retail locations: Connersville, Cambridge City, Hagerstown and Richmond. These facilities offer many traditional pharmacy services and diverse retail products. Even as the times have changed, GrandView Pharmacy maintains the warmth and intimacy of our neighborhood pharmacy roots. GrandView LTC In 2005, GrandView Pharmacy took another large step toward becoming a superior Indiana pharmacy provider by expanding its long term care division. At one time, the long term care division of GrandView was operated from a small office behind the retail pharmacy. However, in 2005 GrandView an investment was made to build a"</t>
  </si>
  <si>
    <t>http://www.grandrx.com</t>
  </si>
  <si>
    <t>mailto:www.grandrx.com</t>
  </si>
  <si>
    <t>Grandview One, Inc.</t>
  </si>
  <si>
    <t>Granger Care Services</t>
  </si>
  <si>
    <t>="Granger Care Services is a social service agency, that provides care-planning, case-management, advocacy , companionship, wellness checks, money management , and linkage to other services as needed. Granger Care Services' goal is to meet the needs of the elderly and disabled while focusing on preservation of dignity and self worth. Granger Care Services receives referrals from Area Agencies on Aging, assisted Living Facilites, nursing Homes, hospitals, lawyers, elder Care Attorneys and more."</t>
  </si>
  <si>
    <t>http://www.grangercare.org</t>
  </si>
  <si>
    <t>mailto:donna@xxgrangercare.org</t>
  </si>
  <si>
    <t>Grant Wireless LLC</t>
  </si>
  <si>
    <t>http://www.grantwireless.com</t>
  </si>
  <si>
    <t>mailto:sgrant@grantwireless.com</t>
  </si>
  <si>
    <t>Grapevine Personnel, Inc.</t>
  </si>
  <si>
    <t>="Express Personnel Services is the sixth largest staffing service in the U.S. with over 450 offices, each locally owned as a franchise. Grapevine Personnel, Inc d/b/a Express brings Express' vast resources to companies in the Northeast Marion County community through my commitment as the local owner to provide those resources in the ways that make sense for each clients' unique business needs. Express offers staffing solutions for Office Services, Industrial and Professional (Accounting/Finance, IT, Engineering, HR, Healthcare and Sales/Marketing) through traditional temporary staffing, evaluation hire (i.e., temp-to-hire) and direct hire placement. Our recruiting, screening and selection processes are ISO9002 registered to assure quality service. Our mission is to help people in our community find good jobs by helping as many clients as possible find good people."</t>
  </si>
  <si>
    <t>http://www.expresspersonnel.com/eindiana</t>
  </si>
  <si>
    <t>mailto:jobs.eindianapolisin@expresspersonnel.com</t>
  </si>
  <si>
    <t>Graphic Communications Group, Inc.</t>
  </si>
  <si>
    <t>http://www.hoosierwoman.com</t>
  </si>
  <si>
    <t>mailto:jconley@hoosierwoman.com</t>
  </si>
  <si>
    <t>Graphic Expressions Inc.</t>
  </si>
  <si>
    <t>="Graphic Expressions Design Studio is a sophisticated, yet cost-effective alternative to high priced advertising agencies and large design firms. We provide custom design with a personal touch. Celebrating over 11 years in business! WHAT MAKES US UNIQUE? Almost EVERYTHING. We are a small sized firm. so all of our clients get personal attention. We treat every client as if they are the only client. That woman who just left the corporate world to start her own business - she's just as important to us as that company that just hired 5,000 more employees. We treat every job like it's our biggest job. Those one color business cards you need reproduced? We will work as hard on them as we would creating an entire marketing campaign. We go the extra mile. All the time. Every time. We strive to impress our clients each and every time. Whether it is the first project or the fiftieth project. We strive to exceed customer expectations. Whether it's coming in under budget or del"</t>
  </si>
  <si>
    <t>http://www.graphicexpressionsinc.com</t>
  </si>
  <si>
    <t>mailto:eringoodwin@graphicexpressionsinc.com</t>
  </si>
  <si>
    <t>Graphic Printing Co Inc</t>
  </si>
  <si>
    <t>mailto:gpcbusiness@jayco.net</t>
  </si>
  <si>
    <t>Graphics 55, LLC</t>
  </si>
  <si>
    <t>mailto:rob@graphics55.biz</t>
  </si>
  <si>
    <t>Graves Plumbing Co.</t>
  </si>
  <si>
    <t>="We provide service, installation, repair and preventative maintenance in the following areas: HVAC, plumbing, wastewater treatment, water treatment, swimming pools, boilers, cooling towers and chillers. We also are active in the general contracting, excavating, electrical, water line and sanitary distribution."</t>
  </si>
  <si>
    <t>http://www.gravesplumbing.net</t>
  </si>
  <si>
    <t>mailto:andrew@gravesplumbing.net</t>
  </si>
  <si>
    <t>Gravograph/New Hermes</t>
  </si>
  <si>
    <t>="For more than 65 years, Gravograph New Hermes has pioneered high-quality, durable Rotary and Laser engraving and marking machines and products that help our customers achieve the success they expect and deserve. The state-of-the-art engraving technology we offer, combined with the unmatched customer service provided by our more than 500 employees around the world, have made Gravograph the vendor of choice for customers who demand today's most advanced engraving and marking solutions."</t>
  </si>
  <si>
    <t>http://www.gravograph.com</t>
  </si>
  <si>
    <t>mailto:mindiano@gravograph-newhermes.com</t>
  </si>
  <si>
    <t>Marking Device Manufacturing</t>
  </si>
  <si>
    <t>Gray Environmental Management LLC</t>
  </si>
  <si>
    <t>="Gray Environmental Management LLC is an Indiana business that provides environmental and safety auditing and consulting services. Services provided include ISO 14001 auditing and consulting, OHSAS auditing and consulting, pollution prevention opportunity assessments and training."</t>
  </si>
  <si>
    <t>mailto:terry.gray@comcast.net</t>
  </si>
  <si>
    <t>Grease Cutters, Inc.</t>
  </si>
  <si>
    <t>="Grease Cutters provides power washing to kitchen exhaust systems. They service any commercial institution. Additional services include access panel installation, rooftop grease containment, dumpster area grease containment, industrial power washing, filter exchange program, exhaust fan preventative maintenance, and exhaust fan hinge kit installation. We can also assist in most power washing needs besides kithcen exhaust systems."</t>
  </si>
  <si>
    <t>http://www.greasecutters.com</t>
  </si>
  <si>
    <t>mailto:darrin.freeman@greasecutters.com</t>
  </si>
  <si>
    <t>Greasy Dicks LLC</t>
  </si>
  <si>
    <t>http://www.greasydicks.com</t>
  </si>
  <si>
    <t>mailto:greasydicksllc@etczone.com</t>
  </si>
  <si>
    <t>Great American Desk Company, Inc.</t>
  </si>
  <si>
    <t>="Turnkey Commercial, Institutional, Industrial, Desk &amp; Work surface solutions. Spec Engineering with Durability, Functionality, &amp; Value for Ergonomic &amp; Space Saving Efficiency Direct from the source as we are the Manufacturer. We can handle all work surface projects from large to small, and with any special requirements always to the clients satisfaction."</t>
  </si>
  <si>
    <t>http://www.greatamericandesk.com</t>
  </si>
  <si>
    <t>mailto:574/295-5731</t>
  </si>
  <si>
    <t>Great Lakes Coach</t>
  </si>
  <si>
    <t>="Specialists in Commercial Transportation offering new and used buses with a capacity of 8-37 passengers. Para-Transit Buses &amp; Vans that meet ADA regulations. Van Terra (15 Passenger) Bus. Customized Units: Medical, Dental &amp; Blood Donor Labs. Prisoner Transport Buses. Mobile Command Centers. Trade-Ins Considered."</t>
  </si>
  <si>
    <t>http://www.greatlakescoach.com</t>
  </si>
  <si>
    <t>mailto:gail@greatlakescoach.com</t>
  </si>
  <si>
    <t>Great Lakes Communications LLC</t>
  </si>
  <si>
    <t>="We are a local based telephone answering service in Crown Point, In. We value your business and offer the highest level of service to organizations, medical and commercial offices as well as government and Non-profits. No office is to big or too small. You can rely on us to take your calls when you are not available!"</t>
  </si>
  <si>
    <t>http://www.answergreatlakes.com</t>
  </si>
  <si>
    <t>mailto:getstarted@answergreatlakes.com</t>
  </si>
  <si>
    <t>Great Lakes Improvements</t>
  </si>
  <si>
    <t>http://WWW.GLIMPROVEMENTS.COM</t>
  </si>
  <si>
    <t>mailto:GREATLAKES@CENTRALNET.NET</t>
  </si>
  <si>
    <t>Great Lakes Labs</t>
  </si>
  <si>
    <t>="Drug screening of blood, oral fluid, urine, post mortem samples. DNA analysis is available. All services are available nationwide. Forensic analysis of drugs, paraphernalia, tablets, capsules, pills etc.. Visit our website at gl-labs.com or phone 1-888-464-8885 and ask for Michelle."</t>
  </si>
  <si>
    <t>http://www.gl-labs.com</t>
  </si>
  <si>
    <t>mailto:www.gl-labs.com</t>
  </si>
  <si>
    <t>Great Lakes Office Furniture</t>
  </si>
  <si>
    <t>="Great Lakes Office Furniture ia a family owned and operated business since 1991. We are your company's one stop shop. We will furnish your business's office and schools with furniture; provide storage in our warehouse and also offer transportation and logistics."</t>
  </si>
  <si>
    <t>http://www.greatlakescorp.net</t>
  </si>
  <si>
    <t>mailto:greatlakescorp1@frontier.com</t>
  </si>
  <si>
    <t>Office Furniture (including Fixtures) Manufacturing</t>
  </si>
  <si>
    <t>Great Lakes Personal Care Services LLC</t>
  </si>
  <si>
    <t>="Great Lakes Personal Care Services (GLPCS) provide professional assistance with: meal preparation, day to day activities, laundry, transportation, medication reminders, bathing, dressing, toileting, exercises, respite care, companionship, and light housekeeping. Our personal care assistants are carefully selected. Background and reference checks are performed. Prior work experience and skills are validated. Additionally, each personal care assistant is covered by professional liability, bonding, and workers compensation insurance."</t>
  </si>
  <si>
    <t>http://www.GLPCS.com</t>
  </si>
  <si>
    <t>mailto:info@GLPCS.com</t>
  </si>
  <si>
    <t>Great Lakes Peterblt</t>
  </si>
  <si>
    <t>="Welcome to Great Lakes Peterbilt - GMC Truck, your complete resource for trucks, parts, service and more. We've been serving Northwest Indiana for more than 10 years. We sell and service the full line of Peterbilt trucks and - over-the-road conventionals and cabovers, vocational trucks and medium duty pickup and deliver y vehicles - every model that bears the Peterbilt red oval. We also carry the full line of GMC medium duty trucks, CW and T series. Once you've found the truck you want, we offer competitive financing and leasing packages, as well as total customer support packages. Portage Ind. Location: 5900 Southport Road Portage, IN 46368 Phone: (219) 763 - 7227 Fax: (219) 762 - 7974 New &amp; Used Truck Manager Ron Coffman rcoffman@gltrucking.com Service Manager Ken Bodamer kbodamer@gltrucking.com Body Shop Manager Roger Stacey rstacey@gltrucking.com Parts Manager Rick Kerley rkerley@gltrucking.com Brookston Ind. (Parts only): Herman Smith 800-563-7383"</t>
  </si>
  <si>
    <t>http://www.greatlakespeterbiltgmc.com</t>
  </si>
  <si>
    <t>mailto:info@gltrucking.com</t>
  </si>
  <si>
    <t>Great Lakes Recreational Supply, Inc.</t>
  </si>
  <si>
    <t>mailto:victor.levan@verizon.net</t>
  </si>
  <si>
    <t>Great Oaks Construction, Inc.</t>
  </si>
  <si>
    <t>http://www.great-oaks.com</t>
  </si>
  <si>
    <t>mailto:randy.sayre@lyndenbrook.net</t>
  </si>
  <si>
    <t>Great Profiles</t>
  </si>
  <si>
    <t>mailto:nawannda@aol.com</t>
  </si>
  <si>
    <t>Greater Opportunity Development and Serv</t>
  </si>
  <si>
    <t>="Greater Opportunity has worked tirelessly on behalf of veterans and the elderly community. Our vision and mission is to reach many men and women veterans and wives of veterans, elderly, disabled persons and children to get the care and support they are very much in need to maintain at home safe and healthy. To open our doors to those that need a place to call home and feel safe as so many of our veterans have made us feel fight and sacrificing their lives for us. We service private homes, hospitals and nursing facilities, women men and children."</t>
  </si>
  <si>
    <t>http://www.greateropportunity.webs.com</t>
  </si>
  <si>
    <t>mailto:greateropportunity@gmail.com</t>
  </si>
  <si>
    <t>Green 3, LLC</t>
  </si>
  <si>
    <t>http://www.green3studio.com</t>
  </si>
  <si>
    <t>mailto:dawn@green3studio.com</t>
  </si>
  <si>
    <t>Green Acres Ironworks</t>
  </si>
  <si>
    <t>http://www.greenacresironworks.com</t>
  </si>
  <si>
    <t>mailto:erikdworak@gmail.com</t>
  </si>
  <si>
    <t>Green Automated Solutions, Inc</t>
  </si>
  <si>
    <t>="Green Automated Solutions, Inc. is the manufacturer of the Titan HD vertical automated storage &amp; retrieval systems. We also provide pre-owned vertical storage, carousels, and mobile shelving, as well as repair services for all makes of vertical storage equipment, carousels, and mobile shelving."</t>
  </si>
  <si>
    <t>http://www.greenautomated.com</t>
  </si>
  <si>
    <t>mailto:sales@greenautomatedsolutions.com</t>
  </si>
  <si>
    <t>Green Banner Publica</t>
  </si>
  <si>
    <t>http://gbpnews.com</t>
  </si>
  <si>
    <t>mailto:paperman@gbpnews.com</t>
  </si>
  <si>
    <t>Green Earth Energy Solutions, Inc.</t>
  </si>
  <si>
    <t>="Green Earth Energy Solutions, Inc. is an energy auditing company. We provide energy audits for residential homes. Audits are a through inspection of the homes heating and cooling system and insulation levels. The audit is designed to maximize the efficiency of homes, particularly through stopping infiltration, insulating attics, insulating walls and checking efficiencies of water heaters and furnaces."</t>
  </si>
  <si>
    <t>mailto:karen_brodbeck@comcast.net</t>
  </si>
  <si>
    <t>Green Enterprizes</t>
  </si>
  <si>
    <t>="Green Enterprizes is a counseling, consulting and training firm located in Indianapolis. We specialize in services to individuals, couples and families. We work with corporations, educational institutions, social service and community organizations, faith based, and health serving organizations."</t>
  </si>
  <si>
    <t>http://www.green-enterprizes.com</t>
  </si>
  <si>
    <t>Green Meadows Environmental</t>
  </si>
  <si>
    <t>mailto:greenmeadowsenv@verizon.net</t>
  </si>
  <si>
    <t>Hazardous Waste Collection</t>
  </si>
  <si>
    <t>Green More LLC</t>
  </si>
  <si>
    <t>="Green More LLC is a company that recycles construction debris, wood products, such as brush, railroad ties, telephone poles and green waste. We convert these materials into useable alternative fuels for numerous applicatons. Fuels for concrete plants, power plants and other industries utilizing alternative fuels. We also provide a service of demo/debris clean up and removal from storm damage, land clearing and natural disasters. In addition to these services we are part of the lead program offered to contractors providing a way to dispose of their waste stream. Our objective is offering alternative ways to minimize the amount of waste being dumped into our landfills."</t>
  </si>
  <si>
    <t>mailto:greenmorellc@sbcglobal.net</t>
  </si>
  <si>
    <t>Green Strip LLC</t>
  </si>
  <si>
    <t>mailto:greenstrip@comcast.net</t>
  </si>
  <si>
    <t>Green Supply Chain.org</t>
  </si>
  <si>
    <t>="Green Supply Chain.org is the world’s leading provider of online sustainability training helping companies achieve their environmental objectives and carbon foot print reduction goals in more than 50 countries. Green Supply Chain.org’s world-class training solutions, offered in flexible and scalable on-demand format, are designed to provide people with the skills and knowledge necessary to change their company’s business processes to better manage their environmental impact, reduce waste, and lower cost. Green Supply Chain.org helps organizations overcome “green” business obstacles and achieve their sustainability strategy objectives by offering online training solutions that address corporate social responsibility, sustainability topics, and greening the supply chain. We provide three exclusive sustainability professional certifications through our Global Sustainability Institute of Technology. We are a Woman Owned Business. Green Supply Chain.org can be contacted at818-827-2597 or 2"</t>
  </si>
  <si>
    <t>http://www.greensupplychain.org</t>
  </si>
  <si>
    <t>mailto:info@greensupplychain.org</t>
  </si>
  <si>
    <t>Green Tech Transfer &amp; Recycling, LLC</t>
  </si>
  <si>
    <t>http://www.recycletoday.com</t>
  </si>
  <si>
    <t>mailto:info@recycletoday.com</t>
  </si>
  <si>
    <t>Materials Recovery Facilities</t>
  </si>
  <si>
    <t>Green Thumb Landscaping, INC</t>
  </si>
  <si>
    <t>="Full service, family owned landscaping company &amp; garden centers. Landscaping, lawn, retaining walls, irrigation, maintenance, design, water features, etc. Wedding decoration, funeral flowers &amp; gifts, garden products (seeds, chemicals, plants). Trees / shrubs/ flowers. Bulk landscape materials."</t>
  </si>
  <si>
    <t>http://www.gthumblandscaping.org</t>
  </si>
  <si>
    <t>Green Tree Plastics, Inc.</t>
  </si>
  <si>
    <t>http://www.greentreeplastics.com</t>
  </si>
  <si>
    <t>mailto:sales@greentreeplastics.com</t>
  </si>
  <si>
    <t>Green's Excavating Services</t>
  </si>
  <si>
    <t>GreenQuest Corporation</t>
  </si>
  <si>
    <t>="GreenQuest Corporation provides Enviro-Save Metal Treatment products which are technically formulated to provide the safest and most compatible treatment for each type of component being treated. Enviro-Save is not an additive, but instead, a “one time” metal treatment that is designed for use in manufacturing equipment, construction equipment, hydraulic systems, fleet operations and private consumers. Enviro-Save is formulated to extend the life of any mechanical moving part and some other benefits include reduced emissions, fuel savings, noise reduction, less vibration, lower operating temperatures, storage/corrosion protection, etc."</t>
  </si>
  <si>
    <t>http://www.greenquestcorp.com</t>
  </si>
  <si>
    <t>mailto:greenquest@greenquestcorp.com</t>
  </si>
  <si>
    <t>GreenScapers, LLC</t>
  </si>
  <si>
    <t>http://www.greenscapers.com</t>
  </si>
  <si>
    <t>mailto:info@greenscapers.com</t>
  </si>
  <si>
    <t>GreenTree Landscaping &amp; total ground mai</t>
  </si>
  <si>
    <t>mailto:jeanlukes@gmail.com</t>
  </si>
  <si>
    <t>Greencastle Community School Corporation</t>
  </si>
  <si>
    <t>Greenday Inc.</t>
  </si>
  <si>
    <t>="Greenday lanscaping is a company that offers all aspects of landscaping. we have a retail garden center, we offer services like retaining walls, pavers, landscape design, water falls and ponds, drainage systems, seed and sod, bobcat work, landscape installation, tree work, stump grinding, grading, mulching, landscape lighting, and much more. we have been in buisness over 10 years and have certified nursery men and certified allen block staff members."</t>
  </si>
  <si>
    <t>mailto:greenday47040@yahoo.com</t>
  </si>
  <si>
    <t>Greendell Farm Inc</t>
  </si>
  <si>
    <t>http://www.greendellmulch.com</t>
  </si>
  <si>
    <t>mailto:sales@greendellmulch.com</t>
  </si>
  <si>
    <t>Greene County Auditor</t>
  </si>
  <si>
    <t>http://www.co.greene.in.us</t>
  </si>
  <si>
    <t>mailto:patty.baker@co.greene.in.us</t>
  </si>
  <si>
    <t>Greeney-Spectrum, Inc.</t>
  </si>
  <si>
    <t>mailto:joygreeney@sbcglobal.net</t>
  </si>
  <si>
    <t>Greenfield Motor Spo</t>
  </si>
  <si>
    <t>http://www.greenfieldmotorsports.com</t>
  </si>
  <si>
    <t>mailto:sales@greenfieldmotorsports.com</t>
  </si>
  <si>
    <t>Greenfield Triaxle Service, LLC</t>
  </si>
  <si>
    <t>Greenleaf Lawn Care Inc</t>
  </si>
  <si>
    <t>mailto:tsteele2277@yahoo.com</t>
  </si>
  <si>
    <t>Greenleaves Florist, Inc.</t>
  </si>
  <si>
    <t>="Full service retail florist providing fresh floral arrangements, silk and artificial floral arrangements, live and artificial plants , balloons, gift items. Delivery available around the world. We have Indian Certified Floral Designer on our staff. We specialaize in banquet and party work for business and social functions. We offer full bridal services. We can find the hard to find flower from anywhere in the world."</t>
  </si>
  <si>
    <t>http://matzkeflorist.com</t>
  </si>
  <si>
    <t>mailto:matzkefl@michiana.org</t>
  </si>
  <si>
    <t>Greensburg Plaza Co., Inc.</t>
  </si>
  <si>
    <t>="Stratically located shopping center on main retail artery in Greensburg, IN. Current tenants include McDonald's Rest., Irwin Union Bank, Advance Auto Parts, Papa John's Pizza, and several local stores. Space available for retail, office or commercial businesses. Indiana based businesses especially welcome."</t>
  </si>
  <si>
    <t>http://www.GreesnburgPlaza.com</t>
  </si>
  <si>
    <t>mailto:tkalb@Kalb-KalbInc.com</t>
  </si>
  <si>
    <t>Greentown Equipment, Inc.</t>
  </si>
  <si>
    <t>http://greentownequipment.com</t>
  </si>
  <si>
    <t>mailto:dan@greentownequipment.com</t>
  </si>
  <si>
    <t>Greenverge, LLC</t>
  </si>
  <si>
    <t>http://www.greenverge.com</t>
  </si>
  <si>
    <t>mailto:tmg@greenverge.com</t>
  </si>
  <si>
    <t>Greenwood Moving &amp; Storage, Inc.</t>
  </si>
  <si>
    <t>http://www.greenwoodmoving.com</t>
  </si>
  <si>
    <t>mailto:keith@greenwoodmoving.com</t>
  </si>
  <si>
    <t>Greg P Ressler</t>
  </si>
  <si>
    <t>mailto:gpressler@direcway.com</t>
  </si>
  <si>
    <t>Gregory F. Walton</t>
  </si>
  <si>
    <t>="Walton Window Washing Service is professional and dependable. We are a valued service in helping you maintain the upkeep of commercial businesses throughout Indiana. We are detail-minded perfectionist, ensuring that our services are delivered professionally and within budget. Company Mandate Our company’s exacting standards must be met before our work crew leaves your business. You must be satisfied before they leave. An experienced supervisor will check the service quality of all window cleaning work performed for you. Furthermore, we will remove all excess water to reduce mineral deposit damage to your window ledges. This mandate extends to protecting your floors beneath every window. In addition, if necessary, our work crews even wear slipcovers over their shoes as a further aid towards protecting your floors."</t>
  </si>
  <si>
    <t>http://www.indywindowcleaner.com</t>
  </si>
  <si>
    <t>mailto:info@indywindowcleaner.com</t>
  </si>
  <si>
    <t>Greiner Brothers Inc</t>
  </si>
  <si>
    <t>Gremling Enterprises, Inc.</t>
  </si>
  <si>
    <t>="eLucida Imaging specializes in outsource document scanning, converting all types of documents to digital format. Capabilities include black and white, color, mixed, small x-rays, transparencies, large format, OCR. We are a certified Laserfiche reseller, providing a customizable document management solution suitable for any size organization. We can scan for existing systems or provide a stand-alone CD-based archive with search engine on each CD. We are also a reseller of Kodak desktop scanners."</t>
  </si>
  <si>
    <t>http://www.eLucidainc.com</t>
  </si>
  <si>
    <t>mailto:mj@eLucidainc.com</t>
  </si>
  <si>
    <t>Greves TV &amp; Appliances, Inc.</t>
  </si>
  <si>
    <t>="Greves TV &amp; Appliance is a family-owned discount Appliances, Electronics store based in Madison, IN. Since 1970, Greves TV &amp; Appliance has served customers in Madison, Hanover, Lexington, New Washington, North Vernon, Versailles, Vevay, Bedford, Carrollton, Scottsburg and Osgood with low prices on Appliances, Electronics products and top notch customer service. Our knowledge of the Appliances, Electronics we sell sets us high above the competition. Greves TV &amp; Appliance is an authorized dealer of such brands as Air King, Amana, Asko, Aspen Furniture, Bell'o,and more. We can help you select your new Appliances, Electronics purchase at any budget. We look forward to seeing you at Greves TV &amp; Appliance, serving Madison, Hanover, Lexington, New Washington, North Vernon, Versailles, Vevay, Bedford, Carrollton, Scottsburg and Osgood in Indiana since 1970."</t>
  </si>
  <si>
    <t>http://www.grevestv.com</t>
  </si>
  <si>
    <t>mailto:grevestv@seidata.com</t>
  </si>
  <si>
    <t>Greystone Concrete, Inc.</t>
  </si>
  <si>
    <t>mailto:adrian@greystoneconcrete.com</t>
  </si>
  <si>
    <t>Gribbins Insulation</t>
  </si>
  <si>
    <t>http://www.gribbins.com</t>
  </si>
  <si>
    <t>Grieger's Motor Sales Inc.</t>
  </si>
  <si>
    <t>="A Dodge, Chrysler, and Jeep dealership located in Northwest Indiana. We have a service, parts, and sales department that is dedicated to serving both our retail and commercial customers (including municipalities). Our BusinessLink program, dedicated to commercial customers provides a number of benefits to commercial customers. Furthermore, we sell the Dodge Sprinter van, the premier commercial vehicle on the market today."</t>
  </si>
  <si>
    <t>http://www.grieger.com</t>
  </si>
  <si>
    <t>Griffen P&amp;H, Inc.</t>
  </si>
  <si>
    <t>http://www.griffenph.com</t>
  </si>
  <si>
    <t>mailto:info@griffenph.com</t>
  </si>
  <si>
    <t>Griffin Analytical Technologies, LLC</t>
  </si>
  <si>
    <t>http://gs.flir.com/mass-spec</t>
  </si>
  <si>
    <t>mailto:griffin@flir.com</t>
  </si>
  <si>
    <t>Analytical Laboratory Instrument Manufacturing</t>
  </si>
  <si>
    <t>Griffin Marketing Services, Inc.</t>
  </si>
  <si>
    <t>http://www.griffinmarketingservices.com</t>
  </si>
  <si>
    <t>mailto:info@griffinmarketingservices.com</t>
  </si>
  <si>
    <t>Griffin Painting &amp; Remodeling LLC</t>
  </si>
  <si>
    <t>http://www.griffinconstruction.net</t>
  </si>
  <si>
    <t>mailto:agriffin2777@yahoo.com</t>
  </si>
  <si>
    <t>Griffin Real Estate Services, Inc.</t>
  </si>
  <si>
    <t>mailto:lgriffin@griffinres.com</t>
  </si>
  <si>
    <t>Griffins Cafe</t>
  </si>
  <si>
    <t>http://www.griffinscafe1.com/</t>
  </si>
  <si>
    <t>mailto:griffinscafe1@gmail.com</t>
  </si>
  <si>
    <t>Cafeterias</t>
  </si>
  <si>
    <t>Griffith Group, Inc.</t>
  </si>
  <si>
    <t>Grimes Appraisal Service</t>
  </si>
  <si>
    <t>mailto:bgrimes729@aol.com</t>
  </si>
  <si>
    <t>Grinsteiner Funeral Home</t>
  </si>
  <si>
    <t>mailto:grinsteiner1601@yahoo.com</t>
  </si>
  <si>
    <t>Funeral Homes and Funeral Services</t>
  </si>
  <si>
    <t>Ground Up Lawn Care, LLC</t>
  </si>
  <si>
    <t>http://www.Grounduplawncare.com</t>
  </si>
  <si>
    <t>mailto:Brent@Grounduplawncare.com</t>
  </si>
  <si>
    <t>Ground Works LLC</t>
  </si>
  <si>
    <t>="Ground Workd LLC is a full service lawn Care and landscape company. Ground Works is owned and operated by Matthew &amp; Randy Eggenspiller who are both graduates of Purdue University. Matthew is a turf specialist’s specializing in sports turf management. Randy is a Landscape Architect specializing in design and construction."</t>
  </si>
  <si>
    <t>mailto:meggens2@hotmail.com</t>
  </si>
  <si>
    <t>Group 7even</t>
  </si>
  <si>
    <t>="Group 7even is an integrated marketing agency that makes it easier to achieve and measure results by simplifying the use of today’s sophisticated marketing mix and supporting your strategy with cutting-edge technologies. A leading provider of strategic marketing services in Northwest Indiana, Group 7even can provide true marketing ROI analysis to ensure you are getting the most out of your marketing strategy."</t>
  </si>
  <si>
    <t>http://www.group7even.com</t>
  </si>
  <si>
    <t>mailto:info@group7even.com</t>
  </si>
  <si>
    <t>Group Delphi</t>
  </si>
  <si>
    <t>="Group delphi designs, fabricates, transports, and services trade show requirements that range from lightweight, portable displays to huge, multistory exhibits that can be assembled and reconfigured in a matter of hours using the latest exhibit systems technology. We are a full service Event planning company that takes care of trade show, media and event planning for a large diversity of corporations. Our media department produces high impact pieces that range from looping information to touch screen interactive. In the realm of museums and environments, Group Delphi has collaborated with world-class designers to produce exhibits for museums, and has been recognized for its work on the Lincoln, John Dillinger, Indiana State, ACD and various other Indiana museums."</t>
  </si>
  <si>
    <t>http://www.groupdelphi.com</t>
  </si>
  <si>
    <t>mailto:contact@groupdelphi.com</t>
  </si>
  <si>
    <t>Group Homes for Children</t>
  </si>
  <si>
    <t>http://www.grouphomesforchildren.org</t>
  </si>
  <si>
    <t>mailto:grouphomesforchildren@grouphomesforchildren.org</t>
  </si>
  <si>
    <t>Grow Southwest Indiana Workforce Brd Inc</t>
  </si>
  <si>
    <t>="Provides guidance for, and reviews, monitors and evaluates activities under the Workforce Investment (Opportunity) Act, in order to create a system of workforce investment that integrates all public workforce development resources into an easily accessible system"</t>
  </si>
  <si>
    <t>http://www.workonesouthwest.com</t>
  </si>
  <si>
    <t>mailto:angie.sheppard@workonesw.org</t>
  </si>
  <si>
    <t>Growth Real Estate LLC</t>
  </si>
  <si>
    <t>mailto:bsargent@wthgis.com</t>
  </si>
  <si>
    <t>Grunau Company of Indiana LLC</t>
  </si>
  <si>
    <t>="Grunau's Indiana team provides creative, value-added solutions for any size commercial, industrial, educational, government, retail, healthcare, hospitality or business fire protection project. Our knowledgeable staff offers a one-stop shop for sprinkler system design and installation, testing, scheduled maintenance, inspections, and 24/7 emergency service."</t>
  </si>
  <si>
    <t>http://www.grunau.com</t>
  </si>
  <si>
    <t>mailto:Jacob.Reinking@grunau.us</t>
  </si>
  <si>
    <t>Guarantee Vacuum &amp; Sewing Center, Inc.</t>
  </si>
  <si>
    <t>="We sell residential and commercial vacuum cleaners, carpet extractors, floor burnishers and polishers, air movers and air purifiers. Brands include, but not limited to, Clarke, Koblenz, Lindhaus, Simplicity, Miele, Sebo, Royal, Sanitaire, Hoover, etc. We also sell residential and commercial sewing machines and cabinets. Brands include, Janome, New Home, Horn, etc. We provide service work in our in-store service department on most products we sell."</t>
  </si>
  <si>
    <t>http://www.guaranteevac.com</t>
  </si>
  <si>
    <t>mailto:info@guaranteevac.com</t>
  </si>
  <si>
    <t>Household Appliance Stores</t>
  </si>
  <si>
    <t>Guardian Asset Protection Inc</t>
  </si>
  <si>
    <t>http://guardianassetprotection.net</t>
  </si>
  <si>
    <t>mailto:gaprotection@yahoo.com</t>
  </si>
  <si>
    <t>Guardian Eagle Services LLC</t>
  </si>
  <si>
    <t>mailto:abrack1@aol.com</t>
  </si>
  <si>
    <t>Guardian Trucking</t>
  </si>
  <si>
    <t>http://www.guardiantrucking.com</t>
  </si>
  <si>
    <t>mailto:enorwood2003@yahoo.com</t>
  </si>
  <si>
    <t>Guidon Design Inc</t>
  </si>
  <si>
    <t>="Guidon Design is an Architecture + Engineering firm that is passionate about developing creative, sustainable design solutions for our clients. Our professional architects and engineers focus on providing services to our clients on healthcare, defense, infrastructure, higher education and mixed-use projects. Recognized as a leading firm in sustainable design, we provide leadership through the integration of all disciplines into a seamless project team. Guidon [Gi • don] A flag symbolizing the leadership, performance, history and quality of a company or unit. A symbol to guide on."</t>
  </si>
  <si>
    <t>http://www.guidondesign.com</t>
  </si>
  <si>
    <t>mailto:info@guidondesign.com</t>
  </si>
  <si>
    <t>Guidon Design Inc.</t>
  </si>
  <si>
    <t>="Guidon Design Inc. is a multi-discipline architecture and engineering firm focused on providing high quality sustainable design solutions to our clients. Experienced in a wide variety of healthcare, government, higher education and corporate projects, our staff provides design leadership through the integration of all disciplines into a seamless project team."</t>
  </si>
  <si>
    <t>Gulsad Inc</t>
  </si>
  <si>
    <t>http://theshipitnowstore.com</t>
  </si>
  <si>
    <t>mailto:customerservice@theshipitnowstore.com</t>
  </si>
  <si>
    <t>Couriers</t>
  </si>
  <si>
    <t>Gunite Corporation</t>
  </si>
  <si>
    <t>="For more than 70 years, Gunite has provided innovative and reliable wheel-end components for the trucking industry. The world of wheel-end technology is one of constant change. Continuous evaluation and modification of design, development, and manufacture of parts and equipment are essential in meeting the ever-evolving demands of class 5 through 8 trucks and trailers. Today, Gunite continues to be a leader in the heavy duty industry with new products based on innovations in metallurgy, product design, testing, and manufacturing. In so doing, Gunite products are offered as standard equipment on most medium and heavy-duty trucks manufactured in North America."</t>
  </si>
  <si>
    <t>http://www.accuridecorp.com</t>
  </si>
  <si>
    <t>Gunter Intelligence,</t>
  </si>
  <si>
    <t>="Gunter Intelligence, Inc. is a Risk Management company that specializes in Intelligence, Investigations and Tactical Training. We are also a Licensed Private Detective Agency. We provide proactive and practical Urban Self-Defense, Martial Arts and Weapons Training for LEOs, Transportation Police, Security, and Civilians."</t>
  </si>
  <si>
    <t>http://www.gunterintelligence.com</t>
  </si>
  <si>
    <t>mailto:cgunter@gunterintelligence.com</t>
  </si>
  <si>
    <t>GutterWorx Inc</t>
  </si>
  <si>
    <t>http://seamlessguttersindianapolis.com</t>
  </si>
  <si>
    <t>mailto:gutterworxseamlessgutters@gmail.com</t>
  </si>
  <si>
    <t>Gutzwiller Industrial Supply</t>
  </si>
  <si>
    <t>http://www.gutzysupply.com</t>
  </si>
  <si>
    <t>mailto:agutzwiller@gutzysupply.com</t>
  </si>
  <si>
    <t>Guy Studebaker</t>
  </si>
  <si>
    <t>mailto:ivhchapel@aol.com</t>
  </si>
  <si>
    <t>GyanTech Inc</t>
  </si>
  <si>
    <t>="GyanTech Inc. is a consulting company offers wide range of IT services and solutions to our clients including corporations, small businesses and individuals. We specialize in staffing for IT services either short term or long term needs. We are well aware of old, new, existing and emerging technologies and able to understand our clients’ needs. We help the clients with right consultants to execute the client specific needs. Our Consultants are skilled in various information technologies, worked in multiple industries and proven record of providing the solutions in cost-effective manner. We do undertake custom software development onsite or offsite to save the cost of development expenses."</t>
  </si>
  <si>
    <t>http://www.gyantechinc.com</t>
  </si>
  <si>
    <t>H &amp; Book Store</t>
  </si>
  <si>
    <t>mailto:hbbook@kconline.com</t>
  </si>
  <si>
    <t>H &amp; G Plumbing &amp; Heating, Inc.</t>
  </si>
  <si>
    <t>http://hgplumbing.com</t>
  </si>
  <si>
    <t>H &amp; G Underground Utilities, L.L.C.</t>
  </si>
  <si>
    <t>http://hnguu.com</t>
  </si>
  <si>
    <t>mailto:matt@hnguu.com</t>
  </si>
  <si>
    <t>H &amp; H SALES CO INC</t>
  </si>
  <si>
    <t>http://www.hhsalescompany.com</t>
  </si>
  <si>
    <t>mailto:hhequip@verizon.net</t>
  </si>
  <si>
    <t>Motor Vehicle Body and Trailer Manufacturing</t>
  </si>
  <si>
    <t>H &amp; HRManagement Resoures, LLC</t>
  </si>
  <si>
    <t>http://www.hhrmr.com</t>
  </si>
  <si>
    <t>mailto:sdhhillman@hhrmr.com</t>
  </si>
  <si>
    <t>H &amp; J Express Inc</t>
  </si>
  <si>
    <t>H &amp; MS LLC</t>
  </si>
  <si>
    <t>mailto:msmitchelm@sbcglobal.net</t>
  </si>
  <si>
    <t>H A Flores &amp; Assoc.</t>
  </si>
  <si>
    <t>="HA Flores &amp; Associates, Inc. is a certified MBE (Minority Business Enterprise) that provides custom training solutions including training program set up, course design and e-Learning solutions. In addition to offering state of the art Computer Based Training, we also deliver instructor-led training in the areas of project management, customer service, business and interpersonal communications, team building, leadership and diversity, etc. We are a training organization specializing in customized client-specific technical training. Areas of expertise include, but are not limited to, fast track employee or contractor orientation (including technical training and corporate culture introduction), computer systems and software training. Most training can also be offered in Spanish."</t>
  </si>
  <si>
    <t>http://www.hafassoc.com</t>
  </si>
  <si>
    <t>mailto:hflores@hafassoc.com</t>
  </si>
  <si>
    <t>H C Climate Control</t>
  </si>
  <si>
    <t>="Since 1989 HVACR Company serving major businesses in the Central Indiana area. We are a commercial HVACR contractor, fully trained, certified, licensed, bonded and insured in the areas of installation, repair, maintenance and service of HVACR components and equipment. Our Management staff has over fifty years of combined experience in the heating and cooling industry. We also have a full sheet metal fabrication shop, including welded exhaust duct. Whether it is design-build or simple equipment replacement, we are able to meet your demanding and competitive schedule, demonstrating our expertise, professionalism and versatility concerning multiple story office buildings, office/warehouse, strip centers, department stores and malls, school, universities, churches and banking centers."</t>
  </si>
  <si>
    <t>http://WWW.HCClimate.com</t>
  </si>
  <si>
    <t>mailto:shawn@hcclimate.com</t>
  </si>
  <si>
    <t>H&amp;H Consulting, LLP</t>
  </si>
  <si>
    <t>http://www.hhpast.com</t>
  </si>
  <si>
    <t>mailto:historian@hhpast.com</t>
  </si>
  <si>
    <t>H. J. Umbaugh &amp; Associates</t>
  </si>
  <si>
    <t>="Umbaugh is a certified public accounting advisor to local governments. For more than 50 years, local governments have placed their trust in Umbaugh for financial consulting. As a result, Umbaugh has hundreds of satisfied clients with projects totaling in the billions of dollars. Our solid financial planning has allowed governmental units to complete projects for utilities, schools, libraries, hospitals, airports and county and city structures. Umbaugh ranks first among Indiana Financial Advisors in number of bonds issued and is recognized among the most active financial advisors in the Midwest."</t>
  </si>
  <si>
    <t>http://umbaugh.com</t>
  </si>
  <si>
    <t>mailto:umbaugh@umbaugh.com</t>
  </si>
  <si>
    <t>H. Stewart Kline &amp; Associates, Inc.</t>
  </si>
  <si>
    <t>http://www.hskline.com</t>
  </si>
  <si>
    <t>mailto:email@HSKline.com</t>
  </si>
  <si>
    <t>H.E. McGonigal, Inc.</t>
  </si>
  <si>
    <t>http://www.mcgonigalgm.com</t>
  </si>
  <si>
    <t>mailto:amanda.shoultz@mcgonigal.com</t>
  </si>
  <si>
    <t>H.E.Danby Co., Inc.</t>
  </si>
  <si>
    <t>http://www.hedanby.com</t>
  </si>
  <si>
    <t>mailto:hedanby@hedanby.com</t>
  </si>
  <si>
    <t>H.E.L.P. Inc</t>
  </si>
  <si>
    <t>mailto:H_E_L_P_Indiana@msn.com</t>
  </si>
  <si>
    <t>H.L. Wilmot &amp; Associates, Inc.</t>
  </si>
  <si>
    <t>HABIT24 INCORPORATED</t>
  </si>
  <si>
    <t>http://www.habit24.org</t>
  </si>
  <si>
    <t>mailto:heidibaker6@yahoo.com</t>
  </si>
  <si>
    <t>HAFFNER PAINT CO.</t>
  </si>
  <si>
    <t>mailto:TIMHAFFNER@YAHOO.COM</t>
  </si>
  <si>
    <t>HAIKU Learning Systems, Inc.</t>
  </si>
  <si>
    <t>="haiku LMS is a lesson-centric learning management system built to bring the advantages of the web to your classes. We have built haiku LMS around the idea that your content should be your focus. We believe that haiku LMS is the most elegant way to extend your teaching onto the web, bar none."</t>
  </si>
  <si>
    <t>http://www.haikuls.com</t>
  </si>
  <si>
    <t>mailto:contactus@haikuls.com</t>
  </si>
  <si>
    <t>HALL SIGNS INC</t>
  </si>
  <si>
    <t>http://www.hallsigns.com</t>
  </si>
  <si>
    <t>mailto:hallsign@hallsigns.com</t>
  </si>
  <si>
    <t>HALTOM EQUIPMENT CO, INC.</t>
  </si>
  <si>
    <t>="Haltom is an outdoor power equipment dealer selling commercial mowing equipment by Exmark, Toro and SnapperPro. Our residential lines include Toro and Simplicity mowers and tillers. We are a dealer for Kioti compact tractors - 20 to 90 horsepower, attaching implements, and the new Mechran UTV. We carry the complete line of Stihl handheld equipment and parts. As a former John Deere dealer, we service Deere equipment as well as all other brands of mowing and handheld equipment. We carry parts for, and service the brands we sell. We can also acquire parts for, and service other brands as well. We also service the John Deere Gator and other brands of UTV's."</t>
  </si>
  <si>
    <t>mailto:Haltome@aol.com</t>
  </si>
  <si>
    <t>HANCOCK COUNTY AUDITOR</t>
  </si>
  <si>
    <t>HAQ Enterprises, Inc.</t>
  </si>
  <si>
    <t>="Banner Flower House has been proudly serving Kokomo, Indiana since 1906. We are family owned and operated. We are committed to offering only the finest floral arrangements and gifts, backed by service that is friendly and prompt. Voted #1 Florist in Kokomo 2003!"</t>
  </si>
  <si>
    <t>http://www.bannerflowers.com</t>
  </si>
  <si>
    <t>mailto:bannerflowers@sbcglobal.net</t>
  </si>
  <si>
    <t>HARDINGS INC</t>
  </si>
  <si>
    <t>="New &amp; Used Construction Equipment Rental &amp; Sales of Backhoe Loaders, Telescopic Handlers, Skid Steers, Excavators, Wheel Loaders, Rough Terrain Forklifts, Fastrac Agricultural Tractors Offer Shop &amp; Field Labor Also, Parts for all your heavy equipment needs"</t>
  </si>
  <si>
    <t>http://www.hardingsinc.com</t>
  </si>
  <si>
    <t>mailto:tractors@hardingsinc.com</t>
  </si>
  <si>
    <t>HARMON CONSTRUCTION, INC.</t>
  </si>
  <si>
    <t>http://www.harmonconstruction.com</t>
  </si>
  <si>
    <t>mailto:info@harmonconstruction.com</t>
  </si>
  <si>
    <t>HARMON STEEL INC</t>
  </si>
  <si>
    <t>http://harmonsteel.com</t>
  </si>
  <si>
    <t>mailto:main@harmonsteel.com</t>
  </si>
  <si>
    <t>HARRIS Marketing,Inc</t>
  </si>
  <si>
    <t>HARRIS PRINTING</t>
  </si>
  <si>
    <t>http://www.harrisprinting.net</t>
  </si>
  <si>
    <t>mailto:harrisprinting@yahoo.com</t>
  </si>
  <si>
    <t>HAS, Inc.</t>
  </si>
  <si>
    <t>="HAS, Inc. is an information technology consulting services company offering total systems development life cycle expertise, project management services, IT professionals for staff augmentation, and providing many other IT related disciplines. HAS, Inc. was formed as an Indiana corporation in 1982, has served as one of the Prime Vendors for the State of Indiana since 1992. As one of the selected Vendors for the QPA and BPA lists, HAS, Inc. considers it a privilege and honor to serve, support and develop the computerized applications/systems for the Divisions, Commissions, and People of the State of Indiana. This has been 14 year ""partnership"" between the State of Indiana and HAS, Inc. We see this as our Number One commitment, a Corporate directive to work with Indiana Government and Indiana Businesses."</t>
  </si>
  <si>
    <t>http://www.hasinc.com</t>
  </si>
  <si>
    <t>mailto:bclark@hasinc.com</t>
  </si>
  <si>
    <t>HASCO, Inc.</t>
  </si>
  <si>
    <t>http://www.hascoinc.com</t>
  </si>
  <si>
    <t>mailto:carla@hascoinc.com</t>
  </si>
  <si>
    <t>HASGOE CLEANING SYSTEMS, INC</t>
  </si>
  <si>
    <t>http://www.hasgoe.com</t>
  </si>
  <si>
    <t>mailto:info@hasgoe.com</t>
  </si>
  <si>
    <t>HAYWOOD PRINTING COMPANY INC</t>
  </si>
  <si>
    <t>http://www.haywoodprinting.com</t>
  </si>
  <si>
    <t>mailto:sales@haywoodprinting.com</t>
  </si>
  <si>
    <t>HAZ/MAT DQE, INC.</t>
  </si>
  <si>
    <t>="DQE advances the safety and preparedness of the first responder and healthcare communities. For over 20 years, DQE has been a recognized leader in addressing two distinct needs; practical equipment and supply solutions and hospital-focused preparedness training and consulting. The DQE product line includes: Decontamination Equipment, Decon Accessories, Emergency Lighting Emergency Medical Supplies, Fire Rehab Supplies, Hazmat Equipment, Hospital Incident Command, Infection Control Products, Mass Care, Personal Protective Equipment, and Custom products, upon request. The DQE service lines include: competency-based training, eLearning, consulting, policy development &amp; planning, in addition to drill and exercise development within the domains of hospital-based decontamination, Hospital Incident Command (HICS), All-Hazards Planning and EOP development, healthcare facility evacuation, medical surge, fatality management, and internal spill."</t>
  </si>
  <si>
    <t>http://www.dqeready.com</t>
  </si>
  <si>
    <t>mailto:info@dqeready.com</t>
  </si>
  <si>
    <t>HBA Service, Inc.</t>
  </si>
  <si>
    <t>http://www.hbainc.com</t>
  </si>
  <si>
    <t>mailto:hbaservice@hbainc.com</t>
  </si>
  <si>
    <t>HC Fabrication LLC.</t>
  </si>
  <si>
    <t>="HC Fabrication will offer custom welding and fabrication to all surrounding businesses, residential areas, and state government agencies. In the manufacturing business sector, HC Fabrication will weld and fabricate breakaways, bridge mounts, and cantilevers. In addition, HC Fabrication will design and build custom handrail, stairs, and gates for local businesses and residential areas."</t>
  </si>
  <si>
    <t>http://www.hcfab.com</t>
  </si>
  <si>
    <t>mailto:therring@hcfab.com</t>
  </si>
  <si>
    <t>HC Wireless LLC</t>
  </si>
  <si>
    <t>="HC Wireless LLC specializes in the installation, integration, commissioning, maintenance, and repair of wireless and landline telecommunications voice and data systems. We install and service T-1, Ethernet, Routers, Fiber Optic Systems(SONET), Microwave, and Satellite transport systems. We offer full project management and turnkey operations on projects. We specialize in all voice and data communications systems and equipment."</t>
  </si>
  <si>
    <t>HCO INC</t>
  </si>
  <si>
    <t>="HCO, Inc. is an Indianapolis-based, award-winning, African-American owned firm. We specialize in complete architectural services, including: code evaluation, site planning and layout, conceptual design, CADD-developed construction document drawings, building material selection, landscape and interior design, shop drawing reviews, and construction observation. Innovative design coupled with efficient time management and scheduling is the hallmark of our firm. Our consistent quality service, high professional standards, efficiency, timely response to our clients’ needs and budgeting have made us exemplary in the architectural profession. Our passion for beauty and quality is unparalleled and is evident throughout our projects. Our goal for every project is to develop and execute a quality and well-designed environment that satisfies the functional and aesthetic requirements of the Owner. We always work in close association with all our clients to keep change orders to a minimum an"</t>
  </si>
  <si>
    <t>http://www.hcoarchitects.com</t>
  </si>
  <si>
    <t>mailto:honochie@hcoarchitects.com</t>
  </si>
  <si>
    <t>HD GRAPHIX LLC</t>
  </si>
  <si>
    <t>http://www.hdgraphix.biz</t>
  </si>
  <si>
    <t>mailto:nikki@hdgraphix.biz</t>
  </si>
  <si>
    <t>HD Supply Waterworks Inc.</t>
  </si>
  <si>
    <t>="Water main, Sanitary sewer main, Storm sewer main, distributor. We sell pipe PVC, HDPE, Ductile Iron, Steel, fittings, valves, fire hydrants, precast manholes, manhole castings, geo fabrics,silt and safety fence for underground infrastucture and utilities."</t>
  </si>
  <si>
    <t>http://hdsupplywaterworks.com</t>
  </si>
  <si>
    <t>HDM Holdings, LLC</t>
  </si>
  <si>
    <t>="We provide cultural resource management, ecological and wildlife surveys as well as training and workshops. We offer training in plant identification and inventory, wetland delineation, approaches to restoration and mitigation, wildlife management, and archaeology"</t>
  </si>
  <si>
    <t>http://www.orbisec.com</t>
  </si>
  <si>
    <t>mailto:info@orbisec.com</t>
  </si>
  <si>
    <t>HE-BFS, LLC</t>
  </si>
  <si>
    <t>http://www.he-bfs.com</t>
  </si>
  <si>
    <t>mailto:inbox@he-bfs.com</t>
  </si>
  <si>
    <t>HEAD SALES INC</t>
  </si>
  <si>
    <t>="We provide promotional products, advertising specialties, electronics, embroidered and silk screened promotional clothing, gifts, awards, plaques, recognition products. We also provide individual and group travel programs for meetings or incentive recognition."</t>
  </si>
  <si>
    <t>http://headsales.norwood.com</t>
  </si>
  <si>
    <t>mailto:headsales@headsalesinc.com</t>
  </si>
  <si>
    <t>HEALTHCARE PRODUCTS DELIVERY, INC.</t>
  </si>
  <si>
    <t>http://hpdinc.net</t>
  </si>
  <si>
    <t>mailto:larrycanada@hpdinc.net</t>
  </si>
  <si>
    <t>HEALTHY FEET LLC</t>
  </si>
  <si>
    <t>http://www.fykesandsmith.com</t>
  </si>
  <si>
    <t>mailto:healthyfeetllc@hotmail.com</t>
  </si>
  <si>
    <t>HEARST DEVELOPMENT LLC</t>
  </si>
  <si>
    <t>HEARTLAND INDUSTRIAL SUPPLY CORP.</t>
  </si>
  <si>
    <t>="Heartland Industrial Supply Corp. is a key supplier of contractor/outdoor, MRO, and janitorial products. Abrasives, Concrete/Steel Anchors, Diamond Blades, Fasteners, Hardware, Threaded Rod, Strut and Fittings, Hand/Power Tools and Accessories, Metalworking, Chemicals, Adhesives, Tapes, Paints, Electrical, Plumbing and HVAC, Material Handling, Safety gear and supplies, Janitorial Cleaners, Disinfectants, Fresheners, All varieties and mfgs of Janitorial Paper Products."</t>
  </si>
  <si>
    <t>http://www.induserve.com/heartland</t>
  </si>
  <si>
    <t>mailto:strycker@induserve.com</t>
  </si>
  <si>
    <t>HEARTLAND READY MIX LLC</t>
  </si>
  <si>
    <t>HEARTWOOD ENTERPRISE</t>
  </si>
  <si>
    <t>http://WWW.INDYDOORS.COM</t>
  </si>
  <si>
    <t>HEAVIN &amp; ASSOCIATES INC</t>
  </si>
  <si>
    <t>http://HAVIN.NET</t>
  </si>
  <si>
    <t>mailto:INFOR@HAVIN.NET</t>
  </si>
  <si>
    <t>HECD, LLC</t>
  </si>
  <si>
    <t>http://www.ccribs.com</t>
  </si>
  <si>
    <t>mailto:info@ccribs.com</t>
  </si>
  <si>
    <t>HELPFUL HANDYMAN INC.</t>
  </si>
  <si>
    <t>http://WWW.H-HANDYMAN.COM</t>
  </si>
  <si>
    <t>mailto:H-HANDYMAN@HOTMAIL.COM</t>
  </si>
  <si>
    <t>HETRICK COMMUNICATIONS INC</t>
  </si>
  <si>
    <t>http://www.tellhetrick.com</t>
  </si>
  <si>
    <t>mailto:info@tellhetrick.com</t>
  </si>
  <si>
    <t>HF Design, LLC</t>
  </si>
  <si>
    <t>="I am a registered Interior Designer with ten years of experience in the hospitality and residential design industry. I have worked on projects ranging from 3,000 room resorts in Las Vegas and international hotels in Poland and Mexico, to high-end residential projects in Telluride, CO and Chicago IL. Having been a lead designer and project manager with extensive travel through Africa, Europe, Mexico, and the Caribbean, I have a diverse background and knowledge of design. My past client’s have complemented my attention to detail and ability to provide customization to each project. My strengths and experiences have been vital in my ability to consistently provide high levels of client satisfaction and ultimately leave them feeling special in knowing they have their own unique end product, no matter what size the project. Services HF Design provides: • Design Consultation • Concept Design • Programming • Space planning • Design Development • Interior construction docum"</t>
  </si>
  <si>
    <t>mailto:heather_fruit@yahoo.com</t>
  </si>
  <si>
    <t>HG Dustbusters Janitorial Services LLC</t>
  </si>
  <si>
    <t>="We provide janitorial services to commercial, residential, post construction, and post remodel customers. We customize our services to meet the individual needs of our customers. We have also headed the cleanup divison of numerous fire and water damage jobs for a local restoration company. We provide additional janitorial services such as carpet shampooing, floor strip and waxing, and window cleaning. We are a 24 hour service and are staffed to handle any job no matter how big or small. We offer free quotes and welcome all additional business opportunities."</t>
  </si>
  <si>
    <t>mailto:jayniekohler@at.net</t>
  </si>
  <si>
    <t>HGL Systems, Inc.</t>
  </si>
  <si>
    <t>="We are a low voltage technology company. We provide a full range of voice and data cabling solutions and its terminated hardware implementation. Our core solutions include design and installation of structured cabling, low voltage equipment installation and maintenance, voice and data networking, security and surveillance networks, Wi-Fi installation, as well as staging and deployment. We offer Free Site Surveys with no sales pressure. As an independent consultant we can provide our clients with high quality, reliable, cost effective turnkey solutions that are tailored to meet your requirements and budget."</t>
  </si>
  <si>
    <t>http://www.hglsystems.com</t>
  </si>
  <si>
    <t>mailto:info@hglsystems.com</t>
  </si>
  <si>
    <t>HGMC Supply, Inc.</t>
  </si>
  <si>
    <t>="GARDNER Consulting offers planning, organizational development, and management services to public agencies and small businesses. Cynthia B. Gardner, MBA and the firm’s professional associates, specialize in strategic and business plan development, utilizing methodologies as public process, goal-setting, SWOT Analysis, and consensus-building. GARDNER has completed comprehensive plans and funding proposals for Clients operating businesses in Health Care Education Arts &amp; Culture Community Development Event Management When the Client is ready to implement, GARDNER delivers on program solutions, infrastructure design/development, and interim evaluation. GARDNER Consulting is a division of HGMC Supply, Inc., an M/W/DBE-certified firm founded in 2005 with headquarters in Indianapolis, Indiana."</t>
  </si>
  <si>
    <t>http://www.hgmcsupply.com</t>
  </si>
  <si>
    <t>mailto:cgardner@gardnercon.com</t>
  </si>
  <si>
    <t>HHC Indiana, Inc.</t>
  </si>
  <si>
    <t>="Michiana Behavioral Health Center is committed to delivering quality mental health care in collaboration with patients, families, employees, physicians and the community in a dignified, respectful, ethical, and cost effective continuum of care for those we are privileged to serve. Michiana Behavioral Health Center is more than just a hospital. It’s a supportive environment dedicated to meeting the mental health needs of children, adolescents, and adults. Working in conjunction with patients, their families and the community, our caring team of professionals provides personalized care through a mix of acute and residential programs."</t>
  </si>
  <si>
    <t>http://www.michianabehavioralhealthcente</t>
  </si>
  <si>
    <t>HIELO SERVICES LLC</t>
  </si>
  <si>
    <t>http://latinmedia3.com</t>
  </si>
  <si>
    <t>mailto:mguil46544@aol.com</t>
  </si>
  <si>
    <t>HIGHBAUGH TAX &amp; ARIES GRAPHIC DESIGN</t>
  </si>
  <si>
    <t>http://WWW.ARIESGRAPHICDESIGN.COM</t>
  </si>
  <si>
    <t>mailto:TAMI@ARIESGRAPHICDESIGN.COM</t>
  </si>
  <si>
    <t>HIMEC, Corp.</t>
  </si>
  <si>
    <t>="We specialize in industrial contracting. We perform machinery moving, millwright, rigging, steel fabrication, dry ice machinery cleaning, steel structure sales and erection, and transportation of equipment and scrap bins via tractor trailer and roll off equipment."</t>
  </si>
  <si>
    <t>http://www.himeccorp.com</t>
  </si>
  <si>
    <t>mailto:himeccorp@gmail.com</t>
  </si>
  <si>
    <t>HINCHMAN CONSULTING</t>
  </si>
  <si>
    <t>http://www.hinchmanconsulting.com</t>
  </si>
  <si>
    <t>mailto:gregg@hinchmanconsulting.com</t>
  </si>
  <si>
    <t>HIRAM J HASH &amp; SONS, INC</t>
  </si>
  <si>
    <t>="We sell and service most types of office machines such as paper shredders, folders, inserters, sealers, &amp; joggers. Microfilm equipment. Check signing, &amp; endorsing, equipment. Time recording equipment. Laser printers. Coin &amp; currency handeling machines. Paper cutters etc..."</t>
  </si>
  <si>
    <t>http://www.hashinc.com</t>
  </si>
  <si>
    <t>mailto:hashinc@comcast.net</t>
  </si>
  <si>
    <t>HIS Constructors, LLC</t>
  </si>
  <si>
    <t>http://www.hisconstructors.com</t>
  </si>
  <si>
    <t>mailto:jim.nance@hisconstructors.com</t>
  </si>
  <si>
    <t>HJI Inc.</t>
  </si>
  <si>
    <t>HLS Consulting LLC</t>
  </si>
  <si>
    <t>="HLS Consulting provides a range of services primarily focusing accounting outsourcing, business planning and forecasting, and process improvement. Our services allow clients to concentrate on their business while leaving specialized support functions to us. Our focus is on the service sector with specialties in the insurance, real estate and software industries. ACCOUNTING OUTSOURCING •Financial statement preparation •General ledger maintenance •Monthly and year-end closing assistance •Controller and bookkeeper staffing •Accounting system design •Depreciation schedules •Accounting software assistance BUSINESS PLANNING AND FORECASTING •Strategic planning •Financial modeling and forecasting •Budgeting •Cash-flow management •Business valuation •Financing assistance BUSINESS PROCESS IMPROVEMENT •Financial process automation •Operations reviews •Metrics development and benchmarking •Business process sourcing studies and vendor selection"</t>
  </si>
  <si>
    <t>http://www.hlsconsult.com</t>
  </si>
  <si>
    <t>mailto:info@hlsconsult.com</t>
  </si>
  <si>
    <t>HM Design</t>
  </si>
  <si>
    <t>="HM Design is a national design firm noted for its innovative design approaches, planning and management services. Our Interiors group works closely with Architects, Engineers and Consultants to coordinate every aspect of a project. Our Interior Design service will ensure that your project has that “WOW” factor that you and your team are looking for! The HM Design team can master the following components for your project: • Space Planning • Detailing • Finish Selections • Conceptual design • CADD-developed construction document drawings • Project Administration • FF&amp;E Selections, Art Procurement and Installations • Interior design ...and more!"</t>
  </si>
  <si>
    <t>http://WWW.HMDESIGN.COM</t>
  </si>
  <si>
    <t>mailto:INFO@HMDESIGN.COM</t>
  </si>
  <si>
    <t>HMH Contractors, Inc.</t>
  </si>
  <si>
    <t>http://www.hmhmechanical.com</t>
  </si>
  <si>
    <t>HMRMG FACILITY MANAGEMENT &amp; CONSTRUCTION</t>
  </si>
  <si>
    <t>http://HMRMG.COM</t>
  </si>
  <si>
    <t>mailto:MALKIAT@HMRMG.COM</t>
  </si>
  <si>
    <t>HMS Midwest, LLC</t>
  </si>
  <si>
    <t>http://www.PracticeManagers.com</t>
  </si>
  <si>
    <t>mailto:info@practicemanagers.com</t>
  </si>
  <si>
    <t>HNTB Indiana, Inc.</t>
  </si>
  <si>
    <t>="HNTB Indiana, Inc. is a multidisciplinary firm that provides professional engineering and planning services for communities and governmental entities throughout the State of Indiana. The firm originated in Indianapolis in 1940. Specific services provided include transportation, bridges, aviation, urban design and planning, environmental engineering (water, wastewater and environmental assessments), and construction phase services. The Indianapolis office of HNTB has provided award-winning planning and engineering services to numerous communities throughout the state and on many large and complex projects for the Indiana Dept. of Transportation."</t>
  </si>
  <si>
    <t>http://www.hntb.com</t>
  </si>
  <si>
    <t>mailto:murban@hntb.com</t>
  </si>
  <si>
    <t>HNTB Indiana. Inc.</t>
  </si>
  <si>
    <t>HOBBS EQUIPMENT, INC</t>
  </si>
  <si>
    <t>mailto:hobbsequipment@sbcglobal.net</t>
  </si>
  <si>
    <t>HOLT EQUIPMENT CO LLC</t>
  </si>
  <si>
    <t>http://WWW.HOLTEQUIPMENT.NET</t>
  </si>
  <si>
    <t>HOME GUARD INDUSTRIES, INC.</t>
  </si>
  <si>
    <t>http://home-guard.net</t>
  </si>
  <si>
    <t>HOOSIER BUSINESS MACHINES, INC.</t>
  </si>
  <si>
    <t>http://HOOSIERBUSINESSMACHINES.COM</t>
  </si>
  <si>
    <t>mailto:HBMINC@PSCI.NET</t>
  </si>
  <si>
    <t>HOOSIER COMPANY, INC (THE)</t>
  </si>
  <si>
    <t>http://www.hoosierco.com</t>
  </si>
  <si>
    <t>mailto:hoosierco@hoosierco.com</t>
  </si>
  <si>
    <t>HOOSIER DENTAL &amp; MEDICAL STAFFING AGENCY</t>
  </si>
  <si>
    <t>="HOOSIER DENTAL &amp; MEDICAL STAFFING AGENCY IS DEDICATED TO SERVING NORTHWEST INDIANA ALLIED HEALTH PROFESSIONALS BY CUTTING TIME FOR DOCTORS WHO ARE SEEKING QUALIFIED STAFF FOR DENTAL AND MEDICAL FACILITIES WITHOUT TAKING THE TIME FROM THE DAILY WORK SCHEDULE."</t>
  </si>
  <si>
    <t>http://WWW.HOOSIERSTAFFING.COM</t>
  </si>
  <si>
    <t>mailto:HOOSIERSTAFFING@HOTMAIL.COM</t>
  </si>
  <si>
    <t>HOOSIER HIT</t>
  </si>
  <si>
    <t>mailto:hoosierhit@gmail.com</t>
  </si>
  <si>
    <t>HOOSIER POWER LLC.</t>
  </si>
  <si>
    <t>="Our business focus is Generator sales and service, We offer a full like of stationary units, portable units, towable units rental, a full line of manual and automatic transfer switches from 30 Amp to 4000 Amp.We service all makes and brand from 5 KW to 3,250 KW"</t>
  </si>
  <si>
    <t>http://www.hoosierpower.net</t>
  </si>
  <si>
    <t>mailto:Chris.ricketts@hoosierpower.net</t>
  </si>
  <si>
    <t>HOOSIER SQUARE, INC.</t>
  </si>
  <si>
    <t>http://www.hoosiersquare.com</t>
  </si>
  <si>
    <t>mailto:www.hoosiersq@sbcglobal.net</t>
  </si>
  <si>
    <t>HOPS VENDING &amp; COFFEE SERVICE</t>
  </si>
  <si>
    <t>mailto:billhorse@juno.com</t>
  </si>
  <si>
    <t>HP Products</t>
  </si>
  <si>
    <t>http://www.hpproducts.com</t>
  </si>
  <si>
    <t>mailto:bids@hpproducts.com</t>
  </si>
  <si>
    <t>HPN Inc.</t>
  </si>
  <si>
    <t>http://www.hpn-marketing.com</t>
  </si>
  <si>
    <t>mailto:info@hpn-marketing.com</t>
  </si>
  <si>
    <t>HPS Office Systems</t>
  </si>
  <si>
    <t>="HPS sells and services integrated imaging systems including multifunctional devices, copiers and printers available in either color or black and white. Faxes, shredders, and folders are also among the product offerings through HPS. An integral element of security facing many industries today is addressed through software for electronic document archiving and retrieval implementation easily installed on either a client’s existing equipment or many of the products HPS sells. To assist in analyzing document flow within an organization, we also offer needs assessment analysis. Call today for a consultation with one of our digital imaging specialists."</t>
  </si>
  <si>
    <t>http://hpsinc.com</t>
  </si>
  <si>
    <t>mailto:info@hpsinc.com</t>
  </si>
  <si>
    <t>HR Business Cafe LLC</t>
  </si>
  <si>
    <t>="HR Business Cafe LLC offers a new age approach to an age old profession, human resources. We provide our clients with a tailor-made human resource focus that gives them a competitive advantage in today’s market. We’ll help you through any employment issue you have – whether it’s a one-time challenge that needs a swift, creative solution; an in-depth project that enhances your results from your workforce dollars; or a long-term relationship that puts your company on a continuous course with human resource business strategies that build the bottom line."</t>
  </si>
  <si>
    <t>http://www.thehrcae.com</t>
  </si>
  <si>
    <t>mailto:jmotsay@hrbusinesscafe.com</t>
  </si>
  <si>
    <t>HR Essentials, Inc.</t>
  </si>
  <si>
    <t>="HR Essentials, Inc. is a human resources and organizational development consulting group focused on providing small and mid-sized organizations, or individual departments in larger entities, with affordable HR expertise. We keep documentation and employment practices in compliance as well as promote employee and organizational development.. We bring stability to organizations through a sustainable framework of HR processes that support employees and managers. We believe in recognizing and building upon the power of individual differences. We teach practical ways to implement the value for individual differences. Services include: audit &amp; compliance; compensation structures, market comparisons; policies, procedures and handbooks; orientation &amp; onboarding programs; employee relations (non-union); performance management &amp; job fit; investigations &amp; interventions; harassment &amp; employment law training; leadership development, executive coaching &amp; team development."</t>
  </si>
  <si>
    <t>http://www.onestepaheadhr.com</t>
  </si>
  <si>
    <t>mailto:info@onestepaheadhr.com</t>
  </si>
  <si>
    <t>HRV Conformance Verification Assoc. Inc.</t>
  </si>
  <si>
    <t>http://www.hrvinc.com</t>
  </si>
  <si>
    <t>mailto:hrstachel@hrvinc.com</t>
  </si>
  <si>
    <t>HSConsulting &amp; Staff Agency</t>
  </si>
  <si>
    <t>mailto:hsconsulting_staff@yahoo.com</t>
  </si>
  <si>
    <t>HTECH Consulting, LLC</t>
  </si>
  <si>
    <t>="HTECH Consulting, LLC (HTECH) is a full service Information Technology Systems Sales and Strategic Business Management Consulting firm offering Information Systems Sales &amp; Consulting, Strategic Business Consulting, Human Resource Management &amp; Staff Augmentation, Financial Resource Management, Training &amp; Professional Development, Project Management and Assessments focused on improving business performance. Our portfolios of competencies are fully integrated with one another, allowing our clients to benefit from our collaborative efforts of implementation. Our blend of executive level experience and best practice methods provide our clients with productive, efficient, value based solutions that lead to sustainable results. We service an international client base comprised of cross-industry Fortune 100/500 companies, medium-sized businesses, small-sized businesses"</t>
  </si>
  <si>
    <t>http://www.htechconsulting.com</t>
  </si>
  <si>
    <t>mailto:lhall@htechconsulting.com</t>
  </si>
  <si>
    <t>HUBLER CHEVROLET</t>
  </si>
  <si>
    <t>http://WWW.DRIVEHUBLER.COM</t>
  </si>
  <si>
    <t>HUBLER DODGE INC.</t>
  </si>
  <si>
    <t>HUBS DISTRIBUTOR LLC</t>
  </si>
  <si>
    <t>mailto:hubsdis@aol.com</t>
  </si>
  <si>
    <t>HUDSON OFFICE SOLUTI</t>
  </si>
  <si>
    <t>mailto:ron@hudsonofficesolutions.com</t>
  </si>
  <si>
    <t>HUGHES SAFETY INC</t>
  </si>
  <si>
    <t>HUMPHREY'S OUTDOOR POWER</t>
  </si>
  <si>
    <t>="Humphreys' Outdoor Power began in 1966 in Greencastle. Today we are still a family owned and operated business. We offer Shil and Husqvarna handheld equipment (chainsaws, blowers, etc) , Toro/Lawnboy walkbehind mowers: Toro, Hustler and Kubota Lawn equipment, as well as 15 Horsepower up to 150 Horsepower Kubota Tractors, and a full line of LandPride implements. We pride ourselves in offering only the finest quality equipment and service."</t>
  </si>
  <si>
    <t>http://www.HUMPHREYSOUTDOORPOWER.COM</t>
  </si>
  <si>
    <t>mailto:HUMPHREYS@AIRHOP.COM</t>
  </si>
  <si>
    <t>HUNTINGTON MEMORIAL HOSPITAL, INC.</t>
  </si>
  <si>
    <t>HURRICANE DITCHER CO INC</t>
  </si>
  <si>
    <t>http://www.hurricane-ditcher.com</t>
  </si>
  <si>
    <t>mailto:info@hurricane-ditcher.com</t>
  </si>
  <si>
    <t>Construction Machinery Manufacturing</t>
  </si>
  <si>
    <t>HVAC SYSTEMS SERVICE</t>
  </si>
  <si>
    <t>="Heating, Air Conditioning, Ventilation, and Controls service and repair and installation for commerical, light commercial, industrial, and institutional applications. We specialize in service agreements and preventative maintenance contracts for commercial and light commercial heating and cooling equipment."</t>
  </si>
  <si>
    <t>http://hvacss.com</t>
  </si>
  <si>
    <t>mailto:rjones1@hvacss.com</t>
  </si>
  <si>
    <t>HVAC Solutions, LLC</t>
  </si>
  <si>
    <t>http://www.hvacsolutions.us</t>
  </si>
  <si>
    <t>mailto:mhunter@hvacsolutions.us</t>
  </si>
  <si>
    <t>HYDRO FIRE PROTECTION, INC</t>
  </si>
  <si>
    <t>http://hydrofireprotectioninc.com/</t>
  </si>
  <si>
    <t>mailto:april@hydrofp.com</t>
  </si>
  <si>
    <t>HYDRO-VISION TECH.</t>
  </si>
  <si>
    <t>http://HYDROVISION TECHNOLOGY.COM</t>
  </si>
  <si>
    <t>Haas &amp; Associates, L.L.C.</t>
  </si>
  <si>
    <t>="Haas &amp; Associates provides engineering consulting, planning, testing and inspection services to a variety of clients. The strength of our organization is in its people and the clients they serve. Our workforce of professional engineers is backed by a knowledgeable group of technicians and support staff. Our staff is dedicated to meeting each client's unique needs in a timely and cost effective manner."</t>
  </si>
  <si>
    <t>http://www.haasllc.com</t>
  </si>
  <si>
    <t>mailto:mailbox@haasllc.com</t>
  </si>
  <si>
    <t>Habitat Solutions LLC</t>
  </si>
  <si>
    <t>Hadady Corporation</t>
  </si>
  <si>
    <t>http://www.hadadycorp.com</t>
  </si>
  <si>
    <t>Other Engine Equipment Manufacturing</t>
  </si>
  <si>
    <t>Hadar's Flooring</t>
  </si>
  <si>
    <t>mailto:dalanahadarsflooring@yahooicom</t>
  </si>
  <si>
    <t>Haelan Corporation, subsidiary CareGuide</t>
  </si>
  <si>
    <t>="Haelan Corporation, a subsidiary of CareGuide, optimizes health through proactive assessment, coaching, disease management services and complex care management. Our solutions deliver health improvement and financial outcomes by predicting future health expenditures, matching people with the right level of service and blending information technology and human touch for personalized support. We recognize the complexity of advanced chronic conditions and provide at-home telemonitoring and home visits to support the most vulnerable. Our services improve the lives of employee populations, Medicare/Medicaid recipients and health plan members."</t>
  </si>
  <si>
    <t>http://www.careguide.com</t>
  </si>
  <si>
    <t>mailto:sales@careguide.com</t>
  </si>
  <si>
    <t>Hafer Associates, P.C.</t>
  </si>
  <si>
    <t>http://www.haferassociates.com</t>
  </si>
  <si>
    <t>mailto:jjustice@haferassociates.com</t>
  </si>
  <si>
    <t>Haggard &amp; Stocking Associates, Inc.</t>
  </si>
  <si>
    <t>http://www.haggard-stocking.com</t>
  </si>
  <si>
    <t>mailto:tsb@haggard-stocking.com</t>
  </si>
  <si>
    <t>Hal-Mark Renal Center</t>
  </si>
  <si>
    <t>mailto:halmark@locl.net</t>
  </si>
  <si>
    <t>Halcomb Home Center,</t>
  </si>
  <si>
    <t>mailto:halcombhomecenter@verizon.net</t>
  </si>
  <si>
    <t>Halderman Real Estate Services, Inc.</t>
  </si>
  <si>
    <t>="Our business offers complete real estate sales and acquisition services for farmland and transition/commerical/residential development property. We are a comprehensive real estate brokerage and sell properties at public auction and via private treaty transactions. We also provide complete appraisal serivces for farmland properties. Finally we offer property management services for farmland. We cover the entire State of Indiana with 18 area representaitves in the State. We have been in business providing these services since 1930."</t>
  </si>
  <si>
    <t>http://www.halderman.com</t>
  </si>
  <si>
    <t>mailto:howardh@halderman.com</t>
  </si>
  <si>
    <t>Haldrup USA</t>
  </si>
  <si>
    <t>http://www.haldrup.net</t>
  </si>
  <si>
    <t>mailto:paul.wickey@haldrup.net</t>
  </si>
  <si>
    <t>Hale's Inc.</t>
  </si>
  <si>
    <t>http://flowersbyrusticbouquet.com</t>
  </si>
  <si>
    <t>mailto:info@flowersbyrusticbouquet.com</t>
  </si>
  <si>
    <t>Hall Aluminum Products, Inc</t>
  </si>
  <si>
    <t>="We are a commercial Glass and Glazing contractor performing in-house design, fabrication, and installation of architectural storefront, curtain wall, windows, doors, metal and composite wall panels. We also do design, fabrication, and installation of automatic pedestrian doors. We've been in business for over 50 years and have a great deal of experience on public works projects with Certified Payrolls."</t>
  </si>
  <si>
    <t>http://www.hallaluminum.com</t>
  </si>
  <si>
    <t>mailto:sales@hallaluminum.com</t>
  </si>
  <si>
    <t>Hall's Home Improvements, Inc.</t>
  </si>
  <si>
    <t>http://www.hallhomeimprovements.com</t>
  </si>
  <si>
    <t>mailto:scotthall196@hotmail.com</t>
  </si>
  <si>
    <t>Hallett Law Office,</t>
  </si>
  <si>
    <t>mailto:hlopc@yahoo.com</t>
  </si>
  <si>
    <t>Halls Flooring America LLC</t>
  </si>
  <si>
    <t>mailto:flooringamerica@insightbb.com</t>
  </si>
  <si>
    <t>Halo Partners, LLC</t>
  </si>
  <si>
    <t>mailto:jlbieker@wildblue.net</t>
  </si>
  <si>
    <t>HamHed, LLC</t>
  </si>
  <si>
    <t>="Service related in; property maintenance, housekeeping, janitorial, floor maintenance, pressure washing, ground maintenance, industrial recycling, finish grading, street sweeping, asphalt milling removal, seed and straw, landscape design and install, land clearing, tri-axle material hauling, asphalt millings removal."</t>
  </si>
  <si>
    <t>http://www.hamhedllc.com</t>
  </si>
  <si>
    <t>mailto:w.e.hedrick@gmail.com</t>
  </si>
  <si>
    <t>Hamernik</t>
  </si>
  <si>
    <t>http://www.Hamernik.com</t>
  </si>
  <si>
    <t>mailto:www.Hamernik.com</t>
  </si>
  <si>
    <t>Hamilton Centers YSB</t>
  </si>
  <si>
    <t>http://www.promisingfutures.org</t>
  </si>
  <si>
    <t>mailto:info@promisingfutures.org</t>
  </si>
  <si>
    <t>Hamilton Cleaning Service</t>
  </si>
  <si>
    <t>mailto:HAMILTONCLEANERS@YAHOO.COM</t>
  </si>
  <si>
    <t>Hamilton County Vesta Foundation</t>
  </si>
  <si>
    <t>="Chaucie's Place is the Child Advocacy Center for Hamilton County serving children victims of abuse and neglect. Chaucie's Place provides a safe, neutral environment to ensure nubumized trauma in the investigative and fact-finding course of action in a case. Chaucie's Place also provides prevention and education programing for area schools and child programs. The mission is to work with area agencies and the community in this community solution to a community problem."</t>
  </si>
  <si>
    <t>http://chauciesplace.org</t>
  </si>
  <si>
    <t>mailto:chauciesplace@sbcglobal.net</t>
  </si>
  <si>
    <t>Hamilton Electric</t>
  </si>
  <si>
    <t>Hamilton Enterprise, LLC</t>
  </si>
  <si>
    <t>mailto:lewronn@gmail.com</t>
  </si>
  <si>
    <t>Mayonnaise, Dressing and Other Prepared Sauce Manufacturing</t>
  </si>
  <si>
    <t>Hamilton Hunter Builders, Inc.</t>
  </si>
  <si>
    <t>Hamilton Insulation, Incorporated</t>
  </si>
  <si>
    <t>mailto:hamiltoninsulation@hotmail.com</t>
  </si>
  <si>
    <t>Hamilton Tax and Acc</t>
  </si>
  <si>
    <t>Hamilton Travel Services, Inc.</t>
  </si>
  <si>
    <t>mailto:angela@alldirecttravel.com</t>
  </si>
  <si>
    <t>Hamilton-Lawler Incorporated</t>
  </si>
  <si>
    <t>mailto:Law68@aol.com</t>
  </si>
  <si>
    <t>Hammer Motion Pictures, Inc.</t>
  </si>
  <si>
    <t>http://www.hammermp.com</t>
  </si>
  <si>
    <t>mailto:info@hammermp.com</t>
  </si>
  <si>
    <t>Hammond Care from the Heart Social Servi</t>
  </si>
  <si>
    <t>="Hammond ""Care from the Heart"" Social Services is dedicated to providing quality service to its customers. We are now happy to have as part of our team, a clinical psychologist and a registered nurse. Therefore, we are including counseling services to battered women, HIV patients, sexually abused children, abused seniors, emotionally disturbed children, and people with various drug addictions. Unfortunately, we are seeing an increased need for these services in our community, and we want to fill these vital needs. Our agency will still provide targeted case management services to assist people in applying for waiver funds. We will also assist them by coordinating services through prior authorization should they qualify. Lastly, our agency will continue to provide ISP/ PCP facilitation. It is our hope with these additions to our bidder profile, we can assist the state of Indiana in providing quality care to all members within. Thank You, Debra Richard"</t>
  </si>
  <si>
    <t>mailto:carefromtheheart@comcast.net</t>
  </si>
  <si>
    <t>Hanco, Inc.</t>
  </si>
  <si>
    <t>="Classico Seating is a manufacturer of fine metal furniture. Our customers include some of the nation's biggest names in the hospitality and gaming industries. Classico Seating is a privately held business located in Peru, Indiana. Everything from fame building to powder coat painting to upholstery is done here. We use the finest materials and construction techniques, such as double welding and technologically advanced electrostatic powdercoat painting. This ensures that Classico furniture will stand up to many years of use. Classico Seating Defining Quality with Style."</t>
  </si>
  <si>
    <t>http://www.classicoseating.com</t>
  </si>
  <si>
    <t>mailto:slangler@classicoseating.com</t>
  </si>
  <si>
    <t>Hancock &amp; Co.,P.C.</t>
  </si>
  <si>
    <t>mailto:hancocpa@hotmail.com</t>
  </si>
  <si>
    <t>Hancock Regional Hospital</t>
  </si>
  <si>
    <t>http://Hancock Regional Hospital</t>
  </si>
  <si>
    <t>Handyman Do It All</t>
  </si>
  <si>
    <t>mailto:handymandoitall@yahoo.com</t>
  </si>
  <si>
    <t>Hanks Const. Inc.</t>
  </si>
  <si>
    <t>mailto:hanksconstruction@comcast.net</t>
  </si>
  <si>
    <t>Hanna Xcavating, Inc.</t>
  </si>
  <si>
    <t>http://www.hannaxcavating.com</t>
  </si>
  <si>
    <t>mailto:xcavatingcorp@aol.com</t>
  </si>
  <si>
    <t>Hanna's Wrecker Service, INC.</t>
  </si>
  <si>
    <t>Hannig Construction, Inc.</t>
  </si>
  <si>
    <t>="Hannig Construction, Inc. has been a general contractor in the Terre Haute/Wabash Valley Region since 1960. Hannig Construction, Inc. specializes in commerical and institutional construction projects as a General Contractor, Construction Manager, or Design/Builder. Hannig Construction, Inc's projects include governmental buildings, educational facilities, medical facilities, industrial facilities, and commercial buildings."</t>
  </si>
  <si>
    <t>http://www.hannigconstruction.com</t>
  </si>
  <si>
    <t>mailto:e-mail@hannigconstruction.com</t>
  </si>
  <si>
    <t>Hannum, Wagle &amp; Cline Engineering, Inc.</t>
  </si>
  <si>
    <t>="Hannum, Wagle &amp; Cline is a full service engineering and architectural firm with offices in Terre Haute, Indianapolis, Lafayette, and Scottsburg, Indiana. Our organization has provided planning, engineering, architecture, surveying and construction inspection services continuously since our founding in 1989. Our staff, comprised of the finest engineers, architects and surveyors available, is committed to providing practical, cost effective solutions for our client’s engineering problems. Since the beginning, our success has been founded on the principles of honesty, integrity and full commitment to our clients. We specialize in the planning, design, and construction inspection of municipal infrastructure projects. This experience includes: • Wastewater Collection and Treatment Engineering • Water System Engineering • Stormwater Engineering • Community Planning • Transportation Engineering • Building Design • Surveying"</t>
  </si>
  <si>
    <t>http://www.hwcengineering.com</t>
  </si>
  <si>
    <t>mailto:twoodason@hwcengineering.com</t>
  </si>
  <si>
    <t>Hansen Enterprises,</t>
  </si>
  <si>
    <t>="Under the name Enterprise Integration Services, we provide Information Technology consulting services to businesses and government agencies within Indiana. Our mission is to help these entities increase operational productivity with minimum IT investment by developing solutions based on software technology standards. We specialize on a stable ""three-legged stool"" of technology standards; 1) Web/Internet standards (for client interface and messaging), 2) JAVA standard (for business intelligence and transaction processing), and 3) SQL standard (for data storage and retrieval). By focusing on these underlying technologies rather than on proprietary product solutions and tools, our customers maintain long term IT purchasing flexibility. HEI also offers support services for software program management, systems engineering research and accounting."</t>
  </si>
  <si>
    <t>mailto:janethansen@excite.com</t>
  </si>
  <si>
    <t>Hanson Cold Storage Co. of Indiana</t>
  </si>
  <si>
    <t>http://www.hansoncoldstorage.com</t>
  </si>
  <si>
    <t>Refrigerated Warehousing and Storage</t>
  </si>
  <si>
    <t>Hanson Testing &amp; Eng</t>
  </si>
  <si>
    <t>mailto:Hanson2@sigecom.net</t>
  </si>
  <si>
    <t>Hanzo Logistics Inc</t>
  </si>
  <si>
    <t>http://www.hanzologistics.com</t>
  </si>
  <si>
    <t>mailto:nate@hanzologistics.com</t>
  </si>
  <si>
    <t>Happe &amp; Sons Construction, Inc</t>
  </si>
  <si>
    <t>http://www.happeandsons.com</t>
  </si>
  <si>
    <t>mailto:info@happeandsons.com</t>
  </si>
  <si>
    <t>Happy Cleaning</t>
  </si>
  <si>
    <t>http://www.happycleaninginc.com</t>
  </si>
  <si>
    <t>mailto:markw@happycleaninginc.com</t>
  </si>
  <si>
    <t>Happy Valley Sand &amp; Gravel, Inc.</t>
  </si>
  <si>
    <t>="We are an excavation, demolition, and dump trucking corportion in business since 1945 at the same location in Plainfield, Indiana. We are a family owned and operated. We supply materials such as limestone, sand, gravel, top soil, and fill dirt as well. We have Semi Tractors, with lowboy and dump trailer capabilities, Tri-Axle Dump Trucks, Quad Axles with conveyor, and Single Axle Dump Trucks."</t>
  </si>
  <si>
    <t>Haraburda LLC</t>
  </si>
  <si>
    <t>="As a woman owned small business, we are a small writing company nestled in the wooded hills of southern Indiana. Between the two of us, we offer our clients more than 50 years of professional experience in a variety of corporate, non-profit, manufacturing, government, military, program management, and communications fields. We provide written products to meet your individual and business needs. From education courses, to business reports, to manufacturing plans, to technical reports, and to government acquisition, we strive to provide a high-quality product that delights our clients. Products and Services include: Articles, Business Reports, Editorials, Employment counseling and coaching, Fact Sheets, Lectures, News Releases, Newsletters, Professional Engineering support, Program Management counseling, Project Plans, Project Scope of Work, Screenwriting, Seminars, Tutorials, and White Papers."</t>
  </si>
  <si>
    <t>http://www.haraburda.us</t>
  </si>
  <si>
    <t>mailto:scott@haraburda.us</t>
  </si>
  <si>
    <t>Harcourt Industries, Inc.</t>
  </si>
  <si>
    <t>="Harcourt Industries manufactures, prints, and distributes office and school supplies. Woodcase pencils and notebook paper are manufactured and printed in Indiana. We have two sales divisions: Harcourt Pencil Company which sells wholesales pencils to other distributors and Harcourt Outlines which sells to schools."</t>
  </si>
  <si>
    <t>http://www.harcourtoutlines.com</t>
  </si>
  <si>
    <t>mailto:tmiller@harcourtoutlines.com</t>
  </si>
  <si>
    <t>Hardebeck Valuation Services Inc.</t>
  </si>
  <si>
    <t>mailto:mhardebeck@etczone.com</t>
  </si>
  <si>
    <t>Hardin Development Consultants, Inc.</t>
  </si>
  <si>
    <t>mailto:joyehardin@att.net</t>
  </si>
  <si>
    <t>Hardin Tooling Service, Inc.</t>
  </si>
  <si>
    <t>mailto:hts@hardintooling.com</t>
  </si>
  <si>
    <t>Harding &amp; Madden Inc</t>
  </si>
  <si>
    <t>http://www.harding-madden.com</t>
  </si>
  <si>
    <t>mailto:info@harding-madden.com</t>
  </si>
  <si>
    <t>Hardwear Tee's</t>
  </si>
  <si>
    <t>http://www.hardwear-tees.com</t>
  </si>
  <si>
    <t>mailto:paul.davis@hardwear-tees.com</t>
  </si>
  <si>
    <t>Harmony Health Plan of Indiana, Inc.</t>
  </si>
  <si>
    <t>http://www.harmonyhmi.com</t>
  </si>
  <si>
    <t>Harmony Outdoor Equip</t>
  </si>
  <si>
    <t>http://www.harmonyoutdoor.com</t>
  </si>
  <si>
    <t>mailto:harmony@myvine.com</t>
  </si>
  <si>
    <t>Harmony Press, Inc.</t>
  </si>
  <si>
    <t>="Harmony Press, Inc. began as a commercial printer in 1975. Today we operate as Harmony Marketing Group providing our clientele with premier quality commercial printing and ancilliary services not limited to graphic design, traditional and computer-to-plate imaging, bindery/finishing, fulfillment/bulk mailing, website/e-commerce, database mgmt, and sales/marketing consultation. We are located in Northern and Central Indiana with a desire to serve the entire state of Indiana. We take pride in not only discovering who our clientele are but more importantly, where do our clientele want to go."</t>
  </si>
  <si>
    <t>http://www.hmktgroup.com</t>
  </si>
  <si>
    <t>mailto:harmony@harmonyink.com</t>
  </si>
  <si>
    <t>Harmony Voice LLC</t>
  </si>
  <si>
    <t>="Harmony Voice provides 20 years of combined experience in communications products and services, delivering trusted advice and services to business of all industries and sizes. This experience comes to life as we tailor the very latest, personalized, technology solutions and strategies for your company – implementing solutions and strategies that make day-to-day business easier, faster, and more efficient."</t>
  </si>
  <si>
    <t>http://www.harmonyvoice.com</t>
  </si>
  <si>
    <t>mailto:sales@harmonyvoice.com</t>
  </si>
  <si>
    <t>Harms Auto Supply In</t>
  </si>
  <si>
    <t>http://harmsautosupply.com</t>
  </si>
  <si>
    <t>mailto:harmssupply@sbcglobal.net</t>
  </si>
  <si>
    <t>Harold McComb &amp; Son, Inc.</t>
  </si>
  <si>
    <t>Harold Tillotson DBA Vintage Restoration</t>
  </si>
  <si>
    <t>="We are a General Contracting company specializing in Historic Restoration and custom mill work. We also do remodeling such as kitchens, baths, and additions. With over 30 years of experience, our goal is to use your vision and our creativity, so together we achieve excellence."</t>
  </si>
  <si>
    <t>mailto:VintageRestoration@ymail.com</t>
  </si>
  <si>
    <t>Harold W. McMillen Center for Health Edu</t>
  </si>
  <si>
    <t>http://www.mcmillencenter.org</t>
  </si>
  <si>
    <t>mailto:mcmillen@mcmillencenter.org</t>
  </si>
  <si>
    <t>Harpe &amp; Company, LLC</t>
  </si>
  <si>
    <t>="Harrpe &amp; Company, LLC is a real estate company providing service to buyers, sellers, tenants, and lanlords with emphasis on commercial site acquisition and disposition and tenant and landlord representation. The company was established in 2009 by member/owner Rebecca Harpe who has been affiliated with the Central Indiana real estate industry since 1990. She has achieved over $40,000,000 milion in sales during that time."</t>
  </si>
  <si>
    <t>mailto:raharpe@att.net</t>
  </si>
  <si>
    <t>Harris &amp; Ford LLC</t>
  </si>
  <si>
    <t>http://www.harrisandford.com</t>
  </si>
  <si>
    <t>mailto:tlmaddix@harrisandford.com</t>
  </si>
  <si>
    <t>Other Chemical and Allied Products Wholesalers</t>
  </si>
  <si>
    <t>Harris Glass Co, Inc</t>
  </si>
  <si>
    <t>="family owned business supplying commercial glazing to construction industry, including aluminum doors, aluminum windows, and glass. We also retail replacement windows and doors to homeowners and install auto glass for all types of automotive and farm vehicles."</t>
  </si>
  <si>
    <t>mailto:harrisglasstim@aol.com</t>
  </si>
  <si>
    <t>Harris Mechanical Industrial Contractors</t>
  </si>
  <si>
    <t>http://www.hmici.com</t>
  </si>
  <si>
    <t>mailto:aharris@hmici.com</t>
  </si>
  <si>
    <t>Harris Realty &amp; Investments LLC</t>
  </si>
  <si>
    <t>="Harris Realty &amp; Investments is a small but reliable company located in Merrillville, IN, servicing Lake and Porter counties. We believe in, "" treating our clients the way we want to be treated,"" like important clients, not just a ""quick sale"". Because any real estate transaction that you'll be investing your hard earned money, time and energy on, can be overwhelming, we promise to be by your side each step of the buying or selling process."</t>
  </si>
  <si>
    <t>http://www.HarrisRI.com</t>
  </si>
  <si>
    <t>mailto:chanel@harrisri.com</t>
  </si>
  <si>
    <t>Harris Team</t>
  </si>
  <si>
    <t>="I, Barbara Harris, and my husband, John Harris, own and operate two convenience stores/ gas stations known as bp stations. Our mission statement is to provide fast, friendly service in a clean and inviting environment. Offering the same great Amoco fuels, Regular, Silver, and Ultimate with a commitment to go beyond."</t>
  </si>
  <si>
    <t>mailto:barb@sugardog.com</t>
  </si>
  <si>
    <t>Gasoline Stations with Convenience Stores</t>
  </si>
  <si>
    <t>Harrison Electric</t>
  </si>
  <si>
    <t>="We are an electrical apparatus Service center capable of providing the following services: AC/DC Motors repair, Substation Maintenance, Transformers repair, circuit breaker retrofitting, Authorized Lincoln/Miller Welder repair, Infrared Scanning, Vibration Analysis, Laser Alignment, and many others. We pride ourselves in providing high quality service with a competitive price. For more information, please refer to our website or E-Mail us at electricmotors@hughes.net"</t>
  </si>
  <si>
    <t>http://www.harrison-elec.com</t>
  </si>
  <si>
    <t>mailto:hequotes@hughes.net</t>
  </si>
  <si>
    <t>Harrison Engine Serv</t>
  </si>
  <si>
    <t>http://airplanecylinders.com</t>
  </si>
  <si>
    <t>mailto:hesinc@csinet.net</t>
  </si>
  <si>
    <t>Electroplating, Plating, Polishing, Anodizing and Coloring</t>
  </si>
  <si>
    <t>Harrison Township Vol Fire Department</t>
  </si>
  <si>
    <t>Harry Brown Trucking Co. Inc.</t>
  </si>
  <si>
    <t>Harsha Behavioral Center, Inc.</t>
  </si>
  <si>
    <t>http://www.harshacenter.com</t>
  </si>
  <si>
    <t>mailto:pharshawat@yahoo.com</t>
  </si>
  <si>
    <t>Hartford City Paper LLC</t>
  </si>
  <si>
    <t>http://www.hcpaper.com</t>
  </si>
  <si>
    <t>Paper (except Newsprint) Mills</t>
  </si>
  <si>
    <t>Hartford Concrete Products, Inc.</t>
  </si>
  <si>
    <t>="Precast Concrete Producer specializing in Utility Manholes, Controlled Environment Vaults (CEV), Equipment Enclosures (EE), Concrete Universal Enclosures (CUE), Quazite Products, Tunnels, Trenches, Meter/Valve Vaults, Retaining Wall Blocks and Wastewater products. HCP has been in the precast business since 1936 with production facilities in Ashley and Hartford City, Indiana. ISO 9001-2000 NPCA Certified Plant 2000 Indiana ESOP Company of the Year"</t>
  </si>
  <si>
    <t>http://www.hartfordconcrete.com</t>
  </si>
  <si>
    <t>mailto:info@hartfordconcrete.com</t>
  </si>
  <si>
    <t>Concrete Pipe, Brick and Block Manufacturing</t>
  </si>
  <si>
    <t>Hartz Hartz</t>
  </si>
  <si>
    <t>mailto:sales@directionspromotions.com</t>
  </si>
  <si>
    <t>Hartzell Deep Steam, Inc</t>
  </si>
  <si>
    <t>="We are a fire and water restoration business. We also provide carpet and upholstery cleaning. Our other services include but are not limited to: mold remediation and testing, vandalism restoration, general contracting services, wind and hail damage restoration, etc."</t>
  </si>
  <si>
    <t>http://www.hartzellrestoration.com</t>
  </si>
  <si>
    <t>mailto:wendi@hartzellrestoration.com</t>
  </si>
  <si>
    <t>Haskell D. Portee</t>
  </si>
  <si>
    <t>="Professional Management Enterprises, Inc. provides a win-win solution for both employers and business professionals. Whether you're an employer seeking someone with the knowledge, experience and personality to fit your organization, or you're an individual trying to find a job with the growth, environment and rewards you deserve, we are the company for you. Our experienced group of professional career coaches is well versed in the various topics related to job search and career management. Our goal for each Networking event is to provide you with a structured forum to meet and mingle with your colleagues. These classes help if you are actively searching for jobs or simply looking to expand your own network as you continuously manage the course of your career. SEMINARS: Our goal for each Seminar is to make you more effective in your job search. For us, success is measured by our clients walking away with information and techniques that make attaining a new job a bit easie"</t>
  </si>
  <si>
    <t>http://www.pme-indy.com</t>
  </si>
  <si>
    <t>mailto:dportee@pme-indy.com</t>
  </si>
  <si>
    <t>Haubry Forestry Consulting, Inc.</t>
  </si>
  <si>
    <t>Haubry Holding Company</t>
  </si>
  <si>
    <t>="Since 1986, Caporale Posts has focused on one thing: delivering quality mailboxes and posts at a fair price. With over 18 years of experience Caporale Posts has a reputation for giving customers superior craftsmanship, high quality products and friendly service. We carry over 15 unique styles of cedar posts and a full line of high gloss and cast aluminum products."</t>
  </si>
  <si>
    <t>mailto:joyce@mailboxposts.net</t>
  </si>
  <si>
    <t>Hauer Excavating</t>
  </si>
  <si>
    <t>mailto:hauerexc@c3bb.com</t>
  </si>
  <si>
    <t>Hause Surveying and Engineering, LLC</t>
  </si>
  <si>
    <t>http://hausesurveyingandengineering.com</t>
  </si>
  <si>
    <t>mailto:info@hausesurveyingandengineering.com</t>
  </si>
  <si>
    <t>Haverstick Consulting, Inc.</t>
  </si>
  <si>
    <t>="Haverstick helps organizations align their business goals and their strategic information technology objectives to increase operational efficiencies, specializing in the evaluation, planning, design, implementation and management of Information Technology and Business solutions. With over 300 successful engagements for clients ranging from state and federal government agencies to Fortune 500 companies, Haverstick has a proven track record of delivering a full range of IT services that generate a tangible Return on Investment (ROI) for clients. Haverstick’s range of IT services and client successes include comprehensive Managed Services, Virtualization, and IT Service Management solutions as well as a full range of Business Consulting services, including Enterprise Architecture, IT Strategy, and Package Selection. Haverstick works as a strategic partner with its clients to understand their vision and develop a strategy for success.."</t>
  </si>
  <si>
    <t>http://www.haverstickconsulting.com</t>
  </si>
  <si>
    <t>mailto:msinfo@haverstickinc.com</t>
  </si>
  <si>
    <t>Hawaii EHR</t>
  </si>
  <si>
    <t>="Project management, consulting, lean six sigma, comparative effectiveness research, integration, health information exchanges, Regional Extension Centers (RECs), system design, CPT codes, laboratory interfaces, HL7, 2.5.1, LOINC, SSBB. 15+ years in EHRs. +Electronic Health Record Consultant. Develop and implement project plans for practices participating in Accountable Care, Medicare and Medicaid programs."</t>
  </si>
  <si>
    <t>http://www.hawaiiehr.com</t>
  </si>
  <si>
    <t>mailto:frank@hawaiiehr.com</t>
  </si>
  <si>
    <t>Hawkins Bailey Warehouse, Inc.</t>
  </si>
  <si>
    <t>Hawkins Environmenta</t>
  </si>
  <si>
    <t>="Engineering services with emphasis in municiple water, wastewater, stormwater, roads, traffic design. Additional services relating to project management/administration and field observation. Surveying services related to right of way layout and aquasition and construction layout and staking."</t>
  </si>
  <si>
    <t>http://hawkinsenvironmental.com</t>
  </si>
  <si>
    <t>mailto:inbox@hawkinsenvironmental.com</t>
  </si>
  <si>
    <t>Hawkins Industrial Truck, Inc.</t>
  </si>
  <si>
    <t>mailto:hawkinsindustrialtruck@hotmail.com</t>
  </si>
  <si>
    <t>Haworth-Meyer-Boleyn</t>
  </si>
  <si>
    <t>="Haworth-Meyer-Boleyn Professional Engineers, Inc. is a privately owned multidisciplinary corporation located in Frankfort, Kentucky. Since 1963, we have provided expert planning and design services to our customers from our central office in Frankfort, as well as from our regional offices in New Albany, Indiana; Louisville, Kentucky; Charleston, West Virginia; Nashville, Tennessee; and Montgomery, Alabama. HMB currently offers the following engineering and planning disciplines: Highway Engineering (Planning, Design &amp; Environmental); Structural Design; Project Management; Construction Inspection; Surveying; and Water and Wastewater Engineering."</t>
  </si>
  <si>
    <t>Hawthorne Services</t>
  </si>
  <si>
    <t>="Hawthorne Services was founded in 1997 to serve the management development needs of business and industry throughout the region. Services offered include outplacement, organizational and individual assessments, management training, leadership development and coaching, skills and processes for continuous improvement."</t>
  </si>
  <si>
    <t>http://www.hawthorneservices.com</t>
  </si>
  <si>
    <t>mailto:karenmk@hawthorneservices.com</t>
  </si>
  <si>
    <t>Hayden Welding Co</t>
  </si>
  <si>
    <t>Hays Murray Castor</t>
  </si>
  <si>
    <t>="Hays Murray Castor LLP provides governmental affairs and legal services for a variety of clients in matters before the Indiana General Assembly, Executive Branch and Indiana State Agencies. Hays Murray Castor represents clients on matters including property tax, real estate, information technology, health care, budgetary matters, banking and gaming. Our representation includes business development, contract negotiation, bill drafting, lobbying and campaign finance law compliance."</t>
  </si>
  <si>
    <t>mailto:tcastor@haysmurraycastor.com</t>
  </si>
  <si>
    <t>Hazeltine &amp; Associates, Inc.</t>
  </si>
  <si>
    <t>="Right-of-Way Appraisal up to and including Appraisal Problem Analysis reports, reviewed and written appraisal reports for 1-75+ parceled government initiated public works projects to include bridge replacement, road expansion, realignment, correction, new easements and reservoir expansions. Type of properties appraised or reviewed includes bare land (agricultural, developmental, recreational, etc.), residential single-family and multi-family, commercial, religious, recreational, special use and industrial. Appraisal and review formats adhere to the Uniform Standards of Professional Appraisal Practice, State DOT and Federal Highway Guidelines in preparation of appraisal reports for eminent domain appraising. Appraisal formats include Waiver Valuation Analysis (fka Market Estimates), Value Finding, Short Form and Long Form Reports which include a full Before and After Valuation of the subject being appraised."</t>
  </si>
  <si>
    <t>Hazelwood Enterprises, Inc.</t>
  </si>
  <si>
    <t>http://53truck.com</t>
  </si>
  <si>
    <t>mailto:info@53truck.com</t>
  </si>
  <si>
    <t>Head to Toe Mobile Spa</t>
  </si>
  <si>
    <t>mailto:headtotoemobilespa@sbcglobal.net</t>
  </si>
  <si>
    <t>Headlands, Ltd.</t>
  </si>
  <si>
    <t>="Commercial printing - NCR forms, Letterhead, , Envelopes, Brochures, Business Cards, Newsletters, etc. We specialize in 1 or 2 -color, format 12 X 18 or smaller. We have start (design) to finish (printed product) in house. We also do small run 4-color Process."</t>
  </si>
  <si>
    <t>mailto:herrerop@aol.com</t>
  </si>
  <si>
    <t>Health Care Education and Training, Inc.</t>
  </si>
  <si>
    <t>http://www.hcet.org</t>
  </si>
  <si>
    <t>Health Care Excel, Incorporated</t>
  </si>
  <si>
    <t>="For almost forty years, Health Care Excel (HCE), has objectively evaluated health-care quality, clinical appropriateness, and outcome assessments. The company designs customized management solutions and develops appropriate educational programs to significantly improve the delivery of health services. Customized traditional and nontraditional services are the heart of the organization's expertise. HCE's primary objective is to produce products that will improve health care in a cost-contained environment. The organization has a long tradition of Medicare and Medicaid medical peer review. Health Care Excel employees include physicians, epidemiologists, researchers, statisticians, nurses, medical coders, marketers, accountants, human resources experts, and other professionals. There are seven core principles that guide the organization. Integrity Independence Capability Quality Emphasis on product usability Cost-benefit focus"</t>
  </si>
  <si>
    <t>http://www.HCE.org</t>
  </si>
  <si>
    <t>Health Evolutions</t>
  </si>
  <si>
    <t>="Health Evolutions is a healthcare consulting firm whose consultants have an average of over 19 years of healthcare experience. Our consultants have a breadth of knowledge, skills, and practical experience to assist physicians and healthcare organizations with practical solutions to their business challenges and opportunities. We produce and implement plans that can be put into action, not reports that sit on shelves."</t>
  </si>
  <si>
    <t>http://www.healthevolutions.com</t>
  </si>
  <si>
    <t>mailto:healthevolutions@healthevolutions.com</t>
  </si>
  <si>
    <t>Health Info Consult</t>
  </si>
  <si>
    <t>mailto:rcarlson01@sprynet.com</t>
  </si>
  <si>
    <t>Health Resources, Inc.</t>
  </si>
  <si>
    <t>="Health Resources Inc. (HRI) was founded by practicing dentists in 1986 to provide quality dental plans to the public. As practicing dentists, this group understood the concerns of their patients and the desire for high quality care when needed at affordable rates. o Mission Statement is: To improve the dental health of the public through the use of prepaid dental plans. o Product is: a fee for service, limited service Dental HMO providing coverage to members of employer groups in Indiana and Kentucky. o The plans do not have deductibles, claim forms from subscribers, waiting periods, pre-existing conditions, missing tooth exclusion and non-duplication clauses."</t>
  </si>
  <si>
    <t>http://www.hri-dho.com</t>
  </si>
  <si>
    <t>mailto:Accounting@hri-dho.com</t>
  </si>
  <si>
    <t>Other Insurance Related Activities</t>
  </si>
  <si>
    <t>Health Rewards, LLC</t>
  </si>
  <si>
    <t>mailto:troark@corporatehealthrewards.com</t>
  </si>
  <si>
    <t>Other Personal Care Services</t>
  </si>
  <si>
    <t>Health Sources, LLC</t>
  </si>
  <si>
    <t>="Health Sources,LLC desires to perform services particularly in the medical, dental, and optometry arenas. We also desire to provide consultative services, and supplies and equipment to the same areas as listed above. We also desire to provide for construction of facilities as needed."</t>
  </si>
  <si>
    <t>http://www.healthsources.com</t>
  </si>
  <si>
    <t>mailto:healthsources@sbcglobal.net</t>
  </si>
  <si>
    <t>Health Strategies, Inc.</t>
  </si>
  <si>
    <t>mailto:jr_hagen@sbcglobal.net</t>
  </si>
  <si>
    <t>Health and Customized Candles, LLC</t>
  </si>
  <si>
    <t>="HCC candles are handmade and made with love &amp; heart. We use all natural soy &amp; beeswax candles as well as gel and vegetable paraffin wax. We have a variety of candles such as container glass, gel, fake replica desserts and fake replica drinks. For special request and personalized candles such as college/high school championship, R.I.P candles with name and anniversary date, adorable small puppy page please send us an email. We are also committed to helping find a cure for sarcoidosis."</t>
  </si>
  <si>
    <t>http://Healthandcustomizedcandle.com</t>
  </si>
  <si>
    <t>mailto:healthandcustomizedcandles@yahoo.com</t>
  </si>
  <si>
    <t>HealthCare Compliance, INC</t>
  </si>
  <si>
    <t>="Healthcare oriented consulting services including quality improvement, risk management, accreditation and regulatory standards compliance, training and support for the performance improvement staff, evaluation of organizational improvement and safety programs to determine compliance with applicable standards, assess the integration of healthcare program components (medication management, infection control, incident reports, sentinel/unexpected preventable adverse events, and proactive risk identifications), evaluate plans developed to address identified improvement opportunities, and staff training on the performance improvement methods. Risk management services related to audits of care and services, medical record documentation."</t>
  </si>
  <si>
    <t>mailto:maweiss@wowway.com</t>
  </si>
  <si>
    <t>Healthcare Solutions</t>
  </si>
  <si>
    <t>mailto:sales@hsi-tpa.com</t>
  </si>
  <si>
    <t>Healthcare Therapy Services, Inc.</t>
  </si>
  <si>
    <t>="Healthcare Therapy Services, Inc. is a therapy services provider. We subcontract with mostly long-term care facilities to provide and manage quality occupational, physical and speech therapy services to their residents. We partner with long-term care facilities all over Indiana and Kentucky. We also provide therapy services to hospitals, residential care communities as well as other various providers."</t>
  </si>
  <si>
    <t>http://www.htstherapy.com</t>
  </si>
  <si>
    <t>Healthcare Waste Management</t>
  </si>
  <si>
    <t>http://www.hwmusa.com</t>
  </si>
  <si>
    <t>mailto:service@hwmusa.com</t>
  </si>
  <si>
    <t>Heapy Engineering Indiana LLC</t>
  </si>
  <si>
    <t>="Heapy Engineering is a nationally recognized leader in Sustainability providing Mechanical-Electrical-Technology Systems Design, Commissioning, Sustainability and Energy Services for Educational, Health Care, Government, Commercial, Cultural and Industrial projects. Many of our clients have been working with us for decades and they trust us to provide customized solutions to meet their needs, timeline and budget."</t>
  </si>
  <si>
    <t>http://www.heapy.com</t>
  </si>
  <si>
    <t>mailto:jpobrien@heapy.com</t>
  </si>
  <si>
    <t>Hearing Healthcare Center, Inc.</t>
  </si>
  <si>
    <t>="Hearing Healthcare Center, Inc. is unique in that it is a client centered audiology clinic. We are service oriented. We are NOT just about selling hearing aids. We are ALL about helping people hear better. We know that each person and each hearing loss is different. So, each solution also has to be individualized. We work with most of the major manufacturers and offer the latest digital technology."</t>
  </si>
  <si>
    <t>http://www.hearbetterevansville.com</t>
  </si>
  <si>
    <t>mailto:contactus@hearbetterevansville.com</t>
  </si>
  <si>
    <t>Heart City Health Center, Inc.</t>
  </si>
  <si>
    <t>Hearth &amp; Home Design Design Center, Inc.</t>
  </si>
  <si>
    <t>http://hearthandhome-sb.com</t>
  </si>
  <si>
    <t>Hearth &amp; Home Technologies inc</t>
  </si>
  <si>
    <t>http://firesideusa.com</t>
  </si>
  <si>
    <t>Heartland Environmental Associates, Inc.</t>
  </si>
  <si>
    <t>http://www.heartlandenv.com</t>
  </si>
  <si>
    <t>mailto:jasill@heartlandenv.com</t>
  </si>
  <si>
    <t>Heartland Restoration Services, Inc</t>
  </si>
  <si>
    <t>Heartland Sweeteners,LLC</t>
  </si>
  <si>
    <t>http://www.nevella.com</t>
  </si>
  <si>
    <t>mailto:www.nevella.com</t>
  </si>
  <si>
    <t>Heartland Telecom, Inc.</t>
  </si>
  <si>
    <t>="Local - Long Distance - Data - IP- Payphones- Phone Cards Network America is a leading provider of telecommunications services and telephony expertise, servicing clients that range from local retailers to large Fortune 1000 companies. Our experience allows for a full spectrum of services and consulting that range from simple voice connections to complex data networks. Points to consider: Simplification One point of contact for a host of telecommunications services; video, data, Internet, voice and wireless. Increased productivity at a savings Let us do the work; we search the telecommunications marketplace for services that meet our customer’s specific needs and typically provide a significant savings to our client. Stability and peace of mind Nationally recognized carriers at exceptional rates – Network America partners and allies itself with the largest telecommunications companies around the globe, as well as certain well-established niche carriers for specific appl"</t>
  </si>
  <si>
    <t>http://www.networkam.net</t>
  </si>
  <si>
    <t>mailto:sales@networkam.net</t>
  </si>
  <si>
    <t>Heather Parks</t>
  </si>
  <si>
    <t>http://funkyfreshfacesmakeup.com</t>
  </si>
  <si>
    <t>mailto:heather@funkyfreshfacesmakeup.com</t>
  </si>
  <si>
    <t>Heaton Enterprises</t>
  </si>
  <si>
    <t>Heaven Sent Lawn Care</t>
  </si>
  <si>
    <t>Heavenly Homes Realty Group and Property</t>
  </si>
  <si>
    <t>http://www.Heavenlyhomesllc.com</t>
  </si>
  <si>
    <t>mailto:heavenlyhomes@sbcglobal.net</t>
  </si>
  <si>
    <t>Heavenly Trails, LLC</t>
  </si>
  <si>
    <t>="Heavenly Trails, LLC is a newly established small business located in Gary, Indiana. The only fresh fruit/juice/pastries delivery service of it's kind in the Gary area. We provide fresh fruit, pastries, water, juice, energy drinks and snacks to consumers of all ages. We even supply drinks for diabetics. We are available to deliver direct to consumers at home or place of business. Morning business meetings or for the consumer that wants a light healthy breakfast . We are also licensened to service from concession stands."</t>
  </si>
  <si>
    <t>mailto:janetcongress@ymail.com</t>
  </si>
  <si>
    <t>Mobile Foodservices</t>
  </si>
  <si>
    <t>Heavy Equipment Rental, LLC</t>
  </si>
  <si>
    <t>Hecker Communication</t>
  </si>
  <si>
    <t>mailto:heckercomm@aol.com</t>
  </si>
  <si>
    <t>Hector Perez</t>
  </si>
  <si>
    <t>="I'm dedicated to effective Graphic Design for print and web. With extensive experience in design, illustration, photography and copy writing I apply a thorough understanding of graphic communication to all my work, so your message cuts through the clutter. Functional creativity can enhance your image and help deliver your message. Good design is a powerful tool, and I make good tools every day."</t>
  </si>
  <si>
    <t>http://www.perezart.com/</t>
  </si>
  <si>
    <t>mailto:hectorperezart@gmail.com</t>
  </si>
  <si>
    <t>Hederick Partnerships, LLC</t>
  </si>
  <si>
    <t>mailto:chederick@comcast.net</t>
  </si>
  <si>
    <t>HedgeHog Inc</t>
  </si>
  <si>
    <t>http://www.hedgehog.com</t>
  </si>
  <si>
    <t>mailto:sales@hedgehog.com</t>
  </si>
  <si>
    <t>Hedinger Roofing Co., Inc.</t>
  </si>
  <si>
    <t>Heeters Lawn Care</t>
  </si>
  <si>
    <t>http://www.heeterslawncare.com</t>
  </si>
  <si>
    <t>mailto:heeterslawncare@gmail.com</t>
  </si>
  <si>
    <t>Hef Services, Inc.</t>
  </si>
  <si>
    <t>http://www.hefservices.com</t>
  </si>
  <si>
    <t>mailto:admin@hefservices.com</t>
  </si>
  <si>
    <t>Heidorn Construction, Inc.</t>
  </si>
  <si>
    <t>mailto:sheidorn@evansville.net</t>
  </si>
  <si>
    <t>Heinz, Philip A</t>
  </si>
  <si>
    <t>http://www.philipaheinz.com</t>
  </si>
  <si>
    <t>mailto:Phil@philipaheinz.com</t>
  </si>
  <si>
    <t>Heise Excavating, Inc</t>
  </si>
  <si>
    <t>mailto:RudyHeise@aol.com</t>
  </si>
  <si>
    <t>Heitger Home Services LLC</t>
  </si>
  <si>
    <t>http://heitgerhomeservicesllc.homestead.</t>
  </si>
  <si>
    <t>mailto:hhomeinspection@hotmail.com</t>
  </si>
  <si>
    <t>Heitz Sign Company Inc.</t>
  </si>
  <si>
    <t>http://www.heitzsign.com</t>
  </si>
  <si>
    <t>mailto:heitzsign@yahoo.com</t>
  </si>
  <si>
    <t>Held Diedrich, Inc.</t>
  </si>
  <si>
    <t>="HeldDiedrich is an integrated marketing communications firm headquartered in Indianapolis. We partner with out clients to promote their products and services through the development of strategic marketing plans, brand management, brand messaging, creative tactical solutions, advertising, public relations and market research. We work in both the business-to-business and business-to-consumer sectors. Our staff is replete with seasoned marketing and creative professionals that have assisted clients in variety of endeavors including: new company launches, new product launches, transitioning through merger/acquisitions, corporate brand repositioning, brand audits, brand plan development and internal brand programming. Clients rely on us to develop targeted brand strategy, launch strategy, print advertising, print collateral, interactive media services, trade show design, public relations and market research."</t>
  </si>
  <si>
    <t>http://www.helddiedrich.com</t>
  </si>
  <si>
    <t>mailto:ddiedrich@helddiedrich.com</t>
  </si>
  <si>
    <t>Help Logistics LLC</t>
  </si>
  <si>
    <t>="HeLP Logistics LLC has 70 combined years of experience in the transportation and logistics arena. HeLP Logistics has exceptional carriers with acceptable insurance limits, authorities and permits, required satisfactory DOT rating and appropriate communication systems. HeLP Logistics provides solutions and informational resources without management fees. We provide customized logistic solutions as to ground expedite, air charter and trucking."</t>
  </si>
  <si>
    <t>http://www.helplogistics.com</t>
  </si>
  <si>
    <t>mailto:dispatch@helplogistics.com</t>
  </si>
  <si>
    <t>Helpful Hands Homemaker Services Inc.</t>
  </si>
  <si>
    <t>="Helpful Hands Homemaker Services is a service that provides adequate and efficient homemaker services to the elderly and disabled citizens of Indiana. We consistently help with household chores and other duties as outlined for the clients. This will help them to live in a clean, healthy, safe environment in their homes and in the community and to aid in preventing the client from being institutionalized."</t>
  </si>
  <si>
    <t>mailto:helpfulhandshomemakersvc@comcast.net</t>
  </si>
  <si>
    <t>Helpful Transitions LLC</t>
  </si>
  <si>
    <t>Helping Hands Healthcare,Inc</t>
  </si>
  <si>
    <t>Helping Now, Inc.</t>
  </si>
  <si>
    <t>http://www.helpingnow.com</t>
  </si>
  <si>
    <t>mailto:pete@helpingnow.com</t>
  </si>
  <si>
    <t>Hendrich Abstract Co Inc</t>
  </si>
  <si>
    <t>http://www.hendrichtitle.com</t>
  </si>
  <si>
    <t>mailto:reeld@hendrichtitle.com</t>
  </si>
  <si>
    <t>Hendricks County Child Advocacy Center</t>
  </si>
  <si>
    <t>http://www.susiesplace.org</t>
  </si>
  <si>
    <t>Henry Electric Company, Inc.</t>
  </si>
  <si>
    <t>Hensley Custom Cabintry</t>
  </si>
  <si>
    <t>http://www.hensleycustomcabinetry.com</t>
  </si>
  <si>
    <t>mailto:chris@hensleycustomcabinetry.com</t>
  </si>
  <si>
    <t>Henthorn, Harris &amp; Weliever Prof. Corp.</t>
  </si>
  <si>
    <t>http://www.henthornlaw.com</t>
  </si>
  <si>
    <t>mailto:hhw@henthornlaw.com</t>
  </si>
  <si>
    <t>Herald Plumbing Inc</t>
  </si>
  <si>
    <t>mailto:heraldplumbinginc@sbcglobal.net</t>
  </si>
  <si>
    <t>Herber Tooling, Inc.</t>
  </si>
  <si>
    <t>="Dunfee Tool is a machine shop in Fort Wayne, Indiana. We utilize C.N.C. as well as manual equipment to service our customers. Our company is familiar with all types of materials, from exotic plastics to tool steels. We manufacture products from prototyping to production. We offer quality service at a reasonable price."</t>
  </si>
  <si>
    <t>http://www.dunfeetool.com</t>
  </si>
  <si>
    <t>mailto:dunfeetool@hotmail.com</t>
  </si>
  <si>
    <t>Herd Strategies, LLC</t>
  </si>
  <si>
    <t>="Herd Strategies lives by a company philosophy of loyalty and results for our clients. Our success is built upon standards of leading by example at all times and working as hard for our clients as we would for ourselves. Herd Strategies strives to be the perfect combination of entrepreneurial spirit, superb client service and successful business professionals. Herd Strategies is a certified Minority and Women Business Enterprise by the city of Indianapolis. Herd Strategies specializes in branding, traditional and multi-cultural marketing, public relations and communications training. Through our creativity and expertise, we’ll get you noticed – and provide the results you desire. We listen, analyze and strategize to build plans and campaigns that exceed client goals and expectations."</t>
  </si>
  <si>
    <t>http://www.herdstrategies.com</t>
  </si>
  <si>
    <t>mailto:denise@herdstrategies.com</t>
  </si>
  <si>
    <t>Heritage - Crystal Clean, LLC</t>
  </si>
  <si>
    <t>http://www.crystal-clean.com</t>
  </si>
  <si>
    <t>mailto:custserv@crystal-clean.com</t>
  </si>
  <si>
    <t>Heritage Aggergates Inc</t>
  </si>
  <si>
    <t>Heritage Environmental Services, LLC</t>
  </si>
  <si>
    <t>="Heritage Environmental Services is the largest privately held environmental company in North America. Our largest base of employees and corporate offices are located in Indianapolis, IN. We have nation wide service centers, including six fully permited RCRA facilities. We also own and operate ""best in class"" incineration, chemical treatment, landfill and recovery facilities. Included with these technologies are Onsite services, Lab pack, Container management, Total by-product management, Transportation, Industrial Maintenance and emergency response, and complete Environmental Laboratory Analysis for RCRA, CWA, and SDWA."</t>
  </si>
  <si>
    <t>http://Heritage-enviro.com</t>
  </si>
  <si>
    <t>mailto:www.heritage-enviro.com</t>
  </si>
  <si>
    <t>Heritage Food Service Group, Inc.</t>
  </si>
  <si>
    <t>http://www.heritageparts.com</t>
  </si>
  <si>
    <t>mailto:GeneralSupport@heritageparts.com</t>
  </si>
  <si>
    <t>Other Commercial Equipment Merchant Wholesalers</t>
  </si>
  <si>
    <t>Heritage Industrial Contracting Corporat</t>
  </si>
  <si>
    <t>mailto:clstapp@live.com</t>
  </si>
  <si>
    <t>Conveyor and Conveying Equipment Manufacturing</t>
  </si>
  <si>
    <t>Heritage Office Products, Inc.</t>
  </si>
  <si>
    <t>="We are an Office Supply Retail Store. We offer many items in the industry..exp... Office Machines ( copiers, fax machines, calculators, printers), full line of furniture, all office supplies such as pens, papers, computer supplies and many more. We also offer custom engraving on our products as well as yours."</t>
  </si>
  <si>
    <t>http://www.heritageofficeproducts.com</t>
  </si>
  <si>
    <t>mailto:kelly@nwiis.com</t>
  </si>
  <si>
    <t>Office Supplies, Stationery and Gift Stores</t>
  </si>
  <si>
    <t>Heritage Petroleum LLC</t>
  </si>
  <si>
    <t>="Heritage Petroleum provides fuel transport services, commercial fueling, TEPPCO pipeline services, emergency fuel management services, and fuel management for large and small companies in the U.S. We also offer our customers a complete line of fuel products, including petroleum fuels and alternative fuels, oils, and lubricants. Our many approvals and certifications mean that customers large and small in a variety of industries throughout the U.S. can rely on our expertise to meet their product and service needs."</t>
  </si>
  <si>
    <t>http://www.heritageoil.com</t>
  </si>
  <si>
    <t>mailto:info@heritageoil.com</t>
  </si>
  <si>
    <t>Petroleum and Petroleum Products Merchant Wholesalers</t>
  </si>
  <si>
    <t>Herman &amp; Co., Inc.</t>
  </si>
  <si>
    <t>http://www.hermaninc.com</t>
  </si>
  <si>
    <t>mailto:sales@hermaninc.com</t>
  </si>
  <si>
    <t>Hermetic Coil</t>
  </si>
  <si>
    <t>="IPC is a family owned and operated machine shop for over 40 years. We build Affordable complete turnkey vertical injection molding machines. Everything is made in-house which is why we are so competitively priced. We also have a complete tool room where our expert mold design specialists and craftsmen can go to work making your mold idea a reality. We also offer full machine shop services for all of your metal fabrication needs. IPC is the number one stop for all of your metal fabrication needs. We have been in business for over 40 years, and are comitted to customer service and quality. Let us be a part of your next project. (812)-735-2401 Metal Fabrication - Welding - CNC Milling - Turning - Repairs - De-Burring - Polishing - Grinding - Small Hydraulic Hose Assembly - Design - Part Layout - AND SO MUCH MORE!!"</t>
  </si>
  <si>
    <t>http://www.Illprec.com</t>
  </si>
  <si>
    <t>mailto:jdavis@illprec.com</t>
  </si>
  <si>
    <t>Hernandez Mechanical</t>
  </si>
  <si>
    <t>mailto:danah11@verizon.net</t>
  </si>
  <si>
    <t>Herren's Twin City</t>
  </si>
  <si>
    <t>http://www.twincitymoving.com</t>
  </si>
  <si>
    <t>mailto:info@twincitymoving.com</t>
  </si>
  <si>
    <t>Herrman &amp; Goetz Inc.</t>
  </si>
  <si>
    <t>="H&amp;G Services is a large contractor in Northern Indiana with many different services to offer a commercial, industrial, or public utility customer. H&amp;G Services has the manpower and capabilities to handle standard mechanical and electrical construction or design and build projects as well as providing services to maintain existing systems in the building. H&amp;G services has 24-hour services with trained technicians in Data, Telephone, Electronic, Electrical, Generator and Mechanical systems."</t>
  </si>
  <si>
    <t>http://hgservices.com</t>
  </si>
  <si>
    <t>mailto:rc@hgservices.com</t>
  </si>
  <si>
    <t>Herron Associates, Inc.</t>
  </si>
  <si>
    <t>http://www.herron-research.com</t>
  </si>
  <si>
    <t>mailto:sue@herron-research.com</t>
  </si>
  <si>
    <t>Hertel Heating &amp; Air, LLC</t>
  </si>
  <si>
    <t>http://www.hertelheatingandair.com</t>
  </si>
  <si>
    <t>mailto:gtownhert@frontier.com</t>
  </si>
  <si>
    <t>Hess Karfomenos &amp; Associates LLC</t>
  </si>
  <si>
    <t>http://www.hkamedlegal.com</t>
  </si>
  <si>
    <t>mailto:hkamedlegal@starband.net</t>
  </si>
  <si>
    <t>Hessville Plumbing I</t>
  </si>
  <si>
    <t>="Residential, commercial, industrial plumbing contractor. All types of plumbing work. Emergency service available. Televising equipment. Excavating work. Back hoe available. Fire hydrants. Water mains. Hot water heaters. Installation and repair of sewer and water lines."</t>
  </si>
  <si>
    <t>http://www.hessvilleplumbing.com</t>
  </si>
  <si>
    <t>mailto:hessvilleplumbing1@sbcglobal.net</t>
  </si>
  <si>
    <t>Hewlett-Packard Company</t>
  </si>
  <si>
    <t>http://www.hp.com</t>
  </si>
  <si>
    <t>Computer and Peripheral Equipment Manufacturing</t>
  </si>
  <si>
    <t>Hi Tech Building Services</t>
  </si>
  <si>
    <t>Hi-TechResources,Inc</t>
  </si>
  <si>
    <t>http://www.htrinc.com</t>
  </si>
  <si>
    <t>mailto:htrinc.com</t>
  </si>
  <si>
    <t>Hicks &amp; Deaton Hdwe.</t>
  </si>
  <si>
    <t>mailto:hdhardware@earthlink.net</t>
  </si>
  <si>
    <t>High Performance Government Network</t>
  </si>
  <si>
    <t>="The HPG Network is a not-for-profit organization dedicated to cultivating thriving communities in Indiana. The HPG Network strengthens organizations by establishing a framework for collaboration, convening local resources, and equipping stakeholders by providing the following services: municipal partnering and planning, organizational and staff development, strategic planning, process improvement, neighborhood sustainability, compliant community development programs, community convening for local stakeholders, emergency preparedness, emergency planning &amp; exercises, project management, and educational conferences. Emphasizing Tools, Training, Teamwork and Trust, the HPG Network builds partnerships between government clients and local partners in order to produce high performing organizations."</t>
  </si>
  <si>
    <t>http://www.hpgnetwork.com</t>
  </si>
  <si>
    <t>mailto:joy@hpgnetwork.com</t>
  </si>
  <si>
    <t>High Performance Leadership, Inc.</t>
  </si>
  <si>
    <t>http://www.hpleadership.com</t>
  </si>
  <si>
    <t>Higher Ed Consultants LLC</t>
  </si>
  <si>
    <t>="Higher Ed Consultants specializes in the following matter for Nonprofit Organizations • Counseling of sensitive human resource matters • Assistance in hiring/retaining diverse faculty members • Mediation • Confidential fact-finding and investigations • Revision of handbooks, policies, by-laws, and other governing documents • Executive coaching • Customized education and training o Harassment, discrimination, and bias prevention o Diversity, Strategy and the Bottom Line o Inclusion: Recognition, Appreciation and Utilization o Cultural Competency • Assistance in hiring/retaining diverse staff Higher Ed Consultants specializes in the following matters for Faculty and Academic Administrators • Counseling of sensitive human resource matters • Customized training programs for department chair, faculty, and academic administrators • Sexual harassment prevention training • Assistance in hiring/retaining diverse faculty members • Mediation • Confidential investigations o"</t>
  </si>
  <si>
    <t>mailto:cfw1220@gmail.com</t>
  </si>
  <si>
    <t>Hightower Graphics, Inc.</t>
  </si>
  <si>
    <t>http://www.hightowergraphics.com</t>
  </si>
  <si>
    <t>mailto:info@hightowergraphics.com</t>
  </si>
  <si>
    <t>Highway Technologies Inc.</t>
  </si>
  <si>
    <t>http://www.hwy-tech.com</t>
  </si>
  <si>
    <t>mailto:dmattingly@hwy-tech.com</t>
  </si>
  <si>
    <t>Hilgeman Auction Co. Inc.</t>
  </si>
  <si>
    <t>="We are a full service auction company located in Southern Indiana. State-of-the-art equipment, knowledgeable staff, and attention to detail, combined with an auctioneer who holds a Master's Degree in Marketing (Indiana University), makes The Hilgeman Auction Co. your best choice. Our services can be provided on location or in our historic auction house."</t>
  </si>
  <si>
    <t>http://www.hilgemanauctions.com</t>
  </si>
  <si>
    <t>mailto:info@hilgemanauctions.com</t>
  </si>
  <si>
    <t>Hill-Rom Company, Inc.</t>
  </si>
  <si>
    <t>http://www.hill-rom.com</t>
  </si>
  <si>
    <t>mailto:us.customerservice@hill-rom.com</t>
  </si>
  <si>
    <t>Hillary CPA Group</t>
  </si>
  <si>
    <t>="We provide CPA services, accounting services, consulting services, tax return and preparation services, and IT solutions to individuals, businesses and government agencies. Industries that we serve are Automotive, construction, farm and ranch, food service and supply, healthcare, manufacturing, distribution, not-for-profit, professional services, retail, and personal services in the Bloomington, Bedford, Indianapolis, Indiana areas."</t>
  </si>
  <si>
    <t>http://www.hillarycpagroup.com</t>
  </si>
  <si>
    <t>mailto:dhillary@hillarycpagroup.com</t>
  </si>
  <si>
    <t>Hillcrest-Washington Youth Home Inc.</t>
  </si>
  <si>
    <t>="Hillcrest Washington Youth Home, Inc. (Hillcrest) is a not-for-profit organization that offers unique and innovative programs to suport the positive development of children in our communities. Emergency shelter and residential services are available to children and adolescents, ages 6 through 18 years of age, who need out of home placement."</t>
  </si>
  <si>
    <t>http://www.hillcrestyouthhome.org</t>
  </si>
  <si>
    <t>mailto:wardj@hillcrestyouthhome.org</t>
  </si>
  <si>
    <t>Hillcroft Services, Inc.</t>
  </si>
  <si>
    <t>="We are the leading outsource manufacturer in East Central Indiana specializing in product assembly &amp; packaging, order fulfillment services, bulk mailing, lean manufacturing sub-assembly, machine operation and shrink wrapping services. We also provide an array of services to the disabled population."</t>
  </si>
  <si>
    <t>http://www.hillcroft.org</t>
  </si>
  <si>
    <t>mailto:dbennett@hillcroft.org</t>
  </si>
  <si>
    <t>Hillock Masonry, LLC.</t>
  </si>
  <si>
    <t>="Hillock Masonry, LLC offers an array of services including, but not limited to: residential masonry, commercial masonry, remodeling, restoration, new construction, and footer installation. With over 20 years of experience, Hillock Masonry, LLC can be trusted with any of your masonry needs. For more information about our services, visit the services tab at the top of this page. Call or email us with any questions you may have or to set up an estimate today."</t>
  </si>
  <si>
    <t>http://thillock1.wix.com/hillock-masonry</t>
  </si>
  <si>
    <t>mailto:hillock04@att.net</t>
  </si>
  <si>
    <t>Hilltop Communty Health Center</t>
  </si>
  <si>
    <t>Hilton Publishing, Inc.</t>
  </si>
  <si>
    <t>="At Hilton Publishing we want to empower minority and underserved communities by providing them with the most relevant and latest health information they will need to make informed decisions to live healthy lives. Hilton Publishing was founded in 1996 by renowned African-American cardio-thoracic surgeon Hilton Hudson, II, M.D., F.A.C.S., who set out to address the lack of accurate and up-to-date health information that was being offered to minorities. With books on subjects such as cardiovascular disease, high-blood pressure, diabetes, obesity, cancer and mental illness, Hilton Publishing offers reliable information through our publications; our custom published materials; and our website: www.hiltonpub.com that is specific to the needs of our readers. Our patient education materials are written with compassion and understanding, and offer practical advice that is easy to understand. All of our books provide essential health information, knowledge, and resources that allow our read"</t>
  </si>
  <si>
    <t>http://www.hiltonpub.com</t>
  </si>
  <si>
    <t>mailto:info@hiltonpub.com</t>
  </si>
  <si>
    <t>Hinckley Springs/DS Waters</t>
  </si>
  <si>
    <t>http://www.hinckleysprings.com</t>
  </si>
  <si>
    <t>mailto:customerservice@water.com</t>
  </si>
  <si>
    <t>Hinge-It Corp.</t>
  </si>
  <si>
    <t>http://www.hingeit.com</t>
  </si>
  <si>
    <t>mailto:info@hingeit.com</t>
  </si>
  <si>
    <t>Machine Tool (Metal Forming Types) Manufacturing</t>
  </si>
  <si>
    <t>Hinshaw Roofing &amp; SM</t>
  </si>
  <si>
    <t>http://www.hinshawroofing.com</t>
  </si>
  <si>
    <t>mailto:bpearson@hinshawroofing.com</t>
  </si>
  <si>
    <t>Hiram J. Hash &amp; Sons</t>
  </si>
  <si>
    <t>="Hash &amp; Sons has been in buisness in Indiana since 1938. We sell and service the following equipment. Microfilm readers, printers and cameras, paper shredders, time clocks &amp; stamps, coin &amp; currency counters, mail room machines, paper handeling machines check imprinters &amp; signers &amp; laser printers."</t>
  </si>
  <si>
    <t>Hispanic Resources &amp; Services</t>
  </si>
  <si>
    <t>mailto:hrsindy@aol.com</t>
  </si>
  <si>
    <t>Hittle Construction, Inc.</t>
  </si>
  <si>
    <t>http://www.hittleconstruction.net</t>
  </si>
  <si>
    <t>mailto:justin@hittleconstruction.net</t>
  </si>
  <si>
    <t>Hobart Lumber Co</t>
  </si>
  <si>
    <t>="Hobart Lumber supplies contractors, homeowners, new-home builders with supplies needed for their projects...from lumber, plywood, windows, doors, trim, roofing, shingles and more. We also supply in our hardware store, painting, plumbing, electrical, hardware and building supplies. Our computer Design Center lays out custom designs for kitchen and bath cabinets and countertops."</t>
  </si>
  <si>
    <t>Hobbs Electric</t>
  </si>
  <si>
    <t>http://www.hobbselectricmotorsolutions.c</t>
  </si>
  <si>
    <t>mailto:jhobbselectric@aol.com</t>
  </si>
  <si>
    <t>Hobson Electric, Inc.</t>
  </si>
  <si>
    <t>http://hobsonelectric.net/</t>
  </si>
  <si>
    <t>mailto:hobson75@gmail.com</t>
  </si>
  <si>
    <t>Hocker &amp; Associates LLC</t>
  </si>
  <si>
    <t>http://www.hockerlawfirm.com</t>
  </si>
  <si>
    <t>mailto:janet.hocker@hockerlaw.com</t>
  </si>
  <si>
    <t>Hoefling Truck and Tractor Inc.</t>
  </si>
  <si>
    <t>http://www.hoeflings.com</t>
  </si>
  <si>
    <t>mailto:dprice@hoeflings.com</t>
  </si>
  <si>
    <t>Hoene Tiling, Inc.</t>
  </si>
  <si>
    <t>mailto:hoenetiling@sbcglobal.net</t>
  </si>
  <si>
    <t>Plastics Materials and Basic Forms and Shapes Merchant Wholesalers</t>
  </si>
  <si>
    <t>Hoffman Outdoor Power Equipment, Inc.</t>
  </si>
  <si>
    <t>http://www.hoffmanslawn.com</t>
  </si>
  <si>
    <t>mailto:info@hoffmanslawn.com</t>
  </si>
  <si>
    <t>Hoffman Sales</t>
  </si>
  <si>
    <t>="Indiana Business servicing the HVAC and Steam markets for over 20 years. Steam Traps, Condensate Pumps, Heat Exchangers, Boilers, Repair Parts, Steam Fired Water Heaters, Water Heaters, Pressure Regulating Valves, Gaskets, Wye Strainers, Butterfly Valves, Etc"</t>
  </si>
  <si>
    <t>http://www.hoffmansales.net</t>
  </si>
  <si>
    <t>mailto:jhoffman1@indy.rr.com</t>
  </si>
  <si>
    <t>Hoffmann Engineering Inc.</t>
  </si>
  <si>
    <t>http://www.HoffmannEngineering.com</t>
  </si>
  <si>
    <t>mailto:Rich@HoffmannEngineering.com</t>
  </si>
  <si>
    <t>Hoffmans Feeds</t>
  </si>
  <si>
    <t>mailto:jorkhoffman@psci.net</t>
  </si>
  <si>
    <t>Other Miscellaneous Store Retailers</t>
  </si>
  <si>
    <t>Hogan Consulting Group Inc</t>
  </si>
  <si>
    <t>="HCG was built on the foundation that Customer Service always comes first. By putting our customer needs first, we become a true consulting company and a business partner-not simply a vendor. Specializinng in Microsoft and Citrix based solutions, HCG offers a great depth of knowledge and experience in these areas. Secure Remote Access Solutions Access Infrastructure Solutions Active Directory Design and Implementation Security planning and Implementation Exchange Server Migrations and Upgrades Security patch managment strategies Backup Planning and Disater Recovery With two offices in Indiana, HCG services clients throughout Indiana. Call or email us today and find out how HCG can help improve your quality of technology. Toll Free: 866-921-1141 info@hogancg.com"</t>
  </si>
  <si>
    <t>http://www.hogancg.com</t>
  </si>
  <si>
    <t>mailto:info@hogancg.com</t>
  </si>
  <si>
    <t>Hogan Transfer &amp; Stg</t>
  </si>
  <si>
    <t>="Small Family owned full service moving and storage business. Moving households, offices, and specialty items accross town or across the country. We also offer short and long term storage as well as record retention services. An agent for Mayflower Transit, a world wide mover of more than 75 years."</t>
  </si>
  <si>
    <t>http://www.hoganmoving.com</t>
  </si>
  <si>
    <t>mailto:hoganmoving@iquest.net</t>
  </si>
  <si>
    <t>Holiday Inn Express</t>
  </si>
  <si>
    <t>="WELCOME The Holiday Inn Express Hotel &amp; Suites Bedford has 64 rooms, jacuzzi suites and mini-suites available. 2 phones with 2 lines, data port &amp; voice mail in every room. 2 Large Meeting Rooms, 24 Hr Business Center, 2nd Floor Rooms with Pool View. Free Wireless high speed internet access available.“Stay Smart” at the Holiday Inn Express. We offer: Free Express Start breakfast bar, Free local calls and Priority Club Rewards benefits. We honor Government per Diem Rates. Dunn Hospital (2 MI/ 3.22 KM ) Indiana University/Memorial Stadium (25 MI/ 40.23 KM ) Oliver Winery (35 MI/ 56.33 KM ) Spring Mill State Park (13 MI/ 20.92 KM ) Ski Paoli Peaks (25 MI/ 40.23 KM ) Bluespring Caverns Park (5 MI/ 8.05 KM ) Patoka Lake (40 MI/ 64.37 KM ) Indiana Railway Museum (30 MI/ 48.28 KM ) Bedford Regional Medical Center (2.3 MI/ 3.7 KM ) Virgil 'Gus' Grissom Memorial (12 MI/ 19.31 KM ) Limestone Museum (4 MI/ 6.44 Fax: 1-812-2791496 Located at Hwy 37 &amp; 50"</t>
  </si>
  <si>
    <t>http://www.bedfordindiana.us/</t>
  </si>
  <si>
    <t>mailto:hiebedin@kiva.net</t>
  </si>
  <si>
    <t>Holland Towing LLC</t>
  </si>
  <si>
    <t>mailto:sholland@comteck.com</t>
  </si>
  <si>
    <t>Hollingsworth Jocham &amp; Zivitz, P.C.</t>
  </si>
  <si>
    <t>="Hollingsworth Jocham &amp; Zivitz, PC provides legal services to families (traditional and otherwise) and individuals at all stages of life. Committed to ensuring that its clients’ individual needs are identified and met, firm team members are zealous advocates who employ empathy, honesty, compassion and understanding to effectively resolve conflicts in a cooperative and collaborative manner."</t>
  </si>
  <si>
    <t>http://www.hjzlaw.com</t>
  </si>
  <si>
    <t>mailto:info@hjzlaw.com</t>
  </si>
  <si>
    <t>Holloway House Productions</t>
  </si>
  <si>
    <t>="A full service video production company, I specialize in the branding and marketing of businesses to their targeted audience. With an artist's eye and a storyteller's voice, I produce marketing videos and commercials that motivate viewers. Whether it's for the web or on-air, Holloway House Productions is a one-stop source for all things video."</t>
  </si>
  <si>
    <t>http://www.hollowayhouseproductions.com</t>
  </si>
  <si>
    <t>mailto:holloway714@gmail.com</t>
  </si>
  <si>
    <t>Holloway House, Inc.</t>
  </si>
  <si>
    <t>http://www.hollowayhouse.net</t>
  </si>
  <si>
    <t>mailto:info@hollowayhouse.net</t>
  </si>
  <si>
    <t>Holly's House, Inc.</t>
  </si>
  <si>
    <t>http://www.hollyshouse.org</t>
  </si>
  <si>
    <t>mailto:info@hollyshouse.org</t>
  </si>
  <si>
    <t>Holmes Bros Inc</t>
  </si>
  <si>
    <t>mailto:job2student@yahoo.com</t>
  </si>
  <si>
    <t>Holmes Hardware Inc.</t>
  </si>
  <si>
    <t>="A dedicated family buisness, that services Industry, commercial and governmental accounts.Our inventory includes, a wide range of bolts, fasteners, light bulbs, industrial wipers, Memphis gloves,ballasts, AAF air filters, drill bits, cutting tools,abrasives,Ray O Vac ,and Crews safety glasses. We pride ourselves in the service that we give, and strive to satisfy our customers. As always if we don't carry a specific item, we will do our best to locate and stock it."</t>
  </si>
  <si>
    <t>http://www.HolmesHardware.doitbest.com</t>
  </si>
  <si>
    <t>mailto:holmes@blueriver.net</t>
  </si>
  <si>
    <t>Holt, Sheets &amp; Associates</t>
  </si>
  <si>
    <t>http://www.holtsheets.com</t>
  </si>
  <si>
    <t>mailto:jholt@holtsheets.com</t>
  </si>
  <si>
    <t>Home &amp; Commercial Electronic Solutions</t>
  </si>
  <si>
    <t>="HCES is a Family owned and operated company based in Terre Haute, Indiana, that provides COMMERCIAL and RESIDENTIAL electronics installation, repair and support. From building custom home desktop computers or installing commercial networks, to removing virus software, printer repair and TV repair. We also do home theater installations, DSL installations, and home networking installations. All hardware and software issues are within the scope of the services provided.. For over 20 years we have diagnosed and repaired computer IT systems and electronics. NO JOB IS TOO SMALL! We strive to ensure the best customer service possible at the best price possible. We believe in honesty, integrity, and reliability and treat each customer as if they were a member of our family."</t>
  </si>
  <si>
    <t>http://www.hces-electronics.com/</t>
  </si>
  <si>
    <t>mailto:hcesinc@gmail.com</t>
  </si>
  <si>
    <t>Home Details Design Center LLC</t>
  </si>
  <si>
    <t>="Designer Showroom of unique and high quality door hardware and accessories, faucets and bowls, cabinet hardware and other specialties. We carry the finest name brand hardware from all over the world. Our products are used in custom homes, offices, courthouses, condo's and any place that distinctive hardware is appreciated."</t>
  </si>
  <si>
    <t>http://www.homedetailsdesigncenter.com</t>
  </si>
  <si>
    <t>mailto:designedbycass@indy.rr.com</t>
  </si>
  <si>
    <t>Home Energy Rating Services, Inc.</t>
  </si>
  <si>
    <t>http://www.homeenergyratings.net</t>
  </si>
  <si>
    <t>mailto:greg@homeenergyratings.net</t>
  </si>
  <si>
    <t>Home Front Beauty Salon &amp; Accessories</t>
  </si>
  <si>
    <t>http://www.ardysslife.com/cynthiabeloch</t>
  </si>
  <si>
    <t>mailto:mcbeloch@gmail.com</t>
  </si>
  <si>
    <t>Other Clothing Stores</t>
  </si>
  <si>
    <t>Home Front Legal Services LLC</t>
  </si>
  <si>
    <t>="Home Front Legal Services LLC provides experienced legal secretaries, paralegals and attorneys for one-time projects, temporary and long-term telecommuting and onsite assignments in Indiana, Illinois and Michigan. We also offer nurse consultants, class action administration notice services, temporary to hire placements, support staff practice area boot camp training sessions, law firm marketing plans and fulfillment as well as document scanning."</t>
  </si>
  <si>
    <t>http://homefrontlegal.com/</t>
  </si>
  <si>
    <t>mailto:holmes@homefrontlegal.com</t>
  </si>
  <si>
    <t>Home Lumber Company, Inc.</t>
  </si>
  <si>
    <t>Home News Enterprises, L.L.C.</t>
  </si>
  <si>
    <t>mailto:nthompson@hneprinters.com</t>
  </si>
  <si>
    <t>Home Services Unlimited</t>
  </si>
  <si>
    <t>Homestead Folk Toys</t>
  </si>
  <si>
    <t>http://www.homesteadtoys.com</t>
  </si>
  <si>
    <t>mailto:info@homesteadtoys.com</t>
  </si>
  <si>
    <t>Homestead Properties Inc.</t>
  </si>
  <si>
    <t>="TREEmendous Hardwoods at a ""Tiny"" Price! Specializing in Fine Indiana Hardwoods for Log Cabins, Timber Frame, Historic Sites , Fine New Homes and Commercial Specialties. Solid Plank Flooring, Historic &amp; Replicate Mouldings, Complete House Trims, Cypress Siding &amp; Decking, Native Kiln Dried Lumber &amp; Reclaimed Pine, Custom Kiln &amp; Full Process Remanufacturing Services."</t>
  </si>
  <si>
    <t>http://www.tinytimbers.com</t>
  </si>
  <si>
    <t>mailto:mail@tinytimbers.com</t>
  </si>
  <si>
    <t>Other Millwork (including Flooring )</t>
  </si>
  <si>
    <t>Homestyle Construction, Inc.</t>
  </si>
  <si>
    <t>http://www.homestyleconstruction.com</t>
  </si>
  <si>
    <t>mailto:Samantha@homestyleconstruction.com</t>
  </si>
  <si>
    <t>Hometown Apparel Co L.L.C.</t>
  </si>
  <si>
    <t>="Hometown Apparel Co started with 2 friends, also stay at home Moms with 3 kids each that wanted to be able to offer afforable creative apparel for any need. We do custom screenprinting and embroidery as well as custom crystal designs. We can serve any no matter what the size or need."</t>
  </si>
  <si>
    <t>http://www.hometownapparelco.com</t>
  </si>
  <si>
    <t>mailto:info@hometownapparelco.com</t>
  </si>
  <si>
    <t>Apparel Accessories and Other Apparel Manufacturing</t>
  </si>
  <si>
    <t>Hometown Engineering, LLC</t>
  </si>
  <si>
    <t>mailto:hometowneng@sbcglobal.net</t>
  </si>
  <si>
    <t>Hond West</t>
  </si>
  <si>
    <t>http://www.hondawestindianapolis.com</t>
  </si>
  <si>
    <t>mailto:hondawest1@aol.com</t>
  </si>
  <si>
    <t>Honest and Affordable Plumbing, LLC</t>
  </si>
  <si>
    <t>http://www.honestandaffordableplumbing.c</t>
  </si>
  <si>
    <t>mailto:joe.wilborn@yahoo.com</t>
  </si>
  <si>
    <t>Hood Services of Indiana, INC</t>
  </si>
  <si>
    <t>mailto:hoodservices@indy.rr.com</t>
  </si>
  <si>
    <t>Hook Industrial Sales, Inc.</t>
  </si>
  <si>
    <t>mailto:kenhook@hookindustrialsales.com</t>
  </si>
  <si>
    <t>Fluid Power Cylinder and Actuator Manufacturing</t>
  </si>
  <si>
    <t>Hoosier Air Solutions, LLC</t>
  </si>
  <si>
    <t>http://www.hoosierairsolutions.com</t>
  </si>
  <si>
    <t>mailto:info@hoosierairsolutions.com</t>
  </si>
  <si>
    <t>Hoosier Carpet Guys and Janitorial Suppl</t>
  </si>
  <si>
    <t>mailto:raneybj@yahoo.com</t>
  </si>
  <si>
    <t>Hoosier Concrete Pumping, Inc.</t>
  </si>
  <si>
    <t>="Hoosier Concrete Pumping is now a Local 150 Member located in Goshen, IN. We have 9 pumps total; 43 meter through 28 meter, 1 telebelt and 2 line pumps. We specialize in pumping concrete from the cement truck to the jobsite when the site is inaccessible to the cement truck, due to mud, sand, buildings, etc. We look forwarding to serving you."</t>
  </si>
  <si>
    <t>mailto:hoosierconcretepumping@yahoo.com</t>
  </si>
  <si>
    <t>Hoosier Container, Inc.</t>
  </si>
  <si>
    <t>http://www.hoosiercontainer.com</t>
  </si>
  <si>
    <t>mailto:sales@hoosiercontainer.com</t>
  </si>
  <si>
    <t>Hoosier Crane</t>
  </si>
  <si>
    <t>="We have over 26 years of combined experience in the overhead crane service business. Services we will provide are: OSHA Compliant Inspections, Onsite Repairs of overhead hoists and cranes, Fabrication and Installation of overhead cranes, Overhead Crane and Operator Training, 24 hour emergency service and part sales."</t>
  </si>
  <si>
    <t>http://www.hoosiercrane.com</t>
  </si>
  <si>
    <t>mailto:hoosiercrane@aol.com</t>
  </si>
  <si>
    <t>Overhead Traveling Crane, Hoist and Monorail System Manufacturing</t>
  </si>
  <si>
    <t>Hoosier Door, Inc</t>
  </si>
  <si>
    <t>Hoosier Equipment LLC</t>
  </si>
  <si>
    <t>mailto:hoosierequipmentllc@yahoo.com</t>
  </si>
  <si>
    <t>Hoosier Equipment Sv</t>
  </si>
  <si>
    <t>="Hoosier Equipment Service, Inc. is a full-service environmental construction and remediation firm. Our employees are HAZMAT trained, confined space entry trained and medically monitored due to the nature of our business. Our primary services include soil remediation (excavation or installation of treatment systems) and fuel storage tank related activities. Our employees are certified to remove and install registered underground storage tanks. We also perform removal and installation services for aboveground storage tanks. We have operated out of the Indianapolis area for over 25 years."</t>
  </si>
  <si>
    <t>http://www.hoosierequipment.com</t>
  </si>
  <si>
    <t>mailto:hbrumback@hoosierequipment.com</t>
  </si>
  <si>
    <t>Hoosier Factory Homes, Inc.</t>
  </si>
  <si>
    <t>http://www.express-homes.com</t>
  </si>
  <si>
    <t>mailto:jchamberlain@express-homes.com</t>
  </si>
  <si>
    <t>Hoosier Filing &amp; Storage Systems Co., In</t>
  </si>
  <si>
    <t>http://www.hoosierfiling.com</t>
  </si>
  <si>
    <t>mailto:sreising@hoosierfiling.com</t>
  </si>
  <si>
    <t>Wood Office Furniture Manufacturing</t>
  </si>
  <si>
    <t>Hoosier Fire Equipment, Inc.</t>
  </si>
  <si>
    <t>http://hoosierfire.com</t>
  </si>
  <si>
    <t>mailto:valpo@hoosierfire.com</t>
  </si>
  <si>
    <t>Hoosier First Aid &amp; Safety Supply</t>
  </si>
  <si>
    <t>mailto:hoosierfirstaid@att.net</t>
  </si>
  <si>
    <t>Hoosier Glass Company, Inc.</t>
  </si>
  <si>
    <t>http://www.hoosierglass.net</t>
  </si>
  <si>
    <t>Hoosier Hardwood Floors, LLC</t>
  </si>
  <si>
    <t>mailto:pm@maplenet.net</t>
  </si>
  <si>
    <t>Hoosier Hills Food Bank, Inc.</t>
  </si>
  <si>
    <t>http://www.hhfoodbank.org</t>
  </si>
  <si>
    <t>mailto:hhfb@hhfoodbank.org</t>
  </si>
  <si>
    <t>Hoosier Industrial Electric, Inc.</t>
  </si>
  <si>
    <t>=" Hoosier Industrial Electric specializes in new construction, additions, alterations, maintenance and repairs of non-residential buildings and non-building structures. Maintenance and repair of machinery, equipment and electrical infrastructure. Electric motor repair, service and sales, machine shop and on-site electromechanical service."</t>
  </si>
  <si>
    <t>http://www.hie-inc.com</t>
  </si>
  <si>
    <t>mailto:info@hie-inc.com</t>
  </si>
  <si>
    <t>Hoosier Links Golf Course</t>
  </si>
  <si>
    <t>Hoosier Mailing Equipment Sales &amp; Servic</t>
  </si>
  <si>
    <t>http://www.hoosiermailing.com</t>
  </si>
  <si>
    <t>mailto:themailer@aol.com</t>
  </si>
  <si>
    <t>Hoosier Make-Ready Solutions</t>
  </si>
  <si>
    <t>http://www.hoosiermamas.com</t>
  </si>
  <si>
    <t>mailto:hoosiermamas@yahoo.com</t>
  </si>
  <si>
    <t>Hoosier Molded Products</t>
  </si>
  <si>
    <t>mailto:RSIERRA@HOOSIERMP.COM</t>
  </si>
  <si>
    <t>Hoosier Paramed, LLC</t>
  </si>
  <si>
    <t>mailto:hoosierparamed@comcast.net</t>
  </si>
  <si>
    <t>All Other Ambulatory Health Care Services</t>
  </si>
  <si>
    <t>Hoosier Penn Oil Co.</t>
  </si>
  <si>
    <t>http://hpoil.com</t>
  </si>
  <si>
    <t>mailto:general@hpoil.com</t>
  </si>
  <si>
    <t>Petroleum and Petroleum Products Wholesalers</t>
  </si>
  <si>
    <t>Hoosier Press Inc.</t>
  </si>
  <si>
    <t>="your one stop print shop.offset printing/high speed color and black and white copies/business cards/envelopes/letterhead/brochues /carbonless/ lamination/numbering/folding/score and perfing/layout and design/mail house/flyers/invitations/gbc binding/note pads"</t>
  </si>
  <si>
    <t>http://hoosierpress.net</t>
  </si>
  <si>
    <t>mailto:hoosierpress@sbcglobal.net</t>
  </si>
  <si>
    <t>Hoosier Scale Company LLC</t>
  </si>
  <si>
    <t>mailto:sherihunter@hoosierscale.com</t>
  </si>
  <si>
    <t>Hoosier Security</t>
  </si>
  <si>
    <t>http://www.hoosiersecurity.com/</t>
  </si>
  <si>
    <t>mailto:sales@hoosiersecurity.com</t>
  </si>
  <si>
    <t>Hoosier Shred, LLC.</t>
  </si>
  <si>
    <t>http://www.hoosiershred.com</t>
  </si>
  <si>
    <t>mailto:aaron@hoosiershred.com</t>
  </si>
  <si>
    <t>Hoosier Sign World, LLC</t>
  </si>
  <si>
    <t>mailto:hoosiersignworld@sigecom.net</t>
  </si>
  <si>
    <t>Hoosier Tax Accountant, Inc.</t>
  </si>
  <si>
    <t>http://www.hoosiertax.com</t>
  </si>
  <si>
    <t>mailto:tom@hoosiertax.com</t>
  </si>
  <si>
    <t>Hoosier Termite and Pest Control</t>
  </si>
  <si>
    <t>http://www.hoosierpestcontrol.com</t>
  </si>
  <si>
    <t>mailto:hoosierpestcontrol@yahoo.com</t>
  </si>
  <si>
    <t>Hoosier Trim Product</t>
  </si>
  <si>
    <t>="Hoosier Trim Products, Inc., was established in February, 1977. We have grown to our present facility with 45,000 sq. ft. located on 3.5 acres in an industrial park centrally located in Indianapolis, just minutes from all forms of transportation. We supply functional metal stampings, fabricated aluminum extrusions, roll form products, and assembly services to a variety of industries within the Mid-West. In addition to our manufacturing expertise we offer In house tooling, Die maintenance, EDI data exchange, Bar coding, J.I.T. delivery and Technical input to customer designs."</t>
  </si>
  <si>
    <t>mailto:hoosiertrim@yahoo.com</t>
  </si>
  <si>
    <t>Hoosier Uplands Econonomic Development C</t>
  </si>
  <si>
    <t>="Our mission is to plan, implement or cause to be implemented, and provide comprehensive services to the poor, elderly, and disabled. This corporation will strive to alleviate poverty, improve living conditions, and provide access to health care and social services to those families and individuals in need within the service area. All our endeavors will be pursued with the client in mind, never forgetting the value of every human being or the importance of our responsibility to the public which we serve."</t>
  </si>
  <si>
    <t>http://www.hoosieruplands.org</t>
  </si>
  <si>
    <t>mailto:dlmiller@hoosieruplands.org</t>
  </si>
  <si>
    <t>Hoosier Wood Spec.</t>
  </si>
  <si>
    <t>Hoosier Woodworking Machinery LLC</t>
  </si>
  <si>
    <t>="Hoosier Woodworking Machinery, located in New Albany, Indiana, is the premier industrial woodworking machinery dealer in the area. Jason Neafus and Steve Meyer formed HWM in 2008 with more than thirty years combined experience representing leading manufacturers in the woodworking equipment industry. HWM offers new and used machinery sales, service, parts, installation, consultation, and leasing options with a focus on first-rate equipment solutions for cabinet makers, lumber mills, dimension plants, and furniture makers."</t>
  </si>
  <si>
    <t>http://www.hoosierwoodworkingmachinery.c</t>
  </si>
  <si>
    <t>mailto:jasonneafus.hwm@gmail.com</t>
  </si>
  <si>
    <t>Hoover Engineering LLC</t>
  </si>
  <si>
    <t>="Site and landscape design for residential development, commercial, industrial, and healthcare facilities, and community facilities such as churches and municipal recreational spaces; site selection and evaluation; due diligence/evaluation reports; feasibility studies; zoning, rezoning, and variance assistance; land/master planning; public hearings; entitlements &amp; permitting; cost estimating; scheduling; sedimentation and erosion control; earthwork and grading; retaining walls; embankments and dams; hydraulics, storm drainage &amp; stormwater management; storm water quality analysis; water main and sanitary sewer design; utility Infrastructure design."</t>
  </si>
  <si>
    <t>http://www.hooverengineeringllc.com</t>
  </si>
  <si>
    <t>mailto:thoover@hooverengineeringllc.com</t>
  </si>
  <si>
    <t>Hopf Equipment, Inc.</t>
  </si>
  <si>
    <t>="Hopf Equipment is an agriculture, construction, lawn &amp; garden, and ATV dealership located in Huntingburg, Indiana. We carry many top brands including Case IH, Case, Bobcat, Kubota, Cub Cadet, Troy Built, Polaris, Woods, and Echo and always have a diverse selection of good pre-owned equipment. We have been serving the needs of our customers for over 30 years."</t>
  </si>
  <si>
    <t>http://www.hopfequipment.com</t>
  </si>
  <si>
    <t>mailto:info@hopfequipment.com</t>
  </si>
  <si>
    <t>Hopson Contracting &amp; Consulting Corp</t>
  </si>
  <si>
    <t>http://www.hopsoncorp.com</t>
  </si>
  <si>
    <t>mailto:administration@hopsoncorp.com</t>
  </si>
  <si>
    <t>Horizon Educational Alliance, Inc.</t>
  </si>
  <si>
    <t>http://heaindiana.org</t>
  </si>
  <si>
    <t>Horlander Enterprise</t>
  </si>
  <si>
    <t>Horner Industrial Services, Inc.</t>
  </si>
  <si>
    <t>="Horner specializes in quality industrial products and solutions, from electric motor repair, electrical and mechanical field service, advanced vibration analysis and industrial fan design and fabrication to thermal and industrial coatings. Family owned and operated since 1949, Horner Industrial Group has built its reputation on integrity, standards of excellence and a commitment to customer service."</t>
  </si>
  <si>
    <t>http://www.hornerindustrial.com</t>
  </si>
  <si>
    <t>Hornet Corner, LLC</t>
  </si>
  <si>
    <t>http://tharpinvest.com</t>
  </si>
  <si>
    <t>Horning Roofing &amp; Sheet Metal Co. LLC</t>
  </si>
  <si>
    <t>http://www.horningroofing.com</t>
  </si>
  <si>
    <t>mailto:druse@horningroofing.com</t>
  </si>
  <si>
    <t>Horton's Mechanical/HVAC, Inc.</t>
  </si>
  <si>
    <t>="Horton’s specializes in design, fabrication and installation of custom HVAC systems across commercial, industrial and residential uses. We perform custom metal design/fabrication for ductwork, architectural applications, signage, gutters, commercial blow pipes &amp; more. Refrigeration/boiler sales, repair and installation also available."</t>
  </si>
  <si>
    <t>http://www.hortonshvac.com</t>
  </si>
  <si>
    <t>mailto:erin@hortonshvac.com</t>
  </si>
  <si>
    <t>Hoskins Trucking&amp;Pav</t>
  </si>
  <si>
    <t>Hospital &amp; Physician Coding Services,LLC</t>
  </si>
  <si>
    <t>="Hospital &amp; Physician Coding Services (HPCS),LLC is a HIM Consulting Co. that provides inpatient &amp; outpatient coding &amp; auditing services to hospitals &amp; federal &amp; state government agencies. Medical Record Review Services: Review for medical necessity of services provided based upon documentation in medical records. Review claim to chart to determine if services are billed appropriately and supported by documentation in medical records. Physician E&amp;M coding &amp; auditing &amp; education. AHIMA-Approved ICD-10-CM/PCS Trainer. Credentials: RHIT, CCS, CCS-P by AHIMA."</t>
  </si>
  <si>
    <t>http://www.hpcscoding.net</t>
  </si>
  <si>
    <t>mailto:cheryleisenhut@att.net</t>
  </si>
  <si>
    <t>Hospitality &amp; Marketing</t>
  </si>
  <si>
    <t>http://www.theregistrationsystem.com</t>
  </si>
  <si>
    <t>mailto:fmay@simplyhospitality.org</t>
  </si>
  <si>
    <t>Hostetler Groth Marketing Communications</t>
  </si>
  <si>
    <t>="Hostetler Groth Marketing Communications offers clients full-service marketing programs. Whether we partner with a client on a project or we’re retained as your marketing communication office, we work to make marketing pieces yours in style, tone and appearance. We work by project or in partnership. Services include creating a marketing strategy with elements from: • Branding • Corporate Identities • Advertising • Public Relations • Media Relations • Client Communications • Newsletters • Brochures • Web site design and management • Trade show graphics &amp; support materials"</t>
  </si>
  <si>
    <t>http://www.hgmc.biz</t>
  </si>
  <si>
    <t>mailto:Rae@hgmc.biz</t>
  </si>
  <si>
    <t>Hot Mix, Inc.</t>
  </si>
  <si>
    <t>mailto:mark.richardson@jrjnet.com</t>
  </si>
  <si>
    <t>Hot Toes Activewear</t>
  </si>
  <si>
    <t>Hotbed Creative</t>
  </si>
  <si>
    <t>="Hotbed Creative provides end-to-end marketing solutions for a variety of health care, financial services, educational and retail clients. Our key areas of expertise include branding, advertising, design, market research and consulting services. We have worked with international, national and local clients."</t>
  </si>
  <si>
    <t>http://www.HotbedCreative.com</t>
  </si>
  <si>
    <t>mailto:moreinfo@hotbedcreative.com</t>
  </si>
  <si>
    <t>House Calls</t>
  </si>
  <si>
    <t>mailto:jlratliff@kconline.com</t>
  </si>
  <si>
    <t>House Excavating</t>
  </si>
  <si>
    <t>House of Hope of Madison County, Inc</t>
  </si>
  <si>
    <t>http://www.andhouseofhope.org</t>
  </si>
  <si>
    <t>Housing Authority of the City of THaute</t>
  </si>
  <si>
    <t>mailto:thha@verizon.net</t>
  </si>
  <si>
    <t>Housing Supplies, LLC</t>
  </si>
  <si>
    <t>Howard Benefits Grou</t>
  </si>
  <si>
    <t>mailto:administrator@howardbenefitsgroup.com</t>
  </si>
  <si>
    <t>Howard J. Barth &amp; Associates, Inc</t>
  </si>
  <si>
    <t>http://barth.eng.pro</t>
  </si>
  <si>
    <t>mailto:barthassoc@barth.eng.pro</t>
  </si>
  <si>
    <t>Howard and Sons Inc</t>
  </si>
  <si>
    <t>http://www.howardandsons.com</t>
  </si>
  <si>
    <t>mailto:jdmonti@howardandsons.com</t>
  </si>
  <si>
    <t>Howe, LLC</t>
  </si>
  <si>
    <t>="Our internship and life skills education programs empower youth and the community to launch into healthy, supportive, and interdependent futures. Howe, LCC | Pink Leaf: A Learning Company serves individuals, primarily youth ages 16-25, in both six month internships in culinary arts or building trades as well as 2-5 day bootcamps designed around fostering a specific skill or knowledge base. Fort Wayne | Muncie | Indianapolis"</t>
  </si>
  <si>
    <t>http://pinkleaflearning.com</t>
  </si>
  <si>
    <t>Howe-LaGrange Agency</t>
  </si>
  <si>
    <t>http://www.howelagrangegmac.com</t>
  </si>
  <si>
    <t>mailto:info@howelagrange.com</t>
  </si>
  <si>
    <t>Howe-LaGrange Mortg.</t>
  </si>
  <si>
    <t>mailto:debra_troyer@gmacm.com</t>
  </si>
  <si>
    <t>Real Estate Credit</t>
  </si>
  <si>
    <t>Howell Pugh Consulting LLC</t>
  </si>
  <si>
    <t>mailto:howellp@comcast.net</t>
  </si>
  <si>
    <t>Howell's septic &amp; sewer engineers</t>
  </si>
  <si>
    <t>="We do sewer &amp; septic repair &amp; clean out. Install septic systems &amp; do small plumbing repairs. We also clean out &amp; repair grease traps. Howell's also offers excavating work &amp; basically any kind of dozer work. We can help you with your demolition &amp; cleanup needs. In business for 30 years."</t>
  </si>
  <si>
    <t>mailto:howellbrotherssewerexperts@yahoo.com</t>
  </si>
  <si>
    <t>Hrezo Engineering, Inc.</t>
  </si>
  <si>
    <t>http://www.hrezoengineering.com</t>
  </si>
  <si>
    <t>mailto:office@hrezoengineering.com</t>
  </si>
  <si>
    <t>Hubbard Engineering Innovations, LLC</t>
  </si>
  <si>
    <t>Huber Bros., Inc.</t>
  </si>
  <si>
    <t>mailto:huber@svs.net</t>
  </si>
  <si>
    <t>Hubner Financial Services, Inc.</t>
  </si>
  <si>
    <t>Mortgage and Other Loan Brokers</t>
  </si>
  <si>
    <t>Hudman &amp; Sons LLC</t>
  </si>
  <si>
    <t>mailto:justin@columbuscompletelawncare.com</t>
  </si>
  <si>
    <t>Human Capital Group, USA, LLC.</t>
  </si>
  <si>
    <t>="Human Capital Group, USA,LLC. is a Executive / Professional placement firm that specializes in comprehensive sourcing, and strategic staffing. HCG-USA's primary customer is in manufacturing industries in various disciplines. HCG-USA provides a holistic approach in placement services through teaching clients how to ""measure workforce talent"". Comprehensive services include: recruitment strategies, sourcing, placement, retention, turnover analysis and performance management in meeting company goals and objectives. Most of our customers are in the U.S."</t>
  </si>
  <si>
    <t>http://www.hcg-usa.com</t>
  </si>
  <si>
    <t>mailto:mrstyles01@hotmail.com</t>
  </si>
  <si>
    <t>Human Environment LLC</t>
  </si>
  <si>
    <t>="Human Environment LLC provides environmental compliance services for federal and state funded projects. We specialize in rapid turnaround cultural resource compliance including Sec. 106 and state processes. Staff have extensive experience in compliance in Indiana."</t>
  </si>
  <si>
    <t>mailto:SPFACEBOOK2010@YAHOO.COM</t>
  </si>
  <si>
    <t>Human Resource Results, Inc.</t>
  </si>
  <si>
    <t>="Human Resource Results, Inc. provides professional compensation and benefits consulting services. We offer a high level of responsiveness, a collaborative, business partner style and a results-oriented approach. Services include analyzing, developing and implementing competitive compensation plans, welfare and retirement benefit plans, total rewards programs, and performance management systems."</t>
  </si>
  <si>
    <t>http://hrresultsinc.com</t>
  </si>
  <si>
    <t>mailto:marykay@hrresultsinc.com</t>
  </si>
  <si>
    <t>Human Services Solutions, Inc.</t>
  </si>
  <si>
    <t>="Human Services Solutions (HSS) is incorporated in the State of Illinois and provides an array of consultation, program development, program evaluation, and survey research services to organizations in both Indiana and Illinois. Thomas W. Pavkov, Ph.D. is the President of Human Services Solutions, which is located at 3733 South Lowe, Chicago, Illinois. Dr. Pavkov of Human Services Solutions and affiliated consultants are very knowledgeable of the people serving systems throughout Indiana. These systems include the courts, child welfare, public assistance, workforce development, and public education. Human Services Solutions has provided a range of services to organizations in Indiana including consulting services related to facilitation and strategic planning, project development, project management, research and analysis, and staff development and training."</t>
  </si>
  <si>
    <t>mailto:human_services_solutions@yahoo.com</t>
  </si>
  <si>
    <t>Human Services, Inc.</t>
  </si>
  <si>
    <t>http://www.hsi-indiana.com</t>
  </si>
  <si>
    <t>Humbles Electrical M</t>
  </si>
  <si>
    <t>mailto:Humbleselectricmaintenance@prodigy.net</t>
  </si>
  <si>
    <t>Hummel Electric, Inc.</t>
  </si>
  <si>
    <t>http://www.hummelelectric.com</t>
  </si>
  <si>
    <t>Humphrey Printing Co.,Inc.</t>
  </si>
  <si>
    <t>http://www.humphreyprinting.com</t>
  </si>
  <si>
    <t>mailto:ken@humphreyprinting.com</t>
  </si>
  <si>
    <t>Hunter Thomas LaRue</t>
  </si>
  <si>
    <t>Huntington County Auditor</t>
  </si>
  <si>
    <t>="Huntington County has 28 departments. Dept. of Health, EMA, Sheriff, Jail, Dispatch, Assessor, Recorder, Treasurer, Auditor, Dept. of Community Corrections, Clerk's, Surveyor, Highway, Prosecutor, Community Correction, Superior Court, Circuit Court, Security, Coroner, Probation, Veteran's, Extension Office, Weights &amp; Measures, Commissioners, Council, Soil &amp; Water, Computer, Custodian."</t>
  </si>
  <si>
    <t>http://www.huntington.in.us/county/healt</t>
  </si>
  <si>
    <t>mailto:cindy.yeiter@huntington.in.us</t>
  </si>
  <si>
    <t>Hurdle Inc</t>
  </si>
  <si>
    <t>="Strategic Consulting, including business process integration,implementation and development. Comprehensive database management and migration from SQL to Oracle Fusion Middleware, Webcenter, SOA, Oracle and BPM business logic resolution. Java, .NET and C++ programming and Apache Technologies."</t>
  </si>
  <si>
    <t>http://dariushurdle.net</t>
  </si>
  <si>
    <t>mailto:contact@dariushurdle.net</t>
  </si>
  <si>
    <t>Hurdle, Inc</t>
  </si>
  <si>
    <t>http://www.dariushurdle.com</t>
  </si>
  <si>
    <t>mailto:dariushurdle@comcast.net</t>
  </si>
  <si>
    <t>Hurley &amp; Associates</t>
  </si>
  <si>
    <t>http://www.hurleyandassoc.com</t>
  </si>
  <si>
    <t>mailto:faith@hurleyandassoc.com</t>
  </si>
  <si>
    <t>Huron Vol. Fire Dept</t>
  </si>
  <si>
    <t>Hurrle OrthopaedicPT</t>
  </si>
  <si>
    <t>http://hurrlept.com</t>
  </si>
  <si>
    <t>Hurryin' Hoosier Transport, Inc.</t>
  </si>
  <si>
    <t>mailto:mwilliams@syndicatesales.com</t>
  </si>
  <si>
    <t>Hurtsburo Consulting Group, LLC</t>
  </si>
  <si>
    <t>="Project Management and Leadership Development Consulting firm specializing in Information Technology, Office, and Process Design and Integration. Also, certified in soft skill development with emphasis on coaching, facilitating, and speaking in the area of Leadership, Diversity and Organizational Development."</t>
  </si>
  <si>
    <t>http://www.hurtsburoconsultinggroup.com</t>
  </si>
  <si>
    <t>mailto:drmitchell@hurtsburoconsultinggroup.com</t>
  </si>
  <si>
    <t>Hutchek Enterprises</t>
  </si>
  <si>
    <t>="After market truck accessories for retail and commercial markets. Franchise for Line-X Spray on Bed Liners and Rust Check Rust Proofing and Valuegard Undercoating and Rustproofing. Products sold and installed include running boards, camper shells, truck bed covers, hitches, performance products, tool boxes, ladder racks, strobe lighting, and miscellaneous other retail and commercial products related to the automotive/truck industry."</t>
  </si>
  <si>
    <t>http://www.millenniumlinings.com</t>
  </si>
  <si>
    <t>mailto:info@millenniumlinings.com</t>
  </si>
  <si>
    <t>Hutson &amp; Sons Boiler &amp; Welding, Inc.</t>
  </si>
  <si>
    <t>http://hutsonandsons.com</t>
  </si>
  <si>
    <t>mailto:chh5380@comcast.nety</t>
  </si>
  <si>
    <t>Hy-Pro Corporation</t>
  </si>
  <si>
    <t>="We manufacture high quality fluid filtration systems including elements, housings, portable filtration carts and custom-designed filtration systems. We provide products and services such as fluid testing, laboratory analysis and systems design for commercial, industrial and military clients in North America, Europe, South America and Asia. We are ISO-rated 9001-2000. We carry an extensive inventory of product and can manufacture and deliver specific elements in days, n ot weeks. Our specialty is the interchange of other fluid elements with Hy-Pro manufactured elements. Our product list includes replacement elements for virtually every manufacturer in the world. All of our products are manufactured at our headquarters facility in Fishers (Indianapolis) Indiana."</t>
  </si>
  <si>
    <t>http://www.filterelement.com</t>
  </si>
  <si>
    <t>mailto:rhuseman@hyprofiltration.com</t>
  </si>
  <si>
    <t>Hybrid-3 Inc.</t>
  </si>
  <si>
    <t>http://Hybrid-3.com</t>
  </si>
  <si>
    <t>mailto:jdbrummett3897@sbcglobal.net</t>
  </si>
  <si>
    <t>HydroTech Corporation</t>
  </si>
  <si>
    <t>http://www.hydrotechcorp.us</t>
  </si>
  <si>
    <t>Hydromax USA, LLC</t>
  </si>
  <si>
    <t>http://www.hydromaxusa.com</t>
  </si>
  <si>
    <t>mailto:shannon.shoulders@hydromaxusa.com</t>
  </si>
  <si>
    <t>Hydroseed Inc</t>
  </si>
  <si>
    <t>http://hydroseedinc.com</t>
  </si>
  <si>
    <t>Hygrade Excavating, Inc.</t>
  </si>
  <si>
    <t>mailto:acorya@hygradeexcavating.com</t>
  </si>
  <si>
    <t>Hyland Leadership Solutions, LLC</t>
  </si>
  <si>
    <t>="We specialize in Executive/Leadership coaching. We can help you determine what you should start, stop or do differently to ensure your leadership success. We are also an Authorized Partner of Everything DiSC® - A Wiley Brand. Use Everything DiSC® to create a more productive workforce and build your leadership bench strength at all levels!"</t>
  </si>
  <si>
    <t>http://www.hylandleadershipsolutions.com</t>
  </si>
  <si>
    <t>mailto:hylandleadershipsolutions@gmail.com</t>
  </si>
  <si>
    <t>I &amp; B Construction Corporation</t>
  </si>
  <si>
    <t>http://ibconstruction.net</t>
  </si>
  <si>
    <t>mailto:info@ibconstruction.net</t>
  </si>
  <si>
    <t>I C Mattresses &amp; More LLC</t>
  </si>
  <si>
    <t>mailto:icmattress_1@yahoo.com</t>
  </si>
  <si>
    <t>Mattress Manufacturing</t>
  </si>
  <si>
    <t>I Care Stickpins Inc</t>
  </si>
  <si>
    <t>="I Care Stickpins are a line of 69 different stickpins that represent 69 different causes and/or diseases. Each has a pictorial design and motto that ties the cause and/or disease together. You wear your stickpin directly over your heart to show you care. I am in the start-up phase of my business but am looking to sell my stickpins through Wal-mart through their local purchase program."</t>
  </si>
  <si>
    <t>I K Indy, Inc.</t>
  </si>
  <si>
    <t>http://www.mrwisebuys.com</t>
  </si>
  <si>
    <t>mailto:info@mrwisebuys.com</t>
  </si>
  <si>
    <t>I See Corporation</t>
  </si>
  <si>
    <t>http://iseecorp.net</t>
  </si>
  <si>
    <t>mailto:iseecorp@sbcglobal.net</t>
  </si>
  <si>
    <t>I&amp;S Services d.b.a.</t>
  </si>
  <si>
    <t>http://www.mrelectric.com</t>
  </si>
  <si>
    <t>I.T. Equipment, Inc.</t>
  </si>
  <si>
    <t>http://itequipment.com</t>
  </si>
  <si>
    <t>mailto:dale@itequipment.com</t>
  </si>
  <si>
    <t>I/O Continuity Group</t>
  </si>
  <si>
    <t>http://www.iocontinuitygroup.com</t>
  </si>
  <si>
    <t>mailto:anne@iocontinuitygroup.com</t>
  </si>
  <si>
    <t>IA Technology, Inc</t>
  </si>
  <si>
    <t>http://www.iatechnologyinc.com</t>
  </si>
  <si>
    <t>mailto:awhite@iatechnologyinc.com</t>
  </si>
  <si>
    <t>IAAAA Education Institute, Inc.</t>
  </si>
  <si>
    <t>="The IAAAA Education Institute provides quality education &amp; training for professionals who serve the aging and disabilities network. We utilize local &amp; national experts to give our workforce the appropriate tools &amp; current resources to serve aging &amp; disabled Hoosiers. Over 2000 professionals participate in training facilitated by IAAAA Education Institute each year."</t>
  </si>
  <si>
    <t>http://www.iaaaa.org</t>
  </si>
  <si>
    <t>mailto:info@iaaaa.org</t>
  </si>
  <si>
    <t>IAQ SERVICES INC</t>
  </si>
  <si>
    <t>="IAQ Services Inc. is a full service consulting firm in the areas of environmental health, lead, asbestos, indoor air quality testing. The firm was incorporated in 1999. Stuart Bagley, MS, CIH, CSP is the owner and principal consultant for the company. He is a Certified Industrial Hygienist (CIH) and a Certified Safety Professional (CSP) with 24 years of experience in environmental health. He has an MS degree in Occupational and Environmental Health and a BS in Biology. He has broad experience in both industrial hygiene and safety with an emphasis on indoor environmental quality and environmental health programs. He has conducted numerous indoor environmental quality investigations."</t>
  </si>
  <si>
    <t>http://www.IndoorAirSite.com</t>
  </si>
  <si>
    <t>mailto:sbagley@indoorairsite.com</t>
  </si>
  <si>
    <t>IBJ Corporation Court Commercial Record</t>
  </si>
  <si>
    <t>http://courtcommercialrecord.com</t>
  </si>
  <si>
    <t>mailto:judysmith@ibj.com</t>
  </si>
  <si>
    <t>IBT, INC.</t>
  </si>
  <si>
    <t>="Foreign language and English translation of written texts, brochures, etc. Desktop publishing. Foreign language and English interpretation of meetings, etc., in businesses, courts, hospitals, etc. Foreign language and ESL instruction. Voice talent for translated scripts of videos, DVDs and CDs."</t>
  </si>
  <si>
    <t>http://www.ibtworld.com</t>
  </si>
  <si>
    <t>mailto:ibtinc@ibtworld.com</t>
  </si>
  <si>
    <t>IC LEADERSHIP TRAINING GROUP, LLC</t>
  </si>
  <si>
    <t>="IC Leadership Training Group provides training and development in the areas of project management, process improvement (lean manufacturing, six sigma), personal &amp; career development and safety/disaster preparedness training. We provide these services utilizing an interactive method of training. The client is engaged in the learning process and is able to apply the resources shared in the classroom. IC is able to provide project management services and process improvements to the client in an effort to reach the desired outcome of financial gains and streamlined processes."</t>
  </si>
  <si>
    <t>http://www.icleadershiptraininggroup.com</t>
  </si>
  <si>
    <t>mailto:info@icleadershiptraininggroup.com</t>
  </si>
  <si>
    <t>ICADV</t>
  </si>
  <si>
    <t>http://www.violenceresource.org</t>
  </si>
  <si>
    <t>mailto:icadv@violenceresource.org</t>
  </si>
  <si>
    <t>ICC SUPPLY, INC.</t>
  </si>
  <si>
    <t>="We are a wholesale distributor of inmate and release clothing. We sell hygiene products., shoes, sheets, pillow cases, towels and washcloths. Any clothing needs. ICC SUPPLY INC is also doing business with some of the State facilities. Looking to open sales to other venues."</t>
  </si>
  <si>
    <t>mailto:iccsupplyinc@sbcglobal.net</t>
  </si>
  <si>
    <t>ICM Consultant Services Inc</t>
  </si>
  <si>
    <t>mailto:Robertson@xvi.net</t>
  </si>
  <si>
    <t>ICNetworks,LL</t>
  </si>
  <si>
    <t>="We are an information systems consulting company. We provide the following services: Data Center creation and maintenance, Server and computer sales and services, Office automation, Data and phone wiring and services, Surveillance systems, Residential and business audio / video services, Training Services."</t>
  </si>
  <si>
    <t>http://www.icnetworks.com</t>
  </si>
  <si>
    <t>mailto:sales@icnetworksllc.com</t>
  </si>
  <si>
    <t>ICR Advertising, Inc.</t>
  </si>
  <si>
    <t>="ICR Advertising is a marketing and advertising firm. We market though mass media outlets such as radio, television, newspaper, direct mail and others for our clients. We develop creative campaigns and strategies and coordinate all media on the client's behalf."</t>
  </si>
  <si>
    <t>mailto:icrlaurie@gmail.com</t>
  </si>
  <si>
    <t>ICS Inks LLP</t>
  </si>
  <si>
    <t>http://www.icsinks.com</t>
  </si>
  <si>
    <t>mailto:icsinks@gmail.com</t>
  </si>
  <si>
    <t>ICS Mechanical</t>
  </si>
  <si>
    <t>mailto:ssmith@icsmechanical-in.com</t>
  </si>
  <si>
    <t>ICU Service Company</t>
  </si>
  <si>
    <t>http://icumechanical.com</t>
  </si>
  <si>
    <t>mailto:ICU4Service@aol.com</t>
  </si>
  <si>
    <t>IDEC, Inc.</t>
  </si>
  <si>
    <t>http://IDEC123@aol.com</t>
  </si>
  <si>
    <t>mailto:jsherman@idecindiana.com</t>
  </si>
  <si>
    <t>IDEM</t>
  </si>
  <si>
    <t>mailto:jthomann@idem.in.gov</t>
  </si>
  <si>
    <t>Personal and Household Goods Repair and Maintenance</t>
  </si>
  <si>
    <t>IDS Contract Service</t>
  </si>
  <si>
    <t>="Driver Leasing Company - We have CDL Class A &amp; B drivers to leasing for a day, a week, etc...We do not own trucks, we have the driver(s) to put in a truck on a temporary, temp to hire and permanent placement basis. There was not a SIC code for our classification and temporary employment does not completely fit us."</t>
  </si>
  <si>
    <t>http://idscontractservice.com</t>
  </si>
  <si>
    <t>mailto:info@ids.com</t>
  </si>
  <si>
    <t>IEI</t>
  </si>
  <si>
    <t>="Infrastructure Engineering, Inc. (IEI) is one of the largest African American owned civil engineering firms in Indiana. Since its inception in 1986, IEI serves both public and private organizations, focusing upon the delivery of high quality, innovative civil and structural engineering expertise and construction management services. The firm was acquired by its current President, Michael Sutton, P.E., in 1997. Under his management, IEI has diversified its portfolio of expertise to meet the civil, structural, traffic and transportation engineering needs of public and private organization."</t>
  </si>
  <si>
    <t>http://www.infrastructure-eng.com</t>
  </si>
  <si>
    <t>mailto:marketing@infrastructure-eng.com</t>
  </si>
  <si>
    <t>IHIF</t>
  </si>
  <si>
    <t>http://www.ihif.org</t>
  </si>
  <si>
    <t>mailto:info@ihif.org</t>
  </si>
  <si>
    <t>IKE, Inc.</t>
  </si>
  <si>
    <t>http://www.ikecoalition.org</t>
  </si>
  <si>
    <t>mailto:mccabe@ikecoalition.org</t>
  </si>
  <si>
    <t>ILLIANA POWER CORPORATION</t>
  </si>
  <si>
    <t>="We provide solar energy solutions including products, design and installation including rebates, grants and tax credit preparedness. We offer a team of certified solar installers, designers, licensed electricians and contractors to ensure that your renewable energy system is designed and installed properly."</t>
  </si>
  <si>
    <t>http://www.illianapower.com</t>
  </si>
  <si>
    <t>mailto:sales@illianapower.com</t>
  </si>
  <si>
    <t>Other Electric Power Generation</t>
  </si>
  <si>
    <t>ILLUMINATING EXPRESSIONS</t>
  </si>
  <si>
    <t>http://www.illuminatingexpressions.com</t>
  </si>
  <si>
    <t>mailto:illexp@illuminatingexpressions.com</t>
  </si>
  <si>
    <t>IMAGESTREAM INTERNET SOLUTIONS INC</t>
  </si>
  <si>
    <t>http://www.imagestream.com</t>
  </si>
  <si>
    <t>mailto:sales@imagestream.com</t>
  </si>
  <si>
    <t>IMAGING OFFICE SYSTEMS INC</t>
  </si>
  <si>
    <t>http://www.imagingoffice.com</t>
  </si>
  <si>
    <t>mailto:jkeedy@imagingoffice.com</t>
  </si>
  <si>
    <t>IMC Credit Services, LLC</t>
  </si>
  <si>
    <t>="IMC Credit Services is a well established, full service professional accounts receivable collection service. In addition to bad debt collections, we also offer Early-Out Programs which offer 1st and 3rd party services; Payment monitoring and Custom Calling Campaigns. We have been in business in Indiana since 1959. Our effective collection style and resourceful staff enable us to achieve industry-leading recovery performance, ensure professional interaction with all members of our community, and maintain successful long-term relationships with creditors."</t>
  </si>
  <si>
    <t>http://www.imccreditllc.com</t>
  </si>
  <si>
    <t>mailto:gbowman@imccreditservices.com</t>
  </si>
  <si>
    <t>IMH Corporation</t>
  </si>
  <si>
    <t>="IMH Corporation Contractors will be formed as a contracting firm specializing in electrical, HVAC and pest control services. A home office in North Vernon, IN has been established the first year of operations. The founder of the firm is a local professional with a Masters degree in business. He has years of progressive and responsible experience. The firm will specialize in providing high quality electrical, HVAC and pest control service to our clients. A focus on customer satisfaction and retention is an integral part of the business plan. Implementation of a quality control and assurance program will provide a focus for service contracts awarded. IMH Corporation Contractors are a company that provides services for electrical, HVAC, and pest control utilizing State and Federal codes."</t>
  </si>
  <si>
    <t>mailto:simstearns@hotmail.com</t>
  </si>
  <si>
    <t>IMPERIAL FASTENER &amp; INDUSTRIAL SUPPLY CO</t>
  </si>
  <si>
    <t>http://WWW.IMPFAS.COM</t>
  </si>
  <si>
    <t>mailto:MIKEB@IMPFAS.COM</t>
  </si>
  <si>
    <t>IMPERIAL ROYAL TOURS, INC</t>
  </si>
  <si>
    <t>http://www.Imperial-Travel.com</t>
  </si>
  <si>
    <t>mailto:ImperialTravel@comcast.net</t>
  </si>
  <si>
    <t>IN Association of Area Agencies on Aging</t>
  </si>
  <si>
    <t>IN Fire Chiefs Assoc</t>
  </si>
  <si>
    <t>http://www.indfirechiefs.org</t>
  </si>
  <si>
    <t>mailto:dhenson@indfirechiefs.org</t>
  </si>
  <si>
    <t>IN-IM, P.C.</t>
  </si>
  <si>
    <t>IN. Fire Instructors</t>
  </si>
  <si>
    <t>http://www.ifia.org</t>
  </si>
  <si>
    <t>mailto:ifia@ifia.org</t>
  </si>
  <si>
    <t>INACTIVE</t>
  </si>
  <si>
    <t>http://www.rogerandsons.com</t>
  </si>
  <si>
    <t>mailto:sales@rogerandsons.com</t>
  </si>
  <si>
    <t>mailto:mn-b@sbcglobal.nety</t>
  </si>
  <si>
    <t>="Day’s Construction, Inc. is an Indiana Corporation operating as a General Contracting and Construction Management firm serving clients in the local, state and federal governments as well as major corporations, schools, universities, healthcare, retail and other private markets. Robert Day created Day’s Construction in 1992 as a company providing site work and asphalt paving and has grown the business to become a General Contractor."</t>
  </si>
  <si>
    <t>mailto:dpaving@att.net</t>
  </si>
  <si>
    <t>="Case Consulting Corporation provides evaluation, data management, and compliance consulting and training services to healthcare, social service and public sector organizations. Services include: assisting organizations with obtaining and maintaining CARF and JCAHO accreditation, database application development, report writing expertise, policy and procedure creation and refinement, and clinical outcome measurement design and benchmarking."</t>
  </si>
  <si>
    <t>="Heartland Restoration Services, Inc. is a native landscape company that specializes in ecological restoration. Heartland is involved in wetland construction, prairie construction, bioengineering, and erosion control. Heartland also manages a 40 acre native seed nursery located in Northern Indiana. This seed is used in our installation projects and is also available for sale."</t>
  </si>
  <si>
    <t>http://www.earthsourceinc.net</t>
  </si>
  <si>
    <t>mailto:ericummel@earthsourceinc.net</t>
  </si>
  <si>
    <t>mailto:Streakfreeco@aol.com</t>
  </si>
  <si>
    <t>="We provide companies with promotional items for various events they are hosting. These promotional items include but are not limited to items such as wearables, t shirts, hats, as well as any type of desk item or incentive item that is imprinted with their company logo."</t>
  </si>
  <si>
    <t>http://www.jpfrog.com</t>
  </si>
  <si>
    <t>mailto:robin@jpfrog.com</t>
  </si>
  <si>
    <t>mailto:TLM@harrisandford.com</t>
  </si>
  <si>
    <t>http://www.nfdh.org</t>
  </si>
  <si>
    <t>Voluntary Health Organizations</t>
  </si>
  <si>
    <t>http://www.sexsonmechanical.com</t>
  </si>
  <si>
    <t>mailto:jsexson@sexsonmechanical.com</t>
  </si>
  <si>
    <t>="Crossroads Industrial Services is an ISO 9001:2000 certified outsourcing service company, located on the Eastside of Indianapolis in a 68,000 sq ft' facility. CIS provides contract assembly, metal fabrication, fulfillment, salvage, rework, collating, folder assembly, packaging, custom labeling, shipping and receiving services."</t>
  </si>
  <si>
    <t>http://www.crossroadsindustrialservices.</t>
  </si>
  <si>
    <t>="CMID is a Certified Minority owned engineering &amp; architectural consulting firm located in downtown Indianapolis, Indiana. since 1996. Our services include Architecture, Structural, Mechanical and Electrical Engineering as well as Civil/Environmental, Survey and Construction Observation and Management Services."</t>
  </si>
  <si>
    <t>http://www.cmidinc.com</t>
  </si>
  <si>
    <t>mailto:info@cmidinc.com</t>
  </si>
  <si>
    <t>http://www.indianablackexpo.com</t>
  </si>
  <si>
    <t>mailto:mhare@indianablackexpo.com</t>
  </si>
  <si>
    <t>="J. C. Ripberger Construction Corp. was founded and incorporated in 1958 by Joseph C. Ripberger, who was president of the company until July, 1993. William L. Ripberger, Jr., grandson of the founder, is serving as President and CEO. Richard Montague serves as the Vice President of Project Management and Estimating, and William L. Ripberger, Sr. serves as the Vice President of Operations. The number of employees, including office staff and field personnel, averages 75, with the field personnel being divided into Carpenters, Laborers, and Operators. The emphasis of work performed by our own forces is on concrete placement (both interior and exterior), rough carpentry, finish carpentry (millwork, doors and frames, hardware, etc.), site utilities and earthwork."</t>
  </si>
  <si>
    <t>="New Horizons Computer Learning Centers is the largest independent IT training company worldwide. With over 317 centers in 70 countries, New Horizons offers more courses, at more times and in more locations than any other computer and business training company. Our customized enterprise solutions allow managers the ability to easily administer their learning programs and track the progress of all participating employees. The variety of learning options from New Horizons allows students to learn in the manner that best suits their schedule, budget, learning style and expertise. New Horizons provides comprehensive and cost-effective training for individuals looking to expand their IT skills in their current professions or looking to take the first step toward new careers. New Horizons Integrated Learning is a comprehensive approach to training that guides each learner through all stages of their learning lifecycle."</t>
  </si>
  <si>
    <t>http://www.newhorizons.com</t>
  </si>
  <si>
    <t>mailto:grants@nhindy.com</t>
  </si>
  <si>
    <t>Business Schools and Computer and Management Training</t>
  </si>
  <si>
    <t>mailto:jcleland@indy.net</t>
  </si>
  <si>
    <t>="Founded in 1974, CBA is one of the largest single discipline landscape architecture firms in the Midwest dedicated to providing outstanding professional landscape architectural, architectural, and planning services. CBA is located in Indianapolis, Indiana with affiliate offices in Columbus, Ohio and Covington, Kentucky. The firms’ expertise is broad ranging and includes land use planning, recreation and open space planning and design, historic district and urban design, corporate facility and campus planning, large scale institutional planning and design, residential and golf course community planning, mixed-use facilities design and building-specific, site design. CBA stresses personal service to clients exemplified by direct principal-level participation on each project. The success of this approach is evidenced by the quality of the finished projects and the firms’ ongoing client relationships. A high degree of emphasis is also placed on the firms’ commitment to the preservat"</t>
  </si>
  <si>
    <t>http://www.cbastudios.net</t>
  </si>
  <si>
    <t>mailto:cirwin@cbastudios.net</t>
  </si>
  <si>
    <t>http://SANCOSUPPLIESDISTRIBUTING.COM</t>
  </si>
  <si>
    <t>mailto:SANCODIST@COMCAST.NET</t>
  </si>
  <si>
    <t>http://www.neighborhooddevelopmentassoci</t>
  </si>
  <si>
    <t>mailto:amannix.nda@comcast.net</t>
  </si>
  <si>
    <t>http://www.star3.com</t>
  </si>
  <si>
    <t>mailto:info@star3.com</t>
  </si>
  <si>
    <t>="Phase I, II, and III ESAs and HUD 4128; Asbestos services; Soils and Groundwater Services such as site characterization, testing, monitoring, and remediation; Federal, State, and Local Permitting for NDPDES, FEMA, DNR, USACE, Clean Air Act, and Historic Preservation; Engineering Design Services such as septic plans, bank stabilization and wetland and stream mitigation; Erosion Control Services such as SWPPP, Rule 5 compliance,retention basin and ditch design; Mold &amp; Fungi Services; AutoCAD mapping services; UST Removals and reporting services"</t>
  </si>
  <si>
    <t>mailto:ces@crane-es.com</t>
  </si>
  <si>
    <t>INCA SUPPLY CORP., LLC</t>
  </si>
  <si>
    <t>mailto:klauermann@comcast.net</t>
  </si>
  <si>
    <t>INCONTROL COMMUNICATIONS CORPORATION</t>
  </si>
  <si>
    <t>="inConTroL Communications: Products/Services (Commercial &amp; Residential) We sell and install the following. Home and Business Automation, Security Alarm Systems, CCTV Night Vision Cameras, Commercial and Residential Fire Alarms, Access Control, Generators, Solar Panels, Low Voltage Wiring CAT 5, Cat 6, Digital Signage (indoor and outdoor) Business Continuity Satellite Communications, First Responders Satellite Backup Communications, Maritime Satellite Comm Systems, Military Satellite Comm Systems, VoIP PBX Phone Systems, Web Hosting, Web Design, Email Hosting, Audio &amp; Video Live and On-Demand Streaming, Pay-Per-View Live and On-Demand Streaming"</t>
  </si>
  <si>
    <t>http://WWW.INCONTROLCOMMUNICATIONS.COM</t>
  </si>
  <si>
    <t>mailto:INFO@INCONTROLCOMMUNICATIONS.COM</t>
  </si>
  <si>
    <t>INDIA TRAVEL &amp; TOUR</t>
  </si>
  <si>
    <t>="We are a full service agnecy offering domestic and international airline tickets plus hotels, cars, cruises, tours and vacation packages.We offer online booking and purchase through our website. We offer wholesale rates on all international airline tickets for economy, buisness and first class travel worldwide offering savings of upto 50 % on regular airafres. We also offer wholesale rates on domestic and international hotels thereby offering substantial savings . We design theme and educational tours to all worldwide destinations. We offer consolidator business and first class airfares and hotel and car rental rates for corporate travelers. We manage events, meetings, conferences and conventions in the US and in other countries for large or small groups.."</t>
  </si>
  <si>
    <t>http://www.fantasticjourneys.com</t>
  </si>
  <si>
    <t>mailto:travel@fantasticjourneys.com</t>
  </si>
  <si>
    <t>INDIANA AUTOPSY LLC</t>
  </si>
  <si>
    <t>http://WWW.INDIANAAUTOPSY.COM</t>
  </si>
  <si>
    <t>mailto:MJONES@INDIANAAUTOPSY.COM</t>
  </si>
  <si>
    <t>INDIANA COMMUNITIES FOR DRUG-FREE YOUTH,</t>
  </si>
  <si>
    <t>http://www.cfiy.org</t>
  </si>
  <si>
    <t>mailto:brandon@cfiy.org</t>
  </si>
  <si>
    <t>INDIANA DEV TRG CTR</t>
  </si>
  <si>
    <t>http://www.idtc-in.com</t>
  </si>
  <si>
    <t>INDIANA DISABILITY DETERMINATION CONSULT</t>
  </si>
  <si>
    <t>INDIANA DOOR LLC</t>
  </si>
  <si>
    <t>mailto:STEPHAN154@HOTMAIL.COM</t>
  </si>
  <si>
    <t>INDIANA FAIR CHANCE</t>
  </si>
  <si>
    <t>="Provide pre-employment workshops, job placement services and job retention services for job seekers. Will help employers find and screen new employees. Will provide temprary employees for a fee. Will provide retention services for employees placed. Provide structured program for government agencies to enforce contractors to comply with the federal Section 3 law. The Section 3 law requires contractors that receive federal money to hire low-income residents to help do the work. Provide parenting assessments. Can provide recritmentment services and market new programs."</t>
  </si>
  <si>
    <t>mailto:mjw1956@aol.com</t>
  </si>
  <si>
    <t>INDIANA FILTER SUPPL</t>
  </si>
  <si>
    <t>http://WWW.INDIANAFILTER.COM</t>
  </si>
  <si>
    <t>mailto:ASHLEY@INDIANAFILTER.COM</t>
  </si>
  <si>
    <t>INDIANA FURNITURE INDUSTRIES INC</t>
  </si>
  <si>
    <t>http://www.indianafurniture.com</t>
  </si>
  <si>
    <t>mailto:sales@indianafurniture.com</t>
  </si>
  <si>
    <t>INDIANA GOLF CAR</t>
  </si>
  <si>
    <t>="WE ARE A SERVICING DEALER FOR CLUB CAR GOLF CARS. WE SELL AND RENT NEW AND USED GOLF CARS. WE SERVICE ALL MAKES AND MODELS OF GOLF CAR AND UTILITY VEHICLES. WE HAVE A FLEET OF 2, 4, AND 6 PASSENGER GOLF CARS AS WELL AS UTILITY CARS AVAILABLE FOR RENTAL FOR ANY OUTDOOR OR INDOOR ACTIVITY INCLUDING FESTIVALS, PARADES, CONCERTS, OR ANY OTHER VENUE NEEDING TRANSPORTATION ETC."</t>
  </si>
  <si>
    <t>http://INDIANAGOLFCAR.COM</t>
  </si>
  <si>
    <t>mailto:IGCAR@TDS.NET</t>
  </si>
  <si>
    <t>INDIANA IRRIGATION CO INC</t>
  </si>
  <si>
    <t>http://www.IndianaIrrigation.com</t>
  </si>
  <si>
    <t>mailto:inir@juno.com</t>
  </si>
  <si>
    <t>INDIANA JUVENILE JUSTICE TASK FORCE</t>
  </si>
  <si>
    <t>http://www.ijjtf.org</t>
  </si>
  <si>
    <t>mailto:offmgr@ijjtf.org</t>
  </si>
  <si>
    <t>INDIANA LATINO INSTITUTE INC</t>
  </si>
  <si>
    <t>="The mission of the Indiana Latino Institute, Inc.(ILI) is to strengthen agencies and organizations which serve Latino communities in Indiana. The vision of ILI is to facilitate the development of agencies and organizations through enhancing their ability to address the growing needs of the Latino community. Some ILI programs include: Latino Tobacco Control and Prevention Program, Hoosier Faith and Health Coalition, Latino Youth Alcohol Prevention, Amigas Latinas Contra el Cancer, Latino Outreach-HIV/AIDS Prevention/Education/Domestic Violence for Latina Women and the Syphilis Prevention/Education Program. ILI also provides trainings, such as Media Advocacy Training, Latinos for a Healthy Indiana Advocacy/Action Training, Tobacco 101 and the Latino Youth Leadership Symposium. The Indiana Latino Institute also provides translation of documents, interpretation, a resource center which includes bilingual resource materials and other outreach services."</t>
  </si>
  <si>
    <t>http://www.indianalatino.com</t>
  </si>
  <si>
    <t>mailto:amccammon@indianalatino.com</t>
  </si>
  <si>
    <t>Religious, Grantmaking, Civic, and Professional and Similar Organizations</t>
  </si>
  <si>
    <t>INDIANA SAFETY CO.</t>
  </si>
  <si>
    <t>="Since 1992, Indiana Safety &amp; Supply Co. has been providing safety products and services to customers throughout the United States and Mexico. We strive to be a resource by constantly searching for new methods, new products and cutting edge technology. Our Mission: Deliver Excellence. Our Promise: Exceed Expectations, Develop Partnerships and Add Value to everything we touch."</t>
  </si>
  <si>
    <t>http://www.indianasafety.com</t>
  </si>
  <si>
    <t>mailto:sales@indianasafety.com</t>
  </si>
  <si>
    <t>INDIANA STRIP STEEL &amp; CONSULTING SERVICE</t>
  </si>
  <si>
    <t>http://www.indianastripsteel.com</t>
  </si>
  <si>
    <t>mailto:tony@indianastripsteel.com</t>
  </si>
  <si>
    <t>Iron and Steel Mills</t>
  </si>
  <si>
    <t>INDIANA THERMAL SOLUTIONS</t>
  </si>
  <si>
    <t>http://www.its-indiana.com</t>
  </si>
  <si>
    <t>INDIANA WASTE SYSTEMS, INC</t>
  </si>
  <si>
    <t>mailto:jeff@indianawastesystems.com</t>
  </si>
  <si>
    <t>INDPLS CONTAINER COMPANY</t>
  </si>
  <si>
    <t>http://www.containerworks.com</t>
  </si>
  <si>
    <t>mailto:sales@containerworks.com</t>
  </si>
  <si>
    <t>INDPLS. WINNELSON CO</t>
  </si>
  <si>
    <t>http://WINWHOLESALE.COM</t>
  </si>
  <si>
    <t>mailto:mbhennig@insightbb.com</t>
  </si>
  <si>
    <t>INDUSTRIAL ADHESIVES OF INDIANA INC.</t>
  </si>
  <si>
    <t>="INDUSTRIAL ADHESIVES OF INDIANA INC. is an indiana based supplier/distributor/manufactuer of adhesives for many applications and industries. Our company has the ability to meet the multiple needs of our customers. We can supply the following: WOOD GLUES, PACKAGING GLUES, SUPER GLUES, THREAD LOCKERS, CONTACT ADHESIVES, PRESSURE SENSITIVE GLUES, HOT MELTS, AND CUSTOM PRODUCTS.We have the ability to analyze problems and pffer solutions.We have full lab capability."</t>
  </si>
  <si>
    <t>mailto:thebestglue@yahoo.com</t>
  </si>
  <si>
    <t>Adhesive Manufacturing</t>
  </si>
  <si>
    <t>INDY EIFS SUPPLY INC.</t>
  </si>
  <si>
    <t>mailto:mkuhn@tds.net</t>
  </si>
  <si>
    <t>INDY FIRESTOP &amp; INSULATION LLC</t>
  </si>
  <si>
    <t>mailto:rscott0906@yahoo.com</t>
  </si>
  <si>
    <t>INDY OFFICE SOLUTIONS LLC</t>
  </si>
  <si>
    <t>="Great SHARP products, Even Better People. Ranked in the top ten of Indiana Business Journal's ""Largest Indianapolis-Area Office Equipment Dealers."" We provide professional office solutions whether it's copiers, laser printers or full color printing and copying at your site or ours. Local service, with a local phone number and real person on the end of the line. Our solutions extend to on-site management of your copy/shipping/mailing center as well as a full support center for your large capacity and overflow requirements."</t>
  </si>
  <si>
    <t>http://indyofficesolutions.com</t>
  </si>
  <si>
    <t>mailto:indyofficesolutions.com</t>
  </si>
  <si>
    <t>INDYDISTRO LLC</t>
  </si>
  <si>
    <t>="Who IndyDistro is: A start-up Minority Owned Business Our corporate headquarters is conveniently located in Anderson, Indiana We can offer: Negotiation Experience Global and Local Sourcing Experience Competitive Sourcing and Pricing Supplier Quality Assurance - Suppliers will be evaluated to meet the highest delivery and quality standards JIT Solutions that will adapt to your service needs Reliable Services that will help your company succeed"</t>
  </si>
  <si>
    <t>mailto:indydistro@gmail.com</t>
  </si>
  <si>
    <t>Special Foodservices</t>
  </si>
  <si>
    <t>INFOBIND SYSTEMS INC</t>
  </si>
  <si>
    <t>="Sales and service of desk-top binding equipment (thermal, plastic comb, plastic coil, double-loop wire and Velobind) and related supplies. Loose leaf binders, folders, portfolios. Media and multi-media binders/albums. Laminating equipment and supplies. Commercial paper shredders. Custom printed and copier-imprintable index tabs. Clear vinyl (plain and adhesive-backed) document protection products."</t>
  </si>
  <si>
    <t>mailto:infobind@earthlink.net</t>
  </si>
  <si>
    <t>INFORMATION SYSTEMS FOR INTEGRATED DEV</t>
  </si>
  <si>
    <t>="Our interest is to make the use of Geographic Information Systems (GIS) tools easy and affordable for the professionals who need them but can’t afford to be GIS experts, for the decision-makers who need reliable and up-to-date information to improve and protect their environment and for the public who needs to better understand their community and participate in making it better. It is our interest to look into a wide range of GIS projects from needs assessments and implementation of applications to technical support and training. Our Approach to meet the unique needs of the client is distinctly different in that it provides, through customization and automation, the product or application that the client demands. Some of our applications include asset management systems that will issue and track work orders, facilitate the inventory of physical assets (land, water, sanitary, storm, etc.), track maintenance history, assist in creating reports, and support inspections and tests includin"</t>
  </si>
  <si>
    <t>http://WWW.ISID4.COM</t>
  </si>
  <si>
    <t>mailto:ALGUISSE@SBCGLOBAL.NET</t>
  </si>
  <si>
    <t>INRANGE Consulting Corporation</t>
  </si>
  <si>
    <t>="INRANGE Consulting provides business enhancement and technology solutions through consulting services across customer relationship management (CRM), supply chain management (SCM), human capital management (HCM) and financial management (FM) applications. Additional services include: solutions architecture, infrastructure design, systems integration, portal &amp; custom application development, and comprehensive program management. Our technology partners include: PeopleSoft, Microsoft, IBM, Cognos, and Rational."</t>
  </si>
  <si>
    <t>http://www.inrangeconsulting.com</t>
  </si>
  <si>
    <t>mailto:info@inrangeconsulting.com</t>
  </si>
  <si>
    <t>INSG, LLC</t>
  </si>
  <si>
    <t>="Founded in 2002, In Solutions Group has become a leader in providing best practices consultative solutions to multiple industries. Our processes take a simple approach to understanding and identifying your challenges, while enabling us to apply best practices even to the most complicated. Our leadership teams have been business leaders, board members, investors, and entrepreneurs for small to midsize organizations, so there aren’t many business or market challenges you can throw our way that we haven’t encountered in the past. We focus on improving performance, time to market, risk to reward, customer and supply chain management, market penetration, process automation, and the entire product development process. We are experience leaders working together to elevate and accelerate your success."</t>
  </si>
  <si>
    <t>http://www.insg.net</t>
  </si>
  <si>
    <t>mailto:info@insg.net</t>
  </si>
  <si>
    <t>INSTRUCTECH LLC</t>
  </si>
  <si>
    <t>http://www.instructechllc.com</t>
  </si>
  <si>
    <t>mailto:info@instructechllc.com</t>
  </si>
  <si>
    <t>INTEGRATED ENVIRONMENTAL SOLUTIONS INC</t>
  </si>
  <si>
    <t>="IES is a full service environmental consulting and contracting company providing cost effective turnkey solutions for environmental emergencies, waste management and site development. Our primary services are, Site Remediaton, 24 hr Emergency Spill Response, UST Removal, LUST cleanup, Industrial Cleaning and decontamination and environemental, health and safety training."</t>
  </si>
  <si>
    <t>http://www.iesolution.com</t>
  </si>
  <si>
    <t>mailto:smantri@iesolution.com</t>
  </si>
  <si>
    <t>INTEGRITY ARCHITECTURE LLC</t>
  </si>
  <si>
    <t>http://www.integrityarchitecture.com</t>
  </si>
  <si>
    <t>mailto:info@integrityarchitecture.com</t>
  </si>
  <si>
    <t>INTEGRITY BUSINESS PRINTING, INC</t>
  </si>
  <si>
    <t>="Integrity is a WBE certified by the city of Indianapolis, the state of Indiana, and NWBOC, a federal certifying agency. We provide business printing, operational forms, marketing materials, labels, document scanning, high speed duplication, banners, and promotional items."</t>
  </si>
  <si>
    <t>http://www.integritydocumentsolutions.co</t>
  </si>
  <si>
    <t>mailto:cschwach@integritydocumentsolutions.com</t>
  </si>
  <si>
    <t>INTEGRITY CARE,LLC</t>
  </si>
  <si>
    <t>="We render Non-skilled home care otherwise called personal services/private duty. We help the elderly, physically challenged people and others like nursing mothers with activities of daily living; personal care, attendant care and home maker services. We also have a Non- emergency medical transportation services; a 24hr ambulatory transportation services."</t>
  </si>
  <si>
    <t>http://www.integritycarewl.com</t>
  </si>
  <si>
    <t>INTELISOURCE</t>
  </si>
  <si>
    <t>="InteliSource is a full service recruitment firm specializing in five key areas: recruitment process outsourcing (RPO), recruitment consulting, corporate contract recruiting, staff augmentation and temporary employment, and contingency search. We are focused on attracting and retaining top IT, administrative and leadership talent to Indiana."</t>
  </si>
  <si>
    <t>http://intelisourceconsulting.com</t>
  </si>
  <si>
    <t>mailto:info@intelisourceconsulting.com</t>
  </si>
  <si>
    <t>INTELLECTUAL TECHNOLOGY, INC.</t>
  </si>
  <si>
    <t>http://www.iti4dmv.com</t>
  </si>
  <si>
    <t>mailto:info@iti4dmv.com</t>
  </si>
  <si>
    <t>INTERSTATE INDUSTRIAL SUPPLY INC</t>
  </si>
  <si>
    <t>="Distributor of equipment and supplies: archival,books/games, correctional, defense, educational materials, electronic,food service equipment and supplies, environmental,hospitality,law enforcement, linens,mro,janitorial, lab, maintenance, medical,painting,safety, sporting goods, trash bags,water treatment- equipment and supplies."</t>
  </si>
  <si>
    <t>mailto:interstate@insightbb.com</t>
  </si>
  <si>
    <t>Professional and Commercial Equipment and Supplies Wholesalers</t>
  </si>
  <si>
    <t>INTERSTATE LUMBER &amp; HARDWARE CO, INC.</t>
  </si>
  <si>
    <t>="WHOLESALE DISTRIBUTOR SINCE 1932 FOR LUMBER, BUILDERS HARDWARE &amp; BUILDING SUPPLIES. WE STOCK OR HAVE QUICK ACCESS TO ALL TYPES OF LUMBER * DOORS, WOOD &amp; METAL * BUILDERS HARDWARE * INSULATION * ROOFING, METAL &amp; ASPHALT * DRYWALL &amp; PLASTER PRODUCTS. * AND MANY, MANY MORE.......... WE ARE THE PROFESSIONAL VENDOR FOR PRODUCTS, SERVICES AND SOLUTIONS. PLEASE CALL OR E-MAIL US TODAY."</t>
  </si>
  <si>
    <t>http://WWW. DOITBEST.COM</t>
  </si>
  <si>
    <t>mailto:ILC6400@AOL.COM</t>
  </si>
  <si>
    <t>INVIRONMENTAL TECHNOLOGIES LLC</t>
  </si>
  <si>
    <t>http://WWW.intechllc.com</t>
  </si>
  <si>
    <t>mailto:intechllc@msn.com</t>
  </si>
  <si>
    <t>INVO Cleaning Services</t>
  </si>
  <si>
    <t>="Indiana-based, veteran-owned commercial cleaning company delivering high-quality cleaning services to Northern Indiana and Southern Michigan. We provide commercial cleaning, floor cleaning, upholstery cleaning, and window washing to offices, medical facilities, financial institutions, manufacturing plants, and various other commercial properties. As a veteran-owned business, we place an emphasis on providing unique opportunities to struggling veterans by way of employment and job shadowing. INVO Cleaning Services also plays an active role with the Michiana Military Network."</t>
  </si>
  <si>
    <t>http://www.invocleaning.com</t>
  </si>
  <si>
    <t>mailto:wmcquade@invocleaning.com</t>
  </si>
  <si>
    <t>INWELD CORP</t>
  </si>
  <si>
    <t>http://www.inweld.com</t>
  </si>
  <si>
    <t>mailto:sandi@inweld.com</t>
  </si>
  <si>
    <t>IPN</t>
  </si>
  <si>
    <t>http://www.indianaperinatal.org</t>
  </si>
  <si>
    <t>mailto:ipn@indianaperinatal.org</t>
  </si>
  <si>
    <t>IQE LLC</t>
  </si>
  <si>
    <t>http://www.iq-enterprises.net</t>
  </si>
  <si>
    <t>mailto:info@iq-enterprises.net</t>
  </si>
  <si>
    <t>Iron and Steel Forging</t>
  </si>
  <si>
    <t>IRA E CLARK DETECTIVE AGENCY INC</t>
  </si>
  <si>
    <t>="An Indiana Corporation providing Contract Security Service using uniformed armed and unarmed security personnel to manufactors, hosiptals, institutions, banks, construction sites, and utilities. Over 90 years experience in providing professional contract security service to clients in the state of Indiana."</t>
  </si>
  <si>
    <t>http://www.clark-security.com</t>
  </si>
  <si>
    <t>mailto:cshields@clark-security.com</t>
  </si>
  <si>
    <t>IRAD Consulting</t>
  </si>
  <si>
    <t>http://www.iradconsulting.com</t>
  </si>
  <si>
    <t>mailto:info@iradconsulting.com</t>
  </si>
  <si>
    <t>IRBN, Inc.</t>
  </si>
  <si>
    <t>http://www.irbnetwork.com</t>
  </si>
  <si>
    <t>mailto:JesseVida@IRBNetwork.com</t>
  </si>
  <si>
    <t>IRVING GRAVEL CO., INC.</t>
  </si>
  <si>
    <t>IRVING READY-MIX, INC.</t>
  </si>
  <si>
    <t>http://www.irving-companies.com</t>
  </si>
  <si>
    <t>ISE - Information Systems Experts</t>
  </si>
  <si>
    <t>http://www.ise-llc.com</t>
  </si>
  <si>
    <t>mailto:sales@ise-llc.com</t>
  </si>
  <si>
    <t>ISF Technology Company, LLC</t>
  </si>
  <si>
    <t>="ISF Technology is a full-service media company based in Indianapolis, IN. The primary focus of the company is in web consulting and development. ISF also offers video services from photography and videography to digital editing and graphic design services. ISF has two offices, one on the far eastside of Indianapolis in the Historic Fort Harrison District and the second located in an industrial park near the Indiana State Fairgrounds. Having access to a full 32-track digital audio recording studio ensures that every multimedia project is delivered with a professionalism matched only by Hollywood studios."</t>
  </si>
  <si>
    <t>http://www.isflink.com</t>
  </si>
  <si>
    <t>mailto:steve@isflink.com</t>
  </si>
  <si>
    <t>ISI Controls, LTD</t>
  </si>
  <si>
    <t>="We provide security electronics goods &amp; services for both Government and Commercial markets. We service correctional facilities, prisons, jails, police stations, juvenile centers, courthouses, hospitals, etc.. • Touchscreen Control Systems • CCTV Systems (cameras, monitors, IP video, etc..) • Digital Video Recording Systems (DVR) • Video Arraignment/Visitation Systems • Audio Systems (intercom) • Card Access Systems • Duress/Officer Safety Systems • Perimeter Fence Systems • Detention Locks (We are the country’s largest supplier of Southern Steel/Folger-Adam locks) • Upgrade/Retrofit of existing systems • 24/7 Service Fire Alarm"</t>
  </si>
  <si>
    <t>mailto:bmitchell@metroplex-control.com</t>
  </si>
  <si>
    <t>ISK Magnetics Inc</t>
  </si>
  <si>
    <t>="ISK offers a liquid waste disposal service using Class 1 injection wells. This is recognized as the prefered method of disposal by U.S.EPA and the Ground Water Protection Council for many types of liquid wastes. This method of disposal permanently removes waste from the biosphere, protecting the States surface waters from contamination by surface discharged fluids. This method of disposal is price competitive with treating and surface discharging."</t>
  </si>
  <si>
    <t>http://www.iskmagnetics.com</t>
  </si>
  <si>
    <t>mailto:trappr@iskmagnetics.com</t>
  </si>
  <si>
    <t>Other Nonhazardous Waste Treatment and Disposal</t>
  </si>
  <si>
    <t>ISTA CENTER PRINT</t>
  </si>
  <si>
    <t>http://www.ista-in.org</t>
  </si>
  <si>
    <t>Labor Unions and Similar Labor Organizations</t>
  </si>
  <si>
    <t>IT Business Corp., LLC</t>
  </si>
  <si>
    <t>="ITBC, LLC (MBE &amp; SDVOB enterprise) has developed unique expertise through the establishment of key internal divisions in the areas of Information Technology, Business Development, Renewable Energy and Environmental Solution Services. We provide consulting services to federal, state, and military agencies, fortune 500 corporations and small businesses located throughout the nation. We are positioned to handle many of our client project needs from initial planning through implementation."</t>
  </si>
  <si>
    <t>IT Fresh Solution</t>
  </si>
  <si>
    <t>="IT Fresh Solution is a company providing software/computer consultancy services in and around any town in the State of Indiana. IT Fresh provides organizations with exceptionally qualified candidates with very sound good technical experience in the software industry. Presently the company is providing its services as a contractor for the Indiana Child Welfare System (ICWIS) in Indiana. IT Fresh Solution is a full service, full life-cycle management and Information Technology Consulting firm. IT fresh provides strategy, application, enterprise (ERP), and maintenance solution and infrastructure solutions to the small/middle/large market enterprises across various industries. IT Fresh plan’s to provide a complete service for the design, coding and maintenance of Client-server /web based applications /projects for my retail clients. It provides it’s customers with the ideal combination of real-world business value through technology and process solutions delivered with exceptional qu"</t>
  </si>
  <si>
    <t>mailto:santoshjoy@itfreshsolution.com</t>
  </si>
  <si>
    <t>IT Holdings, LLC</t>
  </si>
  <si>
    <t>http://www.itlogisticsllc.om</t>
  </si>
  <si>
    <t>mailto:sales@itlogisticsllc.com</t>
  </si>
  <si>
    <t>IT Spire, LLC</t>
  </si>
  <si>
    <t>="SERVICES IT Spire is a rapidly growing Indianapolis-based information technology firm that specializes in providing information technology consulting and placement services for mid-size and Fortune 500 companies including: • IT Consulting across the full range of IT skills and capabilities • IT Staff Augmentation / Temporary Staffing • IT Contract-to-Hire / Temp-to-Perm Staffing • IT Permanent Placement / Direct Hire THE DIFFERENCE IT Spire’s Services Managers and Recruiters possess extensive technical and recruiting experience resulting in an unmatched ability to understand our clients’ requirements. We assist our clients in identifying, placing and hiring the optimal consulting and permanent information technology resources. With an average of over 15 years of Information Technology experience, the IT Spire team gets it right the first time. Our extensive direct information technology industry experience gives us the competitive advantage our clients require."</t>
  </si>
  <si>
    <t>http://www.itspire.com</t>
  </si>
  <si>
    <t>mailto:kg@itspire.com</t>
  </si>
  <si>
    <t>IT TRANSFORMERS, INC</t>
  </si>
  <si>
    <t>="SOFTWARE/APPLICATION DEVELOPMENT, PROJECT MANAGEMENT, IT CONSULTING, ORACLE SILVER PARTNER, ORACLE RESELLER, SYSTEM ADMINISTRATION, DATABASE ADMINISTRATION, DATABASE ANALYSIS, DATABASE DESIGN, ERP/DATABASE APPLICATION PROGRAMMING SERVICES, DATA ENTRY/PROCESSING/PREPARATION SERVICES, HOSTING, WEB DESIGN/DEVELOPMENT, DATA WAREHOUSING, BUSINESS INTELLIGENCE, QA TESTING, BUSINESS ANALYSIS, COMPUTER HARDWARE MAINTENANCE/SUPPORT, SOFTWARE PATCHES OR UPGRADES, SOFTWARE APPLICATION ADMINISTRATION SERVICE."</t>
  </si>
  <si>
    <t>http://WWW.ITTRANSFORMERS.COM</t>
  </si>
  <si>
    <t>mailto:BALA@ITTRANSFORMERS.COM</t>
  </si>
  <si>
    <t>ITI Indiana, Inc.</t>
  </si>
  <si>
    <t>ITProtectors, Inc</t>
  </si>
  <si>
    <t>="ITProtectors provides a full range of IT Facility Management Services including: Maintenance and Cleaning of IT Facilities, computer rooms, data centers, server closets, and mini-computer rooms in commercial and industrial environments Monitoring of mission critical IT Facility Infrastructure such as utility power, UPS (Uninterruptible Power Supply) battery condition and status, temperature, humidity, ECU (Environmental Conditioning System) status and performance, water sensors, smoke sensors, and security access Modification of IT Facilities including consulting on infrastructure design and project management services for the modification / upgrade to existing facilities specifically for increased UPS capacity and redundancy, increased heat removal /environmental control, and installation of monitoring and management solutions"</t>
  </si>
  <si>
    <t>http://www.ITProtectors.com</t>
  </si>
  <si>
    <t>mailto:itprotectors@insightbb.com</t>
  </si>
  <si>
    <t>IU Health Plan, Inc.</t>
  </si>
  <si>
    <t>mailto:iumgofficer@iumg.com</t>
  </si>
  <si>
    <t>HMO Medical Centers</t>
  </si>
  <si>
    <t>IU Health Risk Retention Group, Inc.</t>
  </si>
  <si>
    <t>http://iuhrrg.com</t>
  </si>
  <si>
    <t>Direct Insurance (except Life, Health, and Medical) Carriers</t>
  </si>
  <si>
    <t>IU Health White Memorial Hospital INC</t>
  </si>
  <si>
    <t>IXOYE, Limited</t>
  </si>
  <si>
    <t>="IXOYE, Ltd was formed in 2005 as an Indiana C-Corp. IXOYE, Ltd is doing business under two nameplates: IXOYE Civil Engineering, Inc. and IXOYE Trail &amp; Greenways Engineering, Inc., registered d.b.a.’s with the State of Indiana, to highlight the specific strengths to specific markets. IXOYE is founded on Christian principals that guide and direct our business philosophy and corporate decision-making. These principals are intrinsic to our basic tenets: Integrity, Excellence, Performance and Value. IXOYE is dedicated to the promotion/development of professionally designed trail/greenway projects &amp; small/medium-sized civil engineering improvements. IXOYE specializes in this unique niche of civil engineering which requires an understanding of the national engineering design standards, state regulations and local requirements. IXOYE is pre-qualified with INDOT in the areas of Non-Complex Roadway Design and Bicycle &amp; Pedestrian Trails and Greenways."</t>
  </si>
  <si>
    <t>http://ixoyeengineering.com</t>
  </si>
  <si>
    <t>mailto:ixoye-eng@comcast.net</t>
  </si>
  <si>
    <t>IYP Solutions</t>
  </si>
  <si>
    <t>http://www.iyps.net</t>
  </si>
  <si>
    <t>mailto:xxlmilleriyps@comcast.net</t>
  </si>
  <si>
    <t>Iberico, LLC</t>
  </si>
  <si>
    <t>Ida A. Shaw</t>
  </si>
  <si>
    <t>Ideal Communications</t>
  </si>
  <si>
    <t>http://www.idealcommunications.org</t>
  </si>
  <si>
    <t>mailto:info@idealcommunications.org</t>
  </si>
  <si>
    <t>Ideal Construction LLC</t>
  </si>
  <si>
    <t>mailto:idealconstr@yahoo.com</t>
  </si>
  <si>
    <t>Identification Solutions</t>
  </si>
  <si>
    <t>mailto:mushers@nalu.net</t>
  </si>
  <si>
    <t>Identity Logix, LLC</t>
  </si>
  <si>
    <t>="Security software for centralizing user entitlements (permissions) and activity data from multiple sources. Entitlement data feeds may come from multiple sources, such as directories or databases. Complete entitlement data from Active Directory, LDAP directories or database tables, IBM security/identity and all entitlement changes are monitored 24x7. User logon/off, desktop and application activities are collected. All aduit data is centralized in a single historical reporitory for reporting and entitlement audit data 24x7. Audit information is available to be viewed via a graphical console and in a variety of formats. Audit data management and report formatting is automatic. Security reporting for internal/external audit and compliance with regulations with IdentityLogix affords the following benefits: LOW COST OF OWNERSHIP (software &amp; support), IMPROVED QUALITY OF AUDIT INFORMATION, EASY TO USE, LESS COMPLEXITY - IMPROVES IT STAFF PRODUCTIVITY"</t>
  </si>
  <si>
    <t>http://www.identitylogix.com</t>
  </si>
  <si>
    <t>mailto:info@identitylogix.com</t>
  </si>
  <si>
    <t>Idlewine Lawnmower Sales Inc.</t>
  </si>
  <si>
    <t>Idunn Ind., LLC</t>
  </si>
  <si>
    <t>mailto:idunnindustries@hotmail.com</t>
  </si>
  <si>
    <t>Ignis Strategic Communication</t>
  </si>
  <si>
    <t>="ignis Strategic Communication is not your ""traditional PR agency""; it is a strategic communication firm that focuses on crisis, reputation, strategy, and press. It stands between YOU and the media and targeted publics by developing key messaging and helping you convey your BEST message in times when it matters most. Ignis is a data-driven firm, which uses research to craft campaigns and messaging that is sure to deliver desired results. Ignis leads strategic efforts in messaging - whether in print, live on the air, or in design."</t>
  </si>
  <si>
    <t>http://www.contactignis.com</t>
  </si>
  <si>
    <t>mailto:contact.ignis@gmail.com</t>
  </si>
  <si>
    <t>Illiana Ed Prod, Inc</t>
  </si>
  <si>
    <t>http://illianaproducts.com</t>
  </si>
  <si>
    <t>mailto:meremason@aol.com</t>
  </si>
  <si>
    <t>Book, Periodical, and Newspaper Merchant Wholesalers</t>
  </si>
  <si>
    <t>Illiana Imaging Experts, Inc.</t>
  </si>
  <si>
    <t>="We provide a variety of office equipment and services. Imaging Equipment such as Copiers, Printers, Fax, Duplicators and Multifunction Machines, as well as a full line ancillary products; Booklet Binders, Paper Folders, Inserters, Paper Cutters and Paper Shredders for all security levels. We have onsite a full service department and provide maintenance agreements as well as supplies for our equipment. We have leasing/rental plans available."</t>
  </si>
  <si>
    <t>http://www.illianaimaging.com</t>
  </si>
  <si>
    <t>mailto:illianaimaginginc@sbcglobal.net</t>
  </si>
  <si>
    <t>Illiana Instrumentation Service LLC</t>
  </si>
  <si>
    <t>http://illianainservice.com</t>
  </si>
  <si>
    <t>mailto:laurag@illianaservice.com</t>
  </si>
  <si>
    <t>Imabes by Anthony LLC</t>
  </si>
  <si>
    <t>mailto:A1A2MLD@COMCAST.NET</t>
  </si>
  <si>
    <t>Image Builders</t>
  </si>
  <si>
    <t>http://WWW.IMAGEBUILDERSONLINE.NET</t>
  </si>
  <si>
    <t>mailto:cindy@imagebuildersonline.net</t>
  </si>
  <si>
    <t>Image Concepts</t>
  </si>
  <si>
    <t>http://www.imageconcepts4u.com</t>
  </si>
  <si>
    <t>mailto:billdry@etczone.com</t>
  </si>
  <si>
    <t>Image Digital Media LLC</t>
  </si>
  <si>
    <t>http://www.imagedigitalmedia.com</t>
  </si>
  <si>
    <t>mailto:info@imagedigitalmedia.com</t>
  </si>
  <si>
    <t>Image Exhibits, Inc.</t>
  </si>
  <si>
    <t>http://www.image-exhibits</t>
  </si>
  <si>
    <t>mailto:jyadon@image-exhibits.com</t>
  </si>
  <si>
    <t>Image First LLC</t>
  </si>
  <si>
    <t>="Image First is an experienced event marketing and advertising firm dedicated to creating and producing memorable events for brands and personalities. Our team of professionals have produced over 300 events including consumer launches, nation-wide tours, celebrity charity galas and red carpet one-offs."</t>
  </si>
  <si>
    <t>http://www.image-first.com</t>
  </si>
  <si>
    <t>mailto:cscott@image-first.com</t>
  </si>
  <si>
    <t>Image Sales, Inc.</t>
  </si>
  <si>
    <t>="We are an asi listed advertising specialty company serving clubs, organizations, small businesses and large corporations with specialties and a full line or wearables offering silkscreening &amp; embroidery. We also have in house computerized engraving for trophies &amp; awards."</t>
  </si>
  <si>
    <t>http://www.imagesales.net</t>
  </si>
  <si>
    <t>mailto:imagesales@joink.com</t>
  </si>
  <si>
    <t>Image Solutions Group, LLC</t>
  </si>
  <si>
    <t>http://www.imagesolutionsgroup.net</t>
  </si>
  <si>
    <t>mailto:printit@isgindy.com</t>
  </si>
  <si>
    <t>Image Technology Corporation</t>
  </si>
  <si>
    <t>="ITC provides document scanning services. We convert paper to digital images. These images can be retrieved from CD or our secure web storage and retrieval ASP or they can be loaded into your own imaging software. We support FileNet, IBM Content Management, OnBase, Documentum and most other imaging software systems. We also perform conversions into and out of all most commercially available imaging software platforms. We specialize in government and business to business services."</t>
  </si>
  <si>
    <t>http://www.image-technology.net</t>
  </si>
  <si>
    <t>mailto:sbruer@image-technology.net</t>
  </si>
  <si>
    <t>Imagehaus Creative LLC</t>
  </si>
  <si>
    <t>http://www.imagehaus.com</t>
  </si>
  <si>
    <t>mailto:design@imagehaus.com</t>
  </si>
  <si>
    <t>Imagination Graphics</t>
  </si>
  <si>
    <t>mailto:imaginationgraphics@c3bb.com</t>
  </si>
  <si>
    <t>Imagine Products Inc</t>
  </si>
  <si>
    <t>="Imagine Products has a long standing tradition of providing video cataloging and analysis tools to professionals in a variety of industries. Software and computer accessories are specific to video work. The company is primarily an applications developer, selling shrink wrap titles world wide."</t>
  </si>
  <si>
    <t>http://www.ImagineProducts.com</t>
  </si>
  <si>
    <t>mailto:sales@imagineproducts.com</t>
  </si>
  <si>
    <t>Imagine SLP Consultants LLC</t>
  </si>
  <si>
    <t>mailto:jlh6218@sbcglobal.net</t>
  </si>
  <si>
    <t>Imanageit</t>
  </si>
  <si>
    <t>="Imanageit is a digital content management firm specializing in digital signage using flat panel technologies. Imanageit is committed to offering local, cost effective solutions for digital signage and managing the content of those signs through our custom fit technologies."</t>
  </si>
  <si>
    <t>http://www.imanageit.net</t>
  </si>
  <si>
    <t>mailto:info@imanageit.net</t>
  </si>
  <si>
    <t>Immaculate Cleaning Concierge Services,</t>
  </si>
  <si>
    <t>="Concierge Services including but not limited to: deliveries/pickups, courier services, meals, organizing/filing, house sitting, reservations,event planning, shopping, gift baskets, custom invitations/cards, internet research, bank deposits, car detailing while you work, merchandise returns, office supplies and other special requests considered. We also offer: Residential cleaning Services Janitorial Commercial cleaning services using Green Seal Certified cleaners"</t>
  </si>
  <si>
    <t>http://www.immaculatecs.com</t>
  </si>
  <si>
    <t>mailto:ImmaculateCS@gmail.com</t>
  </si>
  <si>
    <t>Immaculate Cleaning Services</t>
  </si>
  <si>
    <t>mailto:fbdrx@netzero.net</t>
  </si>
  <si>
    <t>Immaculate Professionals</t>
  </si>
  <si>
    <t>mailto:IMMACULATEPROFESSIONALS@HOTMAIL.COM</t>
  </si>
  <si>
    <t>Impact Environmental Management, Inc.</t>
  </si>
  <si>
    <t>="Impact Environmental Management Inc. is an environmental consulting firm that focuses on Waste Stream Management and Environmental Health and Safety Compliance as well as Chemical Engineering and Applications. Our number one goal is to reduce Total Cost of Operations, Environmental Risk and Compliancy issues and offer Environment friendly Enzyme based Chemicals and Applications."</t>
  </si>
  <si>
    <t>http://www.impact-environmental.com</t>
  </si>
  <si>
    <t>mailto:jamiehale@impact-enviornmental.com</t>
  </si>
  <si>
    <t>Impact Networking, Indiana LLC</t>
  </si>
  <si>
    <t>="A Decade of Growth: Over 30% Growth Per Year 1999-2009 Since our start in 1999, Impact has helped vastly different businesses meet the same high-functioning needs, providing leading-edge systems, support and technology. Customer service remains our number one priority. The people we hire to serve companies like yours have escalated Impact to the top level in our field. Passionate about technology, our staff is motivated to make your company succeed. Our Vision for Success • To provide value to our clients and opportunities for our employees. • To educate our staff to better serve. • To offer 24/7 support. • To lead, not follow. Impact sells and supports copiers, printers, fax machines, document managements software, scanning services, phones, computers, marketing initiatives, IT services, and strategic services."</t>
  </si>
  <si>
    <t>http://www.impactnetworking.com</t>
  </si>
  <si>
    <t>mailto:ccarnes@impactnetworking.com</t>
  </si>
  <si>
    <t>Impact Sign &amp; Graphics</t>
  </si>
  <si>
    <t>mailto:rbaumgart@impactsign.net</t>
  </si>
  <si>
    <t>Impact Specialties &amp; Promotions, LLC</t>
  </si>
  <si>
    <t>http://isponline24.com</t>
  </si>
  <si>
    <t>mailto:isponline24@yahoo.com</t>
  </si>
  <si>
    <t>Imperial Precision Machine, LLC</t>
  </si>
  <si>
    <t>="We specialize in metal fabrication including boring, milling, turning, drilling and various other types. Our mission is to bring high quality services to a wide range of customers with the goal of meeting every clients needs, no matter how big or small the project."</t>
  </si>
  <si>
    <t>http://www.imperialprecision.com</t>
  </si>
  <si>
    <t>mailto:ericcampbell@imperialprecision.com</t>
  </si>
  <si>
    <t>Impressions Inc</t>
  </si>
  <si>
    <t>="Indiana's most diversified woman- veteran owned Commercial Printer est. 1898, incorporated 1960. Products &amp; Services are: Design/Prepress; Large Press Printing; Small Press Printing; High Speed Production Copying; Direct Mailing; Fulfillment; Promotional Products (750,000 items worldwide online)"</t>
  </si>
  <si>
    <t>http://impressionsprint.logomall.com</t>
  </si>
  <si>
    <t>mailto:grodgers@impressionsprint.net</t>
  </si>
  <si>
    <t>Imus Group, LLC</t>
  </si>
  <si>
    <t>mailto:theimusgroup@mac.com</t>
  </si>
  <si>
    <t>In &amp; Out Automotive</t>
  </si>
  <si>
    <t>mailto:p0werman46177@hotmail.com</t>
  </si>
  <si>
    <t>In Form Design, Inc.</t>
  </si>
  <si>
    <t>http://www.informdesign.us</t>
  </si>
  <si>
    <t>mailto:jpn@informdesign.us</t>
  </si>
  <si>
    <t>In Motion Fitness</t>
  </si>
  <si>
    <t>="In Motion Fitness provides club management and personal training services to corporate, military and/or state, owned fitness facilities. We have ten years of multi-club ownership experience and the knowledge to successfully attract, motivate and create success for your employees with their fitness and health needs. In turn, their success in feeling better, having more energy, losing weight and having more self-confidence translates to higher employee productivity, less sick days, lower employee health costs and an improved work environment. We can conduct membership drives, create portals for involvement, track and report results individually and overall, create exciting workout classes, challenge experienced exercisers, and cater to the inexperienced individual who needs to know where to start. We conduct pre-screening and health histories on all participants and track progress in body composition, individual goals, weight loss and other (subjective) data."</t>
  </si>
  <si>
    <t>In Touch Pharmaceuti</t>
  </si>
  <si>
    <t>="We are a Long Term Care Pharmacy, not open to the public, and we service only institutions, i.e. nursing facilities and correctional facilities. We are fully automated, and dispense medication in patient specific, unit dose packaging. This prevents med errors, saves nursing time and decreases costs. We are able to provide and compound Intravenous Medication in our clean room that meets USP 797 guidelines. We also provide pharmacy consulting services. We implement and inservice sound Pharmacy Policies and Procedures, including IV Policies. Our nursing staff and pharmacists train facility nursing staff on policies, as well as, monitoring procedures for continued quality improvement. We also provide med carts and system to hold our patient specific unit dose medications, which eases the medication administration procedure."</t>
  </si>
  <si>
    <t>http://www.intouchpharma.com</t>
  </si>
  <si>
    <t>mailto:rick@intouchpharma.com</t>
  </si>
  <si>
    <t>In. Assoc. of Hostage-Crisis, Neg., Inc.</t>
  </si>
  <si>
    <t>="The IAHCN is a dues-paying, membership-based, charitable association of local, state, and federal law enforcement officers organized to increase our knowledge and provide support in the area of hostage-crisis negotiations and critical incident management primarily through, but not limited to, sponsored training."</t>
  </si>
  <si>
    <t>InLine landscape LLC</t>
  </si>
  <si>
    <t>mailto:inlinelandscape@gmail.com</t>
  </si>
  <si>
    <t>InSec LLC</t>
  </si>
  <si>
    <t>mailto:jim.deal@insecllc.com</t>
  </si>
  <si>
    <t>InSite Solutions</t>
  </si>
  <si>
    <t>mailto:insitesol@insightbb.com</t>
  </si>
  <si>
    <t>InView Energy, Inc.</t>
  </si>
  <si>
    <t>="InView Energy, Inc. supplies and integrates wireless HVAC sensors and standalone sensor systems for buildings. Our products include wireless temperature, humidity, zone pressure, absolute pressure, air quality, and weather condition sensors; data loggers, cabling and accessories. We develop software for real-time performance dashboards, sensor data management, and integration with existing control systems."</t>
  </si>
  <si>
    <t>http://www.inviewenergy.com</t>
  </si>
  <si>
    <t>mailto:info@inviewenergy.com</t>
  </si>
  <si>
    <t>Inatrex, LLC</t>
  </si>
  <si>
    <t>http://www.inatrex.com</t>
  </si>
  <si>
    <t>mailto:info@inatrex.com</t>
  </si>
  <si>
    <t>Incentive Mall, Inc.</t>
  </si>
  <si>
    <t>http://WWW.THEINCENTIVEMALL.COM</t>
  </si>
  <si>
    <t>mailto:INFO@THEINCENTIVEMALL.COM</t>
  </si>
  <si>
    <t>Incerco Technical Ceramics Corporation</t>
  </si>
  <si>
    <t>http://www.incerco.com</t>
  </si>
  <si>
    <t>mailto:incerco@verizon.net</t>
  </si>
  <si>
    <t>All Other Miscellaneous Nonmetallic Mineral Product Manufacturing</t>
  </si>
  <si>
    <t>Ind Fire Prevention Group, Inc</t>
  </si>
  <si>
    <t>Indco, Inc</t>
  </si>
  <si>
    <t>="INDCO is now a leading designer, manufacturer and distributor of mixing equipment. Most importantly to you, though, INDCO is a company that offers real solutions to your mixing challenges, on your time, guaranteed. That’s the INDCO heritage and its continued commitment to you."</t>
  </si>
  <si>
    <t>http://www.indco.com</t>
  </si>
  <si>
    <t>Indecon, Inc.</t>
  </si>
  <si>
    <t>http://www.indecon-consulting.com</t>
  </si>
  <si>
    <t>mailto:indianastate@indeconinc.com</t>
  </si>
  <si>
    <t>Indecon, LLC</t>
  </si>
  <si>
    <t>="Indecon Solutions is a national supplier of IT consulting, contract-to-hire and permanent placement services. Indecon collaborates with our clients to architect, develop and deliver enterprise integration solutions that result in more effective use of the technology needed to support growth strategies and drive revenue streams. Indecon's professional consulting staff brings a concise, contemporary point of view to the vast array of technology options available - from WEB Developement to Client/Server and Legacy services - across all hardware and software platforms - for every phase of the software development life cycle."</t>
  </si>
  <si>
    <t>http://www.indeconsolutions.com</t>
  </si>
  <si>
    <t>mailto:indianapolis@indeconsolutions.com</t>
  </si>
  <si>
    <t>Independence Sound &amp; Security Inc.</t>
  </si>
  <si>
    <t>="Independence Sound &amp; Security Inc. is a systems integrator company that offers everything available in the security industry, from residential security systems to Hipa compliant access control systems, from GPS tracking devices to IP Video surveillance monitoring systems. Our company mission is to provide security to our nation buy doing it one house, one business, and one state at a time."</t>
  </si>
  <si>
    <t>http://www.independencesecurity.net</t>
  </si>
  <si>
    <t>mailto:tbenito@independencesecurity.net</t>
  </si>
  <si>
    <t>Independent Appraisers Consultants, INC</t>
  </si>
  <si>
    <t>http://INDEPENDENTAPPRAISERS-CONSULTANTS</t>
  </si>
  <si>
    <t>mailto:CWALLIS@EVANSVILLE.NET</t>
  </si>
  <si>
    <t>Independent Case Management, Inc.</t>
  </si>
  <si>
    <t>mailto:efourthman@aol.com</t>
  </si>
  <si>
    <t>Independent Contracting International</t>
  </si>
  <si>
    <t>HTTP://www.ici-llc.biz</t>
  </si>
  <si>
    <t>mailto:richard.howe@ici-llc.biz</t>
  </si>
  <si>
    <t>Independent Land Sur</t>
  </si>
  <si>
    <t>Independent Stationers, Inc.</t>
  </si>
  <si>
    <t>http://www.independentstationers.coop</t>
  </si>
  <si>
    <t>mailto:nationalacctinfo@independentstationers.coop</t>
  </si>
  <si>
    <t>Indian Creek Stone P</t>
  </si>
  <si>
    <t>="Indian Creek supplies and produces natural landscaping and building stone products from world-famous Indiana limestone, as well as Indiana sandstone that we quarry just minutes from our yard in southern Indiana. Many styles of sawn-height building veneers and hardscape materials are available, including veneers, wall caps, coping, sills and lintels. Make a lasting impression with beautiful, durable, low maintenance, 100% natural stone. Whatever the project, whatever the look, let us help you realize your dream."</t>
  </si>
  <si>
    <t>http://indiancreekstone.com</t>
  </si>
  <si>
    <t>mailto:indiancreekstone@earthlink.net</t>
  </si>
  <si>
    <t>Indiana 211 Partnership, Inc.</t>
  </si>
  <si>
    <t>="Indiana 211 Partnership, Inc., a nonprofit organization, is creating a seamless statewide network of information and referral services that enables anyone in Indiana in need of human services to have quick referrals to those who provide them by dialing 2-1-1. Additionally, aggregate data will be collected to assist communities in assessing needs and allocating resources."</t>
  </si>
  <si>
    <t>http://www.in211.org</t>
  </si>
  <si>
    <t>mailto:lengel@connect2help.org</t>
  </si>
  <si>
    <t>Indiana Acquisition of Indiana LLC</t>
  </si>
  <si>
    <t>mailto:indianai.acquisition@comcast.net</t>
  </si>
  <si>
    <t>Indiana Alliance of Boys &amp; Girls Clubs</t>
  </si>
  <si>
    <t>="Statewide youth development agency that works with children ages 5 to 18. We provide daily afterschool and summer programming for youth. Services include: (1) education &amp; career development, (2) the Arts, (3) Sports, Fitness &amp; Recreation, (4) Character &amp; leadership development and (5) health &amp; life skills."</t>
  </si>
  <si>
    <t>mailto:ltaylor@indianabgc.org</t>
  </si>
  <si>
    <t>Indiana Assoc for Floodplain &amp; Stornwate</t>
  </si>
  <si>
    <t>="The Indiana Association for Floodplain and Stormwater Management was founded in 1996 by professionals interested in and responsible for floodplain and stormwater management in the State of Indiana. INAFSM members include federal, state, and local agency staff, engineers, consultants, planners, elected officials, members of academia, students, and floodplain residents. We offer continuing education through various events including our annual conference and other events such as high water mark training. Click here to learn about continuing education credits that can be earned at INAFSM events."</t>
  </si>
  <si>
    <t>http://www.inafsm.net</t>
  </si>
  <si>
    <t>mailto:kavery@inafsm.net</t>
  </si>
  <si>
    <t>Indiana Assoc. for Community Econ. Dev.</t>
  </si>
  <si>
    <t>="The Indiana Association for Community Economic Development (IACED) supports a network of organizations that builds vital communities and resilient families. We advocate for public policies and assist the network in developing comprehensive solutions that engage local leadership to generate private and public investment."</t>
  </si>
  <si>
    <t>http://www.iaced.org</t>
  </si>
  <si>
    <t>mailto:iaced@iaced.org</t>
  </si>
  <si>
    <t>Indiana Association of Building Official</t>
  </si>
  <si>
    <t>Indiana Auto Storage Pool Company, INC</t>
  </si>
  <si>
    <t>http://www.iasp.com</t>
  </si>
  <si>
    <t>mailto:iasp@iasp.com</t>
  </si>
  <si>
    <t>Indiana Bicycle Coalition, Inc.</t>
  </si>
  <si>
    <t>="Bicycle Indiana, incorporated in 1993, is a member-based organization consisting of like-minded people, organizations, businesses and bicycle dealers who are committed to improving all aspects of bicycling in Indiana.Bicycle Indiana is the only statewide organization dedicated to promoting bicycle use, educating all roadway users and advocating for bicyclists in Indiana. We promote bicycle use for health, recreation, competition, sport, travel and commuting. We educate users of Indiana's roadways by offering a variety of safety programs, services and literature."</t>
  </si>
  <si>
    <t>http://www.bicycleindiana.org</t>
  </si>
  <si>
    <t>mailto:info@bicycleindiana.org</t>
  </si>
  <si>
    <t>Indiana Bottle Co.</t>
  </si>
  <si>
    <t>http://indianabottle.com</t>
  </si>
  <si>
    <t>mailto:mccarty@hsonline.net</t>
  </si>
  <si>
    <t>Plastics Bottle Manufacturing</t>
  </si>
  <si>
    <t>Indiana Builders Association, Inc.</t>
  </si>
  <si>
    <t>="The Indiana Builders Association, Inc. is a statewide nonprofit trade organization representing Indiana’s home building, remodeling and light commercial construction industry. Established in 1952, IBA has 27 local affiliates organized into eight geographic areas across Indiana. IBA, along with its affiliates, are associated with the National Association of Home Builders (NAHB) in Washington, DC."</t>
  </si>
  <si>
    <t>http://www.buildindiana.org</t>
  </si>
  <si>
    <t>mailto:infoleg@buildindiana.org</t>
  </si>
  <si>
    <t>Indiana Bus. Modernization &amp; Tech. Corp</t>
  </si>
  <si>
    <t>="BMT’s mission is to help Indiana businesses understand and affordably implement the technologies, business practices, tools and techniques they need to be competitive in both domestic and global marketplaces. We focus our efforts on fundamental business principles that include reducing cost by reducing waste, and improving profitability by increasing efficiency in manufacturing, product development and design, and marketing and sales. In addition, we provide career training support to schools and businesses in Indiana."</t>
  </si>
  <si>
    <t>http://bmtadvantage.org</t>
  </si>
  <si>
    <t>mailto:info@bmtadvantage.org</t>
  </si>
  <si>
    <t>Indiana Business Interiors, Inc</t>
  </si>
  <si>
    <t>http://www.continentalindy.com</t>
  </si>
  <si>
    <t>Indiana Business Technology, Inc.</t>
  </si>
  <si>
    <t>="INDIANA BUSINESS TECHNOLOGY understands that true business growth requires access to meaningful software, I.T. products, tools, and resources. That's why we provide our customers with computer related business services and products, designed to provide real value, and delivering on our commitment to provide unprecedented support to our most valuable asset, our customers. Indiana Business Technology is an information technology supplier of products and services. We pride ourselves in being a technical partner; providing customized, fully integrated computing solutions along with a security camera and recording device division. Indiana Business Technology offers GSA Schedule GS-35F-0143R, Leasing, Trade-In Services, Vendor Warranties with a variety of Response Times to choose from, Software Licensing for Microsoft, Symantec, IBM, Computer Associates and Trend Micro products. Our customers have as few as 5 computers to as many as 2,000 desktops across different campuses. Call us!"</t>
  </si>
  <si>
    <t>http://www.technology.rite2u.com</t>
  </si>
  <si>
    <t>mailto:info@indiana-tech.com</t>
  </si>
  <si>
    <t>Indiana Carbon Co.</t>
  </si>
  <si>
    <t>="ICC Business Products, Inc. started in Indianapolis in 1930 as Indiana Carbon Co., Inc., and began its operations with a private ink formula for carbon paper. In the mid 1950’s, ICC began spooling ribbons for various machines, complementing their carbon paper line. Today, ICC provides almost everything for the office... printers,copiers,print supplies, service, office supplies, furniture, and promotional items. We provide next day delivery throughout Indiana."</t>
  </si>
  <si>
    <t>http://www.iccbusinessproducts.com</t>
  </si>
  <si>
    <t>mailto:salesdesk@iccbpi.com</t>
  </si>
  <si>
    <t>Indiana Carpet Distributors, Inc.</t>
  </si>
  <si>
    <t>http://www.icdcommercial.com</t>
  </si>
  <si>
    <t>Indiana Case Management Institute</t>
  </si>
  <si>
    <t>mailto:mdurr@iaaaa.org</t>
  </si>
  <si>
    <t>Indiana Case Management Services, LLC</t>
  </si>
  <si>
    <t>http://indianacasemgmt.com</t>
  </si>
  <si>
    <t>mailto:chris@indianacasemgmt.com</t>
  </si>
  <si>
    <t>Indiana Cash Drawer Company</t>
  </si>
  <si>
    <t>http://www.icdpos.com</t>
  </si>
  <si>
    <t>mailto:mobrien@icdpos.com</t>
  </si>
  <si>
    <t>Indiana Coalition Against Sexual Assault</t>
  </si>
  <si>
    <t>http://www.incasa.org</t>
  </si>
  <si>
    <t>mailto:acarpenter@incasa.org</t>
  </si>
  <si>
    <t>Indiana Coop. Library Service Authority</t>
  </si>
  <si>
    <t>http://www.incolsa.net</t>
  </si>
  <si>
    <t>mailto:michael@incolsa.net</t>
  </si>
  <si>
    <t>Libraries and Archives</t>
  </si>
  <si>
    <t>Indiana Cooperative Development Center</t>
  </si>
  <si>
    <t>http://www.icdc.coop</t>
  </si>
  <si>
    <t>mailto:info@icdc.coop</t>
  </si>
  <si>
    <t>Indiana Council on Problem Gambling</t>
  </si>
  <si>
    <t>http://indianaproblemgambling.org</t>
  </si>
  <si>
    <t>mailto:jllong@indianaproblemgambling.org</t>
  </si>
  <si>
    <t>Indiana Crop Improvement Association</t>
  </si>
  <si>
    <t>="Since 1900, the ICIA has provided a wide variety of valuable services to Indiana’s seed, grain, food and related industries - including: seed testing, quality control consultation, custom field inspections, seed certification, educational assistance and record keeping. With these services high levels of genetic purity and seed quality can be maintained. In 1935 it was designated as the state’s official seed certifying agency – a responsibility it retains today. In addition the organization offers Identity Preserved program services, Genetics Laboratory testing services - including Non-GMO testing and conducts applied research related to the Association’s programs."</t>
  </si>
  <si>
    <t>http://www.indianacrop.org</t>
  </si>
  <si>
    <t>mailto:icia@indianacrop.org</t>
  </si>
  <si>
    <t>Indiana Design Consortium</t>
  </si>
  <si>
    <t>http://www.idc-marketing.com/</t>
  </si>
  <si>
    <t>mailto:patrick@idc-marketing.com</t>
  </si>
  <si>
    <t>Indiana Developmental Training Center of</t>
  </si>
  <si>
    <t>http://www.idtc.in.com</t>
  </si>
  <si>
    <t>Indiana Dimension, I</t>
  </si>
  <si>
    <t>Indiana Door &amp; Hardware Specialties, Inc</t>
  </si>
  <si>
    <t>="We are a distributor / wholesaler, we sale and also can install - commercial wood and steel doors, door frames, door hardware, bathroom accessories. We sale high quality merchandise and carry brand name products,such as; Sargent, Curries, VonDuprin, McKinney, National Guard Products and more."</t>
  </si>
  <si>
    <t>mailto:indoorhdwr@sbcglobal.net</t>
  </si>
  <si>
    <t>Indiana Electrical S</t>
  </si>
  <si>
    <t>="Distributor of lighting related equipment: Lenses, louvers and globes Dimming systems used in medical testing facilities (MRI, CAT, etc.) Dimming systems used in audio and video recording studios Dimming systems for architectural and theatrical applications"</t>
  </si>
  <si>
    <t>http://lenses-louvers .com</t>
  </si>
  <si>
    <t>mailto:indesls@hotmail.com</t>
  </si>
  <si>
    <t>Indiana Extrusion</t>
  </si>
  <si>
    <t>mailto:extrusions@comteck.com</t>
  </si>
  <si>
    <t>Indiana Fiber Network, LLC</t>
  </si>
  <si>
    <t>="We are a full service fiber optic network operating in Indiana. We have over 1300 miles of ""lit"" fiber. We offer services to independ phone companies as well as enterpise busieness such as ISPs, Hostpitals, Banks, education, and any company needinf fiber connectivity. We seperate ourselves from our competition by being able top offer a truly state wide network. Using this network we can cost effectively build fiber into end customer locations, eliminating the need for connections from the local phone companies."</t>
  </si>
  <si>
    <t>http://www.indianafiber.net</t>
  </si>
  <si>
    <t>mailto:bsaunders@indianafiber.net</t>
  </si>
  <si>
    <t>Indiana Fiber Works, LLC</t>
  </si>
  <si>
    <t>http://www.ifw.com</t>
  </si>
  <si>
    <t>mailto:kricketts@ifw.com</t>
  </si>
  <si>
    <t>Indiana Forms &amp; Labels, Inc.</t>
  </si>
  <si>
    <t>="Since 1995, we have been provinding full service printing and distributing of buisiness forms, envelopes, posters, full color brochures, banners, graphic design, all types of product and bar code labels &amp; printers, stickers, decals, promotional items, &amp; the custom screen printing of apparel. *** Our services include onsight inventory, warehousing, drop shipping, and inventory management. We also have an internet based company called stickersandmore.com. This company services over 3000 customers nation/world wide with custom stickers and custom silk-screened T-Shirts,"</t>
  </si>
  <si>
    <t>http://www.iflpromotions.com www.sti</t>
  </si>
  <si>
    <t>mailto:info@iflinc.com</t>
  </si>
  <si>
    <t>Indiana Foster Care and Adoption Associa</t>
  </si>
  <si>
    <t>http://www.ifcaa.org</t>
  </si>
  <si>
    <t>mailto:info@ifcaa.org</t>
  </si>
  <si>
    <t>Indiana Geographic Information Council</t>
  </si>
  <si>
    <t>="The Indiana Geographic Information Council (IGIC) is a nonprofit membership organization of GIS users, professionals and educators. Administered by an elected board of directors, IGIC is recognized as the official statewide coordinating body for Indiana geographic information."</t>
  </si>
  <si>
    <t>http://www.igic.org</t>
  </si>
  <si>
    <t>mailto:info@igic.org</t>
  </si>
  <si>
    <t>Indiana Hardwood Mills, Inc.</t>
  </si>
  <si>
    <t>="Hardwood trim, molding, casing, interior plywoods and doors. Manufacturer of interior trim, custom millwork, cabinet frame stock, arched casings, custom jambs, stair parts, boards and more. We offer a wide range of hardwood choices, including poplar, red oak, cherry, hard maple, hickory and much more. If you are a builder, carpenter, cabinet maker, or homeowner we welcome the opportunity to quote your project and guarantee quality products delivered in a timely manner at competitive prices. You are invited to visit our facilities to view our quality workmanship. ""Manufacturer of Quality Hardwood Products since 1964"""</t>
  </si>
  <si>
    <t>http://ihmills.com</t>
  </si>
  <si>
    <t>mailto:info@ihmills.com</t>
  </si>
  <si>
    <t>Cut Stock, Resawing Lumber, and Planing</t>
  </si>
  <si>
    <t>Indiana Health Centers, Inc.</t>
  </si>
  <si>
    <t>="Indiana Health Centers, Inc. is a 501(C)3 organization and a Federally Qualified Health Center that provides health services in medically underserved areas that include South Bend, Kokomo, Marion, Cass County, Miami County, Jackson County, Brown County, including WIC services co-located in Kokomo, Marion, and Cass County with stand-alone WIC sites in Tipton County, Hamilton County, and Frankfort County."</t>
  </si>
  <si>
    <t>http://www.indianahealthonline.org</t>
  </si>
  <si>
    <t>mailto:www.indianahealthonline.org</t>
  </si>
  <si>
    <t>Indiana Health Information Exchange, Inc</t>
  </si>
  <si>
    <t>="We are one of the largest Health Information Exchanges in the country. We connect hospitals, rehabilitation centers, long term care facilities, laboratories, imaging centers, clinics, community health centers, and other healthcare organizations in Indiana."</t>
  </si>
  <si>
    <t>http://www.ihie.org</t>
  </si>
  <si>
    <t>mailto:bills@ihie.org</t>
  </si>
  <si>
    <t>All Other Information Services</t>
  </si>
  <si>
    <t>Indiana Immunization Coalition, Inc.</t>
  </si>
  <si>
    <t>http://www.vaccinateindiana.org/</t>
  </si>
  <si>
    <t>mailto:director@vaccinateindiana.org</t>
  </si>
  <si>
    <t>Indiana Independent Sales L.L.C.</t>
  </si>
  <si>
    <t>Indiana Life Science</t>
  </si>
  <si>
    <t>http://www.indianalifesciences.com</t>
  </si>
  <si>
    <t>mailto:info@inlifesciences.com</t>
  </si>
  <si>
    <t>Instrument Manufacturing for Measuring and Testing Electricity and Electrical Signals</t>
  </si>
  <si>
    <t>Indiana Limestone Fabricators, Inc.</t>
  </si>
  <si>
    <t>="Fabricators of natural Indiana Limestone for exterior building facades, site work, balustrades, fireplaces and all custom cut work. Serving commercial, educational, residential, State and Federal projects. Past projects include the new Yankee Stadium, 888 Madison Ave NY, Ralph Lauren NY, and US Embassy Canberra, Australia."</t>
  </si>
  <si>
    <t>http://www.limestonefab.com</t>
  </si>
  <si>
    <t>mailto:ilf@limestonefab.com</t>
  </si>
  <si>
    <t>Cut Stone and Stone Product Manufacturing</t>
  </si>
  <si>
    <t>Indiana Machine Works</t>
  </si>
  <si>
    <t>="Indiana Machine Works is a versatile specialty manufacturing and machining company located in Mooresville, Indiana. Its heritage dates back to 1943 with the building of the 17.6 Engine which was used during World War II to perform research on aviation engine spark plugs as well as intake and exhaust valves. This engine is still offered by us today and is in use worldwide as the standard for rating spark plug heat ranges. Indiana Machine Works' employees are also proud of the Company's history in the areas of: Designing and/or manufacturing of specialty machinery Prototypes Product components Tooling and fixtures CNC machining"</t>
  </si>
  <si>
    <t>http://www.indianamachineworks.com</t>
  </si>
  <si>
    <t>mailto:imwinc@sbcglobal.net</t>
  </si>
  <si>
    <t>All Other Industrial Machinery Manufacturing</t>
  </si>
  <si>
    <t>Indiana Members Credit Union</t>
  </si>
  <si>
    <t>http://www.imcu.com</t>
  </si>
  <si>
    <t>mailto:info@imcu.com</t>
  </si>
  <si>
    <t>Credit Unions</t>
  </si>
  <si>
    <t>Indiana Metal Craft, Inc</t>
  </si>
  <si>
    <t>http://www.indianametalcraft.com</t>
  </si>
  <si>
    <t>mailto:rondavis@indianaimc.com</t>
  </si>
  <si>
    <t>Indiana Metal Fabrications, Inc.</t>
  </si>
  <si>
    <t>mailto:jerrylou@Jericometals.com</t>
  </si>
  <si>
    <t>Indiana Micro Metal Etching, Inc.</t>
  </si>
  <si>
    <t>http://www.indymetaletching.com</t>
  </si>
  <si>
    <t>mailto:leanne@indymetaletching.com</t>
  </si>
  <si>
    <t>Indiana Model Company Inc.</t>
  </si>
  <si>
    <t>http://www.imc4cnc.com</t>
  </si>
  <si>
    <t>mailto:sales@imc4cnc.com</t>
  </si>
  <si>
    <t>Indiana Monument &amp; Cut Stone, Inc.</t>
  </si>
  <si>
    <t>http://www.indystone.com</t>
  </si>
  <si>
    <t>mailto:kathy_baker.heckard@indystone.com</t>
  </si>
  <si>
    <t>Indiana Newspapers LLC</t>
  </si>
  <si>
    <t>Indiana Office Supply Inc.</t>
  </si>
  <si>
    <t>http://www.indianaofficesupply.com</t>
  </si>
  <si>
    <t>mailto:deb@indianaofficesupply.com</t>
  </si>
  <si>
    <t>Indiana Online Driver Safety Limited</t>
  </si>
  <si>
    <t>http://www.safe2drive.com</t>
  </si>
  <si>
    <t>mailto:support@safe2drive.com</t>
  </si>
  <si>
    <t>Indiana Oxygen Company</t>
  </si>
  <si>
    <t>="Supplier,manufacturer, and distributor for industrial gases and welding supplies. Oxygen, acetylene,nitrogen,helium,laboratory gases, laser gases; liquid, high pressure and bulk; manifolds and delivery systems. Welding machines, welding electrode, safety equipment, cutting equipment, plasma equipment."</t>
  </si>
  <si>
    <t>http://www.indianaoxygen.com</t>
  </si>
  <si>
    <t>mailto:indianaoxygen@aol.com</t>
  </si>
  <si>
    <t>Indiana Paging Network, Inc</t>
  </si>
  <si>
    <t>http://www.indianapaging.com</t>
  </si>
  <si>
    <t>mailto:sales@indianapaging.com</t>
  </si>
  <si>
    <t>Paging</t>
  </si>
  <si>
    <t>Indiana Polyclinic, P.C.</t>
  </si>
  <si>
    <t>Indiana Power Service &amp; Supply</t>
  </si>
  <si>
    <t>mailto:jeanne@indiana-power.com</t>
  </si>
  <si>
    <t>Electronic and Precision Equipment Repair and Maintenance</t>
  </si>
  <si>
    <t>Indiana Primary Health Care Association</t>
  </si>
  <si>
    <t>="Indiana Primary Health Care Association (IPHCA) is a statewide not-for-profit advocacy organization whose mission is to promote the provision of primary health care services in areas of need in Indiana and to assure the growth and development of Community, Migrant and Homeless Health Centers in the State."</t>
  </si>
  <si>
    <t>http://www.indianapca.org</t>
  </si>
  <si>
    <t>mailto:webmaster@indianapca.org</t>
  </si>
  <si>
    <t>Indiana Professional</t>
  </si>
  <si>
    <t>http://www..gotoipmg.com</t>
  </si>
  <si>
    <t>mailto:k.taylor@gotoipmg.com</t>
  </si>
  <si>
    <t>Indiana Psych Assessments, LLC</t>
  </si>
  <si>
    <t>="My company provides psychological assessments of IQ, ADHD, Learning Disorders, psychological exams &amp; academic (ECE) assessments of Indiana residents. Additionally, my psychologists complete Vocational Rehabilitation Evaluations along with evaluations for Social Security Disability through the IN DDS. We do quality work, in a timely manner, and at competitive prices."</t>
  </si>
  <si>
    <t>http://chriscatt.com</t>
  </si>
  <si>
    <t>mailto:chriscatt@chriscatt.com</t>
  </si>
  <si>
    <t>Indiana Public Health Association, Inc</t>
  </si>
  <si>
    <t>http://WWW.INPHA.ORG</t>
  </si>
  <si>
    <t>Indiana Public Health Foundation, Inc.</t>
  </si>
  <si>
    <t>http://www.iphf.us</t>
  </si>
  <si>
    <t>mailto:helenscheibner@netscape.net</t>
  </si>
  <si>
    <t>Grantmaking Foundations</t>
  </si>
  <si>
    <t>Indiana Reclamation &amp; Excavating, Inc.</t>
  </si>
  <si>
    <t>="Indiana Reclamation &amp; Excavating, Inc. specializes in Utility excavations,repairs and restorations. This includes Water, Sewer &amp; Storm system repairs, Brick manhole rehab with Strong Seal, Manhole sealing and leveling with patented Mr. Manhole System. small structure replacements, Cross pipe replacements. Also Hydro excavations &amp; Cleaning of storm &amp; sewer lines. Restorations of concrete sidewalk, curb &amp; street. Asphalt patching. Grading, seeding and erosion control. Levee Maintenance &amp; Restoration"</t>
  </si>
  <si>
    <t>http://www.inreclamationexcavating.com</t>
  </si>
  <si>
    <t>mailto:jphillippi@inrecex.com</t>
  </si>
  <si>
    <t>Indiana Recycling Resource</t>
  </si>
  <si>
    <t>mailto:bethany7r@gmail.com</t>
  </si>
  <si>
    <t>Indiana Reflections</t>
  </si>
  <si>
    <t>="Publisher and distributor of the book INDY: Racing Before The 500. The book tells the untold story of the Indianapolis Motor Speedway before the Indianapolis 500 existed. The years of 1909 and 1910 are covered in detail and supplemented by over 200 photographs."</t>
  </si>
  <si>
    <t>http://www.indianareflections.com</t>
  </si>
  <si>
    <t>mailto:info@indianareflections.com</t>
  </si>
  <si>
    <t>Publishing Industries</t>
  </si>
  <si>
    <t>Indiana Restoration Services, Inc.</t>
  </si>
  <si>
    <t>="Commercial Water Damage Drying Commercial Fire Damage Cleaning Commercial Contents storage, cleaning, drying, and deodorization Commercial Interior &amp; Exterior Blasting and Cleaning Residential Water Damage, Fire Damage, Contents Residential &amp; Commercial Carpet Cleaning"</t>
  </si>
  <si>
    <t>http://www.IndianaRestoration.com</t>
  </si>
  <si>
    <t>mailto:dpeck@indianarestoration.com</t>
  </si>
  <si>
    <t>Indiana Rural Health Association</t>
  </si>
  <si>
    <t>="The Indiana Rural Health Association is a not-for-profit corporation developed for the purpose of improving the health of all Indiana citizens in rural settings. The Indiana Rural Health Association is a member-driven organization composed of a diverse membership. The mission of the Indiana Rural Health Association is to enhance the health and well-being of rural populations in Indiana through leadership, education, advocacy, and collaboration. The Association is committed to recruiting a diverse, grassroots membership with intrinsic strengths important to the task of providing meaningful forums. The forums provide opportunities for assessing the strengths and weaknesses of the health care systems; identifying needs/problems within the rural settings; and assessing and developing leadership resources."</t>
  </si>
  <si>
    <t>http://www.indianaruralhealth.org</t>
  </si>
  <si>
    <t>mailto:sgirgisirha@ma.rr.com</t>
  </si>
  <si>
    <t>Indiana Safety and Health, Inc.</t>
  </si>
  <si>
    <t>="Indiana Safety and Health is an organization that provides training in first aid, CPR, bloodborne pathogens and other OSHA compliant classes. We are committed to providing the best training possible. We continuously update our materials and make sure our instructors have the experience and knowledge to pass on to the classroom setting! Indiana Safety and Health, Inc. offers affordable drug testing for businesses and individuals. Also, ISHI offers AED programs and sales to businesses."</t>
  </si>
  <si>
    <t>http://www.indianasafetyandhealth.com</t>
  </si>
  <si>
    <t>mailto:ish@indianasafetyandhealth.com</t>
  </si>
  <si>
    <t>Indiana Shipping Sup</t>
  </si>
  <si>
    <t>http://www.shippingindiana.com</t>
  </si>
  <si>
    <t>mailto:shippingindiana@sbcglobal.net</t>
  </si>
  <si>
    <t>Indiana Stamp</t>
  </si>
  <si>
    <t>="Manufacturer of identifcation and marking products, including office stamps, signs, namebadges, stencils, bronze plaques. Signs include ADA signage, directories, desk and wall signs. We provide bronze plaques for building identification, donor recognition, and historic sites. Imaged Bronze plaques are unique in capturing photographic details preserving them in bronze. Indiana Stamp has been in business since 1947."</t>
  </si>
  <si>
    <t>http://www.indianastamp.com</t>
  </si>
  <si>
    <t>mailto:sales@indianastamp.com</t>
  </si>
  <si>
    <t>Indiana State Nurses Association, Inc.</t>
  </si>
  <si>
    <t>http://www.IndianaNurses.org</t>
  </si>
  <si>
    <t>mailto:info@indiananurses.org</t>
  </si>
  <si>
    <t>Indiana State University</t>
  </si>
  <si>
    <t>http://www.indstate.edu</t>
  </si>
  <si>
    <t>mailto:dawn.underwood@indstate.edu</t>
  </si>
  <si>
    <t>Administration of Education Programs</t>
  </si>
  <si>
    <t>Indiana Strategic Resource Group LLC</t>
  </si>
  <si>
    <t>="ISRG is a Management Consulting firm focusing on Business Strategy, Corporate Supplier Diversity Infrastructure, Vendor Development, and Communication Auditing. The ISRG provides meaningful and sustainable strategies for true economic growth of businesses."</t>
  </si>
  <si>
    <t>http://www.indianastrategicresourcegroup</t>
  </si>
  <si>
    <t>mailto:amungal@indianastrategicresourcegroup.com</t>
  </si>
  <si>
    <t>Indiana Technology Professionals, LLC</t>
  </si>
  <si>
    <t>="Indiana Technology Professionals (IT Professionals) is a statewide IT service provider with a primary focus in full-scale technology management for mid-sized businesses and specialized augmentation for larger organizations. IT Professionals takes a unique approach toward achieving the end-goal. The importance of service availability and end-user support takes the forefront in our support model. We do not offer ""canned"" or ""cookie-cutter"" solutions, rather a tailored plan specifically designed to fit each individual company. This concept, combined with rigorous infrastructure planning/forecasting and an emphasis on continuity provides a rock solid foundation to help our customers achieve success! Specialties: Infrastructure Management, Technology Planning, Business Continuity, Project Management"</t>
  </si>
  <si>
    <t>http://www.indianatech.us</t>
  </si>
  <si>
    <t>mailto:rmras@indianatech.us</t>
  </si>
  <si>
    <t>Indiana Testing, Inc.</t>
  </si>
  <si>
    <t>http://www.itihq.com</t>
  </si>
  <si>
    <t>mailto:customer.service@itihq.com</t>
  </si>
  <si>
    <t>Indiana Univ. Health Bloomington, Inc.</t>
  </si>
  <si>
    <t>http://iuhealth.org</t>
  </si>
  <si>
    <t>mailto:iuhealth.org</t>
  </si>
  <si>
    <t>Indiana University Health Inc</t>
  </si>
  <si>
    <t>="Indiana University Health has been named among the “Best Hospitals in America” by U.S. News &amp; World Report for the last 13 consecutive years. Indiana University Health is dedicated to providing a unified standard of preeminent, patient-centered care. A unique partnership with Indiana University School of Medicine – one of the nation’s leading medical schools – gives our highly skilled physicians access to innovative treatments using the latest research and technology. Every day, IU Health positively impacts the statewide community by carrying out its mission through innovation and excellence in clinical care, education, research and service."</t>
  </si>
  <si>
    <t>Indiana Unmanned Aircraft Systems</t>
  </si>
  <si>
    <t>="The Im VII Unmanned Aircraft System (UAS) is an airborne reconnaissance system developed around a highly efficient, low-observability flying wing platform. The Im VII is able to fly manually or autonomously and offers a line-of-sight real-time video and flight link. Powered by a quiet electric propulsion system, the Im VII is able to operate in noise sensitive environments."</t>
  </si>
  <si>
    <t>http://www.indianauas.com</t>
  </si>
  <si>
    <t>mailto:abellimel@gmail.com</t>
  </si>
  <si>
    <t>Search, Detection, Navigation, Guidance, Aeronautical, and Nautical System and Instrument Mfg.</t>
  </si>
  <si>
    <t>Indiana Van Lines</t>
  </si>
  <si>
    <t>mailto:ivl@sugardog.com</t>
  </si>
  <si>
    <t>Indiana Waste Solutions</t>
  </si>
  <si>
    <t>http://www.indianawastesolutions.com</t>
  </si>
  <si>
    <t>Indiana Wellness Consultants, LLC</t>
  </si>
  <si>
    <t>mailto:kathleen_iwc@culcom.net</t>
  </si>
  <si>
    <t>Indiana university Healthcare Associates</t>
  </si>
  <si>
    <t>http://iuhealth</t>
  </si>
  <si>
    <t>Indiana's Diving Connection, Inc</t>
  </si>
  <si>
    <t>http://www.southernindianascuba.com</t>
  </si>
  <si>
    <t>mailto:info@southernindianascuba.com</t>
  </si>
  <si>
    <t>IndianaVeterans.Info</t>
  </si>
  <si>
    <t>http://www.IndianaVeterans.Info</t>
  </si>
  <si>
    <t>Indianapolis Aviatio</t>
  </si>
  <si>
    <t>="Aviation company which purchases and sell used aircraft, provides aircraft maintenance and avionics repairs and installations, provides charter (air limousine services), rents aircraft, trains pilots, provides aviation fuels and services for local and transient aircraft owners."</t>
  </si>
  <si>
    <t>http://indianapolisaviation.com</t>
  </si>
  <si>
    <t>Indianapolis Bolt &amp; Hydraulics, Inc</t>
  </si>
  <si>
    <t>="A woman owned distributor of abrasives, clamps, fasteners, hydraulic and industrial hose, power transmission items, and shop supplies, serving the agricultural, commercial, construction and industrial markets with quality products at competitive prices and innovative services."</t>
  </si>
  <si>
    <t>mailto:indianapolisboltandhydraulics@comcast.net</t>
  </si>
  <si>
    <t>Indianapolis Counseling Center</t>
  </si>
  <si>
    <t>="Indianapolis Counseling Center (ICC) is an outpatient treatment agency with more than thirty years of experience and emphasis on the following areas: Sex offender treatment (adult and adolescents), •Alcohol &amp; drug treatment outpatient and IOP , Anger management (domestic violence) and Public sexual offense counseling. ICC offers the following services: individual and group therapy, specialty groups, forensic and group screening evaluations, referral to community based support groups, education trainings and groups. In addition to specialized treatment plans developed to meet the needs of individuals, additional structured treatment programs are available."</t>
  </si>
  <si>
    <t>http://www.icc-indy.com</t>
  </si>
  <si>
    <t>mailto:ken@icc-indy.com</t>
  </si>
  <si>
    <t>Indianapolis Demolition Company</t>
  </si>
  <si>
    <t>http://www.indianapolisdemolitionco.com</t>
  </si>
  <si>
    <t>mailto:info@indianapolisdemolitionco.com</t>
  </si>
  <si>
    <t>Indianapolis Institute for Families, Inc</t>
  </si>
  <si>
    <t>http://www.indplsinstitute.com</t>
  </si>
  <si>
    <t>Indianapolis Interpreters Inc.</t>
  </si>
  <si>
    <t>http://www.indianapolisinterpreters.com</t>
  </si>
  <si>
    <t>mailto:info@indianapolisinterpreters.com</t>
  </si>
  <si>
    <t>Indianapolis Interpreters, Inc.</t>
  </si>
  <si>
    <t>="Indianapolis Interpreters is a full service interpretation/translation company that covers American Sign Language as well as 100 foreign languages throughout the state of Indiana. We provide certified and non-certified interpreters and have the capacity to accommodate translation projects of any size or scope. We are available 24/7/365."</t>
  </si>
  <si>
    <t>mailto:chris@indianapolisinterpreters.com</t>
  </si>
  <si>
    <t>Indianapolis Private Industry Council</t>
  </si>
  <si>
    <t>http://www.employindy.org</t>
  </si>
  <si>
    <t>Indianapolis Scale Company</t>
  </si>
  <si>
    <t>http://www.indyscale.com</t>
  </si>
  <si>
    <t>mailto:scales2@indyscale.com</t>
  </si>
  <si>
    <t>Indianapolis Sewing</t>
  </si>
  <si>
    <t>http://indianapolissewingmachine.com</t>
  </si>
  <si>
    <t>mailto:3173220877</t>
  </si>
  <si>
    <t>Indianapolis Stage Sales &amp; Rentals, Inc.</t>
  </si>
  <si>
    <t>http://www.indystage.com</t>
  </si>
  <si>
    <t>mailto:randy@indystage.com</t>
  </si>
  <si>
    <t>Indianapolis Urban League, Inc.</t>
  </si>
  <si>
    <t>http://www.indplsul.org</t>
  </si>
  <si>
    <t>Indianapolis Wire &amp; Terminal, Inc.</t>
  </si>
  <si>
    <t>="we supply Industrial and service customers electrical products such as terminals and wiring in sizes 26 gauge thru 4/0, switches, breakers, plastic ties, loom and spiral wrap, fasteners, truck and saftey lighting, industrial chemicals and tapes, rubber grommets and snap bushings etc., CATALOG AVAILABLE"</t>
  </si>
  <si>
    <t>http://iwterminal.com</t>
  </si>
  <si>
    <t>mailto:dave@iwterminal.com</t>
  </si>
  <si>
    <t>Indians, Inc.</t>
  </si>
  <si>
    <t>http://www.indyindians.com</t>
  </si>
  <si>
    <t>mailto:indians@indyindians.com</t>
  </si>
  <si>
    <t>Sports Teams and Clubs</t>
  </si>
  <si>
    <t>Indoor Wireless Inc.</t>
  </si>
  <si>
    <t>http://www.IndoorWireless.net</t>
  </si>
  <si>
    <t>Industrial Building Services</t>
  </si>
  <si>
    <t>="Industrial Building Services, LLC is a customer-focused company that provides a very high level of comprehensive cleaning services at a competitive price. IBS Seminar operates as a division of Industrial Building Services and offers their participants an accelerated learning environment including the know-how to succeed as a Business Owner. This is a focused educational experience facilitated by an experienced business owner."</t>
  </si>
  <si>
    <t>mailto:IBS_SEMINAR@YAHOO.COM</t>
  </si>
  <si>
    <t>Industrial Construction Services, Inc.</t>
  </si>
  <si>
    <t>http://www.icsmechanical-in.com</t>
  </si>
  <si>
    <t>Industrial Environ. Mgmt. Consultants</t>
  </si>
  <si>
    <t>="Environmental consulting services including environmental permitting; air construction operating and New Source Review (PSD or Offset) Permits; environmental compliance planning and consulting; environmental management plans and programs; ISO 14001 assistance; air dispersion modeling; environmental investigations and enforcement action assistance."</t>
  </si>
  <si>
    <t>http://www.iemc1.com</t>
  </si>
  <si>
    <t>mailto:les.chapman@iemc1.com</t>
  </si>
  <si>
    <t>Industrial Gas Srv.</t>
  </si>
  <si>
    <t>http://www.industrialgas-services.com</t>
  </si>
  <si>
    <t>mailto:info@industrialgas-services.com</t>
  </si>
  <si>
    <t>Industrial Safety &amp; Environmental Servic</t>
  </si>
  <si>
    <t>="Provides regulatory compliance consulting for environmental, health, and safety issues. Routinely performs Phase I &amp; II environmental site assessments, remedial action, environmental compliance audits, asbestos inspections and IH monitoring, OSHA safety audits and training, and geophysical surveying with ground penetrating radar (GPR)."</t>
  </si>
  <si>
    <t>http://www.goises.com</t>
  </si>
  <si>
    <t>mailto:aesko@goises.com</t>
  </si>
  <si>
    <t>Industrial Services &amp; Sales LLC</t>
  </si>
  <si>
    <t>http://www.indser.com</t>
  </si>
  <si>
    <t>mailto:dshodge.industrialservices@tds.net</t>
  </si>
  <si>
    <t>Industrial Solutions Group, Inc.</t>
  </si>
  <si>
    <t>="ISG, Inc. was formed in 2000 with the vision of providing superior environmental and occupational health services at a significant cost savings to our customers. ISG, Inc. is a woman owned business and includes a number of talented individuals with expertise in various aspects of environmental science, safety, industrial hygiene, ergonomics, compliance, ecology, and risk assessment. In addition to traditional consulting services, ISG offers on-site staffing solutions for your occupational and environmental health needs. The company has stayed true to the core values established early on and have always held the health and well being of the workforce and the community as its top priority. ISG’s experienced and eclectic staff provides each cleint with a range of services that makes ISG’s wide variety of services easily accessible to the clients at all times. ISG specializes in public-private partnerships and welcomes new opportunities."</t>
  </si>
  <si>
    <t>http://www.industrial-solutions.net</t>
  </si>
  <si>
    <t>mailto:j.woo@industrial-solutions.net</t>
  </si>
  <si>
    <t>Industrial Tool &amp; Material Handling, Inc</t>
  </si>
  <si>
    <t>="Materials Handling Sales, Service &amp; Supplies, Lift Trucks, Forklifts, Dock Levelers, Dock Equipment, Seals, Shelters, Specialty Doors, Conveyors, Warehouse Supplies &amp; Equipment, Pallet Trucks, Shelving, Pallet Rack, Parts, Storage Cabinets, Allied Equipment &amp; Supplies, Ergonomics, Ladders, Bins, Rolling Equipment, Scissor Lifts, Dock Lifts, Pallet Jacks, Cranes, Hoists, Lift Tables, Straddle Trucks, Reach Trucks, Orderpickers, Electric Pallet Jacks, Drive Thru Rack, Dock Bumpers, Forklift Parts, Dock Parts, Pneumatic Tube Systems, Dock Plates"</t>
  </si>
  <si>
    <t>mailto:ITMHGOV.COM</t>
  </si>
  <si>
    <t>Industrial maintenance &amp; Contract</t>
  </si>
  <si>
    <t>http://gotoimclp.com</t>
  </si>
  <si>
    <t>mailto:imclp@msn.com</t>
  </si>
  <si>
    <t>Indy Auto Slavage Inc</t>
  </si>
  <si>
    <t>mailto:indyrebuildables@sbcglobal.net</t>
  </si>
  <si>
    <t>Support Activities for Non-Metallic Minerals (except Fuels)</t>
  </si>
  <si>
    <t>Indy Black Pages Directory, Inc.</t>
  </si>
  <si>
    <t>http://www.indyblackpages.com</t>
  </si>
  <si>
    <t>mailto:indianablackpages@aol.com</t>
  </si>
  <si>
    <t>Directory and Mailing List Publishers</t>
  </si>
  <si>
    <t>Indy Cakes LLC</t>
  </si>
  <si>
    <t>http://www.IndyCakes.cm</t>
  </si>
  <si>
    <t>mailto:jill@indycakes.com</t>
  </si>
  <si>
    <t>Indy Case Products</t>
  </si>
  <si>
    <t>http://www.indycase.com</t>
  </si>
  <si>
    <t>mailto:jbarnhart@indycase.com</t>
  </si>
  <si>
    <t>Indy City Popcorn Company</t>
  </si>
  <si>
    <t>http://Indycitygiftbaskets.com</t>
  </si>
  <si>
    <t>Gift, Novelty and Souvenir Stores</t>
  </si>
  <si>
    <t>Indy Data Partners</t>
  </si>
  <si>
    <t>="Indy Data Partners has consistently delivered results to clients by staying ahead of the technology curve, maintaining strong relationship with clients and employees, and constantly refining our business model with a focus on leading database technologies. Supporting hundreds of Oracle and SQL Server implementations hosted on UNIX, Linux, and Windows platforms, we also provide our IT expertise for entire infrastructures built around key data systems. We promise our clients technical proficiency through exceptional service."</t>
  </si>
  <si>
    <t>http://www.indydatapartners.com</t>
  </si>
  <si>
    <t>mailto:sales@indydatapartners.com</t>
  </si>
  <si>
    <t>Indy Dead Animal Removal</t>
  </si>
  <si>
    <t>mailto:jsons77@gmail.com</t>
  </si>
  <si>
    <t>Indy Developers Network LLC</t>
  </si>
  <si>
    <t>http://www.IndyDevelopersNetwork.com</t>
  </si>
  <si>
    <t>mailto:sales@indydevelopersnetwork.com</t>
  </si>
  <si>
    <t>Indy East Staffing, Inc.</t>
  </si>
  <si>
    <t>http://www.expresspros.com</t>
  </si>
  <si>
    <t>Indy Electrostatic P</t>
  </si>
  <si>
    <t>="We Electrostatically paint all metal surfaces new or existing, indoors or out, onsite or in our shop. We can refinish existing painted surfaces or prime and paint bare metal surfaces. We do machines, lockers, staircases, light poles, office furniture,restrom partitiions, doors, storefronts and much more."</t>
  </si>
  <si>
    <t>http://McdnSon@aol.com</t>
  </si>
  <si>
    <t>mailto:McdnSon@aol.com</t>
  </si>
  <si>
    <t>Indy Elite Garage Doors LLC</t>
  </si>
  <si>
    <t>http://www.indyelitegaragedoors.com</t>
  </si>
  <si>
    <t>mailto:kbirkle@iegdoors.com</t>
  </si>
  <si>
    <t>Indy Environmental, Inc.</t>
  </si>
  <si>
    <t>="Indy Environmental, Inc. was established as a Subchapter-S Corporation in 2003 to provide focused engineering, manufacturing, and installation of innovative wastewater treatment technologies in onsite and decentralized residential and commercial wastewater treatment applications. Indy Environmental, Inc. has developed systems to serve the small to medium flow, onsite and decentralized wastewater industry. We are a full service company offering design, engineering, permitting, manufacturing, installation, and system operation and maintenance."</t>
  </si>
  <si>
    <t>mailto:chris.limcaco@me.com</t>
  </si>
  <si>
    <t>Indy Events Management Group, LLC.</t>
  </si>
  <si>
    <t>http://www.indyeventsmanagementgroup.com</t>
  </si>
  <si>
    <t>mailto:rake@ori.net</t>
  </si>
  <si>
    <t>Indy Fleet Service Center Inc</t>
  </si>
  <si>
    <t>http://www.IFSC4200.com</t>
  </si>
  <si>
    <t>mailto:ifsc4200@yahoo.com</t>
  </si>
  <si>
    <t>Fuel Dealers</t>
  </si>
  <si>
    <t>Indy IT Professionals, Inc.</t>
  </si>
  <si>
    <t>="Indy IT Professionals is a local leader in technology service and support, custom website and application development, and technology relocation services. As trusted industry experts in their respective fields, the staff at Indy IT Professionals all share a common foundation of finding balance between business and technology. We understand that each business is unique and we work hard to implement solutions that fit the needs of your business. Indy IT Professionals is committed to the long term growth and development of your business and we look forward to partnering with you."</t>
  </si>
  <si>
    <t>http://www.indyitprofessionals.com</t>
  </si>
  <si>
    <t>mailto:tom@indyitprofessionals.com</t>
  </si>
  <si>
    <t>Indy Line-X SE</t>
  </si>
  <si>
    <t>mailto:www.chutchek@millenniumlinings.com</t>
  </si>
  <si>
    <t>Indy MPH Watersports, Inc.</t>
  </si>
  <si>
    <t>http://www.indymph.com</t>
  </si>
  <si>
    <t>Indy Materials Service, Inc.</t>
  </si>
  <si>
    <t>mailto:normanochstein@gmail.com</t>
  </si>
  <si>
    <t>Indy Medical Supplies LLC</t>
  </si>
  <si>
    <t>="Indy Medical Supplies LLC has been in business since July 24, 2007. We provide many unique and technologically advanced Medical Equipment, medical devices,supplies and Diagnostic Kits.We are currently selling Medical Imaging Xray Equipment, Urology Equipment, AED's, Defibrillators, Portable Oxygen Concentrators, Digital Dental Systems, Bovie's and all DME products. We also are OEM's for Corelabs Radiographic Suites, the new radiation film badge the Instadose presented by Indy Medical Supplies LLC and the Devilbiss Igo Portable Oxygen Concentrator newly FAA approved for flight. We started our product line with Radiology Accessories, Non-Lead Protective Aprons, Lead Aprons, custom made and Standard Size available through our website. We do custom sizing and will come to your facility to measure for proper fitting. We are also available for product demonstration and support. Please call for Demo of any of the above mentioned products of interest."</t>
  </si>
  <si>
    <t>http://www.indymedicalsupplies.com</t>
  </si>
  <si>
    <t>mailto:bonnie@indymedicalsupplies.com</t>
  </si>
  <si>
    <t>="We are a Medical Equipment, Supplies and Durable Medical Equipment distributor/supplier. We specialize in safety and technologically advanced equipment and supplies. We carry Automatic External Defibrillators AED's and accessories, masks, sterile gowns, diagnostic tools and Anti-microbial scrubs, gowns, lab coats, privacy curtains and shower. We have Wheelchairs both manual and motorized. We are DME providers for Medicaid patients. We also have respiratory items and portable oxygen concentrators."</t>
  </si>
  <si>
    <t>mailto:indymed@gmail.com</t>
  </si>
  <si>
    <t>Indy Pack &amp; Material Handling LLC</t>
  </si>
  <si>
    <t>Indy Photo Booth</t>
  </si>
  <si>
    <t>http://indyphotobooths.com</t>
  </si>
  <si>
    <t>mailto:info@indyphotobooths.com</t>
  </si>
  <si>
    <t>Consumer Electronics and Appliances Rental</t>
  </si>
  <si>
    <t>Indy PhysioTherapy</t>
  </si>
  <si>
    <t>="Indy Physical Therapy is a comprehensive physical therapy practice specializing in on-site and outpatient rehabilitation. Our staff is trained in treatment of all musculoskeletal injuries: work, automobile, accident, sports related, and prior and post surgery. We strive for excellence in treatment by educating our patients and involving them in their own rehabilitation from the first treatment. The goal of Indy Physical Therapy is to provide exceptional care to our patients and to reduce the workers' compensation costs and to increase productiviy. What Sets Indy Physical Therapy Apart: - Detailed therapy documentation - Mulit-lingual staff - Custom treatment plans - On-site (work/home) treatment - Immediate scheduling of Functional Capacity Evaluations with sameday delivery of the report - Personalized care: our patient s are treated by the same therapist for the duration fo their care"</t>
  </si>
  <si>
    <t>http://www.indypt.com</t>
  </si>
  <si>
    <t>mailto:hannah@indyphysio.com</t>
  </si>
  <si>
    <t>Indy Politics</t>
  </si>
  <si>
    <t>http://IndyPoltics.Org</t>
  </si>
  <si>
    <t>mailto:abdul@indypolitics.org</t>
  </si>
  <si>
    <t>Internet Publishing and Broadcasting</t>
  </si>
  <si>
    <t>Indy Power Wash</t>
  </si>
  <si>
    <t>="COMMERCIAL Pressure Washing Services • Drive-Thru Cleaning • Dumpster Pad Washing • Building Washing • Restaurant Cleaning • Vehicle Fleet Washing • Washing Heavy Equipment • Warehouse Washing • Loading Dock Pressure Washing • New Construction Cleaning • Factory Pressure Washing • Condominium Pressure Washing • Pressure Washing of Townhomes • Pressure Washing of Apartments • Common Area Pressure Washed • Pressure Washing of Clubhouses"</t>
  </si>
  <si>
    <t>http://www.indypowerwash.com/</t>
  </si>
  <si>
    <t>mailto:indypowerwash@indy.rr.com</t>
  </si>
  <si>
    <t>Indy Powersports, In</t>
  </si>
  <si>
    <t>http://www.indy-powersports.com</t>
  </si>
  <si>
    <t>mailto:indypowersports@aol.com</t>
  </si>
  <si>
    <t>Indy Promotions LLC</t>
  </si>
  <si>
    <t>http://www.indy-promotions.com</t>
  </si>
  <si>
    <t>mailto:al.costlow@indy-promotions.com</t>
  </si>
  <si>
    <t>Indy Radio LLC</t>
  </si>
  <si>
    <t>http://wklu.net</t>
  </si>
  <si>
    <t>mailto:mark@wklu.net</t>
  </si>
  <si>
    <t>Indy Rental &amp; Sales, Inc.</t>
  </si>
  <si>
    <t>="We are a family owned and operated equipment rental and sales organization. We specialize in high quality equipment built to last. We carry General Equipment surface preparation machines and hole augers, Jenny air compressors, Subaru-Robin generators and pumps, EZ Dumper trailers, Granite scaffolding, General Pipe Cleaners sewer snakes, Stihl chain saws and more. We have all the equipment a small contractor might need to rent including skid steers, fork lifts and man lifts. In addition we have a variety of homeowner type machines like aerators, seeders, leaf vacs, log splitters, stump grinders and floor care machines."</t>
  </si>
  <si>
    <t>http://www.indyrents.net</t>
  </si>
  <si>
    <t>mailto:kbowling@indyrents.net</t>
  </si>
  <si>
    <t>Indy Security Force</t>
  </si>
  <si>
    <t>="Indy Security Source provides uniformed Security Officers to you. We offer armed and unarmed officers and also security vehicles. This company is veteran owned and operated and serves the Indianapolis area. Our officers will work with you to accomplish your goals: entry control, crime deterrence, traffic control, etc. Hire your neighbor, Hire a Veteran, Hire Indy Security Force."</t>
  </si>
  <si>
    <t>http://www.indysecurityforce.com</t>
  </si>
  <si>
    <t>mailto:Dan@indysecurityforce.com</t>
  </si>
  <si>
    <t>Indy Service Solutions INC</t>
  </si>
  <si>
    <t>http://www.indyservicesolutions.com</t>
  </si>
  <si>
    <t>mailto:info@indyservicesolutions.com</t>
  </si>
  <si>
    <t>Indy Sheet Metal, Inc.</t>
  </si>
  <si>
    <t>mailto:mfarley-ism@sbcglobal.net</t>
  </si>
  <si>
    <t>Indy Tractor, LLC</t>
  </si>
  <si>
    <t>http://www.indytractorllc.com</t>
  </si>
  <si>
    <t>mailto:g-cauble@indytractorllc.com</t>
  </si>
  <si>
    <t>Indy Translations, LLC</t>
  </si>
  <si>
    <t>="Indy Translations, LLC is a locally-headquartered, full-service language communications company founded in Indianapolis, Indiana in 1997. For over a decade we have been providing translation, interpretation, multimedia services, language instruction and cross-cultural training both nationally and internationally in all major world languages."</t>
  </si>
  <si>
    <t>http://www.indytranslations.com</t>
  </si>
  <si>
    <t>mailto:info@indytranslations.com</t>
  </si>
  <si>
    <t>Indy Walls &amp; Ceilings Incorporated</t>
  </si>
  <si>
    <t>mailto:beckyu@indywalls.com</t>
  </si>
  <si>
    <t>Indy Water Solutions</t>
  </si>
  <si>
    <t>http://www.indywatersolutions</t>
  </si>
  <si>
    <t>mailto:don@indywatersolutions.com</t>
  </si>
  <si>
    <t>Indy West Embroidery and Silk Screen LLC</t>
  </si>
  <si>
    <t>mailto:indywestemb@sbcglobal.net</t>
  </si>
  <si>
    <t>Indy-Tech Computer Services, Inc.</t>
  </si>
  <si>
    <t>http://www,indy-tech.com</t>
  </si>
  <si>
    <t>mailto:info@indy-tech.com</t>
  </si>
  <si>
    <t>IndyHomes.com, LLC</t>
  </si>
  <si>
    <t>http://www.IndyHomes.com</t>
  </si>
  <si>
    <t>mailto:ksmith@indyhomes.com</t>
  </si>
  <si>
    <t>Indylift, Inc.</t>
  </si>
  <si>
    <t>="Indylift, Inc. is the distributor of a wide variety of material handling products. We are also the authorized dealer for Clark and Linde forklifts in central Indiana. Other offerings include on site repair and parts for most forklift makes, rental forklifts and used forklifts."</t>
  </si>
  <si>
    <t>http://www.indylift.com</t>
  </si>
  <si>
    <t>mailto:sales@indylift.com</t>
  </si>
  <si>
    <t>Indytech Consultants, Inc.</t>
  </si>
  <si>
    <t>http://www.indytech.com</t>
  </si>
  <si>
    <t>mailto:tracy@indytech.com</t>
  </si>
  <si>
    <t>Satellite Telecommunications</t>
  </si>
  <si>
    <t>Infinamic, Inc.</t>
  </si>
  <si>
    <t>="Indianapolis firm offering a full range of graphic design services: advertisements, corporate identity / logo / branding, web design and general marketing materials. We also provide support in developing Internet marketing plans that can be integrated with current initiatives in order to maximize returns."</t>
  </si>
  <si>
    <t>http://www.infinamic.com</t>
  </si>
  <si>
    <t>mailto:customerservice@infinamic.com</t>
  </si>
  <si>
    <t>Infinite Solutions LLC</t>
  </si>
  <si>
    <t>="Infinite solutions is a unique group of highly qualified, certified and experienced IT professionals. Building long-term relationships with our clients naturally leads to a clear understanding of their unique business requirements. The day-to-day familiarity helps to build systems that will increase your productivity and profitability. Whether you need your existing infrastructure analyzed or you are starting from scratch, Infinite Solutions' technicians can provide you with the right answer. Our certified professionals are trained in how to properly build infrastructure that is both secure and will allow for future growth."</t>
  </si>
  <si>
    <t>http://www.infinitesolutionsllc.com</t>
  </si>
  <si>
    <t>mailto:mstearly@infinitesolutionsllc.com</t>
  </si>
  <si>
    <t>Infinite Technology Services</t>
  </si>
  <si>
    <t>="Infinite Technology Services provides high quality Telecommunications and Information Technology services throughout the United States. ITS utilizes a number of highly qualified resources with varying specialties to ensure that no matter what scope of work needs to be executed ITS has the right people for the job; all the while offering ITS customers extremely competitive pricing. ITS services include the installation, maintenance, and repair of voice and data cabling, coaxial cabling, fiber cabling, data equipment, computer equipment, point of sale equipment, wireless systems, CCTV, and phone systems. At ITS continuing education is a key proponent to our success. Our staff is constantly seeking new and innovative ways to better serve ITS customers while continuing to provide the highest level of service. ITS currently holds the following certifications: Microsoft Certified Professional, Microsoft Certified Technology Specialist, Avaya Certified Specialist, and CompTIA A+."</t>
  </si>
  <si>
    <t>http://www.infiniteservicellc.com</t>
  </si>
  <si>
    <t>mailto:ryan.bowen@infiniteservicellc.com</t>
  </si>
  <si>
    <t>Infinity Investments Inc</t>
  </si>
  <si>
    <t>mailto:dkj1911@hotmail.com</t>
  </si>
  <si>
    <t>Infinity Molding &amp; Assembly, Inc.</t>
  </si>
  <si>
    <t>http://www.infinity-mai.com</t>
  </si>
  <si>
    <t>mailto:sales@infinity-mai.com</t>
  </si>
  <si>
    <t>Infinity Products, Inc</t>
  </si>
  <si>
    <t>="Infinity Products, Inc. specializes in providing our customers with innovative communication and safety accessories for their two-way radios and cellular phones. Choose from a variety of ""reflective"" safety vests, belts, or shoulder assemblies with or without radio holsters, as well as, lightweight accessories to keep your communication equipment conveniently at hand. Infinity Products, Inc. is also an industry leader in manufacturing ""custom design"" strapping products for the OEM (original equipment manufacturer) market. Choose from a wide variety of services to meet your requirements or custom designed needs"</t>
  </si>
  <si>
    <t>http://www.infinityproducts.com</t>
  </si>
  <si>
    <t>mailto:iproducts@indy.rr.com</t>
  </si>
  <si>
    <t>Other Cut and Sew Apparel Manufacturing</t>
  </si>
  <si>
    <t>Infinity Solutions and Associates, LLC.</t>
  </si>
  <si>
    <t>="Infinity Solutions and Associates, LLC. provides the following services: engaging in management and consulting, provision of legal services and litigation support;intellectual property services; human resources and staffing;information technologyand systems integrationvement;education and training; document management;diversity/affirmative action; research;business process outsourcing (BPO Services; comprehensive evaluation and planning for state and local governments;business process improvement; and, customer relationship management ."</t>
  </si>
  <si>
    <t>mailto:infinitysamember@gmail.com</t>
  </si>
  <si>
    <t>Influence, Architecture + Interiors, Ltd</t>
  </si>
  <si>
    <t>mailto:info@influence-ai.com</t>
  </si>
  <si>
    <t>InfoComm Systems Inc.</t>
  </si>
  <si>
    <t>="InfoComm Systems, Inc. provides network engineering and security consulting services to Fortune 500 companies as well as state and local governments. As a client-advocate, vendor-independent consultancy InfoComm Systems represents the client’s best interests from strategic planning, through detailed engineering and financial feasibility studies, to vendor and project management."</t>
  </si>
  <si>
    <t>http://www.infocommsystems.net</t>
  </si>
  <si>
    <t>mailto:info@infocommsystems.net</t>
  </si>
  <si>
    <t>Infopoint Corporation</t>
  </si>
  <si>
    <t>="Now with a locations in both Indianapolis. Infopoint Corporation is dedicated to providing the training and guidance necessary to take IT professionals to the next level in terms of productivity and knowledge. We provide the highest quality instructors and teaching environment for our clients because we care about your learning experience. ""YOUR EXPERIENCE IS OUR OBSESSION"""</t>
  </si>
  <si>
    <t>http://www.infopoint.net</t>
  </si>
  <si>
    <t>mailto:customerservice@infopoint.net</t>
  </si>
  <si>
    <t>Information &amp; Records Associates, Inc.</t>
  </si>
  <si>
    <t>="Electronic document management software provider. We sell and support comprehensive electronic business solutions, including software and hardware, such as digital imaging software and data management services. We sell and service equipment, including desktop scanners, book scanners and large document scanners and printers. We also, sell and service micrographic equipment. We have an In-house custom imaging processing lab to scan your paper records, microfilm and fiche or digitize to CD/DVDs and or a hosted data warehouse."</t>
  </si>
  <si>
    <t>http://www.informationandrecords.com</t>
  </si>
  <si>
    <t>mailto:www.informationandrecords.com</t>
  </si>
  <si>
    <t>Information Capture Solutions, LLC</t>
  </si>
  <si>
    <t>="Information Capture Solutions, LLC (ICS) provides comprehensive Data capture via data entry, and OCR technology. ICS also provides Document imaging, clerical and mailroom services. As an Authorized Captiva Channel Partner ICS also has the capability to provide integrated data capture systems including consulting and development services."</t>
  </si>
  <si>
    <t>http://www.infocapsol.com</t>
  </si>
  <si>
    <t>mailto:rshears@infocapsol.com</t>
  </si>
  <si>
    <t>Information Management Consultants, Inc.</t>
  </si>
  <si>
    <t>="IMC is an Information Technology solutions provider serving IBM iSeries sites (also known as AS/400 and i5) in a variety of industries. Our core competencies include eCommerce, EDI, and services to manufacturing companies. We offer programming, analysis, design, site administration, project management, website development and application hosting services. We are a pioneer in eCommerce integration, having been in the business since our company was formed in 1986."</t>
  </si>
  <si>
    <t>http://www.imcedi.com</t>
  </si>
  <si>
    <t>mailto:info@imcedi.com</t>
  </si>
  <si>
    <t>Information Technology Solutions, LLC</t>
  </si>
  <si>
    <t>http://its-in.org</t>
  </si>
  <si>
    <t>mailto:admin@its-in.org</t>
  </si>
  <si>
    <t>="Information Technology Solutions, LLC provides a spectrum of IT, business management, and environmental solutions, most of which fall within the following key service offerings: • Infrastructure Design and Implementation • Systems Development and Integration • Business Development • Project Consulting Information Technology Solutions, LLC has the experience, experienced personnel, and the commitment to help our clients evolve into a paper-less business and government environment."</t>
  </si>
  <si>
    <t>http://www.itsolutionsllc.biz</t>
  </si>
  <si>
    <t>mailto:info@itsolutionsllc.biz</t>
  </si>
  <si>
    <t>Infusion, Inc.</t>
  </si>
  <si>
    <t>="Commercial Furniture Dealer offering professional interior design, space planning, installation and reconfiguration, furniture refurbishing and reupholstery, move management, warehousing, leasing and rental. Over 100 manufacturers including Knoll and Office Furniture USA."</t>
  </si>
  <si>
    <t>http://www.infusionfortwayne.com</t>
  </si>
  <si>
    <t>mailto:showroom@infusionfortwayne.com</t>
  </si>
  <si>
    <t>Ingersoll-Rand</t>
  </si>
  <si>
    <t>="Ingersoll Rand Security Technologies is at the forefront of cutting-edge technology such as adaptable electronic locks, biometrics and video solutions. Our products and services enhance public safety and security, safeguard valuable national assets, and protect our public employees and military personnel."</t>
  </si>
  <si>
    <t>http://w3.securitytechnologies.com/irst/</t>
  </si>
  <si>
    <t>mailto:doug_otto@irco.com</t>
  </si>
  <si>
    <t>Ingersoll-Rand Co</t>
  </si>
  <si>
    <t>="Sales and Service of compressed air systems, including contact cool and oilfree air compressors, vacuum systems, compressed air treatment, gas and diesil power generators and pneumatic power tools. Our principle mission is to help increase our client's productivity, increase the reliability of their equi[pment and to help increase their profitability."</t>
  </si>
  <si>
    <t>http://www.air.irco.com</t>
  </si>
  <si>
    <t>mailto:john_gardner@irco.com</t>
  </si>
  <si>
    <t>Ingram Enterprises, LLC</t>
  </si>
  <si>
    <t>Ink Heads, LLC</t>
  </si>
  <si>
    <t>http://www.ink-heads.com</t>
  </si>
  <si>
    <t>mailto:kjscheib@ink-heads.com</t>
  </si>
  <si>
    <t>Printing Ink Manufacturing</t>
  </si>
  <si>
    <t>Inkling Design LLC</t>
  </si>
  <si>
    <t>="We help business tell their story with displays that leave a long lasting impression. We specialize in indoor lobby displays, trade show exhibits, museum exhibits and outdoor sign displays. We satisfy the goals of a diverse clientele while creating content rich exhibits and dramatic story driven attractions."</t>
  </si>
  <si>
    <t>mailto:inklingdesign@ymail.com</t>
  </si>
  <si>
    <t>InnerG Consulting</t>
  </si>
  <si>
    <t>="InnerG Consulting is an interior/exterior design consulting business that provides residential, commercial and industrial design consulting and services including but not limited to: color coordinating, design layout, remodeling, home staging, essential organization and reorganization, interior decorating and design as well as project management."</t>
  </si>
  <si>
    <t>http://www.innerg-consulting.com</t>
  </si>
  <si>
    <t>mailto:innergac@aol.com</t>
  </si>
  <si>
    <t>Innercity Transit LLC</t>
  </si>
  <si>
    <t>http://www.ictindy.com</t>
  </si>
  <si>
    <t>mailto:info@ictindy.com</t>
  </si>
  <si>
    <t>Mixed Mode Transit Systems</t>
  </si>
  <si>
    <t>Innospace, Inc.</t>
  </si>
  <si>
    <t>="Innospace, Inc. D/B/A Innospace of Indiana is a commercial WBE interior design company that specializes in interior design and space planning for corporate, healthcare, financial and educational industries. Our NCIDQ certified designers provide quality design and space planning services, as well as furniture specification services. Working closely to a large group of Grade A manufacturers and vendors, we offer a variety of goods and services in office and classroom furnishings, flooring (carpet - tile or broadloom, ceramic, wood, VCT), as well as fabric and carpet cleaning. We carry several lines of window treatments, as well as ancillary and finish products, (artwork, lighting and greenery). We have a factory trained installation staff for all the furniture and flooring products we sell. We also offer climate-controlled, secured warehousing and storage facilities. We have national contracting and networking with many vendors to provide excellent pricing and expedient deliveries."</t>
  </si>
  <si>
    <t>mailto:jsmall@cdi-ofusa.com</t>
  </si>
  <si>
    <t>Innovations Consulting Group</t>
  </si>
  <si>
    <t>="Innovations Consulting Group, LLC (“ICG”) is a premier Midwest Consulting Firm located in Indianapolis, Indiana, specializing in Regulatory &amp; Compliance, and Information Technology solutions. ICG is dedicated to providing consulting services in the area of Quality System Regulations that are valuable to the Pharmaceutical Corporations, Medical Device Corporations, and Bioscience Manufacturing Companies."</t>
  </si>
  <si>
    <t>http://www.inncongrp.com</t>
  </si>
  <si>
    <t>mailto:jroby@inncongrp.com</t>
  </si>
  <si>
    <t>Innovations Dance Center, Inc.</t>
  </si>
  <si>
    <t>http://innovationsdancecenter.com</t>
  </si>
  <si>
    <t>Innovative Battery Power</t>
  </si>
  <si>
    <t>http://www.innovativebatterypower.com</t>
  </si>
  <si>
    <t>mailto:contact@innovativebatterypower.com</t>
  </si>
  <si>
    <t>Battery Manufacturing</t>
  </si>
  <si>
    <t>Innovative Chemical Resources, Inc.</t>
  </si>
  <si>
    <t>="The ICR chemical manufacturing facility has been designed to offer high purity chemistries on a made to order basis. The facility has the capabilities to custom blend that “niche” market product and meet all quality standards. We possess the capability to manufacture 100 to 300 gallon blends. The facility has over 1.3 miles of high purity piping. ICR currently packages over 50 different blends in sizes from 1000 ml bottles to 300 gallon totes. These blends are integrated circuit etchants, developers, neutralizers, oxidizers, water treatment chemistries and many laboratory reagents. Our facility has achieved ISO 9001:2000 and ISO 14001 quality certifications. ICR also possesses expertise in the following chemical related areas: design and development of water recycle (water reuse) systems, creates and manages chemical inventory programs, and providing cost effective water treatment chemicals and equipment for industry."</t>
  </si>
  <si>
    <t>http://www.innovativechemical.com</t>
  </si>
  <si>
    <t>mailto:clay@innovativechemical.com</t>
  </si>
  <si>
    <t>Innovative Control Systems, LLC</t>
  </si>
  <si>
    <t>http://www.innovativecontrolsys.com</t>
  </si>
  <si>
    <t>mailto:rsmith@innovativecontrolsys.com</t>
  </si>
  <si>
    <t>Innovative Graphics, Inc.</t>
  </si>
  <si>
    <t>="Innovative Graphics, Inc. offers a full range of printing services and is your complete, single source business partner for all your printing &amp; mailing requirements, web design &amp; hosting, promotional products and much more. With our 19 years of experience, IGI combines a high level of personal service with modern technology. This allows us to offer online ordering and proofing. We currently coordinate, print manage and provide purchasing via the Internet for several prominent Indiana companies and non-for profits. One example, we presently provided all the printed materials for a local company with 16 locations across the nation. Each office is able to purchase materials online. This program is designed to eliminate errors that normally occur in the print arena. We have provided our customers the ability to manage exactly how much they have spent and what items have been purchased. This allows the company to monitor and create budgets for each office as needed."</t>
  </si>
  <si>
    <t>http://www.igi4u.com</t>
  </si>
  <si>
    <t>mailto:jan@igi4u.com</t>
  </si>
  <si>
    <t>Innovative Interventions LLC</t>
  </si>
  <si>
    <t>mailto:dddineff@aol.com</t>
  </si>
  <si>
    <t>Innovative Mapping Solutions, LLC</t>
  </si>
  <si>
    <t>http://www.inn-map.com</t>
  </si>
  <si>
    <t>mailto:info@inn-map.com</t>
  </si>
  <si>
    <t>Innovative Masonry Systems, Inc.</t>
  </si>
  <si>
    <t>http://www.innovativemasonry.com</t>
  </si>
  <si>
    <t>mailto:joane@innovativemasonry.com</t>
  </si>
  <si>
    <t>Innovative Options, LLC</t>
  </si>
  <si>
    <t>mailto:linda@innovative-options.com</t>
  </si>
  <si>
    <t>Innovative Packaging, Inc</t>
  </si>
  <si>
    <t>http://www.innpac.com</t>
  </si>
  <si>
    <t>mailto:sales@innpac.com</t>
  </si>
  <si>
    <t>Innovative Roofing Solutions, Inc.</t>
  </si>
  <si>
    <t>mailto:roofsolution@nalu.net</t>
  </si>
  <si>
    <t>Innovative Specialty Services</t>
  </si>
  <si>
    <t>mailto:isshartman@gmail.com</t>
  </si>
  <si>
    <t>Innoventum, Inc.</t>
  </si>
  <si>
    <t>http://www.innoventum.com</t>
  </si>
  <si>
    <t>Innovo Partners LLC</t>
  </si>
  <si>
    <t>http://www.innovopartners.com</t>
  </si>
  <si>
    <t>mailto:info@innovopartners.com</t>
  </si>
  <si>
    <t>Inox Consulting Services</t>
  </si>
  <si>
    <t>http://www.inoxconsulting.com</t>
  </si>
  <si>
    <t>mailto:info@inoxconsulting.com</t>
  </si>
  <si>
    <t>Input - Output Unlimited, Inc.</t>
  </si>
  <si>
    <t>http://www.inputoutputunlimited.com</t>
  </si>
  <si>
    <t>mailto:experts@inputoutputunlimited.com</t>
  </si>
  <si>
    <t>Insertec Inc.</t>
  </si>
  <si>
    <t>="Insertec specializes in custom packaging (POP corrugate displays, folding containers, sleeves, etc), printing, multi-media replication/duplication (CDs, DVDs, mini discs and multi media transfers) and assembly based projects ( High speed shrink wrapping, poly bagging, kitting, bundling, display building, insertion, etc.)"</t>
  </si>
  <si>
    <t>http://www.insertec.com</t>
  </si>
  <si>
    <t>mailto:sales@insertec.com</t>
  </si>
  <si>
    <t>Insight HR, A Limited Liability Company</t>
  </si>
  <si>
    <t>="Based in the Michiana area insight HR is your partner for custom management and human resources consulting. At insight HR we strive to create progressive, realistic and achievable business solutions that stabilize operational performance and support growth. With experience in all industry sectors including government and not-for-profit and expertise in: * Strategic Management &amp; Organizational Effectiveness * Training &amp; Leadership Development * Workforce Planning &amp; Employment * Employee Relations * Compensation &amp; Benefits * Risk &amp; Safety Management"</t>
  </si>
  <si>
    <t>http://www.in-sighthr.com</t>
  </si>
  <si>
    <t>mailto:contact.us@in-sighthr.com</t>
  </si>
  <si>
    <t>Insight2, Inc</t>
  </si>
  <si>
    <t>http://www.insight2.net</t>
  </si>
  <si>
    <t>mailto:jmccolgin@insight2.net</t>
  </si>
  <si>
    <t>Insights Consulting, Inc</t>
  </si>
  <si>
    <t>http://www.insightsonline.net</t>
  </si>
  <si>
    <t>mailto:KHartman@insightsonline.net</t>
  </si>
  <si>
    <t>Inspirations Contemporary Furniture, Inc</t>
  </si>
  <si>
    <t>http://www.inspirationscontemporary.com</t>
  </si>
  <si>
    <t>mailto:info@inspirationscontemporary.com</t>
  </si>
  <si>
    <t>Inspire Associates, Inc.</t>
  </si>
  <si>
    <t>http://www.inspireassociatesinc.com</t>
  </si>
  <si>
    <t>mailto:fsiscel@inspireassociatesinc.com</t>
  </si>
  <si>
    <t>Instant Metals Co.</t>
  </si>
  <si>
    <t>http://www.instantmetals.com</t>
  </si>
  <si>
    <t>mailto:twalkerjones@aol.com</t>
  </si>
  <si>
    <t>Instructional Design Solutions</t>
  </si>
  <si>
    <t>="Instructional Design Solutions (IDS) is an educational and training consulting firm. We specialize in providing superior instructional design and project management services. Our areas of expertise extend many industries, including government and corporate environments."</t>
  </si>
  <si>
    <t>http://www.IDS-Indy.com</t>
  </si>
  <si>
    <t>mailto:Daria@IDS-Indy.com</t>
  </si>
  <si>
    <t>Insul-Coustic Corpor</t>
  </si>
  <si>
    <t>Mineral Wool Manufacturing</t>
  </si>
  <si>
    <t>Insurance Services of Delaware Cty LLC</t>
  </si>
  <si>
    <t>http://www.isdconline.com</t>
  </si>
  <si>
    <t>mailto:brandi@isdconline.com</t>
  </si>
  <si>
    <t>Direct Property and Casualty Insurance Carriers</t>
  </si>
  <si>
    <t>InsureMax Insurance</t>
  </si>
  <si>
    <t>="If you've had problems with speeding tickets, DWIs, auto accidents, or even had your license suspended, InsureMax can solve your insurance problems. With one of the industry's lowest down payments and easiest monthly payment plans the ""hard to insure"" become insurable... guaranteed!"</t>
  </si>
  <si>
    <t>http://www.insuremax.net</t>
  </si>
  <si>
    <t>mailto:info@insuremax.net</t>
  </si>
  <si>
    <t>InteCare, Inc.</t>
  </si>
  <si>
    <t>http://InteCare.org</t>
  </si>
  <si>
    <t>mailto:gbuck@intecare.org</t>
  </si>
  <si>
    <t>Intech Manufacturing, Inc.</t>
  </si>
  <si>
    <t>http://www.intechmfg.com</t>
  </si>
  <si>
    <t>mailto:office@intechmfg.com</t>
  </si>
  <si>
    <t>Integra Management &amp;</t>
  </si>
  <si>
    <t>mailto:integramgt@aol.com</t>
  </si>
  <si>
    <t>Integral Controls</t>
  </si>
  <si>
    <t>Integral Group LLC</t>
  </si>
  <si>
    <t>Integrated Building Maintenance Services</t>
  </si>
  <si>
    <t>http://www,ibmsgreen.net</t>
  </si>
  <si>
    <t>mailto:karent@promakagreen.com</t>
  </si>
  <si>
    <t>Integrated Custom Components Inc</t>
  </si>
  <si>
    <t>mailto:icc@ic2inc.com</t>
  </si>
  <si>
    <t>Integrated Engineering Solutions, Inc.</t>
  </si>
  <si>
    <t>mailto:hannah@integratedengsols.com</t>
  </si>
  <si>
    <t>Integrated Ergonomics LLC</t>
  </si>
  <si>
    <t>="Experienced ergonomics consultancy specializing in cost-effective workplace injury investigation and prevention. Ergonomics risk audits for employers. Workplace and job design advisers. Advice on accommodation of workers with disabilities. Training courses and workshops for workers, employers and occupational health staff."</t>
  </si>
  <si>
    <t>http://www.integratedergonomics.com</t>
  </si>
  <si>
    <t>mailto:info@integratedergonomics.com</t>
  </si>
  <si>
    <t>Integrated Housekeeping Management, Inc.</t>
  </si>
  <si>
    <t>="IHM Facility Services is a national MBE &amp; ISO 9001:2000 Certified facility services provider with a successful 30-year history of delivering contract janitorial, housekeeping, handyman and general labor services to large &amp; mid-size manufacturing, educational, commercial, food processing &amp; research facilities."</t>
  </si>
  <si>
    <t>http://www.ihmfacilityservices.com</t>
  </si>
  <si>
    <t>mailto:info@ihmfacilityservices.com</t>
  </si>
  <si>
    <t>Integrated LLC</t>
  </si>
  <si>
    <t>="At Integrated Security Solutions, our mission is simple - provide superior quality electronic security solutions that work. We do this while maintaining ethical business practices and eliminating the hassles and games that most security providers love. We do not make our customers jump through unneccessary hoops; we do not sell superfluous parts or require long term contracts with questionable conditions. We simply sell high quality electronic security products and services designed to help you solve your safety and loss prevention problems."</t>
  </si>
  <si>
    <t>http://www.integratedindiana.com</t>
  </si>
  <si>
    <t>mailto:sales@integratedindiana.com</t>
  </si>
  <si>
    <t>Integrating Woman Leaders, Inc.</t>
  </si>
  <si>
    <t>http://www.integratingwomanleaders.com</t>
  </si>
  <si>
    <t>mailto:klake@integratingwomanleaders.com</t>
  </si>
  <si>
    <t>Integrin Solutions</t>
  </si>
  <si>
    <t>http://www.integrinsolutions.net</t>
  </si>
  <si>
    <t>mailto:meghan@integrinsolutions.net</t>
  </si>
  <si>
    <t>Integritech, LLC</t>
  </si>
  <si>
    <t>mailto:ls.integritech@comcast.net</t>
  </si>
  <si>
    <t>Integrity Construction Services, LLC</t>
  </si>
  <si>
    <t>mailto:tcardwell@integritycons.com</t>
  </si>
  <si>
    <t>Integrity Home Care Plus, LLC</t>
  </si>
  <si>
    <t>="Integrity Home Care Plus, LLC provides care to the aged and disabled in their homes. We provide skill nursing service (RN's &amp; LPN's), home health aides, homemakers, companions and respite care. Our services are available 24 hours a day/7days a week. We are licensed by the Indiana State Department of Health as a licensed Home Health Agency."</t>
  </si>
  <si>
    <t>http://www.integrityseniorcare@att.net</t>
  </si>
  <si>
    <t>mailto:integritycares@att.net</t>
  </si>
  <si>
    <t>Integrity Leadership Solutions, LLC</t>
  </si>
  <si>
    <t>="Integrity Leadership Solutions (ILS) is an independent consulting business providing Human Capital Solutions. We are dedicated to promotion of understanding &amp; respect for individual contributions within an organization. ILS provides ethical tools, solutions, strategies, and education designed to improve human interactions and working relationships while focusing on leadership, teams and individuals within organizations. ILS addresses issues such as: 1) Team Development; 2) Team Dynamic problems; 3) Conflict management; 4) Trust Building; 5) Executive coaching; 6) Employee Engagement and 7) Career Exploration. We provide benefits such as improved: communication, employee retention, organizational trust, productivity &amp; efficiency, employee morale, and ROI."</t>
  </si>
  <si>
    <t>http://www.IntegrityLeadershipSolutions.</t>
  </si>
  <si>
    <t>mailto:mept@comcast.net</t>
  </si>
  <si>
    <t>Integrity Limousine Service, LLC.</t>
  </si>
  <si>
    <t>http://www.integritylimoservice.com</t>
  </si>
  <si>
    <t>mailto:tcardwell@integritylimoservice.com</t>
  </si>
  <si>
    <t>Integrity Partners LLC</t>
  </si>
  <si>
    <t>http://www.integrityllc.us</t>
  </si>
  <si>
    <t>mailto:johndspence@integrityLLC.US</t>
  </si>
  <si>
    <t>Integrity Plus LLC</t>
  </si>
  <si>
    <t>http://www.proformaintegrityplus.com</t>
  </si>
  <si>
    <t>mailto:angie.jacks@proforma.com</t>
  </si>
  <si>
    <t>Integrity Resources of Indiana, LLC</t>
  </si>
  <si>
    <t>Integrity Security Protection LLC</t>
  </si>
  <si>
    <t>mailto:ispinc@wowway.com</t>
  </si>
  <si>
    <t>Intelligent Cleaning Systems, Inc</t>
  </si>
  <si>
    <t>="Intelligent Cleaning Systems is a janitorial supply company located in Westfield, Indiana. The company's executive staff has over 30 years experience in the Sanitary Maintenance Industry. You can visit us at www.intelligentcleaningsystems.com. Our business strategy centers on designing and implementing procedures to maintain and restore all flooring surfaces, customizing systems to accomplish cleaning tasks efficiently and effectively, automating manual cleaning processes, site survey's and cleaning assessments designed to reduce overall cost, establishing cleaning standards, Just-In-Time inventory/supply management and monthly certified training through our iCleanSmart School. Our mission is to increase customer profitability by simplifying the cleaning process. Our success is measured by our customer's success!"</t>
  </si>
  <si>
    <t>http://www.intelligentcleaningsystems.co</t>
  </si>
  <si>
    <t>mailto:w.fisher@intelligentcleaningsystems.com</t>
  </si>
  <si>
    <t>Intelligent Infotech LLC</t>
  </si>
  <si>
    <t>="CUSTOM COMPUTER PROGRAMMING SERVICES COMPUTER SYSTEMS DESIGN SERVICES COMPUTER FACILITIES MANAGEMENT SERVICES OTHER COMPUTER RELATED SERVICES LIKE WEB DEVELOPMENT OTHER MANAGEMENT CONSULTING SERVICES ALL OTHER PROFESSIONAL, SCIENTIFIC, AND TECHNICAL SERVICES COMPUTER TRAINING"</t>
  </si>
  <si>
    <t>http://www.intellinfotech.com</t>
  </si>
  <si>
    <t>mailto:rbohra@intellinfotech.com</t>
  </si>
  <si>
    <t>Inter Technologies Corporation</t>
  </si>
  <si>
    <t>="Inter Technologies Corporation is a multi-national corporation with operations in the U.S., Germany, the United Kingdom, China, Chile, Mexico, Colombia, Peru and Ecuador. The company specializes not only in distance learning technologies, but also through its subsidiaries and partners the delivery of training and higher education programs around the world. The corporation, founded in 2000, by the then Director of Distance Learning and Technology for a major US University, has serviced and continues to service the U.S. Army, Defense Department and a multitude of US and Global universities. The company has grown into a mid-size organization and continues to experience growth supported by strong economic and fiscally responsible investment in its operations. The company has experienced stable growth over the past three years including earning INC 5000 status the past three years and expected INC 500 status this year. ITC is a certified Infocomm Diamond Seal AV provider (CAVSP Diamond)."</t>
  </si>
  <si>
    <t>http://intertech.tv</t>
  </si>
  <si>
    <t>mailto:bill@intertech.tv</t>
  </si>
  <si>
    <t>InterCultural Interpretation Services</t>
  </si>
  <si>
    <t>mailto:williams.lourdes@gmail.com</t>
  </si>
  <si>
    <t>InterPak,Inc.</t>
  </si>
  <si>
    <t>mailto:interpak-cdv@sbcglobal.net</t>
  </si>
  <si>
    <t>Interact Multimedia dba Interact Medical</t>
  </si>
  <si>
    <t>="Interact Multimedia dba Interact Medical, creates custom interactive training and simulation presentations. We work with our client's subject matter experts to design computer-based training modules that include interactive steps that prompt the learner to actively engage themselves in the learning experience. We work primarily in medical device training, but can apply our custom e-learning design to any industry or profession."</t>
  </si>
  <si>
    <t>http://www.interactmedical.com</t>
  </si>
  <si>
    <t>mailto:info@interactmedical.com</t>
  </si>
  <si>
    <t>Interactions Corporation</t>
  </si>
  <si>
    <t>="Interactions offers a fully managed revolutionary customer self-service call center solution that delivers a customer experience and economic benefits unachievable with any alternative call center solution. Our solution leverages the strengths of humans and technology, while eliminating the drawbacks to each, and completely restructures the workflow of traditional customer care. We are driving the Second Customer Service Revolution with our delivery of minute division of service tasks, lighting fast system comprehension, and our system’s ability to perfectly adhere to an organization’s customer service process every single time."</t>
  </si>
  <si>
    <t>http://www.interactions.net</t>
  </si>
  <si>
    <t>mailto:info@interactions.net</t>
  </si>
  <si>
    <t>Interactive Digital Solutions, Inc.</t>
  </si>
  <si>
    <t>="IDSolutions is a global visual communications solutions provider with video-centric solutions for the educational, government, healthcare and enterprise industries. These cloud and customer-premise solutions are ideal for improving customer interactions, improving internal collaboration, streamlining workflows, providing professional development and reducing unnecessary travel expenses through video conferencing and streaming. Our focus on visual communications technologies is built around industry leading manufacturers of video over IP products and satisfied customers across the country."</t>
  </si>
  <si>
    <t>http://www.e-idsolutions.com</t>
  </si>
  <si>
    <t>mailto:mdecrane@e-idsolutions.com</t>
  </si>
  <si>
    <t>mailto:jlee@e-idsolutions.com</t>
  </si>
  <si>
    <t>Interax Corporation</t>
  </si>
  <si>
    <t>http://www.interaxcorp.com</t>
  </si>
  <si>
    <t>mailto:info@interaxcorp.com</t>
  </si>
  <si>
    <t>Interim HealthCare of Indianapolis, Inc.</t>
  </si>
  <si>
    <t>http://www.interimindy.com</t>
  </si>
  <si>
    <t>mailto:cmeinerding@interimindy.com</t>
  </si>
  <si>
    <t>Interior Concepts of Indiana LLC</t>
  </si>
  <si>
    <t>http://www.interiorconceptsofindiana.com</t>
  </si>
  <si>
    <t>mailto:srkennell@interiorconceptsofindiana.com</t>
  </si>
  <si>
    <t>Interior Forms &amp; Shapes, Inc.</t>
  </si>
  <si>
    <t>mailto:interiorfs@outlook.com</t>
  </si>
  <si>
    <t>Interior Image Group</t>
  </si>
  <si>
    <t>="Interior Image Group is a Commercial Interior Design firm offering interior design and furnishings. We have CAD design capabilities. Specifications for flooring, wallcovering,artwork. furniture, office systems, signage, &amp; accessories. We also offer graphic deisgn capabilities for murals, logo, website deisgn, business cards and letter head. We are in the process of WBE certification with the State of Indiana"</t>
  </si>
  <si>
    <t>Interior Products Supply Division of SGI</t>
  </si>
  <si>
    <t>mailto:library@intprod.com</t>
  </si>
  <si>
    <t>Interlocal Associati</t>
  </si>
  <si>
    <t>="Interlocal Association provides employment and training services to employees and employers through the WorkOne and WorkOne Express offices located in the central Indiana counties of Boone, Hamilton, Hancock, Hendricks, Johnson, Madison, Morgan, and Shelby."</t>
  </si>
  <si>
    <t>Interlocal Community Action Program.</t>
  </si>
  <si>
    <t>http://icapcaa.org</t>
  </si>
  <si>
    <t>mailto:icap@icapcaa.org</t>
  </si>
  <si>
    <t>International Global Solution</t>
  </si>
  <si>
    <t>http://www.igsdistributing.com</t>
  </si>
  <si>
    <t>International Global Solutions</t>
  </si>
  <si>
    <t>="IGS Distributing is a Supplier and Reseller of Wire, Cable, Communications products. We also provide installation of services as well as Construction Management. We also provide security systems as well as fasteners, fiber optics and phone systems. We have formed direct partnerships with manufacturers to provide savings of these products to our customers."</t>
  </si>
  <si>
    <t>mailto:donteadams@igsdistributing.com</t>
  </si>
  <si>
    <t>Power, Distribution and Specialty Transformer Manufacturing</t>
  </si>
  <si>
    <t>International Label Mfg.llc</t>
  </si>
  <si>
    <t>="International Label Mfg.llc is a custom label manufacturer and commercial printer. We produce custom labels to your specification up to 4-colors 16"" wide and 4-color process 10"" wide. We produce all quantities from 1000 to in the millions. We produce our custom labels flexographic/silk screened/embossed/hotstamped etc. Our commercial printing division produces printed items from business cards, multi part continuos forms, envelopes, presentation folders, employee manuals, services guides, collating, GBC binding, saddle stitching and much much more."</t>
  </si>
  <si>
    <t>http://www.internationallabelmfg.com</t>
  </si>
  <si>
    <t>mailto:lisagonzales@internationallabelmfg.com</t>
  </si>
  <si>
    <t>Coated and Laminated Paper Manufacturing</t>
  </si>
  <si>
    <t>International Leverage, LLC</t>
  </si>
  <si>
    <t>http://www.TLSbyDesign.com</t>
  </si>
  <si>
    <t>mailto:Sales@TLSbyDesign.com</t>
  </si>
  <si>
    <t>International Pipe Consultants &amp; Sales</t>
  </si>
  <si>
    <t>http://www.ipcsales.com</t>
  </si>
  <si>
    <t>mailto:info@ipcsales.com</t>
  </si>
  <si>
    <t>International Vending Management, Inc.</t>
  </si>
  <si>
    <t>="IVM effectively manages the traditional vending programs for our clients. We manage those programs on an ongoing basis and also increase revenues to our clients by millions of dollars through improving, monitoring and auditing their vending programs. Our vending management clients are in market segments such as education, retail, transportation, health, manufacturing and hospitality. While our vending management services continue to be an important aspect of our business, we are experiencing tremendous growth in our supply vending division. This division concentrates on distributing the products that our clients need to provide to their employees, free of charge, while maintaining cost and usage controls on those products. These products range from safety glasses to drill bits to office supplies. IVM has specialized equipment that allows us to remotely track disbursement of these products, which, in turn, allows our clients to control usage abuses and control costs."</t>
  </si>
  <si>
    <t>http://www.ivminc.com</t>
  </si>
  <si>
    <t>mailto:mpitts@ivminc.com</t>
  </si>
  <si>
    <t>Internet Profiles, Inc. DBA WSI</t>
  </si>
  <si>
    <t>http://www.wsiinternetimagination.com</t>
  </si>
  <si>
    <t>mailto:julie@wsiinternetimagination.com</t>
  </si>
  <si>
    <t>Interpreter Network Reaching Indiana, In</t>
  </si>
  <si>
    <t>mailto:inriterps@hotmail.com</t>
  </si>
  <si>
    <t>Interstate Parking Company of IndianaLLC</t>
  </si>
  <si>
    <t>http://www.interstateparking.com</t>
  </si>
  <si>
    <t>mailto:ininfo@interstateparking.com</t>
  </si>
  <si>
    <t>Interstate Power Tools &amp; Machining Inc.</t>
  </si>
  <si>
    <t>="Since 1981, Interstate Rentals has served the Indiana construction community's needs with quality equipment for rent and sale. Ask us about our mobile 60' light tower and how it is the ideal choice for industrial and construction applications. It’s also perfect for illuminating festivals, ball fields, and on-location movie sets-anywhere controlled wide-area lighting is essential."</t>
  </si>
  <si>
    <t>http://www.interstaterentals.com</t>
  </si>
  <si>
    <t>mailto:orders@interstaterentals.com</t>
  </si>
  <si>
    <t>Intra Business Systems, Inc.</t>
  </si>
  <si>
    <t>="Intra Business Systems offers over 30,000 different office supply items for business, government and education. Specialize in lower priced high quality compatible laser, fax and copier toners of a quality equal to the original. Other offerings include: office equipment repair, office supplies, janitorial supplies, computer supplies, furniture and break room. 800-786-2270"</t>
  </si>
  <si>
    <t>http://www.intrabusinesssystems.com</t>
  </si>
  <si>
    <t>mailto:jkampars@intrabusinesssystems.com</t>
  </si>
  <si>
    <t>IntraScape, Inc.</t>
  </si>
  <si>
    <t>http://www.intrascapeinc.com</t>
  </si>
  <si>
    <t>mailto:nancy@intrascapeinc.com</t>
  </si>
  <si>
    <t>Intrinsic Dynamics, LLC.</t>
  </si>
  <si>
    <t>="Intervention and Treatment Services. Certified services for Domestic Violence Intervention. Substance Abuse Treatment services. Consulting and coaching services for: finances, sex addiction, nutrition, communicating anger, and relationships. We are providing the hope and information it takes to make positive change in someone's personal life."</t>
  </si>
  <si>
    <t>http://www.intr-dynamics.com</t>
  </si>
  <si>
    <t>mailto:cramirez@intr-dynamics.com</t>
  </si>
  <si>
    <t>Intrinz Inc</t>
  </si>
  <si>
    <t>http://www.intrinzincorp.com</t>
  </si>
  <si>
    <t>mailto:info@intrinzincorp.com</t>
  </si>
  <si>
    <t>Ion360, LLC.</t>
  </si>
  <si>
    <t>="Ion360 Focus: Our unique focus is developing and growing a demand for your products and services with measurable results. We will collaborate to predict and resolve business challenges. We are creative business experts who design, implement, and deploy innovative strategies with fresh perspectives. Business Strategy: We identify, evaluate, and implement new growth strategies such as expanding ""digital"" and geographical sectors, developing business partnerships, launching new products and services, and revitalizing marketing plans (i.e., Broadcasting, print/digital advertising, interactive promotions, event marketing, sales: collateral &amp; POS) Marketing Technology: Our technology services focus on detailed planning, implementation, and execution. We provide a variety of web development services ranging from highly targeted marketing websites to global channel and e-commerce sites (i.e., Web strategic planning, web system development, e-commerce, flash/digital sales tools, database &amp; C"</t>
  </si>
  <si>
    <t>http://ion360.net</t>
  </si>
  <si>
    <t>mailto:dimitri@ion360.net</t>
  </si>
  <si>
    <t>Ireland Home Based Services, LLC</t>
  </si>
  <si>
    <t>="Ireland Home Based Services provides comprehensive home based and community based services to families and children in southwestern Indiana. We not only assess how the home environment is affecting the family but the neighborhood, school, community, and other systems involved. By assessing the factors at play in a family environment we can assign a worker or workers to address both setting and personal effects. One person may assume several roles, several people one role each, one person and one role, or whatever seems appropriate for the particular situation. Basic roles are: Home Based Therapy Home Based Casework &amp; Juvenile Mentoring Visit Facilitation –Paraprofessional and Visit Facilitation-Therapeutic Parent Aide/Homemaker Assessments including Systematic assessment of environment and substance abuse Home Studies Pre &amp; Post Placement Adoption Services Intensive Family Reunification and Preservation Community Partners for Child Safety"</t>
  </si>
  <si>
    <t>http://www.ihbs.us</t>
  </si>
  <si>
    <t>mailto:ksommer@ihbs.us</t>
  </si>
  <si>
    <t>Irene King Enterprises</t>
  </si>
  <si>
    <t>mailto:irene.king@hotmail.com</t>
  </si>
  <si>
    <t>Irish Mechanical Services, Inc.</t>
  </si>
  <si>
    <t>="Irish Mechanical Services, Inc. is a premier provider of commercial and industrial HVAC, Controls, Plumbing and Pipe Fittting services to businesses in the central Indiana area. We offer customized solutions for a diverse range of clients, highly-skilled technicians, experienced estimators and friendly office staff eager to serve you. The combined years of experience of seasoned account managers and highly-skilled service technicians gives us an edge over the competition. We also offer continuing education opportunities to our staff and technicians to further enhance their collective knowledge base. Irish Mechanical Services, Inc. has served commercial and industrial businesses in the central Indiana region since 2008 and we continue to grow. We are proud members of the UA Local 440 Plumbers, Steamfitters &amp; HVAC Service Technicians and Mechanical Contractors Association of America. Customer satisfaction is our first priority."</t>
  </si>
  <si>
    <t>http://www.IrishMechanicalServices.com</t>
  </si>
  <si>
    <t>mailto:info@IrishMechanicalServices.com</t>
  </si>
  <si>
    <t>IronStrike LLC</t>
  </si>
  <si>
    <t>="Founded in 2006, IronStrike helps executives, companies and organizations address business issues through effective employee and leadership communications and coaching. We specialize in internal branding strategies and tools that improve employee satisfaction and productivity, the customer experience and the bottom line. IronStrike often works with businesses and organizations on the cusp of change, whether business growth or decline, organizational or company mergers and acquisitions, discovering better ways to communicate an organization’s message, new and innovative product or service introductions, or new ways of doing business in general. We have a passion for educating and partnering with companies to help employees understand the direction of a company and how they can connect to that to better meet customer needs and, ultimately, benefit the bottom line and people’s lives. IronStrike has represented Fortune 500 companies, mid-market businesses and not-for-profits."</t>
  </si>
  <si>
    <t>http://www.IronStrike.biz</t>
  </si>
  <si>
    <t>mailto:info@IronStrike.biz</t>
  </si>
  <si>
    <t>Irons Metal Processing LLC</t>
  </si>
  <si>
    <t>http://www.ironsmetalprocessing.com</t>
  </si>
  <si>
    <t>Irving Materials Inc</t>
  </si>
  <si>
    <t>http://www.irvmat.com</t>
  </si>
  <si>
    <t>Irving Sand &amp; Gravel Company, Inc.</t>
  </si>
  <si>
    <t>="Irving Sand &amp; Gravel has 6 gravel pits located in Northeastern Indiana. We provide sand, gravel, limestone recycle concrete, golf course mixes for our customers. Material can be delivered to the job site or it can be picked up at any one of our 6 gravel pits located in Auburn, Angola, Kendallville, Ligonier, South Milford, and Garrett. Service is our speciality."</t>
  </si>
  <si>
    <t>http://Irving Sand &amp; Gravel Company, Inc</t>
  </si>
  <si>
    <t>Isaac Paul &amp; Assoc</t>
  </si>
  <si>
    <t>mailto:nkovanic@hotmail.com</t>
  </si>
  <si>
    <t>Isprit Systems LLC</t>
  </si>
  <si>
    <t>="Isprit® Systems is the premier provider of software tools infusing healthcare decision-making and everyday patient care with expert medical intelligence. A healthcare IT pioneer, Isprit (pronounced I-spree) refines the formula for complex disease management into sleek software tools enabling customers to improve outcomes and the quality of care delivery. Isprit tools utilize a guideline-based, goal-oriented strategy, universally relevant to all settings regardless of existing EHR systems, with a particular focus on chronic illness. Developed and maintained by experts, Isprit software injects instant clinical pedigree and specialized intelligence into every patient–clinician interaction. We go beyond recording and retrieving data to actively process information, applying expert protocols to real-world patient conditions to improve care from the individual up to the population level – healing healthcare one patient at a time."</t>
  </si>
  <si>
    <t>http://www.careimprovement.com</t>
  </si>
  <si>
    <t>mailto:info@isprit.com</t>
  </si>
  <si>
    <t>Ivy Advising</t>
  </si>
  <si>
    <t>http://www.IvyAdvising.com</t>
  </si>
  <si>
    <t>mailto:mark@ivyadvising.com</t>
  </si>
  <si>
    <t>Ivy Tech Community College of Indiana</t>
  </si>
  <si>
    <t>http://www.ivytech.edu</t>
  </si>
  <si>
    <t>mailto:ivytech.edu</t>
  </si>
  <si>
    <t>Iyka Enterprises, Inc.</t>
  </si>
  <si>
    <t>="Iyka provides Network monitoring and data management services that includes- Analytics, middleware solutions, BI, integration, application development, Mobility solutions, maintenance and support. Iyka's premier level partnership is with Microsoft, IBM, VMware, Oracle, DELL, Cisco, Xerox and Motorola solutions."</t>
  </si>
  <si>
    <t>http://www.iyka.com</t>
  </si>
  <si>
    <t>mailto:contact@iyka.com</t>
  </si>
  <si>
    <t>J &amp; B Development, Inc.</t>
  </si>
  <si>
    <t>mailto:jmorgin@mchsi.com</t>
  </si>
  <si>
    <t>J &amp; F Elect. Supply</t>
  </si>
  <si>
    <t>http://www.jfelectricsupply.com</t>
  </si>
  <si>
    <t>mailto:scampbell@jfelectricsupply.com</t>
  </si>
  <si>
    <t>J &amp; J Municipal Supply, Inc</t>
  </si>
  <si>
    <t>mailto:jjsup1@sbcglobal.net</t>
  </si>
  <si>
    <t>J &amp; J Services LLC</t>
  </si>
  <si>
    <t>mailto:jeff.lapsley@gmail.com</t>
  </si>
  <si>
    <t>J &amp; J Signs, LLC</t>
  </si>
  <si>
    <t>="J &amp; J Signs is your one stop shop for all your flags, flagpoles, and signage needs! We carry everything from indoor/outdoor signs, ada signage, LED, balloons, blimps, FLAGPOLES, flags: US, military, state, sports, attention to name a few. We also service and install signs and flagpoles. Women-owned business. Here at J &amp; J Signs, we strive to make sure each and every customer is 100% satisfied with our products and service!!"</t>
  </si>
  <si>
    <t>http://www.jandjsigns.net</t>
  </si>
  <si>
    <t>mailto:jjsigns1@hotmail.com</t>
  </si>
  <si>
    <t>J &amp; K Yurts, Inc</t>
  </si>
  <si>
    <t>="When it comes to affordable housing, don't be square! Whether you need safe and reliable camp structures for kids or families, or a remote dwelling on your own property, yurts are the quick and easy answer for just about every shelter need. And, with our certified engineering, quality craftsmanship, and durable materials guaranteed, Yurts of America offers the best and most economical year-round yurt on the market today. Let us show you how our yurt can work for you, your property, and/or your organization. Remember, if you’re not in a yurt, you must be square!"</t>
  </si>
  <si>
    <t>http://www.yurtsofamerica.com</t>
  </si>
  <si>
    <t>mailto:info@yurtsofamerica.com</t>
  </si>
  <si>
    <t>J &amp; L Lighting Solutions</t>
  </si>
  <si>
    <t>="J &amp; L Lighting Solutions is a certified WBE and authorized dealer for Seesmart LED, specializing in environmentally friendly LED lighting. We are your solution to the Federal government's ban on T12 and incandescent lights. J &amp; L can convert almost any lighting you have and save you between 40-90% on your light bill."</t>
  </si>
  <si>
    <t>http://www.jllightingsolutions.com</t>
  </si>
  <si>
    <t>mailto:jbeck@jllightingsolutions.com</t>
  </si>
  <si>
    <t>Semiconductor and Related Device Manufacturing</t>
  </si>
  <si>
    <t>J &amp; M Wireless Corporation</t>
  </si>
  <si>
    <t>http://www.getnewblue.com</t>
  </si>
  <si>
    <t>mailto:nelsp@getnewblue.com</t>
  </si>
  <si>
    <t>J &amp; N Enterprises, Inc.</t>
  </si>
  <si>
    <t>="Commercial and Residential professional cleaning and fire, smoke, and water damage restoration services. Other services: duct cleaning, carpet cleaning, mold abatement, death scene clean-up, odor deodorization. 24-hr Emergency Services for water damaged buildings. Insured &amp; Bonded."</t>
  </si>
  <si>
    <t>http://servpro.com</t>
  </si>
  <si>
    <t>mailto:servpro8614@servproofwesternlakecounty.com</t>
  </si>
  <si>
    <t>J &amp; R Landscaping Designs Incorporated</t>
  </si>
  <si>
    <t>mailto:jrlandscaping@hotmail.com</t>
  </si>
  <si>
    <t>J &amp; V Incorporated</t>
  </si>
  <si>
    <t>mailto:tsvannoy@comcast.net</t>
  </si>
  <si>
    <t>J And N Enterprises, Inc.</t>
  </si>
  <si>
    <t>http://www.gasleaksensors.com</t>
  </si>
  <si>
    <t>mailto:kbailey@gasleaksensors.com</t>
  </si>
  <si>
    <t>J B LAWNCARE INC.</t>
  </si>
  <si>
    <t>mailto:JEFFBYERLY@AOL.COM</t>
  </si>
  <si>
    <t>J Collins LLC</t>
  </si>
  <si>
    <t>mailto:jmcollins@fuse.net</t>
  </si>
  <si>
    <t>J D Ismail</t>
  </si>
  <si>
    <t>="J D Ismail is an Indiana based, women owned enterprise that provides meeting and event planning services to State entities. All Hotel sourcing and negotiation services are provided at no cost. We have behind us 20 years of hospitality experience with an indepth knowledge of the needs of government institutions."</t>
  </si>
  <si>
    <t>http://www.experient-inc.com/enam/hello/</t>
  </si>
  <si>
    <t>mailto:jamie.ismail@experient-inc.com</t>
  </si>
  <si>
    <t>J D KEM'S</t>
  </si>
  <si>
    <t>J E MECHANICAL</t>
  </si>
  <si>
    <t>http://www.jemechanical.com</t>
  </si>
  <si>
    <t>mailto:jemechanical.com</t>
  </si>
  <si>
    <t>J F Auto Upholstery</t>
  </si>
  <si>
    <t>J G Byers Trucking LLC</t>
  </si>
  <si>
    <t>mailto:jgb913@gmail.com</t>
  </si>
  <si>
    <t>J H Rudolph &amp; Co Inc</t>
  </si>
  <si>
    <t>http://www.jhrudolph.com</t>
  </si>
  <si>
    <t>mailto:angelakifer@jhrudolph.com</t>
  </si>
  <si>
    <t>J H Shank, Inc.</t>
  </si>
  <si>
    <t>mailto:jshank@progressive-staffing.com</t>
  </si>
  <si>
    <t>J Jones Enterprises LLC</t>
  </si>
  <si>
    <t>="BioGreen is a bio-based fertilizer that is safe for kids and the environment. BioGreen is currently being used to: grow agricultural crops, fertilize landscapes, and in nursery production. This product is used as a stand alone product that can dramatically improve the soil. BioGreen's formula promotes bacterial populations in the soil by giving them a food source. These bacteria in the soil will then increase the nutrient uptake by the plants. Based out of Zionsville IN, I cover all areas in Indianapolis, as well as Noblesville and Fishers areas. I will spray all residential and commercial properties as well as small farm plots."</t>
  </si>
  <si>
    <t>http://BioGreen.com</t>
  </si>
  <si>
    <t>mailto:JeffJ@biogreen.com</t>
  </si>
  <si>
    <t>J M BELL &amp; ASSOCIATES COMPANY</t>
  </si>
  <si>
    <t>http://www.jmbellassociates.com</t>
  </si>
  <si>
    <t>mailto:ajabuj@bellsouth.net</t>
  </si>
  <si>
    <t>J O Cleaning</t>
  </si>
  <si>
    <t>mailto:jo.clean@yahoo.com</t>
  </si>
  <si>
    <t>J Rauch &amp; Co. Inc</t>
  </si>
  <si>
    <t>="We’ve been protecting health and promoting wellness for more than 25 years. We offer the following services: Biological Terrain Assessment (BTA), Far Infrared Sauna Therapy (FIRST), BodyGem &amp; BalanceLog (Weight Loss) as well as an extensive live of professional supplements. Our Mission is to serve you best by providing professional services, education, and highly effective products so you will enjoy “A Harvest of Health.”"</t>
  </si>
  <si>
    <t>http://www.aharvestofhealth.com</t>
  </si>
  <si>
    <t>mailto:info@aharvestofhealth.com</t>
  </si>
  <si>
    <t>J Squared Inc</t>
  </si>
  <si>
    <t>="University Loft Company is a world leader in the college contract furniture market. Since our inception in 1986 we have seen extraordinary growth in all areas of the business. We provide customers with excellent customer service and also put quality first in our furniture production. University Loft Company is always thinking of new ways to improve the functions of the furniture that we provide. An example of this is our standard tool-less bed that is adjustable, allowing the customer to maneuver the bed to their desired height. The single beds can easily be transformed into bunk beds, lofts, and complete home offices fitting into any configuration you might need."</t>
  </si>
  <si>
    <t>http://www.uloft.com</t>
  </si>
  <si>
    <t>mailto:contractbid@uloft.com</t>
  </si>
  <si>
    <t>J W HOLDING GROUP &amp; ASSOC INC</t>
  </si>
  <si>
    <t>J Williams Appraisal Group, LLC</t>
  </si>
  <si>
    <t>http://jwappraisalgroup.com</t>
  </si>
  <si>
    <t>mailto:jodi@jwappraisalgroup.com</t>
  </si>
  <si>
    <t>J&amp;A Communications, LLC</t>
  </si>
  <si>
    <t>mailto:jwilczyk@jacommunicationsllc.com</t>
  </si>
  <si>
    <t>J&amp;A TRASH REMOVAL, INC</t>
  </si>
  <si>
    <t>J&amp;J Municipal Supply, Inc</t>
  </si>
  <si>
    <t>="J&amp;J is a wholesale business providing water, sewer, septic and drainage products to cities, municipalities and contractors. We do not provide plumbing products but any product from the water source to the end water user, as well as sewer products and any drainage item."</t>
  </si>
  <si>
    <t>http://www.jjsupply1.com</t>
  </si>
  <si>
    <t>mailto:janeann@jjsupply1.com</t>
  </si>
  <si>
    <t>J&amp;J Pallet</t>
  </si>
  <si>
    <t>http://www.quicksetbollard.com</t>
  </si>
  <si>
    <t>mailto:mattc@quicksetbollard.com</t>
  </si>
  <si>
    <t>J&amp;J WilliamsTrucking llc</t>
  </si>
  <si>
    <t>J&amp;JWilliamstrucking LLC</t>
  </si>
  <si>
    <t>J&amp;K Communications, Inc.</t>
  </si>
  <si>
    <t>="J&amp;K Comm. was established as an Indiana business in 1976. Sales and Service of 2-Way Radio Communications equipment, SCADA Wireless equipment, Radio Towers Sales, Installation &amp; Service. Serving a variety of clients i.e. Public Safety, Public Service, Industrial, Manufacturing, Service Base Businesses for their wireless communications, CCTV, Mobile Video, GPS/AVL Vehicle Location and other technology equipment and support needs."</t>
  </si>
  <si>
    <t>http://www.jkcomm.com</t>
  </si>
  <si>
    <t>mailto:rlove@jkcomm.com</t>
  </si>
  <si>
    <t>J&amp;K Janitorial Services, Inc.</t>
  </si>
  <si>
    <t>J&amp;K Sealcoating &amp; More LLC</t>
  </si>
  <si>
    <t>mailto:jksealcoatingandmore@yahoo.com</t>
  </si>
  <si>
    <t>J&amp;L Dimensional Srv</t>
  </si>
  <si>
    <t>http://www.j-ldimensional.com</t>
  </si>
  <si>
    <t>mailto:dmay@j-ldimensional.com</t>
  </si>
  <si>
    <t>J&amp;M Contracting, Inc.</t>
  </si>
  <si>
    <t>mailto:mialjam@yahoo.com</t>
  </si>
  <si>
    <t>J&amp;R Painting</t>
  </si>
  <si>
    <t>mailto:jrpaint@insightbb.com</t>
  </si>
  <si>
    <t>J-N-S Electrical Service Co. Inc</t>
  </si>
  <si>
    <t>http://yourindyelectrician.com</t>
  </si>
  <si>
    <t>mailto:jesco_inc@yahoo.com</t>
  </si>
  <si>
    <t>J. Aikin Design Inc.</t>
  </si>
  <si>
    <t>http://www.webcanopystudio.com</t>
  </si>
  <si>
    <t>mailto:info@webcanopystudio.com</t>
  </si>
  <si>
    <t>J. Burks Painting, Inc.</t>
  </si>
  <si>
    <t>http://www.jburkspainting.com</t>
  </si>
  <si>
    <t>mailto:jburks@jburkspainting.com</t>
  </si>
  <si>
    <t>J. Carmody Inc.</t>
  </si>
  <si>
    <t>="J. Carmody Inc. dba Address Art is a company which focuses upon the design and sales of unique custom mailboxes and related accessory products. We supply the mailbox for both the residential and commercial markets. When selecting a custom mailbox one makes the following selections: mailbox size - mailbox color - lettering style - lettering color. Quality factors which enhance the product: -Stainless steel latch system for the opening and closing -Powder coat industrial finish -Laser cut flag signaling outgoing mail -The door of the mailbox is attached with stainless steel machine screws and locknuts its ability to drop off. Please visit our website to view our complete product line: www.addressart.com."</t>
  </si>
  <si>
    <t>http://www.addressart.com</t>
  </si>
  <si>
    <t>mailto:mailbox@addressart.com</t>
  </si>
  <si>
    <t>J. E. Reedy, Inc.</t>
  </si>
  <si>
    <t>mailto:jereedyinc@earthlink.net</t>
  </si>
  <si>
    <t>J. E. Shekell, Inc.</t>
  </si>
  <si>
    <t>http://www.shekell.com</t>
  </si>
  <si>
    <t>mailto:jes@shekell.com</t>
  </si>
  <si>
    <t>J. J. Keller &amp; Associates, Inc.</t>
  </si>
  <si>
    <t>http://www.jjkeller.com</t>
  </si>
  <si>
    <t>mailto:govsales@jjkeller.com</t>
  </si>
  <si>
    <t>J. T. Johnson Associates Inc.</t>
  </si>
  <si>
    <t>J. Wiggins &amp; Associates, LLC</t>
  </si>
  <si>
    <t>http://www.jwigginsandassociates.com</t>
  </si>
  <si>
    <t>mailto:jovan@jwigginsandassociates.com</t>
  </si>
  <si>
    <t>J.A. Barker Engineering, Inc.</t>
  </si>
  <si>
    <t>http://www.jabarker.com</t>
  </si>
  <si>
    <t>mailto:kim@jabarker.com</t>
  </si>
  <si>
    <t>J.C. Fergusen Company</t>
  </si>
  <si>
    <t>http://WWW.JCFERGUSEN.COM</t>
  </si>
  <si>
    <t>mailto:cook.jackie81@yahoo.com</t>
  </si>
  <si>
    <t>J.C. Ripberger Construction Corporation</t>
  </si>
  <si>
    <t>="J.C. Ripberger Construction Corporation is a Licensed and Bonded General Contractor and maintains a Plumbers Bond and License through the Indianapolis Water Company. The Company was founded and incorporated in 1958 by Joseph C. Ripberger, president of the company until his death in July 1993. William L. Ripberger, Jr., grandson of the founder is serving as President and CEO today. The emphasis of work performed by our own forces is on concrete placement (both interior and exterior), rough carpentry; finish carpentry (millwork, doors and frames, hardware, etc.), site utilities and earthwork."</t>
  </si>
  <si>
    <t>mailto:info@jcripberger.com</t>
  </si>
  <si>
    <t>J.D. &amp; D. Funeral Corp.</t>
  </si>
  <si>
    <t>="Indiana licensed, family-owned, 3rd generation funeral home offering burials, green burials, cremations, removal services, embalming service for anatomical donations, restorative art services for organ/tissue donations, monuments, pet loss services, pre-need funeral trusts and insurance."</t>
  </si>
  <si>
    <t>http://www.fisherloy.com</t>
  </si>
  <si>
    <t>mailto:fisherloyfuneral@frontier.com</t>
  </si>
  <si>
    <t>J.D. Jamer Materials</t>
  </si>
  <si>
    <t>mailto:jdjamer@juno.com</t>
  </si>
  <si>
    <t>J.D. Properties DBA Sharp Trophies by Ma</t>
  </si>
  <si>
    <t>="Sharp Trophies by Mack has two location in Indiana; one in Shelbyville and one in Lawrence. We specialize in corporate awards, athletic awards, laser engraving, medals, plaques, clocks, and military awards. You can order through our website www.sharptrophiesbymack.com or by calling (317) 897-4277 or by fax (317) 897-4281."</t>
  </si>
  <si>
    <t>http://www.sharptrophiesbymack.com</t>
  </si>
  <si>
    <t>mailto:jrtrophies@hotmail.com</t>
  </si>
  <si>
    <t>J.E.S. &amp; Sons, Inc.</t>
  </si>
  <si>
    <t>mailto:jwilczyk@jesandsons.com</t>
  </si>
  <si>
    <t>J.F. NEW &amp; ASSOCIATES, INC.</t>
  </si>
  <si>
    <t>="Cardno JFNew is a subsidiary of Cardno Limited, and an operating unit of Cardno ENTRIX. Cardno JFNew is an ecological consulting and restoration firm with more than 20 years of experience providing innovative and successful solutions to challenging environmental issues. Our multidisciplinary teams of professionals offer expertise in natural resources, water resources, and cultural resource management, as well as expertise in streamlining regulatory permitting and compliance processes. The Cardno JFNew Native Plant Nursery in Walkerton, IN offers native plant and seed materials and staff expertise to create successful restoration, mitigation, or native landscape projects. Our full-service approach to project delivery allows us to take a project from preliminary site assessment through permitting, installation, and monitoring, enabling us to provide efficient and cost-effective project management. Learn more at www.cardnojfnew.com."</t>
  </si>
  <si>
    <t>http://www.cardnojfnew.com</t>
  </si>
  <si>
    <t>mailto:jfnew.info@cardno.com</t>
  </si>
  <si>
    <t>J.G. Properties , Inc.</t>
  </si>
  <si>
    <t>="Retail business that has been in business for 12 years. We have 2 locations - one in Shelbyville and one in Lawrence, Ind. . We offer a full line of awards and trophies. We assemble 85% of our trophies in house. We can customized your corporate awards by our in-house laser machine. We also carry a full line of apparel ( shirts, hats, bags, etc.) Our personalized marketing line includes ( plastic and sports cups, lanyards, school boosters promotional items, flashlights, keychains, mousepads, calculators, GET YOUR CORPORATE LOGO ON ANY ITEM. We specialized in nametags---plastic or brass----- Our showroom has many items not listed above, please come and visit us at Sharp Trophies By Mack 8435 Pendleton Pike Lawrence , Ind 46226 317-897-4277"</t>
  </si>
  <si>
    <t>J.H. Connor Consulting, Inc.</t>
  </si>
  <si>
    <t>mailto:janmariec@comcast.net</t>
  </si>
  <si>
    <t>J.Kemp inc</t>
  </si>
  <si>
    <t>mailto:jkempinc@rtccom.net</t>
  </si>
  <si>
    <t>J.L. SQUARED INC.</t>
  </si>
  <si>
    <t>="J.L. SQUARED INC. IS A METAL FABRICATING AND CUTTING SPECIALIST. OUR MACHINERY INCLUDES A 6' X 12' WATERJET CUTTING MACHINE, CNC PRESS BRAKE AND SHEAR, PLATE ROLLING, TUBE BENDING, AND COMPLETE WELDING CAPABILITIES. THE WATERJET MACHINE HAS THE ABILITY TO CUT ANY TYPE OF MATERIAL FROM WOOD,PLASTIC, AND EVEN BULLET PROOF GLASS. WE TAKE PRIDE IN OUR QUALITY AND SERVICE. FOR MORE INFORMATION PLEASE CALL LEAN OR JASON @317-354-1513."</t>
  </si>
  <si>
    <t>mailto:JLSQUARED INC@SBCGLOBAL.NET</t>
  </si>
  <si>
    <t>J.L.Gilbert Co., Inc</t>
  </si>
  <si>
    <t>http://www.jlgilbert.com</t>
  </si>
  <si>
    <t>mailto:jlg@jlgilbert.com</t>
  </si>
  <si>
    <t>J.O. Promotions</t>
  </si>
  <si>
    <t>mailto:j_oetting@comcast.net</t>
  </si>
  <si>
    <t>J.R. Greathouse Sons</t>
  </si>
  <si>
    <t>J.R. Rentals</t>
  </si>
  <si>
    <t>http://www.jrrentals.com</t>
  </si>
  <si>
    <t>mailto:rent@jrrentals.com</t>
  </si>
  <si>
    <t>J.T. Shearer construction &amp; Excavating</t>
  </si>
  <si>
    <t>mailto:jtsheaexcav@aol.com</t>
  </si>
  <si>
    <t>J.T.L. Services Inc.</t>
  </si>
  <si>
    <t>J.U.G.A. Volunteer Fire Department Co. 1</t>
  </si>
  <si>
    <t>J2 Systems and Supply, LLC</t>
  </si>
  <si>
    <t>="J2 Systems and Suppy is a Minority Owned, Service-connected Disabled Veteran Owned Small Business (SDVOSB) with its headquarters located in a HUBZone. As a chemical distribution company we offer the full array of chemicals used for water/wastewater treatment, metal surface cleaning and coating, food ingredients and additives, industrial floor and general purpose cleaners, lubricants, fuels, coolants and related products"</t>
  </si>
  <si>
    <t>http://www.j2systemsandsupply.com/</t>
  </si>
  <si>
    <t>mailto:jleonard@j2ssllc.com</t>
  </si>
  <si>
    <t>J3 Concepts LLC</t>
  </si>
  <si>
    <t>http://j3planning.com</t>
  </si>
  <si>
    <t>mailto:info@j3planning.com</t>
  </si>
  <si>
    <t>JA Alexandra</t>
  </si>
  <si>
    <t>="JA Alexandra is a full service event planning, coordination and design company with experience from intimate private parties to celebrations with over 500 guests. JA Alexandra assists clients with their events from conception to completion. Having established ourselves as respected professionals within the event planning industry, we have built working relationships with venues, food and beverage services, rental firms, florists, photographers,musicians, and transportation companies throughout Indiana."</t>
  </si>
  <si>
    <t>http://www.jaalexandra.com</t>
  </si>
  <si>
    <t>mailto:info@jaalexandra.com</t>
  </si>
  <si>
    <t>JA Bandy Insurance, Inc.</t>
  </si>
  <si>
    <t>JACKS CAMERA SHOP INC</t>
  </si>
  <si>
    <t>="Jack's Camera has been a leading provider of photographic equipment, supplies and services in Indiana since 1948. We provide a large selection of photographic equipment ranging from one time use cameras to high end digital back solutions. We also have an on site processing lab that can handle film and digital files. In addition Jack's has one of the largest inventories of used equipment and is always interested in purchasing or trading used equipment."</t>
  </si>
  <si>
    <t>http://www.jackscamera.com</t>
  </si>
  <si>
    <t>mailto:info@jackscamera.com</t>
  </si>
  <si>
    <t>JACKSON - JENNINGS, LLC</t>
  </si>
  <si>
    <t>http://www.jacksonjennings.com</t>
  </si>
  <si>
    <t>mailto:jboger@jacksonjennings.com</t>
  </si>
  <si>
    <t>JACKSON OIL &amp; SOLVENTS, INC.</t>
  </si>
  <si>
    <t>http://www.jos.us.com</t>
  </si>
  <si>
    <t>mailto:orders@jos.us.com</t>
  </si>
  <si>
    <t>JADEN TRANSPORT LLC.</t>
  </si>
  <si>
    <t>mailto:hmann@jaden-transport.com</t>
  </si>
  <si>
    <t>JAG,LLC</t>
  </si>
  <si>
    <t>="JAG incorporated in 2014 to help for profit businesses, nonprofit organizations, and government programs pursue their goals. While the company is an emerging small business, the leadership brings 20 years of experience providing the very services that we deliver to these industries. AG is a company that believes in having a social impact in our community while making your success our mission."</t>
  </si>
  <si>
    <t>http://www.JAG-llc.us</t>
  </si>
  <si>
    <t>mailto:johnguingrich@gmail.com</t>
  </si>
  <si>
    <t>JAM Impressions, Inc.</t>
  </si>
  <si>
    <t>="We are a one stop shop for all your branding needs. We can develop your logo, create your business cards, print your letterhead and envelopes, produce promotional products for your company and outfit your employees in logowear, screenprint and embroidery. We also carry banners, yard signs and employee gifts and rewards."</t>
  </si>
  <si>
    <t>http://www.jamimpressions.com</t>
  </si>
  <si>
    <t>mailto:marsha@jamimpressions.com</t>
  </si>
  <si>
    <t>JAMMAS LLC</t>
  </si>
  <si>
    <t>JANE, INC.</t>
  </si>
  <si>
    <t>mailto:jeconant@att.net</t>
  </si>
  <si>
    <t>JANUS DEVELOPMENTAL SERV INC</t>
  </si>
  <si>
    <t>="Janus is a not-for-profit organization dedicated to serving adults with intellectual, physical and developmental disabilities as well as infants and toddlers who are at risk for developmental delay in Hamilton and Tipton Counties, Indiana. In our manufacturing facility, we perform contract work for many companies. Our staff trains adults with disabilities the proper work habits and skills so that some day they can be placed in the community as employees. The adults, our “consumers,” are diligent and work very hard to service our customers. As a customer, you will not only receive a quality product at a competitive price, you will also provide an opportunity to individuals that need special care and attention in our society. Examples of Our Contract Services Labeling • Mailers • Packaging • Shrink wrapping • Palletize and stretch wrap product • Box assembly • Bubble wrap Assembly of disposable pallets • Hot melt glue • Assembly of products • Bench"</t>
  </si>
  <si>
    <t>http://www.janus-inc.org</t>
  </si>
  <si>
    <t>mailto:servingyou@janus-inc.org</t>
  </si>
  <si>
    <t>JAS Graphics, Inc.</t>
  </si>
  <si>
    <t>http://www.jasgraphics.net</t>
  </si>
  <si>
    <t>mailto:jasgraphics@sbcglobal.net</t>
  </si>
  <si>
    <t>JASPER VAC N SEW INC.</t>
  </si>
  <si>
    <t>mailto:vacnsew@psci.net</t>
  </si>
  <si>
    <t>JASPER WINLECTRIC COMPANY</t>
  </si>
  <si>
    <t>JATT EnvrnmtlAss Inc</t>
  </si>
  <si>
    <t>="We will bw helping companies dispose off hazaradous and non-hazaradous waste materials, oil mixed with water, pickled liquor, waste matrial left in tool and dye industry, car plants, cleaning up of waste tanks, cleaning up of gasoloine contaminations in like used car dealerships, tire shops, oil change places etc."</t>
  </si>
  <si>
    <t>mailto:jamisingh@sbcglobal.net</t>
  </si>
  <si>
    <t>JAY'S AUTOWORLD LLC</t>
  </si>
  <si>
    <t>mailto:JSAUTOWORLD@JOINK.COM</t>
  </si>
  <si>
    <t>JB Custom Creations, LLC</t>
  </si>
  <si>
    <t>http://www.budgetblinds.com</t>
  </si>
  <si>
    <t>mailto:jbaker@budgetblinds.com</t>
  </si>
  <si>
    <t>JB's Salvage INC.</t>
  </si>
  <si>
    <t>="We buy scrap metal for recycling. We buy steel, appliances, aluminum cans, copper, aluminum, brass, etc. We also have roll-off (open top container) services available. We can set tubs for businesses or personal use. The tubs can be filled with trash or metal for recycling."</t>
  </si>
  <si>
    <t>http://www.jbsalvage.com</t>
  </si>
  <si>
    <t>mailto:troyw@jbsalvageinc.com</t>
  </si>
  <si>
    <t>JBD American Scale Co.</t>
  </si>
  <si>
    <t>="JBD American Scale Corporation has been a distributor of leading weighing, testing, and force measurement equipment for over 70 years. We pride ourselves on providing customers with the best-quality products and personal service. JBD American Scale has been a leading North American supplier of weighing and force measurement equipment for 70 years. In addition, JBD American Scale Co. sells, calibrates and services the following: • Force gauges • Materials testing equipment • Torque measuring gauges • In-motion weighing systems • Cubic (dimensional) weighing systems • Customized check-weighing equipment • Intrinsically safe weighing equipment. We also offer complete systems integration for scales and bar code scanning equipment. JBD American represents the top lines in the weighing, force measurement, torque and materials testing products, we represent manufacturers such as: • Chatillon • Ametek • Lloyd Instruments • Davenport Instruments • GSE Inc.,"</t>
  </si>
  <si>
    <t>http://www.jbdscale.com</t>
  </si>
  <si>
    <t>mailto:dustin@jbdamerican.com</t>
  </si>
  <si>
    <t>JBSP</t>
  </si>
  <si>
    <t>JC General Contractors, LLC</t>
  </si>
  <si>
    <t>mailto:info@escobar-co.com</t>
  </si>
  <si>
    <t>JCConnect Corporation</t>
  </si>
  <si>
    <t>="JCConnect is a full service computer and multimedia service provider. Our products and services include: digital signage, workstations, laptops, servers, computer components &amp; peripherals, network infrastructure design, fiber optic solutions, wireless solutions; multimedia solutions for DVD authoring, video production, and post-production services. We also provide web hosting, video security surveillance solutions and streaming services."</t>
  </si>
  <si>
    <t>http://www.jcconnect.net</t>
  </si>
  <si>
    <t>mailto:sales@jcconnect.net</t>
  </si>
  <si>
    <t>JCI Jones Chemicals,</t>
  </si>
  <si>
    <t>http://jcichem.com</t>
  </si>
  <si>
    <t>mailto:jcichem.com</t>
  </si>
  <si>
    <t>JCOS, Inc.</t>
  </si>
  <si>
    <t>http://www.jcosinc.com</t>
  </si>
  <si>
    <t>mailto:customerservice@jcosinc.com</t>
  </si>
  <si>
    <t>JCrook CPA Corp</t>
  </si>
  <si>
    <t>="Service Disabled Veteran Owned Small Business (SDVOSB) located within Northern Indiana. Office of a Certified Public Accountant specializing in tax, accounting, and assurance services. Former IRS Auditor, specializing in defending small business against IRS action."</t>
  </si>
  <si>
    <t>http://www.jcrookcpa.com</t>
  </si>
  <si>
    <t>mailto:jcrookcpa@gmail.com</t>
  </si>
  <si>
    <t>JD Brown Excavating</t>
  </si>
  <si>
    <t>mailto:jdbrownexcavating@yahoo.com</t>
  </si>
  <si>
    <t>JD Worldwide LLC</t>
  </si>
  <si>
    <t>http://www.SG-Erosioncontrol.com</t>
  </si>
  <si>
    <t>mailto:info@sg-erosioncontrol.com</t>
  </si>
  <si>
    <t>JDC Associates, Inc.</t>
  </si>
  <si>
    <t>="JDC Associates, Inc. began in 1994 as a family business. Combining our education, skills and on the job training together with an extended family of subcontractors, JDC associates, Inc. has since been building residential, commercial and institutional projects throughout central Indiana. JDC Associates, Inc. has experience from the design of a structure to the ribbon cutting. We can provide everything from managing the project, self performing many of the construction components and supplying the Prefabricated Metal Building. JDC Associates, Inc. has an extensive resource network allowing us to supply value added products for your all project needs."</t>
  </si>
  <si>
    <t>http://www.jdccontractors.com</t>
  </si>
  <si>
    <t>mailto:jdc@comcast.net</t>
  </si>
  <si>
    <t>JDC International</t>
  </si>
  <si>
    <t>="JDC Interrnational is an Indiana based, Hispanic owned contract and hospitality furniture supplier. We have the capability to provide designs or manufacture to specifications furnishsings for office environments, hotels, convention centers, casinos, school settings, etc."</t>
  </si>
  <si>
    <t>mailto:cerdaj@sbcglobal.net</t>
  </si>
  <si>
    <t>Furniture and Home Furnishing Merchant Wholesalers</t>
  </si>
  <si>
    <t>JDR Solutions, LLC</t>
  </si>
  <si>
    <t>="JDR offers business to business support in 2 main categories, websites and IT Infrastructures. We design, build, and host websites along with offering pop3 email services. Our IT Infrastructure support team is available to assist businesses with exchange, networks, and desktops."</t>
  </si>
  <si>
    <t>http://www.jdrsol.com</t>
  </si>
  <si>
    <t>mailto:info@jdrsol.com</t>
  </si>
  <si>
    <t>JDREAMS LLC</t>
  </si>
  <si>
    <t>mailto:jrodriguez@jdreams.com</t>
  </si>
  <si>
    <t>JDS Consulting Inc</t>
  </si>
  <si>
    <t>http://www.jdsconsultinginc.com</t>
  </si>
  <si>
    <t>mailto:jdsconsult@comcast.net</t>
  </si>
  <si>
    <t>JEAN STAFFORD</t>
  </si>
  <si>
    <t>Hair, Nail, and Skin Care Services</t>
  </si>
  <si>
    <t>JEM Research Inc</t>
  </si>
  <si>
    <t>="JEM Research provides project management and data collection services to small and large business, non-profit organizations, government, and educational institutions using telephone, intercept and web data collection methodologies. Our commitment to interviewer training sessions, adhering to proper interviewing techniques and continued interviewer feedback and coaching enables our clients to rest assured that each project and each interview is conducted with as little bias and error as is possible. In addition, JEM welcomes the opportunity to have clients listen to active interviewing during the course of their project. Our clients are assured of our dedication to their projects through daily communication of the project’s progress, on-site supervision in JEM’s central telephone location, and truthful and honest assessment of any project challenges that arise."</t>
  </si>
  <si>
    <t>http://www.jemresearch.com</t>
  </si>
  <si>
    <t>mailto:jmullen@jemresearch.com</t>
  </si>
  <si>
    <t>JEM STAR INC</t>
  </si>
  <si>
    <t>http://DRIVINGACADEMY.COM</t>
  </si>
  <si>
    <t>mailto:thedrivingacademy@comcasr.net</t>
  </si>
  <si>
    <t>JENICE GOLSON-DUNLAP, P.C.</t>
  </si>
  <si>
    <t>mailto:trusteedunlap@aol.com</t>
  </si>
  <si>
    <t>JESSE BALLEW</t>
  </si>
  <si>
    <t>http://www.jballew.com</t>
  </si>
  <si>
    <t>mailto:info@jballew.com</t>
  </si>
  <si>
    <t>JFH Incorporated</t>
  </si>
  <si>
    <t>http://jfhinc.com/</t>
  </si>
  <si>
    <t>mailto:mike@jfminc.com</t>
  </si>
  <si>
    <t>JFS Logistics</t>
  </si>
  <si>
    <t>="Unishippers provides individualized shipping solutions for over 60,000 unique businesses, from candle makers to mortgage companies to architects. Whether you ship daily or monthly, one express letter or one truckload at a time, odds are that our customized programs and personal service can save you time, save you trouble and save you money."</t>
  </si>
  <si>
    <t>http://www.unishippers.com</t>
  </si>
  <si>
    <t>mailto:john.skees@unishippers.com</t>
  </si>
  <si>
    <t>JG Innovation, Ltd</t>
  </si>
  <si>
    <t>mailto:jgi@netnitco.net</t>
  </si>
  <si>
    <t>JG Lubricant Services, LLC</t>
  </si>
  <si>
    <t>="Our company does lubrication and coolant analysis for transit departments, over the road trucking, commercial fleets, wind energy, school bus fleets, heavy industrial equipment, trash haulers, generators, manufacturing equipment, marine equipment and private sector vehicles. Testing show whether lubricants and coolants are doing their job or have worn out and can also detect problems within engines, generators, equipment when the problems first occur this potentially eliminating expensive repairs or replacements."</t>
  </si>
  <si>
    <t>http://www.jglubricantservices.com</t>
  </si>
  <si>
    <t>mailto:sales@jglubricantservices.com</t>
  </si>
  <si>
    <t>JG Robbins</t>
  </si>
  <si>
    <t>mailto:JGRobbinsmail@gmail.com</t>
  </si>
  <si>
    <t>JGBowers, INC.</t>
  </si>
  <si>
    <t>="JGBowers, INC is a Marion, Indiana based General Contractor and has been in the construction business for over 30 years. In addition to our construction company, JGBowers, INC owns &amp; operates Advanced Cabinet Systems (ACS), a manufacturer of plastic laminate casework &amp; millwork for commercial &amp; institutional environments, also based in Marion, IN."</t>
  </si>
  <si>
    <t>http://www.jgbowers.com</t>
  </si>
  <si>
    <t>mailto:pbowers@jgbowers.com</t>
  </si>
  <si>
    <t>JH Environmental, LLC</t>
  </si>
  <si>
    <t>="The JHE staff has a wide range of environmental expertise and capabilities that includes both studies and engineering design. Examples of specific environmental expertise include: Soil and groundwater contaminant investigations, Remedial Design, RCRA Site Closures, Environmental Engineering, Water Resources Investigations, Treatability Studies, Industrial Wastewater Evaluations, Comprehensive Brownfields experience, Site Remediation, Site Remediation Oversight, Phase I environmental assessments (ASTM E1527-00), Phase II environmental assessments, Hazardous Waste Evaluation and Disposal, and Storage Tank Closure. JHE is a Service-Disabled Veteran Owned Small Business (SDVOSB)."</t>
  </si>
  <si>
    <t>JHDisplay &amp; Fixture</t>
  </si>
  <si>
    <t>JHK, INC.</t>
  </si>
  <si>
    <t>http://WWW.SAFETYANDFIRSTAID.COM</t>
  </si>
  <si>
    <t>mailto:americansafety@safetyandfirstaid.com</t>
  </si>
  <si>
    <t>JIM HAYDEN FORD, INC</t>
  </si>
  <si>
    <t>JIST Publishing</t>
  </si>
  <si>
    <t>="As America's Career Publisher, JIST publishes award-winning materials on job search, career exploration, occupational information, life skills, and character education. Our products foster self-directed attitudes and behaviors and are found in K-12 and post secondary classrooms, job training and employment programs, libraries, and book stores across America. JIST is 25 years old with headquarters in Indianapolis."</t>
  </si>
  <si>
    <t>http://www.jist.com</t>
  </si>
  <si>
    <t>mailto:info@jist.com</t>
  </si>
  <si>
    <t>JJ Conley Trim and D</t>
  </si>
  <si>
    <t>http://jjconley.com</t>
  </si>
  <si>
    <t>mailto:info@jjconley.com</t>
  </si>
  <si>
    <t>JJ'S Concrete Construction, LLC</t>
  </si>
  <si>
    <t>http://www.concretewashingtonindiana.com</t>
  </si>
  <si>
    <t>JJD Enterprises</t>
  </si>
  <si>
    <t>mailto:jjdenterprises.in@gmail.com</t>
  </si>
  <si>
    <t>JJJ Container Services, LLC.</t>
  </si>
  <si>
    <t>http://www.jjjcs.com</t>
  </si>
  <si>
    <t>mailto:jplanthier@jjjcs.com</t>
  </si>
  <si>
    <t>JKI Engineering, Inc.</t>
  </si>
  <si>
    <t>http://jkie.com</t>
  </si>
  <si>
    <t>mailto:engineering@jkie.com</t>
  </si>
  <si>
    <t>JLF Construction, Inc.</t>
  </si>
  <si>
    <t>JLO Services Inc</t>
  </si>
  <si>
    <t>="Power Sweeping, Construction Clean up, Surface &amp; Steam Cleaning Oetting Services’ experienced and skilled crews operate state of the art equipment tailored to the clients’ particular needs. From foliage and garbage clean up with sweeper units to our construction fleet for the removal of gravel and dirt, there’s no job Oetting Services can’t handle. The combination of different sweepers gives life and longevity to your parking lot asphalt. Our trucks are dispatched with a two person team. One person for the detailed areas that are inaccessible to our sweeper trucks. This is accomplished by the use of a leaf blower. All of our maintenance teams are supported by a larger more powerful machine. This equipment focuses on the details of the gravel and dirt residue build up. Our team runs the curb line entrances for a fresh clean up. Full Landscaping Services Snow Removal Services Parking lot lighting repair Complete parking lot maintenance, Asphalt, seal coating &amp; striping se"</t>
  </si>
  <si>
    <t>mailto:oettingservices@gmail.com</t>
  </si>
  <si>
    <t>JLaMarr Holdings LLC</t>
  </si>
  <si>
    <t>="Janitorial &amp; Cleaning company servicing commerical facilities with daily cleaning, and floor maintenance. Industrial Facilities with janitorial and cleaning services, We provide initial cleanout and property preservation work, as well as landscaping services. Our company services residential living facilities as well."</t>
  </si>
  <si>
    <t>mailto:jlamarrholdings@gmail.com</t>
  </si>
  <si>
    <t>JLon Trucking INc</t>
  </si>
  <si>
    <t>mailto:susanradabaugh@comcast.net</t>
  </si>
  <si>
    <t>JM Electronics</t>
  </si>
  <si>
    <t>mailto:mark@jmelectronics.com</t>
  </si>
  <si>
    <t>JM Johnson Construction Inc</t>
  </si>
  <si>
    <t>mailto:mikejohnson56jci@hotmail.com</t>
  </si>
  <si>
    <t>JM2 Webdesigners</t>
  </si>
  <si>
    <t>="We are software analysts (programmers) and graphic artists that work to solve problems for you. We are in the business to help other businesses solve problems. A website is not just a placeholder for your business. Your website is more than just words and pictures. It is an extension of your business by providing a consistent message as a full time employee of your business. Your website should be designed to enhance your business by simplifying the communication between you and your customers. Your website should be able to communicate with your backend business systems (CRM, accounting, forecasting, etc.)."</t>
  </si>
  <si>
    <t>http://www.jm2.biz</t>
  </si>
  <si>
    <t>mailto:john@jm2.biz</t>
  </si>
  <si>
    <t>JMAC INCORPORATED</t>
  </si>
  <si>
    <t>mailto:ibsa4535@sbcglobal.net</t>
  </si>
  <si>
    <t>Storage Battery Manufacturing</t>
  </si>
  <si>
    <t>JMD Construction LLC</t>
  </si>
  <si>
    <t>JMH Roofing Company</t>
  </si>
  <si>
    <t>http://jmhroofingcompany.com</t>
  </si>
  <si>
    <t>mailto:jmh@jmhroofingcompany.com</t>
  </si>
  <si>
    <t>JMI Construction LLC</t>
  </si>
  <si>
    <t>http://www.jmiconst.com</t>
  </si>
  <si>
    <t>mailto:info@jmiconst.com</t>
  </si>
  <si>
    <t>JMI Mechanical</t>
  </si>
  <si>
    <t>mailto:mike@jmimechanical.com</t>
  </si>
  <si>
    <t>JMK Development, LLC</t>
  </si>
  <si>
    <t>http://www.jmk-dev.com</t>
  </si>
  <si>
    <t>mailto:thorpea1@aol.com</t>
  </si>
  <si>
    <t>JML Electric, Inc</t>
  </si>
  <si>
    <t>http://www.jmlelectricindiana.com/</t>
  </si>
  <si>
    <t>mailto:jefflarsonn@msn.com</t>
  </si>
  <si>
    <t>JMN Enterprises,LLC</t>
  </si>
  <si>
    <t>mailto:sacoiok@aol.com</t>
  </si>
  <si>
    <t>JOFCO Inc.</t>
  </si>
  <si>
    <t>="Jofco began operations in 1922 as Jasper Office Furniture Company at its current headquarters in Jasper, Indiana. In 1965, the company name was abbreviated to Jofco, Inc. Now in its fourth generation of privately held family ownership, Jofco's manufacturing and business values still persist. Direct and personal involvement in the organization provides a foundation for the success of the company and a long-term commitment to its independence in the wood office furniture industry. A seating division began operations in 1986. Jofco presently operates two production facilities in Jasper totaling over 600,000 sq. ft. and has over 300 employees. In 1999, Jofco became the exclusive U.S. importer and distributor of Frezza office products from Europe. Jofco also maintains a permanent showroom facility in Chicago and New York. As a member of IIDA, IFMA and BIFMA, Jofco maintains constant awareness of market trends and changes. Our products are sold through a network of authorize"</t>
  </si>
  <si>
    <t>http://www.jofco.com</t>
  </si>
  <si>
    <t>mailto:furniture@jofco.com</t>
  </si>
  <si>
    <t>JOHN JONES CHEVROLET BUICK OF CORYDON</t>
  </si>
  <si>
    <t>http://JOHNJONESAUTOGROUP.COM</t>
  </si>
  <si>
    <t>mailto:DSILLINGS@GMCITY.COM</t>
  </si>
  <si>
    <t>JOHNSON'S BUILDING SUPPLIES LLC</t>
  </si>
  <si>
    <t>mailto:jbs2726@embarqmail.com</t>
  </si>
  <si>
    <t>JOHNSON-MELLOH, INC.</t>
  </si>
  <si>
    <t>http://www.johnsonmelloh.com</t>
  </si>
  <si>
    <t>mailto:info@johnsonmelloh.com</t>
  </si>
  <si>
    <t>JOSEPH BROWN</t>
  </si>
  <si>
    <t>="CFS is focused on providing high-quality service and customer satisfaction - we will do everything we can to meet your expectations.computer repair, virus removal, laptop repair hardware installation,computer deployment network configurations,wireless network setup. computer repair, virus removal, laptop repair hardware installation,computer deployment network configurations,wireless network setup."</t>
  </si>
  <si>
    <t>http://www.cfscomputerrepair.com</t>
  </si>
  <si>
    <t>mailto:sales@cfscomputerrepair.com</t>
  </si>
  <si>
    <t>JOY TRANSPORT, LLC</t>
  </si>
  <si>
    <t>http://www.joytransportnow.com</t>
  </si>
  <si>
    <t>mailto:victor@joytransportnow.com</t>
  </si>
  <si>
    <t>JP Corporation</t>
  </si>
  <si>
    <t>http://jp-corp.net</t>
  </si>
  <si>
    <t>mailto:mark@jp-corp.net</t>
  </si>
  <si>
    <t>JP Douglas Construction, Inc.</t>
  </si>
  <si>
    <t>mailto:jpdouglas@jpdouglasconstruction.com</t>
  </si>
  <si>
    <t>JP Equipment</t>
  </si>
  <si>
    <t>http://www.ineedjpequipment.com</t>
  </si>
  <si>
    <t>mailto:marketing@ineedjpequipment.com</t>
  </si>
  <si>
    <t>JP Frog Advertising Inc</t>
  </si>
  <si>
    <t>="JP Frog sells any type of promotional item that you would use to promote your business such as imprinted t shirts, hats, coffe mugs, pens, desk items, golf items, glassware, sticky notes, etc. Any promotional type of item you need with a logo on it, we can provide for you."</t>
  </si>
  <si>
    <t>JP Frog Advertising, Inc.</t>
  </si>
  <si>
    <t>="JP Frog sells logo promotional items for companies needing items for any event, meeting, company outing, product launch etc they may be having. We provide items such as imprinted or embroidered wearables, awards, premium items, desk items, any type of item with their logo or sponsors logo on them."</t>
  </si>
  <si>
    <t>JPMorgan Chase Bank, National Associatio</t>
  </si>
  <si>
    <t>http://www.chase.com</t>
  </si>
  <si>
    <t>mailto:nancy.a.dorsa@jpmorgan.com</t>
  </si>
  <si>
    <t>JPS Consulting Engineers, LLC</t>
  </si>
  <si>
    <t>http://www.jpsce.com</t>
  </si>
  <si>
    <t>mailto:prakash@jpsce.com</t>
  </si>
  <si>
    <t>JR Interiors, Inc.</t>
  </si>
  <si>
    <t>="One Eleven Design is an office and healthcare furnishings and interior design dealer located in Fort Wayne. We are a Herman Miller dealer and specialize in creating affordable, aesthetic, and functional work environments. Smart furniture for Smart Business."</t>
  </si>
  <si>
    <t>http://www.111designonline.com</t>
  </si>
  <si>
    <t>mailto:jr@111designonline.com</t>
  </si>
  <si>
    <t>JR WATKINS &amp;FAMILY</t>
  </si>
  <si>
    <t>mailto:SGINSNOW@INSIGHTBB.COM</t>
  </si>
  <si>
    <t>JR Wilson Contracting, Inc</t>
  </si>
  <si>
    <t>="I would like to state that JR Wilson Contracting, Inc is an experienced contractor which has performed numerous, site preparation, reclamation, and demolition project with all site finished with prisicion fine grade. The finishing operator, Josh Robinson has 15+ year of experience with all types of heavy equipment, and is very well suited to handle any projects efficiently and cost effectively."</t>
  </si>
  <si>
    <t>mailto:jrwilsoncontracting@hughes.net</t>
  </si>
  <si>
    <t>JRJ Technologies Inc</t>
  </si>
  <si>
    <t>http://www.jrjtech.com</t>
  </si>
  <si>
    <t>mailto:jrj@jrjtech.com</t>
  </si>
  <si>
    <t>JRM Environmental</t>
  </si>
  <si>
    <t>mailto:jrmenvironmental@netcapade.com</t>
  </si>
  <si>
    <t>JRM Environmental Inc.</t>
  </si>
  <si>
    <t>mailto:jrmenvironmentalinc@comcast.net</t>
  </si>
  <si>
    <t>JRP MACHINE CO INC</t>
  </si>
  <si>
    <t>="Mfr. of Screw Machine Products. Turning Capacities Range from Production Quantities of 1/4"" to 2"" Round and Prototype Quantities (Under 30 pcs.) from 1/4"" to 8"" Round. CNC Milling &amp; CNC Swiss Turning. Other Services Include Light Assembly, Bar Code Labeling, Local Pick Up &amp; Delivery, Plating &amp; Heat Treat. Equipment Includes Single Spindled, Bar Fed CNC Turning Centers, CNC Vertical Machining Center, Bar Fed Swiss type Turning and a Variety of Secondary Operations"</t>
  </si>
  <si>
    <t>http://www.jrpmachine.net</t>
  </si>
  <si>
    <t>mailto:jrpmachine@earthlink.net</t>
  </si>
  <si>
    <t>JRPD Construction, Inc.</t>
  </si>
  <si>
    <t>JS Environmental Consulting, LLC</t>
  </si>
  <si>
    <t>="JS Environmental Consulting, LLC is an environmental consulting firm specializing in environmental due diligence, risk management, and site investigation/remediation/closure services to industrial, legal, financial, and government clients. Our line of services includes Phase I and Phase II Environmental Site Assessments (AAI), Underground Storage Tank Removals and Closure Assessments, Brownfield Site Investigations and Development, Site Characterization (Soil &amp; Groundwater Sampling), Soil Vapor Survey, Remedial Feasibility Investigation and Studies, Remediation Design, Installation, Operation, and Maintenance."</t>
  </si>
  <si>
    <t>mailto:mfaulk_jsec@verizon.net</t>
  </si>
  <si>
    <t>JSB IT Solutions, LLC</t>
  </si>
  <si>
    <t>JSM Enterprises LLC</t>
  </si>
  <si>
    <t>="Sales of police, military, fire, security tactical gear. We offer full lines of military gear, law enforcement gear, combat gear, tactical clothing, flashlights, rifle scopes, assault packs, binoculars, weapon accessories, safety vests, knee pads etc. If you don't see the item you want on our website, please contact us for assistance. We pride ourselves on customer service."</t>
  </si>
  <si>
    <t>http://www.coderedtactical.com</t>
  </si>
  <si>
    <t>mailto:admin@coderedtactical.com</t>
  </si>
  <si>
    <t>JSYS Technologies LLC</t>
  </si>
  <si>
    <t>JUS LAWNS</t>
  </si>
  <si>
    <t>http://jusharmony.org</t>
  </si>
  <si>
    <t>mailto:juslawns@gmail.com</t>
  </si>
  <si>
    <t>JUST UNIFORMS, LLC</t>
  </si>
  <si>
    <t>mailto:DANCIUKAS69@YAHOO.COM</t>
  </si>
  <si>
    <t>JUSTRITE CLEANERS</t>
  </si>
  <si>
    <t>="Just Rite Cleaners is a 23 year old family owned and run dry cleaning business providing excellent quality and service to its customers. We offer competitive pricing, same-day service and the knowledge that our customers are dealing with a business that cares about them and the neighborhood."</t>
  </si>
  <si>
    <t>mailto:Justriteindy@yahoo.com</t>
  </si>
  <si>
    <t>JV Partners 2 LLC</t>
  </si>
  <si>
    <t>http://www.centralrestaurant.com</t>
  </si>
  <si>
    <t>mailto:sales@centralrestaurant.com</t>
  </si>
  <si>
    <t>JV SOLUCIONES PERSONALES</t>
  </si>
  <si>
    <t>JVB Group LLC</t>
  </si>
  <si>
    <t>mailto:jburney0472@gmail.com</t>
  </si>
  <si>
    <t>JWIRE,INC</t>
  </si>
  <si>
    <t>="Installation of low-voltage wiring ranging from basic service calls and consulting to custom wiring of audio/video components, including but not limited to HDTV televisions, surround systems (small to whole-house even outdoor), home surveillance, network based home intergration , cable and satellite systems."</t>
  </si>
  <si>
    <t>mailto:JWIREINC@HOTMAIL.COM</t>
  </si>
  <si>
    <t>JWS Group, Inc.</t>
  </si>
  <si>
    <t>http://www.jwsgroupinc.com</t>
  </si>
  <si>
    <t>mailto:info@jwsgroupinc.com</t>
  </si>
  <si>
    <t>JWS Machine, Inc</t>
  </si>
  <si>
    <t>="JWS Machine Inc. is a small Woman Owned Business located in Brazil, Indiana. Our mission is to: “Manufacture high quality parts to customer specifications and guidelines in a timely manner that is consistent with customer needs; where both the customer and JWS Machine Inc. benefit through customer savings and customer satisfaction”. We are set up both as a job shop and production machining facility. We can accommodate the small lot quantities as well as the larger lot production runs. We have manufactured parts for numerous industries, such as the Aerospace Industry, the Medical Industry, the Electronics Industry, the Plastics Industry, the Cryogenics Industry, the Automotive Industry, and the Tool and Die Industry, to name a few. Some of our customers include GE Aircraft Engines, Unison Engine Components, Liberty-Works Rolls-Royce, General Dynamics, Purdue University Jet Propulsion Laboratory, and Biomet."</t>
  </si>
  <si>
    <t>http://www.jwsmachine.com</t>
  </si>
  <si>
    <t>mailto:estark@jwsmachine.com</t>
  </si>
  <si>
    <t>JYates Companies Inc.</t>
  </si>
  <si>
    <t>http://www.jyatescompanies.com</t>
  </si>
  <si>
    <t>mailto:cleaning@jyatescompanies.com</t>
  </si>
  <si>
    <t>Jac-Cen-Del Community School Corporation</t>
  </si>
  <si>
    <t>Jack Connors Inc</t>
  </si>
  <si>
    <t>http://www.connorsinc.com</t>
  </si>
  <si>
    <t>mailto:sale@connorsinc.com</t>
  </si>
  <si>
    <t>Jackie S. Dodd, Attorney at Law</t>
  </si>
  <si>
    <t>http://jsdlaw.com</t>
  </si>
  <si>
    <t>mailto:jackie@jsdlaw.com</t>
  </si>
  <si>
    <t>Jackson County Title</t>
  </si>
  <si>
    <t>http://markellaw.com</t>
  </si>
  <si>
    <t>mailto:bmarkel@markellaw.com</t>
  </si>
  <si>
    <t>Jackson Foundations</t>
  </si>
  <si>
    <t>mailto:tomjackson41@hotmail.com</t>
  </si>
  <si>
    <t>Jackson Harris Insurance Group</t>
  </si>
  <si>
    <t>mailto:JacksonHarrisInsuranceGroup@gmail.com</t>
  </si>
  <si>
    <t>Jackson Wealth Management, L.L.P.</t>
  </si>
  <si>
    <t>http://www.jwmllp.com</t>
  </si>
  <si>
    <t>mailto:reggie.jackson@jwmllp.com</t>
  </si>
  <si>
    <t>Jackson-Lee-Pearson, Inc</t>
  </si>
  <si>
    <t>http://www.jacksonleepearson.com</t>
  </si>
  <si>
    <t>mailto:jacksonleepearson@jlpflora.com</t>
  </si>
  <si>
    <t>Jacob-Dietz, Inc.</t>
  </si>
  <si>
    <t>mailto:rob@jdifire.com</t>
  </si>
  <si>
    <t>Jacobi Oil Service, Inc.</t>
  </si>
  <si>
    <t>="Jacobi Oil Service, Inc. is a certified woman business enterprise in the State of Indiana which has been in business since 1954. We deliver heating oil, diesel fuel for farms, industry and construction, and gasoline and bulk oil and diesel products including motor oil, hydraulic, and antifreeze. Because we take delivery of our fuel directly from the refinery terminals, we are very cost-competitive. Our greatest strength, however, is our customer service."</t>
  </si>
  <si>
    <t>http://www.jacobioil.com</t>
  </si>
  <si>
    <t>mailto:terry@jacobioil.com</t>
  </si>
  <si>
    <t>JacobsParts, Inc.</t>
  </si>
  <si>
    <t>="JacobsParts Inc. was founded in August 2006 as a small laptop power adapter business operating out of a residential condo in downtown Indianapolis. Today, we are a thriving business with 11 employees and are operating out of an office/warehouse in Park Fletcher. While we still offer our flagship product of laptop power adapters, our product line has expanded with a variety of Electronics Accessories; Computer Peripherals; Networking Hardware &amp; Cables; Printer/Copier Toner; A/V &amp; Computer Cables; Tools &amp; Hardware and more."</t>
  </si>
  <si>
    <t>http://www.jacobsparts.com</t>
  </si>
  <si>
    <t>mailto:contactus@jacobsparts.com</t>
  </si>
  <si>
    <t>Jacqueline Taylor, Inc.</t>
  </si>
  <si>
    <t>mailto:jtaylorOTSS@gmail.com</t>
  </si>
  <si>
    <t>Jadcore, Inc.</t>
  </si>
  <si>
    <t>="Manufacturer of quality linear low density polyethylene bags. Recycler of plastics. We have a complete line of stock sizes and have the capability to manufacture custom sizes from 1.0 - 6.0 mil. (all colors available including clear) Minimum width = 24"" Maximum width = 60"". We offer imprinted bags."</t>
  </si>
  <si>
    <t>http://www.jadcore.com</t>
  </si>
  <si>
    <t>mailto:Jumarwoods@verizon.net</t>
  </si>
  <si>
    <t>Jaimie Inc.</t>
  </si>
  <si>
    <t>http://www.jaimieinc.com</t>
  </si>
  <si>
    <t>mailto:jkartes@me.com</t>
  </si>
  <si>
    <t>Jaiz Consulting</t>
  </si>
  <si>
    <t>="Jaiz Consulting /J-A-Z/, is a full service alcoholic beverage law consulting and server training business. Jaiz was established to provide a complete line of services for businesses and individuals that interact with the ATC. Jaiz’s owner/consultant served as an Indiana State Excise Police Officer (ISEP). She studied the ATC laws, policies and procedures at the Indiana State Excise Police Academy, and continued to receive education and training at the Indiana Law Enforcement Academy. The owner is also a trained bartender/server with 20 years of industry experience. This education and training is how Jaiz is able to provide our clients, which conduct business with the ATC, superior consulting and training."</t>
  </si>
  <si>
    <t>http://www.jaizconsulting.com</t>
  </si>
  <si>
    <t>mailto:jaizconsulting1@gmail.com</t>
  </si>
  <si>
    <t>Jakz Medical Equipment, Service &amp; Supply</t>
  </si>
  <si>
    <t>="Jakz Medical Equipment, Service and Supply provides durable medical equipment to hospitals,medical and commercial facilities and homes with durable care products including mobility, bariatric, respiratory, sleep therapy, incontinence, orthopedic, emergency (1st response),bathroom and living aids to the private, medical, and commercial markets. Jakz provides also value added services including 24 hour emergency, rentals, medical waste management, medical recycle, repairs and maintenance, delivery and setup. We specialize in catering the elderly, handicapped, bariatric, hispanic, sport injured, and baby boomer markets where our products and services provide seamless caring transitions from medical facilities to home care."</t>
  </si>
  <si>
    <t>http://www.jakzmedical.com</t>
  </si>
  <si>
    <t>mailto:info@jakzmedical.com</t>
  </si>
  <si>
    <t>James A Lawhorn</t>
  </si>
  <si>
    <t>mailto:lawhorn88@hughes.net</t>
  </si>
  <si>
    <t>James C. Shannon</t>
  </si>
  <si>
    <t>="Thanks for allowing us to introduce Regions Security Service, LLC. Our value rests in our ability to offer flexible, consultative services based on YOUR UNIQUE NEEDS. In effect, we are a company committed to providing tailored, effective, secure, and high quality security guard services to reduce the risk and threats in the communities of Indianapolis. Mission Statement The purpose of Regions Security Service, LLC is to provide premium security protection, value added services and experienced officers. The company’s professionalism and proven service to the community is looking to the future to meet the requirements and safety needs in the security industry. Services We Provide Armed and Unarmed Consulting Community Patrols Retirement Homes / Group Homes Traffic Control Loss Prevention Special Events Our company has over 10 years experience in the security industry and have worked along side of local law enforcement officers. We are licensed and bonded with the State "</t>
  </si>
  <si>
    <t>http://regionssecurityservice.com</t>
  </si>
  <si>
    <t>mailto:jsha@regionssecurityservice.com</t>
  </si>
  <si>
    <t>James E. Childs &amp; Associates Inc</t>
  </si>
  <si>
    <t>http://Jameschildsarchitects.com</t>
  </si>
  <si>
    <t>mailto:arch@jameschildsarchitects.com</t>
  </si>
  <si>
    <t>James F. Siener, Inc</t>
  </si>
  <si>
    <t>="Our business was started in 1929. We specialize in insurance restoration work, remodeling, roofing, siding, windows, some ""structural"" repairs, room additions, and any type of residential or light commercial work, etc. We try to use all hourly employees in lieu of subs."</t>
  </si>
  <si>
    <t>http://www.jfsinc1929.com</t>
  </si>
  <si>
    <t>mailto:jfsinc1929@aol.com</t>
  </si>
  <si>
    <t>James L. Peters</t>
  </si>
  <si>
    <t>http://www.peterspective.com</t>
  </si>
  <si>
    <t>mailto:Eph6v14@yahoo.com</t>
  </si>
  <si>
    <t>James L. Shireman Inc.</t>
  </si>
  <si>
    <t>="James L. Shireman is a leading So. Indiana-based construction manager specializing in commerical, medical, and institutional buildings. Past projects include program management of school system renovations and new building projects, hospitals, and county jails. Based in Corydon, Indiana and in business for nearly 50 years, James L. Shireman Inc. is also a general contractor on commerical and industrial projects. This includes banks, industrial manufacturing and warehousing, strip malls, and hotels. Our focus is helping owners bring their projects in on-time and within a set budget, with constant communication between the designers, owners and builders throughout the process."</t>
  </si>
  <si>
    <t>http://www.jlshireman.com</t>
  </si>
  <si>
    <t>mailto:jeffshireman@yahoo.com</t>
  </si>
  <si>
    <t>James Logan</t>
  </si>
  <si>
    <t>="JL Property Specialists is a commercial and residential cleaning business offering janitorial, custodial and lawn maintenance services. Exterior services include: • Pressure washing • Window cleaning • Gutter cleaning • Sidewalk/pavement cleaning • Lawn maintenance • Snow removal Interior services include: • Trash collection, removal and recycling • Vacuuming • Dusting Sweeping, mopping and polishing of floors • Disinfecting frequently touched surfaces (doorknobs, telephones, light switches, etc.) • Special area cleaning (elevators, kitchens, reception areas) • Restroom cleaning and disinfecting Sanitizing of all restroom fixtures, sinks, partitions, walls, etc. High dusting Wall and carpet spot removal • Vent, Blind, and Light fixture cleaning • Window • Floor stripping and refinishing • Carpet cleaning Our clientele includes offices, homes, restrooms, shopping centers, restaurants and a host of other business types. Free estimates are provided."</t>
  </si>
  <si>
    <t>http://www.jlpropertyspecialists.com</t>
  </si>
  <si>
    <t>mailto:info@jlpropertyspecialists.com</t>
  </si>
  <si>
    <t>James T. Welborne</t>
  </si>
  <si>
    <t>="From assessment to installation, Welborne Associates can provide solutions for your computing needs. As a full service systems integrator, Welborne Associates can design and implement a secure system for your enterprise. Welborne Associates also provides training and support for your staff. Hardware, off the shelf-software and custom programming can be blended together into a seamless system. Training by Welborne Associates will give your staff the know-how to use the system to its fullest potential."</t>
  </si>
  <si>
    <t>http://www.welborne.com</t>
  </si>
  <si>
    <t>mailto:info@welborne.com</t>
  </si>
  <si>
    <t>Jamin, Inc.</t>
  </si>
  <si>
    <t>mailto:rtrji@performancewisp.com</t>
  </si>
  <si>
    <t>mailto:rtrji@kconline.com</t>
  </si>
  <si>
    <t>Jan Pro of Northern Indiana</t>
  </si>
  <si>
    <t>http://www.jan-pro.com/nindiana</t>
  </si>
  <si>
    <t>mailto:roberto.castaneda@jan-pro.com</t>
  </si>
  <si>
    <t>Timber Tract Operations</t>
  </si>
  <si>
    <t>Jane's Earth LLC</t>
  </si>
  <si>
    <t>http://www.janesearth.com</t>
  </si>
  <si>
    <t>mailto:lb@janesearth.com</t>
  </si>
  <si>
    <t>Janet Beckett</t>
  </si>
  <si>
    <t>="BCG SOLUTIONS is is developer of professional internet presence for small to mid-sized businesses to small home-based businesses and nonprofit organizations. BCG offers Logo and graphice design for business and grant writing services. BCG SOLUTIONS will work closely with you to develop a a business presence that is ideal for your needs. Contact us today and find out why so many trust BCG SOLUTIONS."</t>
  </si>
  <si>
    <t>http://www.bcgsolution.com</t>
  </si>
  <si>
    <t>mailto:jbeckett@insightbb.com</t>
  </si>
  <si>
    <t>Janet K. Lancaster</t>
  </si>
  <si>
    <t>mailto:sciijanet@yahoo.com</t>
  </si>
  <si>
    <t>JanettMarie LLC</t>
  </si>
  <si>
    <t>="Independent Artist utilizing paint as the primary medium. Capacity to work on large (4' x 6') wall hanging's for government, corporate or private venue's. Combining a Mechanical Engineering degree from Tri State with a Bachelors of Fine Art from The Herron School of Art, my productions reflect a whimsical perspective of otherwise engineered objects."</t>
  </si>
  <si>
    <t>http://www.janettmarie.com</t>
  </si>
  <si>
    <t>mailto:janettmarie@gmail.com</t>
  </si>
  <si>
    <t>Janetta Shelton</t>
  </si>
  <si>
    <t>Janssen and Spaans Engineering, Inc.</t>
  </si>
  <si>
    <t>="Janssen and Spaans Engineering, Inc. is a consulting engineering firm headquartered in Indiana. JSE supplies consulting engineering services for road and bridge projefor public and private clients. Other services offered are surveying, construction engineering, civil and site design."</t>
  </si>
  <si>
    <t>http://www.jsengr.com</t>
  </si>
  <si>
    <t>mailto:info@jsengr.com</t>
  </si>
  <si>
    <t>Janus Construction LLC</t>
  </si>
  <si>
    <t>="Janus Construction LLC is a full-service general contractor specializing in all types of construction (including new work, additions, alterations, maintenance, and repairs) of commercial, institutional buildings and related structures, such as stadiums, grain elevators, and indoor swimming facilities, new multifamily residential housing units, single family homes, and condominiums . With more than 20 years experience in construction, the management team is comprised of industry experts that have served in senior management positions with some of the most respected general contracting and construction management firms in the industry. Through established relationships with leading architects and subcontractors, Janus Construction LLC assembles the best team for each project and works closely with its wide network of partners to deliver exceptional, professional service and results that surpass client expectations."</t>
  </si>
  <si>
    <t>JarDon LLC</t>
  </si>
  <si>
    <t>mailto:jardonllc@gmail.com</t>
  </si>
  <si>
    <t>Jarboe Group Inc</t>
  </si>
  <si>
    <t>="As a SBC Authorized Distributor, Network Services Inc we can arrange voice and data services for your business locations. Voice access lines from basic dial tone to ISDN Prime service, including SBC Long Distance. Data services that provide anywhere from simple data to complex file transfers are also included in our portfolio of services. We can customize the SBC services that will achieve optimum perfomance for your business at no extra cost to you."</t>
  </si>
  <si>
    <t>mailto:info@networksvc.com</t>
  </si>
  <si>
    <t>Jarboe Marketing &amp; Design Solutions, Inc</t>
  </si>
  <si>
    <t>http://www.gojarbo.com</t>
  </si>
  <si>
    <t>mailto:contact@gojarbo.com</t>
  </si>
  <si>
    <t>Jarrell Auto Repair</t>
  </si>
  <si>
    <t>mailto:cjj3278@aol.com</t>
  </si>
  <si>
    <t>Jason Yost</t>
  </si>
  <si>
    <t>="SOLUTIONS Indoor Environmental Consulting was established to serve anyone affected by damage caused by indoor environmental conditions. Our on-site inspections are designed to provide the most trustworthy and scientifically sound definition of the conditions in your home or business. With the information collected a full report and protocol will be generated to guide you through the process of remediation and restoration - and our staff of qualified Council-certified Indoor Environmental Consultants will be with you throughout the process to consult and verify the completion of the remediation processes. Some of our services include: water and fire damage, allergen, mold, bacteria, VOCs, and other Indoor Air Quality sampling and consultations."</t>
  </si>
  <si>
    <t>http://www.SolutionsIEC.com</t>
  </si>
  <si>
    <t>mailto:SolutionsIEC@live.com</t>
  </si>
  <si>
    <t>Jasper County Government</t>
  </si>
  <si>
    <t>http://www.jaspercountyin.gov</t>
  </si>
  <si>
    <t>mailto:auditor@co.jasper.in.us</t>
  </si>
  <si>
    <t>Jasper County Hospital</t>
  </si>
  <si>
    <t>http://www.jchh.com</t>
  </si>
  <si>
    <t>Jasper Engine Exchange Inc.</t>
  </si>
  <si>
    <t>http://www.jasperengines.com</t>
  </si>
  <si>
    <t>mailto:national@jasperengines.com</t>
  </si>
  <si>
    <t>Jasper Engineering Technology, Inc.</t>
  </si>
  <si>
    <t>mailto:jaspere@nwiis.com</t>
  </si>
  <si>
    <t>Jasper INN &amp; convention center</t>
  </si>
  <si>
    <t>mailto:jasperinncc.com</t>
  </si>
  <si>
    <t>Logging</t>
  </si>
  <si>
    <t>Jave Consulting &amp; Staffing</t>
  </si>
  <si>
    <t>="Jave Consulting &amp; Staffing provides is a specialized staffing firm that provides Recruitment Process Outsourcing and Contingent Workforce Solutions to businesses throughout Indiana area; Placement of Temporary and Direct Hire professionals. We maintain extreme professonalism and is committed to service excellence."</t>
  </si>
  <si>
    <t>Jave Staffing, Inc.</t>
  </si>
  <si>
    <t>="Jave Staffing specializes in executive recruitment. We offer temporary placement, temporary to permanent placement and direct placement of our Associates in the areas of business/professional, business/Administration, information technology and trade/skilled. Positions that we place include CEOs, Office Managers, Attorneys, Legal Assistants, Purchasing Assistants etc."</t>
  </si>
  <si>
    <t>mailto:veronicaba@javestaffinginc.com</t>
  </si>
  <si>
    <t>Jay Randolph Develop</t>
  </si>
  <si>
    <t>Jay Tang, Inc.</t>
  </si>
  <si>
    <t>="CableMaster, Inc. located in Indianapolis, Indiana is your “one-stop shop” for telecommunication and data communication solutions. We offer a variety of data and voice communication alternatives from the industry’s leading manufacturers. We are a wholesale supplier specializing in network hardware and data cabling solutions such as computer cables, networking cables - CAT5, CAT5e, CAT6, fiber optic, cable connectors, bulk cables, cabinet enclosures &amp; racks, cable management products, premise wiring products - patch panels, modular plugs, jacks, face plates, cabling tools &amp; testers, network cards, hubs, switches, cable/DSL routers, wireless access points, modems, power protection products (UPS - Uninterrupted Power System) and much more."</t>
  </si>
  <si>
    <t>http://www.cablemaster.com</t>
  </si>
  <si>
    <t>mailto:cablemaster@cablemaster.com</t>
  </si>
  <si>
    <t>Jay-Kem, Inc.</t>
  </si>
  <si>
    <t>mailto:jkjww@psci.net</t>
  </si>
  <si>
    <t>Jealous Design</t>
  </si>
  <si>
    <t>http://www.jealousdesign.com</t>
  </si>
  <si>
    <t>mailto:julie@jealousdesign.com</t>
  </si>
  <si>
    <t>Jeanette Hasenkamp</t>
  </si>
  <si>
    <t>mailto:jeanetehasenkamp@aol.com</t>
  </si>
  <si>
    <t>Jeanne Lewer Consulting, LLC</t>
  </si>
  <si>
    <t>mailto:jkewer01@att.net</t>
  </si>
  <si>
    <t>Jeanne Walters Real Estate</t>
  </si>
  <si>
    <t>="Growing up on her family's farm in rural Owen County, Jeanne Walters has many fond memories that she will always cherish. As the owner of Jeanne Walters Real Estate, in Bloomington, IN, Jeanne has touched many people's lives in a positive way through her real estate service. She has established herself as a professional whose industry knowledge is unrivaled and genuine dedication to her clients' needs unsurpassed. Her office is located downtown Bloomington, Indiana, near the campus of Indiana University."</t>
  </si>
  <si>
    <t>http://www.jeannewalters.com</t>
  </si>
  <si>
    <t>mailto:info@jeannewalters.com</t>
  </si>
  <si>
    <t>Jeff Lilly</t>
  </si>
  <si>
    <t>mailto:jeff@innovativeeducation.com</t>
  </si>
  <si>
    <t>Jeff Sheats Designs, Inc.</t>
  </si>
  <si>
    <t>="Jeff Sheats Designs, Inc. is a full service interior design firm based in Indianapols. We provide both commercial and residential interior design services including professional space planning, furniture selection and placement, custom drapery services, specification of all interior finishes and fixtures, lighting plans and more."</t>
  </si>
  <si>
    <t>http://www.jeffsheatsdesigns.com</t>
  </si>
  <si>
    <t>mailto:jeff@sheats.com</t>
  </si>
  <si>
    <t>Jeff's Lawn Care</t>
  </si>
  <si>
    <t>mailto:jlrhendricks@yahoo.com</t>
  </si>
  <si>
    <t>Jefferson County Youth Shelter, Inc.</t>
  </si>
  <si>
    <t>http://www.pathwaysmadison.org</t>
  </si>
  <si>
    <t>mailto:pathways@pathwaysmadison.org</t>
  </si>
  <si>
    <t>Temporary Shelters</t>
  </si>
  <si>
    <t>Jefferson Yachts Inc</t>
  </si>
  <si>
    <t>="Reflecting back on more than 20 years since the founding of Jefferson Yachts, it has been our desire to utilize our personal boating experience as a barometer to meet the needs of our customers. As boaters, both professionally and recreationally, every day we study, test, observe and experience boating with one aim in mind - to make your experience on the water a wonderful time. Given 40% of our owners return to Jefferson Yachts for a second or third purchase, we believe we have achieved that goal. Our emphasis on offering the highest quality boats at the best possible price has rewarded us with an impressive reputation for providing the finest value. At our 40,000 square foot plant in Jeffersonville, veteran craftsmen still build each Marlago one at a time, by hand , as part of a team that takes great pride in their work. Our entire line of boats meet the stringent certification standards set by the National Marine Manufacturer's Association."</t>
  </si>
  <si>
    <t>http://www.jeffersonyachts.com</t>
  </si>
  <si>
    <t>mailto:dshaw@jeffersonyachts.com</t>
  </si>
  <si>
    <t>Ship and Boat Building</t>
  </si>
  <si>
    <t>Jeffery D. Todd</t>
  </si>
  <si>
    <t>http://www.toddseptic.com</t>
  </si>
  <si>
    <t>mailto:contact@toddseptic.com</t>
  </si>
  <si>
    <t>Jeffrey Underwood, CPA</t>
  </si>
  <si>
    <t>mailto:junderwood@alumni.indiana.edu</t>
  </si>
  <si>
    <t>Jembah Distributing Company</t>
  </si>
  <si>
    <t>Jemco Products Company, Inc.</t>
  </si>
  <si>
    <t>mailto:jemcostaples@sbcglobal.net</t>
  </si>
  <si>
    <t>Jen Thomas PR Inc.</t>
  </si>
  <si>
    <t>="Jen Thomas PR, Inc. offers strategically smart communications for organizations that want results and honest, straightforward advice and counsel. We provide a range of public relations planning, strategy, training, writing and media relations services. Jen Thomas PR helps clients tell their stories broadly and effectively – not just to ""raise awareness,"" but to make phone rings, doors open and products sell, and to keep customers, clients and audiences asking for more. Jen Thomas PR is a Subchapter C corporation providing public relations and media relations services to clients in Central Indiana. The firm helps for-profit and nonprofit organizations communicate with key audiences through the media, direct contact, e-contact, word-of-mouth, public forums, printed pieces, the Web and other media and conduits as appropriate. These communications are designed to assist the client organizations in reaching their objectives – financial, organizational and operational."</t>
  </si>
  <si>
    <t>http://www.jenthomaspr.com</t>
  </si>
  <si>
    <t>mailto:jen@jenthomaspr.com</t>
  </si>
  <si>
    <t>Jenga Services, Inc.</t>
  </si>
  <si>
    <t>mailto:gil.michel@gmail.com</t>
  </si>
  <si>
    <t>Jennifer L. Milliken</t>
  </si>
  <si>
    <t>="J Milliken Consulting helps clients make informed decisions about land use and real estate including planning, development, and marketing. Services include Market Research and Analysis (demographics, economics, etc.), Urban and Strategic Planning (plans and ordinances), and Consumer Research (surveys and focus groups)."</t>
  </si>
  <si>
    <t>http://www.jmilliken.com</t>
  </si>
  <si>
    <t>mailto:jennifer@jmilliken.com</t>
  </si>
  <si>
    <t>Jennifer Lynn Biszantz</t>
  </si>
  <si>
    <t>Jennifer Spencer, PhD, HSPP, PC</t>
  </si>
  <si>
    <t>http://www.drjspencer.com</t>
  </si>
  <si>
    <t>mailto:jenny@drjspencer.com</t>
  </si>
  <si>
    <t>Jennifer Thompson</t>
  </si>
  <si>
    <t>mailto:Thompsons1999@aol.com</t>
  </si>
  <si>
    <t>Jenniges Enterprises, Inc.</t>
  </si>
  <si>
    <t>="We provide the following commercial &amp; residential services: Water Restoration; Fire, Smoke &amp; Soot Restoration; Mold Remediation; Air Duct Cleaning; Bio-hazard Cleanup; Carpet &amp; Upholestery Cleaning; Animal Feces Cleanup, We are certified as a federal Service-disabled Veteran-owned business."</t>
  </si>
  <si>
    <t>http://www.SteamaticIndy.com</t>
  </si>
  <si>
    <t>mailto:Steamatic@SteamaticIndy.com</t>
  </si>
  <si>
    <t>Jennings &amp; Associates LLC</t>
  </si>
  <si>
    <t>="Jennings &amp; Associates provides consultation services to aid business' in the planning, developing and completion of government projects. Our core services are: * Business Planning &amp; Consulting * System Development and Implementation * Project Administration and Planning * Bookkeeping and Financial Analysis * Real Estate &amp; Leasing Services"</t>
  </si>
  <si>
    <t>mailto:jenn_assoc@yahoo.com</t>
  </si>
  <si>
    <t>Jennings Catering</t>
  </si>
  <si>
    <t>mailto:rabright@tls.net</t>
  </si>
  <si>
    <t>Jeramy C. Byers</t>
  </si>
  <si>
    <t>New Housing Operative Builders</t>
  </si>
  <si>
    <t>Jeremi Group, Inc</t>
  </si>
  <si>
    <t>mailto:jeremi@prodigy.net</t>
  </si>
  <si>
    <t>Jeremiah Lockett,CPA</t>
  </si>
  <si>
    <t>Jericho Innovative Solutions LLC</t>
  </si>
  <si>
    <t>="Jericho Innovative Solutions provides recycled liners, jan-san products, as well as lighting. It is our mission to provide quality products at competitive prices, while providing excellent service and support for everything we sell. Choosing us for your various needs will allow you to save money without compromising quality."</t>
  </si>
  <si>
    <t>http://www.clarktaylorandassociates.com</t>
  </si>
  <si>
    <t>mailto:clark.taylor@clarktaylorandassociates.com</t>
  </si>
  <si>
    <t>Jerico Metal Specialties,inc</t>
  </si>
  <si>
    <t>http://jericometals.com</t>
  </si>
  <si>
    <t>mailto:jerico@jericometals.com</t>
  </si>
  <si>
    <t>Jerry Parker</t>
  </si>
  <si>
    <t>mailto:parkerpaintingdrywall@indy.rr.com</t>
  </si>
  <si>
    <t>Jerry Smith Electric, Inc.</t>
  </si>
  <si>
    <t>="Installation and wiring of residential, commercial, industrial and coal mine. Licensed Master Electrician with above ground and below ground federal mining license. Installation and maintenance of security and fire alarm systems to Indiana state level requirements."</t>
  </si>
  <si>
    <t>mailto:densmith@echowireless.net</t>
  </si>
  <si>
    <t>Jerry W Kopf</t>
  </si>
  <si>
    <t>http://allstate.com</t>
  </si>
  <si>
    <t>mailto:a060583@allstate.com</t>
  </si>
  <si>
    <t>Jet Fabricators, Inc.</t>
  </si>
  <si>
    <t>http://www.jetfab.com</t>
  </si>
  <si>
    <t>Jet Star, Inc.</t>
  </si>
  <si>
    <t>http://www.jetstarinc.com</t>
  </si>
  <si>
    <t>Jettline Electric Inc.</t>
  </si>
  <si>
    <t>http://www.jettlineelectric.com</t>
  </si>
  <si>
    <t>mailto:jettline.jason@frontier.com</t>
  </si>
  <si>
    <t>Jewel's Cleaning Ser</t>
  </si>
  <si>
    <t>mailto:User710373@aol.com</t>
  </si>
  <si>
    <t>Jill D Reed &amp; Associates, Inc.</t>
  </si>
  <si>
    <t>mailto:jill@jillreed.com</t>
  </si>
  <si>
    <t>Jim O'Neal Ford</t>
  </si>
  <si>
    <t>http://WWW.ONEALAUTOGROUP.COM</t>
  </si>
  <si>
    <t>mailto:INFO@JIMONEALFORD.COM</t>
  </si>
  <si>
    <t>Jim True Ford Mercury, Inc.</t>
  </si>
  <si>
    <t>http://WWW.bauerford.com</t>
  </si>
  <si>
    <t>mailto:pete.kutche@bauer.com</t>
  </si>
  <si>
    <t>Jim's Garage, Inc</t>
  </si>
  <si>
    <t>Jireh Supplies, Inc.</t>
  </si>
  <si>
    <t>JoAnn K. Darling</t>
  </si>
  <si>
    <t>mailto:photodarling@insightbb.com</t>
  </si>
  <si>
    <t>Joan's Uniforms, Maternity &amp; Women's Plu</t>
  </si>
  <si>
    <t>mailto:joansumwp@yahoo.com</t>
  </si>
  <si>
    <t>Women's and Girls' Cut and Sew Apparel Contractors</t>
  </si>
  <si>
    <t>JobWorks, Inc.</t>
  </si>
  <si>
    <t>http://www.jobworksinc.org</t>
  </si>
  <si>
    <t>Jobs Partnership of Greater Indianapolis</t>
  </si>
  <si>
    <t>http://www.jpindy.org</t>
  </si>
  <si>
    <t>mailto:hope@jpindy.org</t>
  </si>
  <si>
    <t>Joel Almaroad</t>
  </si>
  <si>
    <t>Joers Floor Center</t>
  </si>
  <si>
    <t>http://www.CARPETONE.COM/JOERS</t>
  </si>
  <si>
    <t>mailto:JOERSFLOOR@SBCGLOBAL.NET</t>
  </si>
  <si>
    <t>John &amp; Louie Ent, Inc.</t>
  </si>
  <si>
    <t>http://p-kcompanies.com</t>
  </si>
  <si>
    <t>mailto:johnkim@p-kcompanies.com</t>
  </si>
  <si>
    <t>John A. Doyle &amp; Associates, Inc.</t>
  </si>
  <si>
    <t>John C. Brooks</t>
  </si>
  <si>
    <t>mailto:jcbrooks_bs@hotmail.com</t>
  </si>
  <si>
    <t>John Carter</t>
  </si>
  <si>
    <t>http://fapix.tripod.com</t>
  </si>
  <si>
    <t>mailto:fapix@insightbb.com</t>
  </si>
  <si>
    <t>John Carter Enterprises LLC</t>
  </si>
  <si>
    <t>mailto:jaycarter2625@gmail.com</t>
  </si>
  <si>
    <t>John Chabot</t>
  </si>
  <si>
    <t>John D. Walls, Inc.</t>
  </si>
  <si>
    <t>mailto:parker@tima.com</t>
  </si>
  <si>
    <t>John Jones Automotive Dealerships, Inc.</t>
  </si>
  <si>
    <t>http://www.johnjonesautogroup.com</t>
  </si>
  <si>
    <t>John Jones Chev Buick Cad of Salem, Inc.</t>
  </si>
  <si>
    <t>http://gmcity.com</t>
  </si>
  <si>
    <t>mailto:jhayes@gmcity.com</t>
  </si>
  <si>
    <t>John Jones Chev Buick of Scottsburg Inc</t>
  </si>
  <si>
    <t>mailto:jsmedley1@gmcity.com</t>
  </si>
  <si>
    <t>John M Miller &amp; Associates, LLC</t>
  </si>
  <si>
    <t>http://www.inssco.com</t>
  </si>
  <si>
    <t>mailto:cservice@inssco.com</t>
  </si>
  <si>
    <t>General Merchandise Stores</t>
  </si>
  <si>
    <t>John M. Small Insurance, Inc.</t>
  </si>
  <si>
    <t>="JMS Insurance Group, Inc. provides commercial, auto, home, health, life and farm insurance. Personalize service is provided for all our clients - domestic or international. A division of JMS Insurance is Comp-Solutions which specializes in helping business owners save more of their work comp dollar."</t>
  </si>
  <si>
    <t>http://www.jmsins.com</t>
  </si>
  <si>
    <t>mailto:commerciallines@jmsins.com</t>
  </si>
  <si>
    <t>John Makowski</t>
  </si>
  <si>
    <t>mailto:johnmakowski@bnin.net</t>
  </si>
  <si>
    <t>Electrical Goods Wholesalers</t>
  </si>
  <si>
    <t>John McGinnis Auctioneers, Inc.</t>
  </si>
  <si>
    <t>="We offer auction services for commercial and residential real estate, estates, business liquidations and surplus equipment. We specialize in vehicle and surplus equipment auctions for towns, schools and universities. We also offer certified appraisals for personal property, including vehicles, furniture, antiques and RV's."</t>
  </si>
  <si>
    <t>http://www.mcginnisauctions.com</t>
  </si>
  <si>
    <t>mailto:franevola@insightbb.com</t>
  </si>
  <si>
    <t>John Oberlies Consulting Engineers, Inc.</t>
  </si>
  <si>
    <t>mailto:joberlies@oberliesengrg.com</t>
  </si>
  <si>
    <t>John P. Craine House, Inc</t>
  </si>
  <si>
    <t>="Craine House is an alternative sentencing program for non violent females and their pre school age children. Craine House provides GED, job readiness, substance abuse treatment, life skills, counseling, anger management, parenting, and a voluntary spirituality class all onsite. Craine House also staffs a licensed childcare provider and dietician. These programs have lowered Craine House's recidivism rate to 13% compared to the national average of 60%. Craine House, as a non for profit; is able to provide this service to tax payers at a fraction of the cost of jails or prisons. Craine House can serve a family for $15,000 per year compared to the $25,000 per year tax payers will contribute to each women in prison and each child that has to be placed in the system."</t>
  </si>
  <si>
    <t>http://www.crainehouse.org</t>
  </si>
  <si>
    <t>mailto:crainehouse1@indy.rr.com</t>
  </si>
  <si>
    <t>Correctional Institutions</t>
  </si>
  <si>
    <t>John Pater Design &amp; Fabrication</t>
  </si>
  <si>
    <t>http://johnpater.com</t>
  </si>
  <si>
    <t>mailto:jpater@seidata.com</t>
  </si>
  <si>
    <t>Millwork</t>
  </si>
  <si>
    <t>John R. Wondra Support Services</t>
  </si>
  <si>
    <t>mailto:jrwondra@hotmail.com</t>
  </si>
  <si>
    <t>John T. Camden Construction Co.</t>
  </si>
  <si>
    <t>http://camdenfoundations.com</t>
  </si>
  <si>
    <t>mailto:johncamden@camdenfoundations.com</t>
  </si>
  <si>
    <t>John W. Darnell Inc</t>
  </si>
  <si>
    <t>="While contracting in roofing of all kinds, All Seasons Roofing specializes in commercial and Industrial roofing. Established in Lafayette Indiana in 1977, we are Lafayette's largest roofing contractor. Always locally owned and operated, we are proud of our long history of quality workmanship and competitive pricing."</t>
  </si>
  <si>
    <t>http://www.weroofit.com</t>
  </si>
  <si>
    <t>mailto:admin@weroofit.com</t>
  </si>
  <si>
    <t>John Wehr</t>
  </si>
  <si>
    <t>mailto:wehrswelding@aol.com</t>
  </si>
  <si>
    <t>JohnCo Corp</t>
  </si>
  <si>
    <t>http://www.johncocorp.com</t>
  </si>
  <si>
    <t>mailto:service@johncocorp.com</t>
  </si>
  <si>
    <t>Johnnie L. Blount, III</t>
  </si>
  <si>
    <t>="We provide complete lawn and home care services. Our services include but not limited to cleaning services, maintenance, painting, lawn care, leaf &amp; snow removal. We give free estimates for both residential and businesses. We provide traditional quality with a personal touch."</t>
  </si>
  <si>
    <t>mailto:classichomecare2003@yahoo.com</t>
  </si>
  <si>
    <t>Johnnie's Trucking, Inc.</t>
  </si>
  <si>
    <t>Johnny On The Spot</t>
  </si>
  <si>
    <t>http://johnnypotty.com/</t>
  </si>
  <si>
    <t>mailto:office@johnnypotty.com</t>
  </si>
  <si>
    <t>Johns &amp; Lohman Electric, Inc.</t>
  </si>
  <si>
    <t>="Johns &amp; Lohman Electric, Inc. is a residential, commercial, and industrial electrical contractor. Residential scope of work consist of remodeling to new construction of homes. Commercial scope of work consist of remodeling to new construction of office complexes, restaurants, retail stores, medical offices, and strip malls. Industrial scope of work consist of manufacturing plants. Within all three of all scopes of work we provide installation of electrical components, maintenance, temperature control, fire alarm, communications, and low voltage systems."</t>
  </si>
  <si>
    <t>http://www.johnsandlohmanelectric.com</t>
  </si>
  <si>
    <t>mailto:vjohns@johnsandlohmanelectric.com</t>
  </si>
  <si>
    <t>Johnson &amp; Johnson Janitorial Service</t>
  </si>
  <si>
    <t>="Johnson &amp; Johnson Professional Janitorial Service is just that.... Professional. Our professional staff and supervisors can maintain building lobbies, entrances, employee rest areas, conference rooms, training rooms and office areas to your standards. Our entire staff is trained, committed and focused on serving your needs. Reporting malfunctions of fixtures and equipment to the appropriate personnel is part of our training. Also, we are sensitive to building security and access procedures. We'll provide the ""white glove detail cleaning"" that all business should get. We can customize a maintenance program to fit your budget. We will be there for....if you need service, we can do it. Johnson &amp; Johnson Professional Janitorial Services can help you do tasks you can't keep up with, or do safely. Imagine bieng able to hand your business and yard maintenance duties over to someone else! We now offer Yard Maintenance to our services. We hope that by offering this service to our customers, i"</t>
  </si>
  <si>
    <t>mailto:johnsonjohnson8058@sbcglobal.net</t>
  </si>
  <si>
    <t>Johnson Controls</t>
  </si>
  <si>
    <t>="Johnson Controls is full service contractor capable of delivering projects from the smallest controls upgrade to the largest mechanical systems installations. Our service team brings support services covering multiple OEM systems along with the ability to provide mechanical services from preventative maintenance to design and build projects to facility upgrades."</t>
  </si>
  <si>
    <t>http://www.jci.com</t>
  </si>
  <si>
    <t>mailto:Daniel.J.Granahan@jci.com</t>
  </si>
  <si>
    <t>Johnson County Arc</t>
  </si>
  <si>
    <t>http://www.gatewayarc.com</t>
  </si>
  <si>
    <t>mailto:dan.mustard@gatewayarc.com</t>
  </si>
  <si>
    <t>Johnson County Auditor</t>
  </si>
  <si>
    <t>http://ww.co.johnson.in.us</t>
  </si>
  <si>
    <t>Johnson Heating &amp; Cooling Inc</t>
  </si>
  <si>
    <t>http://www.johnsoncomfort.com</t>
  </si>
  <si>
    <t>mailto:contact@johnsoncomfort.com</t>
  </si>
  <si>
    <t>Johnson Johns &amp; Septic Service INC</t>
  </si>
  <si>
    <t>http://johnsonjohns.com</t>
  </si>
  <si>
    <t>Johnson Loyalty Express LLC</t>
  </si>
  <si>
    <t>http://www.johnsonloyaltyexpress.com</t>
  </si>
  <si>
    <t>mailto:johnsonloyaltyexpress@yahoo.com</t>
  </si>
  <si>
    <t>Johnson Melloh Solutions</t>
  </si>
  <si>
    <t>http://www.johnsonmellohsolutions.com</t>
  </si>
  <si>
    <t>Johnson Melloh, Inc.</t>
  </si>
  <si>
    <t>mailto:bids@johnsonmelloh.com</t>
  </si>
  <si>
    <t>Johnson Nichols Health Clinic, Inc.</t>
  </si>
  <si>
    <t>="The Clinic provides comprehensive health care to uninsured families. The following services are provided: primary health care services to children, family planning, health care for children and adults, WIC, and smoking cessation services. In Owen County, The Clinic is designated as a Rural Health Clinic."</t>
  </si>
  <si>
    <t>Johnson Rental Co. Inc. dba Grand Rental</t>
  </si>
  <si>
    <t>="Grand Rental Station rents all types of equipment including party goods, lawn and garden equipment, and heavy construction equipment. A few specific items are tents, tables, chairs, dishes, linens, concession machines, inflateables, games, seeders, tillers, thatchers, mowers, hammer drills, rollers, compactors, steamers, carpet cleaning, fans, dehumidifiers, skid steers, backhoes, dozers, fork lifts, aerial lifts, trucks, and trailers."</t>
  </si>
  <si>
    <t>http://www.a-grand-rental-station.com</t>
  </si>
  <si>
    <t>mailto:dcjohnson@a-grand-rental-station.com</t>
  </si>
  <si>
    <t>Johnson&amp;Johnson Res/Com Cleaning Svcs</t>
  </si>
  <si>
    <t>mailto:pamjohn1954@outlook.com</t>
  </si>
  <si>
    <t>Johnson's Daily Brew</t>
  </si>
  <si>
    <t>http://www.bearcreekcoffee.com</t>
  </si>
  <si>
    <t>mailto:jeremie.johnson@bearcreekcoffee.com</t>
  </si>
  <si>
    <t>Jon Hand Enterprises Inc</t>
  </si>
  <si>
    <t>mailto:jheinc@att.net</t>
  </si>
  <si>
    <t>Jon Williams Flooring Inc</t>
  </si>
  <si>
    <t>mailto:jonedwill@hotmail.com</t>
  </si>
  <si>
    <t>Jonathan Byrd's Foodservice @Camp Atterb</t>
  </si>
  <si>
    <t>http://www.jonathanbyrds.com</t>
  </si>
  <si>
    <t>mailto:kevin.manship@jonathanbyrds.com</t>
  </si>
  <si>
    <t>Jones International Inc.</t>
  </si>
  <si>
    <t>="SENOJ - Certified IT engineers and Public Safety Communications Consultants HOMELAND SECURITY DIGITAL VIDEO SURVEILLANCE TECHNOLOGY: Video Compression rate 2400:1 Unsurpassed Technology, Crystal-Clear Image Quality and Intelligent Remote Monitoring Solutions for the Security industry, Retail sector, Rapid transit systems, Highways and more... CISCO CERTIFIED PRODUCTS: - Strongbox Tactical Surveillance System - AS 921 Alert Stack Homeland Security Advisory System Video can be streamed in real-time over the Internet and will allow Firemen, Policemen, Hospitals, Schools, and Business owners within every community to remotely view day-to-day activities that occur throughout their city, subdivision, or property 24 hours a day, 7 days a week, 365 days a year. CURRENT PROJECTS: City of Gary, Board of Public Works &amp; Safety Dept (Gary Police Department – Chief Garnett Watson) Cook County, Illinois’ Homeland Security Project that covers over 940 square miles in Illinois."</t>
  </si>
  <si>
    <t>http://www.senoj-usa.com</t>
  </si>
  <si>
    <t>mailto:info@senoj-usa.com</t>
  </si>
  <si>
    <t>Jones Mortgage Group</t>
  </si>
  <si>
    <t>="Jones Mortgage Group originates mortgage loans for people looking to buy or refinanace residential real estate. Most business comes from referrals of previous customers and other centers of influence like real estate agents. We will receive compensation from the investor when the loan closes and some addditional fees from the borrower at closing. We may receive funds directly from the borrower to cover the cost of the appraisal and credit report."</t>
  </si>
  <si>
    <t>Jorman And Beaver</t>
  </si>
  <si>
    <t>mailto:yodi194@yahoo.com</t>
  </si>
  <si>
    <t>Jorman Beaver Incorperated</t>
  </si>
  <si>
    <t>mailto:yej2b@att.net</t>
  </si>
  <si>
    <t>Jorman Beaver Publishing</t>
  </si>
  <si>
    <t>Book Printing</t>
  </si>
  <si>
    <t>Joseph East</t>
  </si>
  <si>
    <t>mailto:certmedtrainer@yahoo.com</t>
  </si>
  <si>
    <t>Joseph Graves Associates, Inc. dba Leaf</t>
  </si>
  <si>
    <t>="Leaf, an innovative consulting firm, delivers state-of-the-art, quality information technology services and solutions. We boast a proven track record in creating customized E-commerce, Internet, and Document Management software that transforms business needs into world-class solutions. Additionally, as a Microsoft Business Solutions and SAP Business One Value Added Reseller (VAR), Leaf provides Enterprise Resource planning software and implementation services."</t>
  </si>
  <si>
    <t>http://www.leafsoftwaresolutions.com</t>
  </si>
  <si>
    <t>mailto:eyoung@leafsoftwaresolutions.com</t>
  </si>
  <si>
    <t>Joshua Axe</t>
  </si>
  <si>
    <t>mailto:jqaxe@yahoo.com</t>
  </si>
  <si>
    <t>Joshua J Eskonen DO LLC</t>
  </si>
  <si>
    <t>Journey Engineering, LLC</t>
  </si>
  <si>
    <t>http://www.journeyeng.com</t>
  </si>
  <si>
    <t>mailto:jchandler@journeyeng.com</t>
  </si>
  <si>
    <t>Journey Trucking, INC</t>
  </si>
  <si>
    <t>="Our growing company received EBE/WBE/DBE certification by the City of Ft. Wayne, IN in 2009 and in 2010 the WBE certification by the State of Indiana. We are proud to boast an average of 15 years experience in the hauling services industry. Our company provides tri and quad axle dump trucks. Our goal is to provide: ~Competitively priced hauling rates (tonnage or hourly) ~Aggregate materials, fill dirt, bank gravel, screened top soil, etc. We are looking forward to providing services in the north and central Indiana areas."</t>
  </si>
  <si>
    <t>mailto:journeytrucking@frontier.com</t>
  </si>
  <si>
    <t>Joy Corporation, Inc.</t>
  </si>
  <si>
    <t>http://www.joycorpusa.com</t>
  </si>
  <si>
    <t>mailto:shelvyjr@joycorpusa.com</t>
  </si>
  <si>
    <t>Joy Culley-Klotzsche</t>
  </si>
  <si>
    <t>Joyce A. Christie, Inc.</t>
  </si>
  <si>
    <t>http://www.avenuereal@sbcglobal.net</t>
  </si>
  <si>
    <t>mailto:joyce4sale@aol.com</t>
  </si>
  <si>
    <t>Juan Rivera</t>
  </si>
  <si>
    <t>="Commercial cleaning just so happens to be one of our specialties. Indiana Office Cleaning Services has managed to apply a suitable due process to all of our commercial accounts. Whether you require daily office cleaning, weekly or monthly service, or just one-time only janitorial service, you can count on Indiana OC for top-notch office cleaning at unbeatable rates."</t>
  </si>
  <si>
    <t>http://www.IndianaOfficeCleaning.com</t>
  </si>
  <si>
    <t>mailto:IndianaOC@gmail.com</t>
  </si>
  <si>
    <t>Juanice Brown D/B/A CompassionPlusMedTra</t>
  </si>
  <si>
    <t>mailto:compassionplus@gmail.com</t>
  </si>
  <si>
    <t>Jubilee, Inc.</t>
  </si>
  <si>
    <t>Jud Scott Consulting Arborist LLC</t>
  </si>
  <si>
    <t>="Jud Scott Consulting Arborist offers a full line of Arboricultural consulting services. Whether you are in need of sound advice for a dispute involving a tree, a legal case, an insurance claim or a development plan involving the preservation of trees Jud Scott Consulting Arborist is ready to serve you as a Consultant to the Professionals!"</t>
  </si>
  <si>
    <t>http://Judscottconsultingarborist.com</t>
  </si>
  <si>
    <t>mailto:Debscott7@aol.com</t>
  </si>
  <si>
    <t>Judith A. Gregurich</t>
  </si>
  <si>
    <t>mailto:jgregurich@hotmail.com</t>
  </si>
  <si>
    <t>Judy A. Dalton</t>
  </si>
  <si>
    <t>mailto:wmtdaltonwrkco@aol.com</t>
  </si>
  <si>
    <t>Judy Burnett</t>
  </si>
  <si>
    <t>="Solutions was founded by Judy Burnett to meet the public relations and marketing needs of organizations and individuals. Our clients include not-for-profit organizations, high profile individuals and small to medium-sized businesses. Our areas of experience include community relations, crisis communications, media relations, news and feature writing, publicity campaigns, script and speech writing, special events and media campaigns. We offer thirty years of experience and are uniquely prepared to provide you with targeted and individually designed professional assistance to meet your unique needs. Almost all organizations face a shortfall of money, time and staff. The answer to some of these problems can be the use of outside expertise in specific areas. Judy Burnett Solutions has the expertise, the contacts and the experience to help you achieve your goals."</t>
  </si>
  <si>
    <t>http://www.judyburnettsolutions.com</t>
  </si>
  <si>
    <t>mailto:judyburnett@iquest.net</t>
  </si>
  <si>
    <t>Julie A Taylor-Reed</t>
  </si>
  <si>
    <t>mailto:taylorreed@gmail.com</t>
  </si>
  <si>
    <t>Julius Automotive Inc</t>
  </si>
  <si>
    <t>http://www.juliusautomotiveinc.com</t>
  </si>
  <si>
    <t>mailto:juliusautomotive@sbcglobal.net</t>
  </si>
  <si>
    <t>JumpStart Point Of Arrival, LLC.</t>
  </si>
  <si>
    <t>="JumpStart Point of Arrival, LLC was formed by a team of highly educated professionals sharing a common objective…To energize your organization's quest to achieve its ultimate goals. Our core strengths lie in strategic planning, data integration, and scientific analysis, including database fundraising, business analytics, and risk management. Our clients rely on us to generate ideas and mobilize projects, evaluate internal and external data sources and software, design integrated system solutions to support business objectives, suggest procedural modifications intended to maximize efficiency and productivity, propose practical implementation strategies, construct custom statistical models to improve response rates and predict profitability for chosen population segments, conduct comprehensive risk assessments, and perform analyses to fine-tune business policies and enhance the customer experience."</t>
  </si>
  <si>
    <t>http://www.jumpstartpoa.biz</t>
  </si>
  <si>
    <t>mailto:contact-us@jumpstartpoa.biz</t>
  </si>
  <si>
    <t>Jung Design, Inc.</t>
  </si>
  <si>
    <t>http://www.jungdes.com</t>
  </si>
  <si>
    <t>mailto:cjung@jungdes.com</t>
  </si>
  <si>
    <t>Just Dig It Excavating, Inc</t>
  </si>
  <si>
    <t>="Over 15 years experience in commercial and residental excavatation. We specialize in water main, sewer main, and force main installations and storm utilities. We also offer lift station installation and repairs. We provide a 24 hour response team for emergency repairs."</t>
  </si>
  <si>
    <t>http://www.JustDigItExcavating.com</t>
  </si>
  <si>
    <t>mailto:info@JustDigItExcavating.com</t>
  </si>
  <si>
    <t>Just Wire Inc</t>
  </si>
  <si>
    <t>mailto:justwireinc@ameritech.net</t>
  </si>
  <si>
    <t>Justin Blackwell Trucking/Conveying,Inc.</t>
  </si>
  <si>
    <t>mailto:blackwelltrucking@sbcglobal.net</t>
  </si>
  <si>
    <t>K &amp; A Trucking, Inc</t>
  </si>
  <si>
    <t>mailto:ka_trucking@yahoo.com</t>
  </si>
  <si>
    <t>K &amp; B WONDERLAND, INC.</t>
  </si>
  <si>
    <t>="Custom wood products; solid surface and plastic laminate counter tops; re-lamination of products on site (such as slot machines); all trim carpentry. Our union carpenter has 28 years of experience, he won the International Contest during his apprenticeship. He specializes in high end and difficult trim carpentry tasks."</t>
  </si>
  <si>
    <t>mailto:kbwonderland@yahoo.com</t>
  </si>
  <si>
    <t>K &amp; C Howard, Inc.</t>
  </si>
  <si>
    <t>="Kenny's Discount Battery has established a reputation as experts in servicing, installing and repairing automotive electrical systems and components. In addition, Kenny's has the personnel and facilities to service passenger and medium duty vehicles in almost areas of automotive repair. Our technicians have 80 years of combined automotive repair and diagnostic experience. We utilize industry leading diagnostic equipment to resolve automotive concerns. We provide tailored service agreements for fleets, dealers and government entities."</t>
  </si>
  <si>
    <t>http://www.kdbauto.com</t>
  </si>
  <si>
    <t>mailto:ken@kdbauto.com</t>
  </si>
  <si>
    <t>K &amp; H Construction Management LLC</t>
  </si>
  <si>
    <t>mailto:kramert07@embarqmail.com</t>
  </si>
  <si>
    <t>K &amp; H Family Farms and Landscaping, Inc.</t>
  </si>
  <si>
    <t>mailto:annstickford1218@gmail.com</t>
  </si>
  <si>
    <t>K &amp; L Art Consulting, Incorporated</t>
  </si>
  <si>
    <t>http://www.insiteart.com</t>
  </si>
  <si>
    <t>mailto:info@insiteart.com</t>
  </si>
  <si>
    <t>K &amp; L Machine Mfg.,I</t>
  </si>
  <si>
    <t>="We are a Machine Tool Builder specializing in High Speed Tube Cutoff and End Finishing equipment. We also build stamping and forming dies, Aluminum extrusion dies, jigs, fixtures, CNC Machining, Wire EDM, Sinking EDM, General Machining and welding. We provide full Engineering Services and Machine Tool design as well as Turn Key Machining or Processing Cell’s/ Centers."</t>
  </si>
  <si>
    <t>http://www.klmachine.com</t>
  </si>
  <si>
    <t>mailto:klmachine@sbcglobal.net</t>
  </si>
  <si>
    <t>K &amp; M AUTO &amp; DIESEL, LLC</t>
  </si>
  <si>
    <t>mailto:SHORTER678@HOTMAIL.COM</t>
  </si>
  <si>
    <t>K &amp; S Engineers, Inc.</t>
  </si>
  <si>
    <t>http://www.kandsengineers.com</t>
  </si>
  <si>
    <t>mailto:ksengineers@sbcglobal.net</t>
  </si>
  <si>
    <t>K &amp; S Markers, Inc.</t>
  </si>
  <si>
    <t>mailto:ksmarkers@sbcglobal.net</t>
  </si>
  <si>
    <t>K C Graphics</t>
  </si>
  <si>
    <t>http://www.kcgraphicsnow.com</t>
  </si>
  <si>
    <t>mailto:kc_graphics@sbcglobal.net</t>
  </si>
  <si>
    <t>K Energy LLC</t>
  </si>
  <si>
    <t>http://www.kenergyllc.com</t>
  </si>
  <si>
    <t>mailto:customersupport@kenergyllc.com</t>
  </si>
  <si>
    <t>K&amp;I Contracting, LLC</t>
  </si>
  <si>
    <t>K&amp;J Communications, Inc.</t>
  </si>
  <si>
    <t>="K&amp;J Communications is a telecommunications company that has been in business for twenty years. Our company specializes in providing telecom equipment, installs, service, cabling, hosted services,. We represent many manufacturers such as Nortel Networks, Vertical/Comdial, Tadiran America ,Time Warner, Appia Services. We have certified technicians with Network, TDM and VOIP expertise. K&amp;J is also an agent for AT&amp;T &amp; Time Warner which allows us to offer our customer a complete solution for their communications needs."</t>
  </si>
  <si>
    <t>http://www.kjcomm.com</t>
  </si>
  <si>
    <t>mailto:kay@kjcomm.com</t>
  </si>
  <si>
    <t>K&amp;K Dirtworks, Inc.</t>
  </si>
  <si>
    <t>mailto:kkdirtworks@psci.net</t>
  </si>
  <si>
    <t>K&amp;S Construction Group, INC</t>
  </si>
  <si>
    <t>="K&amp;S Construction has been in existence since 1992. We have provided General Contracting and Construction Management Services to an array of clients to include but not limited to the Federal Government, Large Corporations, Schools &amp; Universities, Developers, Private Owners and many others. It is our mission to complete our projects on time without compromising quality and integrity. K&amp;S makes efforts to garner opportunities in the competitive environment. We have been successful in pursuing projects in arena’s that have little or no requirements for the use of Minority and Women Owned businesses to those that have 100% Minority and Small Business Set Aside requirements. Our philosophy is to find the opportunities that best fit our business. We are currently Certified by the U. S. Small Business Administration in the areas of SB, SDB, SBA 8(a) &amp; HUBZone. These certifications provide us with the ability to market and utilize our General Contracting &amp; Construction Management"</t>
  </si>
  <si>
    <t>http://www.k-sconstruction.com</t>
  </si>
  <si>
    <t>mailto:contactus@k-sconstruction.com</t>
  </si>
  <si>
    <t>K-K Tool &amp; Design</t>
  </si>
  <si>
    <t>="At K-K Tool &amp; Design, Inc., We are available to help you at all stages of development for new tool, mold, or fixture. Our engineering department is fully available to design, a tool to fit your needs. Their years of experience make the creation of a new tool a painless process. From there, our shop is fully equipped to produce the highest quality tooling for your needs. After the sale, our prompt service department will keep that tool running for years to come. This friendly service and support is one of the many reasons our customers come back time and time again for their tooling needs. Stamping companies need a partner they can count on to handle all their tooling and die needs. K-K Tool &amp; Design wants to be that partner. Give us a call and find out what we can do for you."</t>
  </si>
  <si>
    <t>mailto:kktool@parlorcity.com</t>
  </si>
  <si>
    <t>K-Promotional Products</t>
  </si>
  <si>
    <t>http://www.kpromotionalproducts.com</t>
  </si>
  <si>
    <t>mailto:kpromo@msn.com</t>
  </si>
  <si>
    <t>K. E. Tompkins, Inc.</t>
  </si>
  <si>
    <t>="Unity of Indiana is a family owned and operated agency providing HCBS waiver and/or Targeted Case Management throughout Indiana. This service includes management for D/D, TBI, Autism, Age/Disabled and Support service waivers. The mission of Unity is to assist individuals with special challenges by advocating, networking, and resourcing services to promote quality life. Unity's intent is to empower individuals to pursue their life goals and dreams. There is a strong commitment to develop the least restrictive community based options for individuals with disabilities. Unity of Indiana's professional staff has been successfully providing community-based residential options, professional support, ancillary services to individuals and their families for nearly two decades. 24-hour pager response is available to all consumers, families, and service providers. Our staff consists of highly trained individuals, who are committed to the mission of Unity of Indiana."</t>
  </si>
  <si>
    <t>http://www.UnityofIndiana.com</t>
  </si>
  <si>
    <t>mailto:UnityofIndiana@aol.com</t>
  </si>
  <si>
    <t>K. Lane Construction, LLC</t>
  </si>
  <si>
    <t>mailto:klaneconstruction@att.net</t>
  </si>
  <si>
    <t>K. M. Richardson &amp; Associates, Inc.</t>
  </si>
  <si>
    <t>mailto:kaymarie63@yahoo.com</t>
  </si>
  <si>
    <t>K. SPECIALTYS, INC.</t>
  </si>
  <si>
    <t>mailto:greg@kspecialtys.com</t>
  </si>
  <si>
    <t>K. Taylor &amp; Associates, LLC</t>
  </si>
  <si>
    <t>http://ktaylorandassoc.com</t>
  </si>
  <si>
    <t>mailto:kris@ktaylorandassoc.com</t>
  </si>
  <si>
    <t>K.C. International Freight Forwarding,</t>
  </si>
  <si>
    <t>="Domestic and International Freight Forwarder with a vast veritiy of secure contacts to provide you with the best Transportation services needed to get your freight/product where you need it to go. FTL, LTL, Blanket Wrap, Lift Gate, FCL, LCL, AIR, Ocean, Ground. Full customer service to the end."</t>
  </si>
  <si>
    <t>http://www.kcintlinc.com</t>
  </si>
  <si>
    <t>mailto:kim@kcintlinc.com</t>
  </si>
  <si>
    <t>K2 Group, Inc.</t>
  </si>
  <si>
    <t>http://www.k2groupinc.net</t>
  </si>
  <si>
    <t>mailto:info@k2groupinc.net</t>
  </si>
  <si>
    <t>KABELIN HARDWARE CO INC</t>
  </si>
  <si>
    <t>="We have 7 large Ace hardware stores with a commercial supply division serving La Porte, St. Joe, Marshall, and surrounding counties. Our commercial supply division has outside sales reps that can visit you at your place of business and we have free daily delivery. We can supply cleaning products and chemicals, paper product, dispensing systems, paint, lightning, Carhart clothing, lawn &amp; garden product, power equipment, plumbing, hardware, tools, and much more. We are a family owned business that is certified by the state of Indiana as women owned and have been in business since 1912."</t>
  </si>
  <si>
    <t>mailto:murry@kabelincommercial.com</t>
  </si>
  <si>
    <t>KAR Auto Parts Inc.</t>
  </si>
  <si>
    <t>KB Consulting Inc.</t>
  </si>
  <si>
    <t>mailto:kurtbrock@erpfi.com</t>
  </si>
  <si>
    <t>KB Paper Creations</t>
  </si>
  <si>
    <t>Other Specialized Design Services</t>
  </si>
  <si>
    <t>KB Technology Associates, LLC</t>
  </si>
  <si>
    <t>mailto:ktsbell@gmail.com</t>
  </si>
  <si>
    <t>KBS Metal Roofing</t>
  </si>
  <si>
    <t>="We are a national distributor of all types of steel roofing. We can send you information and samples to help make an educated decision on your next roof. We have certified installers nationwide to assist you. We can also train you or your installer. Please e-mail us a mailing address and we will mail more information on all our steel roofing. We honor your privacy and will not contact you or give your name to anyone without your permission. Thank you for your interest in steel roofing."</t>
  </si>
  <si>
    <t>http://www.kbsmetalroofing.com</t>
  </si>
  <si>
    <t>mailto:info@kbsmetalroofing.com</t>
  </si>
  <si>
    <t>Roofing, Siding and Insulation Material Wholesalers</t>
  </si>
  <si>
    <t>KBT&amp; Associates, llc</t>
  </si>
  <si>
    <t>mailto:kbt@insightbb.com</t>
  </si>
  <si>
    <t>KBytes PC Repair</t>
  </si>
  <si>
    <t>="We sell new computers, PC componets, monitors and printers. We repair computers and printers. We can order what ever parts are needed by clients. If order is placed by 3:00PM I can usually receive the order the next day. We do onsite evaluations and repairs or clients can bring their machines into the shop. The home user is our mainstay, but we do service some local businesses with their networking needs. We do work on laptops as well as desktop computers. We have also helped area businesses with cash machine and phone problems. We are hoping in the near future to offer classes that will hopefully help the everyday user to become friends with their computer. We also offer the ability to remove viruses and trojans that find their way into our clients' PCs."</t>
  </si>
  <si>
    <t>http://www.kbytespcrepair.com</t>
  </si>
  <si>
    <t>mailto:Karen@kbytespcrepair.com</t>
  </si>
  <si>
    <t>KC Brokerage, LLC</t>
  </si>
  <si>
    <t>KC Claims LLC</t>
  </si>
  <si>
    <t>="Licensed Independent Insurance Adjuster providing the following services: · Multi-Line Adjusting Services | Automobile | Commercial | Liability | Personal | Property | · Large Loss Assignments · TPA Services · Appraisal Services | Automobile | Property | · CAT Services · Self Insured Services · Limited Service Assignments · Mediation Representation Services · 24-hour Emergency Service Assignments · Subrogation Services · Client Customized Services"</t>
  </si>
  <si>
    <t>http://kcclaims.com/</t>
  </si>
  <si>
    <t>mailto:kcclaims@gmail.com</t>
  </si>
  <si>
    <t>Claims Adjusters</t>
  </si>
  <si>
    <t>KC Medical, Logistics &amp; Delivery llc</t>
  </si>
  <si>
    <t>mailto:kcmedical.llc@hotmail.com</t>
  </si>
  <si>
    <t>KC Tree Inc</t>
  </si>
  <si>
    <t>KCG Green Energy Consultants</t>
  </si>
  <si>
    <t>mailto:wnichol1@aol.com</t>
  </si>
  <si>
    <t>KCK Incorporated</t>
  </si>
  <si>
    <t>mailto:AceAutoServices_MC@comcast.net</t>
  </si>
  <si>
    <t>KCMS INC.</t>
  </si>
  <si>
    <t>http://www.desstaffing.com</t>
  </si>
  <si>
    <t>mailto:kmcfarland@descompanies.com</t>
  </si>
  <si>
    <t>KDA Purchasing</t>
  </si>
  <si>
    <t>="KDA Purchasing is available to handle all of your purchasing needs. As a certified WBE and WOSB, I can handle purchasing of any materials or supplies you need from special projects to day to day operations. From construction materials to office supplies and anything in between, I am here to simplify your purchasing experience."</t>
  </si>
  <si>
    <t>mailto:lyndsi@kdapurchasing.com</t>
  </si>
  <si>
    <t>KDB Consulting Inc</t>
  </si>
  <si>
    <t>mailto:kdbconsulting@yahoo.com</t>
  </si>
  <si>
    <t>KDK Management</t>
  </si>
  <si>
    <t>="PharmaSource is a certified woman-owned business established in 1995 in Indianapolis, Indiana. PharmaSource is a temporary staffing agency which places licensed, qualified pharmacists and pharmacy technicians on a temporary as needed basis for our clients. We are distinguished by the caliber of pharmacists and technicians we employ and the level of service provided. Our state of the art technology allows us to match the right pharmacist or technician to the right position quickly and efficiently. PharmaSource's clients include hospital, retail, home infusion, mail order, inpatient, outpatient and long term care facilities. PharmaSource is committed to providing quality staffing services for all specialties of the pharmacy practice."</t>
  </si>
  <si>
    <t>http://www.pharmasource.net</t>
  </si>
  <si>
    <t>mailto:frank@pharmasourcekdk.com</t>
  </si>
  <si>
    <t>KDL Group, LLC</t>
  </si>
  <si>
    <t>mailto:KDLGroup@comcast.net</t>
  </si>
  <si>
    <t>KDW Marketing LLC</t>
  </si>
  <si>
    <t>KDW Marketing, LLC</t>
  </si>
  <si>
    <t>mailto:mjeselskis@welsh-assocaites.com</t>
  </si>
  <si>
    <t>KELLY J R COMPANY INC</t>
  </si>
  <si>
    <t>="J R Kelly Company is a full service General Contractor, servicing the industrial, commercial, and institutional construction needs of clients throughout North-Central Indiana since 1975. We self perform work that includes carpentry, demolition, concrete and installation of doors and hardware."</t>
  </si>
  <si>
    <t>http://www.jrkellyco.com</t>
  </si>
  <si>
    <t>mailto:betsy@jrkellyco.com</t>
  </si>
  <si>
    <t>KEN KEE NOODLE BAR, INC</t>
  </si>
  <si>
    <t>http://www.kenkee.com</t>
  </si>
  <si>
    <t>mailto:xin6666@yahoo.com</t>
  </si>
  <si>
    <t>Perishable Prepared Food Manufacturing</t>
  </si>
  <si>
    <t>KENSAR EQUIPMENT CO.</t>
  </si>
  <si>
    <t>http://www.kensar.com</t>
  </si>
  <si>
    <t>mailto:ken@kensar.com</t>
  </si>
  <si>
    <t>KERAMIDA Environmental, Inc.</t>
  </si>
  <si>
    <t>="KERAMIDA Inc. is a woman-owned business. We provide environmental services in the areas of air, land, water, waste, and health and safety. We provide a full range of environmental compliance, engineering, remediation, air quality and health and safety services."</t>
  </si>
  <si>
    <t>http://www.keramida.com</t>
  </si>
  <si>
    <t>mailto:keramida@keramida.com</t>
  </si>
  <si>
    <t>KERLIN BUS SALES &amp; LEASING INC</t>
  </si>
  <si>
    <t>="When people depend on you for safe and reliable transportation, you need a supplier you can trust. Kerlin Bus Sales &amp; Leasing will help you shoulder your transportation responsibilities with confidence. For over 40 years, we've been serving the transportation needs of schools, agencies, organizations, institutions, and companies. Kerlin carries a full line of quality Thomas Built Buses ranging from specialized transit vehicles to large-size commercial models. Thomas Built Buses have long been recognized as an industry leader for their sturdy construction, safety features, and long-lasting performance. That's why we carry the Thomas line. We can accommodate specialized transportation needs by installing and servicing Braun® wheelchair lifts and adaptive equipment for your physically challenged passengers. Strength. Service. Safety. Reliability. Kerlin Bus Sales &amp; Leasing strives to provide the best and safest transportation on the market today"</t>
  </si>
  <si>
    <t>http://www.kerlinbus.com</t>
  </si>
  <si>
    <t>mailto:kerlinbus@kerlinbus.com</t>
  </si>
  <si>
    <t>KEVIN B. JACKS</t>
  </si>
  <si>
    <t>KEVIN L. HIXON, CPA</t>
  </si>
  <si>
    <t>mailto:KEVINHIXON@GMAIL.COM</t>
  </si>
  <si>
    <t>KEY BENEFIT ADMINISTRATORS, INC.</t>
  </si>
  <si>
    <t>="KBA has been a third-party administrator of employee benefits since 1979, and involved in Flexible Spending Account Administration since 1982. Our success over the years has been due, in large part, to our ability to forge partner-level relationships and customize services to meet the specific needs of our valued clients."</t>
  </si>
  <si>
    <t>http://www.keyfamily.com/</t>
  </si>
  <si>
    <t>KEY Consumer Corporation, Inc.</t>
  </si>
  <si>
    <t>http://www.keyconsumer.org</t>
  </si>
  <si>
    <t>mailto:rondaames@keyconsumer.org</t>
  </si>
  <si>
    <t>KEYSTONE ENGINEERING AND MANUFACTURING</t>
  </si>
  <si>
    <t>http://keystonecutter.com</t>
  </si>
  <si>
    <t>KFORCE INC</t>
  </si>
  <si>
    <t>http://www.kforce.com</t>
  </si>
  <si>
    <t>mailto:lmazza@kforce.com</t>
  </si>
  <si>
    <t>KFS &amp; Associates</t>
  </si>
  <si>
    <t>http://www.kfsassoc.com</t>
  </si>
  <si>
    <t>KGM Temporary Staffing &amp; Training, Inc.</t>
  </si>
  <si>
    <t>http://www.kgmstaffing.net</t>
  </si>
  <si>
    <t>mailto:kim@kgmstaffing.net</t>
  </si>
  <si>
    <t>KH Complete Advertising Company</t>
  </si>
  <si>
    <t>http://www.khcompleteadvertising.com</t>
  </si>
  <si>
    <t>mailto:khcomplete@hughes.net</t>
  </si>
  <si>
    <t>KHDC dba NCI SBDC</t>
  </si>
  <si>
    <t>http://www.ncisbdc.org</t>
  </si>
  <si>
    <t>KI Signs &amp; Banners LLC</t>
  </si>
  <si>
    <t>="KI Brands is a group of many products and services with a singular focus: to make your brand visible. Here’s a little about each of our current product lines: Serigraphics is a long time recognized local leader in outdoor signage, indoor graphics and vehicle graphics. RLG Apparel is a one-stop shop for all your apparel needs. Boost-It Promo can find that unique promotional item. Red Line Graphics can handle your offset and digital printing projects. KI Brands... we make your brand visible!"</t>
  </si>
  <si>
    <t>http://www.ki-brands.com</t>
  </si>
  <si>
    <t>mailto:info@ki-brands.com</t>
  </si>
  <si>
    <t>KI Signs and Banners, LLC</t>
  </si>
  <si>
    <t>mailto:sales@ki-brands.com</t>
  </si>
  <si>
    <t>KIDD'S CONSTRUCTION</t>
  </si>
  <si>
    <t>KIESLER POLICE SUPPLY, INC</t>
  </si>
  <si>
    <t>http://WWW.KIESLER.COM</t>
  </si>
  <si>
    <t>KIM Tri-Ax, LLC</t>
  </si>
  <si>
    <t>mailto:kimtriax@yahoo.com</t>
  </si>
  <si>
    <t>KING OF COMFORT,INC.</t>
  </si>
  <si>
    <t>http://WWW.KINGOFCOMFORT.COM</t>
  </si>
  <si>
    <t>KINNEY PAPER &amp; CHEMICAL CO INC</t>
  </si>
  <si>
    <t>mailto:gwetts@kinneypaper.com</t>
  </si>
  <si>
    <t>KIS Marketing</t>
  </si>
  <si>
    <t>="With hands-on experience in all facets of marketing—strategic analysis, branding, website development, advertising, brochures, direct mailers, etc.—KIS Marketing is the right supplement to your existing marketing team’s initiatives or a turn-key partner. We seamlessly execute every marketing task. In addition, we offer a full line of promotional/ad specialty products and decorated apparel."</t>
  </si>
  <si>
    <t>http://www.kismarketingonline.com</t>
  </si>
  <si>
    <t>mailto:info@kismarketingonline.com</t>
  </si>
  <si>
    <t>KITCHEN GLORY ETC</t>
  </si>
  <si>
    <t>mailto:idesola@yahoo.com</t>
  </si>
  <si>
    <t>KIVA LLC</t>
  </si>
  <si>
    <t>="KIVA’s specialty is structural engineering consultation with experience in the design of educational facilities, medical facilities, airport facilities, transit structures, office buildings, industrial facilities, reservoirs, treatment plants, pump stations, standpipes, &amp; flow control facilities. KIVA has design expertise that is well grounded with PE &amp; SE licenses in several states including: CA, IN, IL, CO, TN, MA, and LA. KIVA has design experience in all of the conventional building materials including structural steel, masonry, timber, &amp; concrete. We have design experience in many different structural building types and loading conditions including wind &amp; seismic. KIVA has been the Structural Design Consultant for projects with construction budgets ranging from thousands of dollars to $334 million. KIVA continues to have very good working relationships with their clients and knows the importance of meeting client expectations and operates with the clients’ best interests in mind."</t>
  </si>
  <si>
    <t>http://www.KIVAse.com</t>
  </si>
  <si>
    <t>mailto:KIVAse@cs.com</t>
  </si>
  <si>
    <t>KJS Technologies</t>
  </si>
  <si>
    <t>mailto:info@kjstech.com</t>
  </si>
  <si>
    <t>KKM, INC.</t>
  </si>
  <si>
    <t>mailto:kkmabstract@hotmail.com</t>
  </si>
  <si>
    <t>KLASH Inc.</t>
  </si>
  <si>
    <t>mailto:karl.hopper@sbcglobal.net</t>
  </si>
  <si>
    <t>KLEENIT INCORPORATED</t>
  </si>
  <si>
    <t>="-COMMERCAIL AND RESIDENTIAL CARPET CLEANING -COMMERCIAL AND RESIDENTIAL FURNITURE CLEANING -COMMERCIAL AND RESIDENTIAL CERAMIC TILE &amp; GROUT CLEANING -TILE STRIPPING, WAXING AND BUFFING -COMMERCIAL JANITORIAL SERVICES -AFTER CONSTRUCTION CLEANING -DRAPERY DRY CLEANING ""ON SITE"""</t>
  </si>
  <si>
    <t>http://KLEENIT.COM</t>
  </si>
  <si>
    <t>mailto:SWALDEN@KLEENIT.COM</t>
  </si>
  <si>
    <t>KLINK TRUCKING INC</t>
  </si>
  <si>
    <t>="TRANSPORTATION, CONSTRUCTION SERVICES, ROAD STABILIZATION AND RESURFACING, SOIL STABILIZATION, AGRICULTURAL AND CONSTRUCTION PRODUCTS AND SERVICES. Trucking services include straight and trailer dump operations, liquid and power transportation, and equipment and commodity hauling. Construction services include road grinding, road sealing and surfacing, excavating, demolition and pug-mill operations. Products include all types of aggregates, agricultural lime and gypsum, and cold-patch road mixes. A major line is Klink’s de-icing and anti-icing products featuring GEOMELT ®, an organic accelerator that enhances the qualities of all winter ice products. Klink Trucking can supply any winter ice control product – from road rock salt to a high-tech de-icing product, including a highly sought after non-tracking product for use in office buildings and hospital sidewalks"</t>
  </si>
  <si>
    <t>http://klinktrucking.com</t>
  </si>
  <si>
    <t>mailto:klink@klinktrucking.com</t>
  </si>
  <si>
    <t>KLS Services, Inc.</t>
  </si>
  <si>
    <t>mailto:kristin-wilson@sbcglobal.net</t>
  </si>
  <si>
    <t>KM Specialty Systems</t>
  </si>
  <si>
    <t>="Km Specialty Pumps and Systems has served the industrial, commercial, municipal, mining and construction markets since 1982. We provide Pumps, Pump Repair, Automated Lubrication Systems, Cylinder Repairs and specialty lubricants. Our 50,000 squre foot repair facility is equipped and runs as a fabrication facility where we repair and build parts as needed to service wquipment repairs such as pumps, gear drives and hydraulic cylinders."</t>
  </si>
  <si>
    <t>http://www.kmspecialty.com</t>
  </si>
  <si>
    <t>mailto:tcanaley@kmspecialty.com</t>
  </si>
  <si>
    <t>KMO Contractors LLC</t>
  </si>
  <si>
    <t>KNOX COUNTY ARC</t>
  </si>
  <si>
    <t>http://knoxcountyarc.com</t>
  </si>
  <si>
    <t>mailto:kcarc@knoxcountyarc.com</t>
  </si>
  <si>
    <t>KNOX COUNTY AUDITOR OFFICE</t>
  </si>
  <si>
    <t>KOEHLINGER SECURITY TECHNOLOGY INC</t>
  </si>
  <si>
    <t>mailto:sales@koehlingerlock.com</t>
  </si>
  <si>
    <t>KOEN Management Serv</t>
  </si>
  <si>
    <t>="KOEN Management is an expert in Billing Analysis, Contract Negotiation, and Communication Network Configuration. We'll work with you to create a program that delivers the right combination of cost control, efficeincy, implementation, and ongoing support. . . Whatever your business needs."</t>
  </si>
  <si>
    <t>http://www.KOEN-Mgt.com</t>
  </si>
  <si>
    <t>mailto:jeffenrietto@KOEN-Mgt.com</t>
  </si>
  <si>
    <t>KONE Inc.</t>
  </si>
  <si>
    <t>="KONE is the leader in the elevator and escalator industry in Indiana. We were founded in 1910. KONE manufacturers, modernization, maintenance, and repair of elevators, escalators, moving walks, wheelchair lifts, and dumbwaiters. The company's objective is to offer the best people flow experience by developing and delivering solutions that enable people to move smoothly, safely, and comfortably and quickly through buildings in an increasingly urbanizing environment. Our solutions are known for their industry-leading eco-efficiency, design, and innovative technology."</t>
  </si>
  <si>
    <t>http://www.us.kone.com</t>
  </si>
  <si>
    <t>mailto:us.communications@kone.com</t>
  </si>
  <si>
    <t>KONSAL RESEARCH ASSOCIATES INC</t>
  </si>
  <si>
    <t>http://WWW.KONSAL.COM</t>
  </si>
  <si>
    <t>mailto:RAJKONSAL@AOL.COM</t>
  </si>
  <si>
    <t>KORELLIS ROOFING, INC.</t>
  </si>
  <si>
    <t>="Korellis Roofing provides all professional roofing services for commercial, industrial, municipal, and residential. Since 1960 Korellis Roofing has grown into one of the largest roofing companies in Northwest Indiana and the Chicagoland area. The mission of Korellis Roofing is to be the roofer of choice for its customers and the employer of choice for its people; to set the highest standards for quality and safety, and to achieve a fair balance of responsibility, profitability and corporate citizenship."</t>
  </si>
  <si>
    <t>http://korellis.com</t>
  </si>
  <si>
    <t>mailto:info@korellis.com</t>
  </si>
  <si>
    <t>KR's LAWN CARE w/MORE LLC</t>
  </si>
  <si>
    <t>="Lawncare and maintenance for home and commercial service. We plant flowers, small bushes, seed/sod lawns.and ferilize. We power rake, airate, istall patio blocks and design landscpaing. Winter months we plw and salt residental and commercial properties. We provide warm personel and professional service. That is only complete, when you are happy and satisfied with a smile."</t>
  </si>
  <si>
    <t>KRAMER &amp; LEONARD, INC.</t>
  </si>
  <si>
    <t>="Kramer &amp; Leonard is a full-service office products dealer located in Northwest Indiana. We sell office supplies, computer supplies, office machines, faxes and copiers, office furniture including design services. We are the authorized sales and service dealer for Sharp copiers and fax machines and for Herman Miller furniture."</t>
  </si>
  <si>
    <t>http://www.kramerleonard.com</t>
  </si>
  <si>
    <t>mailto:info@kramerleonard.com</t>
  </si>
  <si>
    <t>KRE &amp; Associates Inc</t>
  </si>
  <si>
    <t>="Business Consulting: KRE &amp; Associates Inc. has managed and developed business processes including design and development of helpdesk procedures, project management, programming, and customer service. KRE &amp; Associates specializes in project management in all areas and faithfully follows the motto that “stuff is stuff”. We recognize that the identical, basic skill sets are utilized to manage a project regardless of product or magnitude. Events: KRE &amp; Associates employs state-of-the-art technology to create high quality, awe-inspiring events, professional symposiums and well organized educational sessions. We bring our clients a strong sense of customer service resulting in on-going, exceptional business relationships. Project Management: Our initiatives involve company acquisitions, GAP analysis, ERP implementations, training flows, process flow designs, contract negotiations, change management, organization development, network/ telecommunications and other software installations."</t>
  </si>
  <si>
    <t>http://www.kreassociates.com</t>
  </si>
  <si>
    <t>mailto:info@kreassociates.com</t>
  </si>
  <si>
    <t>KRISTIE L. WEDDLE</t>
  </si>
  <si>
    <t>KRP Construction Specialties Corporation</t>
  </si>
  <si>
    <t>mailto:krpconst@sbcglobal.net</t>
  </si>
  <si>
    <t>KRPR LLC</t>
  </si>
  <si>
    <t>="KRPR is a full-service marketing communications firm offering public relations, integrated marketing communications and corporate communications training services. KRPR is dedicated to building and supporting the communications efforts of non-profits, community organizations and small businesses by providing customer-focused, integrated marketing solutions that produce measurable results at an affordable cost. Combined with more than 30 years of communications industry expertise, the total package equals ‘GREAT PR!’"</t>
  </si>
  <si>
    <t>http://www.thisisgreatpr.com</t>
  </si>
  <si>
    <t>mailto:info@thisisgreatpr.com</t>
  </si>
  <si>
    <t>KRWstyle</t>
  </si>
  <si>
    <t>http://WWW.KRWSTYLE.COM</t>
  </si>
  <si>
    <t>mailto:krwstyle@yahoo.com</t>
  </si>
  <si>
    <t>KSI, INC</t>
  </si>
  <si>
    <t>="KSI, Inc. is a total service company specializing in servicing residential, commercial, industrial and institutional systems. Our service technicians have expertise in areas such as: air conditioning, air filtration, ammonia, refrigeration, boilers, burners, centrifugal, absorption, VSD, and screw chillers, ductwork, electric and gas fired furnaces, electical diagnostics, geothermal systems, heat pumps, humidification, IT / computer room air conditioning service, lyophilization systems, plumbing, refrigeration, sheetmetal, system layout and design. KSI, Inc. also has a mechanical division speciallizing in pipe and structural welding. KSI is a fully licensed, OSHA certified HVAC Company that has been in business since February, 1998."</t>
  </si>
  <si>
    <t>http://www.ksi-hvac.com</t>
  </si>
  <si>
    <t>mailto:ksi-indy.sbcglobal.net</t>
  </si>
  <si>
    <t>KSM Consulting, LLC</t>
  </si>
  <si>
    <t>="KSM Consulting provides management consulting, technology and advisory services across a variety of industries and functions. Our team is comprised of seasoned business leaders and world-class professionals whose varied talents span multiple disciplines. Our broad base of knowledge and experience mean we are adept at addressing the complex challenges your organization may face."</t>
  </si>
  <si>
    <t>http://www.ksmconsulting.com</t>
  </si>
  <si>
    <t>KSN Technologies, Inc</t>
  </si>
  <si>
    <t>http://www.ksntech.com</t>
  </si>
  <si>
    <t>mailto:contact@ksntech.com</t>
  </si>
  <si>
    <t>KV Works, Inc.</t>
  </si>
  <si>
    <t>http://www.kvworks.org</t>
  </si>
  <si>
    <t>mailto:jkish@kvworks.org</t>
  </si>
  <si>
    <t>KVB Broadcasting</t>
  </si>
  <si>
    <t>http://wglm.fm</t>
  </si>
  <si>
    <t>KW - E&amp;S, INCORPORATED</t>
  </si>
  <si>
    <t>KW Construction Services, LLC</t>
  </si>
  <si>
    <t>http://www.kwservices.com</t>
  </si>
  <si>
    <t>KW-E &amp; S, INC.</t>
  </si>
  <si>
    <t>="Restaurant and food service kitchen equipment and supplies, gourmet kitchen gadgets and supplies, refrigeration, exhaust systems, tables and chairs, china, flatware, glassware, bar supplies, concession equipment and supplies, textiles, cooking equipment, utensils, shelving, transport equipment"</t>
  </si>
  <si>
    <t>http://weberequipment.com</t>
  </si>
  <si>
    <t>mailto:xxsales@weberequipment.com</t>
  </si>
  <si>
    <t>Kaiser Development Group, Inc.</t>
  </si>
  <si>
    <t>="Our company was established in 1981, with my wife and two sons as partners. Our objective was to develop new/existing businesses, as well as parcels of land. We have also grown into the areas of providing leased square footage to individuals, as well as companies such as Verizon, Old National Bank, Jackson Hewitt, Economic Development offices, church parking, funeral home facilities and auto collision center. We have recently started providing space for the State of Indiana (family services and child services offices). Our current plan is to become involved in other counties within the state, as well as surrounding borders with Kentucky, Ohio and Illinois (preferrably the Chicago area)."</t>
  </si>
  <si>
    <t>mailto:kaykaiser @smithville.net</t>
  </si>
  <si>
    <t>Kaitlyn Contracting, Inc.</t>
  </si>
  <si>
    <t>mailto:kci1965@att.net</t>
  </si>
  <si>
    <t>Kapture Imaging &amp; Media Services</t>
  </si>
  <si>
    <t>mailto:rsf777@aol.com</t>
  </si>
  <si>
    <t>Kardon Enterprises, Inc.</t>
  </si>
  <si>
    <t>http://www.hml.com</t>
  </si>
  <si>
    <t>mailto:drh@hml.com</t>
  </si>
  <si>
    <t>Karen Garzolini, Inc.</t>
  </si>
  <si>
    <t>http://tarmark.com</t>
  </si>
  <si>
    <t>mailto:karen@tarmark.com</t>
  </si>
  <si>
    <t>Karen J Moore</t>
  </si>
  <si>
    <t>="Elevated Minds LLC. is a professional counseling organization that provides cost-effective services on a contractual basis. As mental health professionals, we provide short and long term, individual and group counseling services, as well as case management and consultation services, to children, adolescents, and their families. We have professional experience in helping clients with a wide range of concerns such as anger management problems, adolescent issues, ADHD, ODD, Conduct Disorder, domestic violence, PTSD, parenting, as well as various other issues that impair one’s quality of life. We will work collaboratively with each client to identify the underlying sources of their emotional distress, to identify and change self-defeating patterns in their relationships, to develop more effective ways of coping with life’s challenges."</t>
  </si>
  <si>
    <t>Karen Kay Marlett Photography LLC</t>
  </si>
  <si>
    <t>mailto:karenkayindy@yahoo.com</t>
  </si>
  <si>
    <t>Karen Kenley Scales and Co.</t>
  </si>
  <si>
    <t>mailto:karenkscales@gmail.com</t>
  </si>
  <si>
    <t>Karen L. Musick Consulting, Inc.</t>
  </si>
  <si>
    <t>Karen Reed's Legacy Cateirng LLC</t>
  </si>
  <si>
    <t>mailto:legacycatering@adamswells.com</t>
  </si>
  <si>
    <t>Karen S. Murphy</t>
  </si>
  <si>
    <t>mailto:ksmurphy2000@aol.com</t>
  </si>
  <si>
    <t>Karen Tallian, law offices</t>
  </si>
  <si>
    <t>http://ktallian@juno.com</t>
  </si>
  <si>
    <t>mailto:ktallian@juno.com</t>
  </si>
  <si>
    <t>Kares, Inc</t>
  </si>
  <si>
    <t>mailto:tbpaint@sbcglobal.net</t>
  </si>
  <si>
    <t>Karnerblue Era, LLC</t>
  </si>
  <si>
    <t>="Karnerblue is a sustainable development consultancy that is empowering transformation. We serve as a catalyst for client achievements in the areas of economic development, community development and the environment. Our technical services assure clients have access to high quality, objective third-party advice on the strategic development and implementation of major projects and programs. Our capabilities include research &amp; analysis; policy, planning and program design; operational management; grant writing; and, grant administration. Our creative services help organizations and people delve more deeply into the human capacity for transformation. Our capabilities include public relation functions and experiential programming. We are best at analyzing complex problems and designing solutions that maximize our client's ability to succeed and effect positive change. The results of our work create short-term progress and position clients for long-term return on investment."</t>
  </si>
  <si>
    <t>http://www.karnerblueera.com</t>
  </si>
  <si>
    <t>mailto:kbe@karnerblueera.com</t>
  </si>
  <si>
    <t>Kaser Enterprises, Inc</t>
  </si>
  <si>
    <t>http://www.royalexcursion.com</t>
  </si>
  <si>
    <t>mailto:skaser@royalexcursion.com</t>
  </si>
  <si>
    <t>Kast-A-Way Swimwear</t>
  </si>
  <si>
    <t>="Our headquarters are in Cincinnati, OH with our largest division (behind Cincinnati) being located in Indianapolis, IN. We sell swimwear to a large number of swimteams, schools, and colleges in Indiana both on-site and at our retail location on 86th Street, where we have been located for over 20 years. We currently generate over $1 million in sales annually at our Indianapolis store."</t>
  </si>
  <si>
    <t>http://www.kastawayswimwear.com</t>
  </si>
  <si>
    <t>mailto:sales@kastawayswimwear.com</t>
  </si>
  <si>
    <t>Kastex, Inc.</t>
  </si>
  <si>
    <t>http://dklimited.com</t>
  </si>
  <si>
    <t>mailto:info@dklimited.com</t>
  </si>
  <si>
    <t>Laundries, Family and Commercial</t>
  </si>
  <si>
    <t>Katalyst Corporation</t>
  </si>
  <si>
    <t>="Sell protective and architectural coatings for building structures and assets, OEM coatings, resinous floor coatings and systems, etc. with the very best in epoxy and urethane coating technologies. We specialize in promoting and providing coatings solutions for long term corrosion protection. Additionally, we offer consulting for coating solutions, perform third party coatings inspection, and coating failure analysis."</t>
  </si>
  <si>
    <t>http://www.katalysticd.com</t>
  </si>
  <si>
    <t>Katharine Hadow Marketing</t>
  </si>
  <si>
    <t>="Katharine Hadow Marketing Communications and Research helps organizations communicate what sets them apart from the competition. Marketing research tells you how people see you and your organization. Marketing communications, including web copy, emails, PR, direct mail and technical writing, all help the public see the value in what you do."</t>
  </si>
  <si>
    <t>http://katharinehadow.com</t>
  </si>
  <si>
    <t>mailto:katharine@katharinehadow.com</t>
  </si>
  <si>
    <t>Katherine Draughon</t>
  </si>
  <si>
    <t>="Provides full-service opinon research services including project coordination, questionnaire design, data collection (phone/web/mail) data/statisical analysis, and reports/presentations. Expertise in public opinon, public health, health care, customer/employee satisfaction and evaluation/need assessment research. The Draughon Research team has over a decade of experience and can provide your organization with customized research stategies designed to maximize your research dollar."</t>
  </si>
  <si>
    <t>http://www.draughonresearch.com</t>
  </si>
  <si>
    <t>mailto:kat@draughonresearch.com</t>
  </si>
  <si>
    <t>Kathie Stratman</t>
  </si>
  <si>
    <t>mailto:halo@evansville.net</t>
  </si>
  <si>
    <t>Kathleen Davis</t>
  </si>
  <si>
    <t>http://www.kjdlegal.com</t>
  </si>
  <si>
    <t>mailto:kathyatkjdlegal@gmail.com</t>
  </si>
  <si>
    <t>Kathleen Marie Kelly</t>
  </si>
  <si>
    <t>Kathryn Vanderwater-Piercy</t>
  </si>
  <si>
    <t>http://CE-SEARCH.com</t>
  </si>
  <si>
    <t>mailto:pdakvp@msn.com</t>
  </si>
  <si>
    <t>Kathy's Kopper Pot,</t>
  </si>
  <si>
    <t>http://kathyskopperpot.com</t>
  </si>
  <si>
    <t>mailto:kathyskopperpot@aol.com</t>
  </si>
  <si>
    <t>Katie's Enterprises</t>
  </si>
  <si>
    <t>="Katie's Enterprises is an ""Indiana Certified Woman's Minority Business! Katie’s Enterprises is a privately owned woman’s business offering IonCleanse detoxification, health and wellness consulting, whole food nutritional products, nutritional consulting, healthy water choices, and motivational speaking. I am a Certified Natural Health Care Professional from Trinity College. When the body is cleared of toxins by the IonCleanse, it will operate more efficiently, thus increasing productivity, creativity and a positive mental attitude. This results in fewer missed days of work, deadlines being met, and medical costs going down. At Katie’s Enterprises we offer continuing education in the fields of customer service training, effective presentation instructions, along with my personal breast cancer survivor message. We look forward to helping you with your health and wellness concerns."</t>
  </si>
  <si>
    <t>http://www.katiehaun.com</t>
  </si>
  <si>
    <t>mailto:haun@iquest.net</t>
  </si>
  <si>
    <t>Katina Roberts</t>
  </si>
  <si>
    <t>="Provide Accounting and Tax services to small - medium size businesses, as well as payroll service. We provide the day to day accounting activities or preparation of financial monthly financial statements based on each client's situation and needs. We also provide Tax preparation for Individuals."</t>
  </si>
  <si>
    <t>http://www.lbcaccountingandtax.net</t>
  </si>
  <si>
    <t>mailto:kroberts@mw.net</t>
  </si>
  <si>
    <t>Katina Thompson</t>
  </si>
  <si>
    <t>mailto:kthompson9280@comcast.net</t>
  </si>
  <si>
    <t>Kato Design Studio, LLC</t>
  </si>
  <si>
    <t>="Kato Design Studio, LLC is an architectural firm with experience in commercial and residential design, historic preservation and adaptive re-use, landscape design, and interior design. We have done commercial projects in office, retail, healthcare, multi-family housing, industial, and government building types."</t>
  </si>
  <si>
    <t>http://www.katosmith.com</t>
  </si>
  <si>
    <t>mailto:kato@katosmith.com</t>
  </si>
  <si>
    <t>Kato Smith &amp; Associates, Inc.</t>
  </si>
  <si>
    <t>mailto:kdsmithsr@msn.com</t>
  </si>
  <si>
    <t>KatsMailersandMore</t>
  </si>
  <si>
    <t>http://www.katsgiftsandbeautygalore.net</t>
  </si>
  <si>
    <t>mailto:katsmailersandmore@vendorstation.com</t>
  </si>
  <si>
    <t>Katter Speech Svcs</t>
  </si>
  <si>
    <t>mailto:gjkatter@yahoo.com</t>
  </si>
  <si>
    <t>Katz Sapper &amp; Miller</t>
  </si>
  <si>
    <t>="Katz, Sapper &amp; Miller has grown to become the largest Indianapolis-based accounting firm, with nearly 300 professionals and staff. In business since 1942, the firm has earned a reputation as a leader in the areas of accounting, audit, tax and consulting services. Our thousands of clients include some of the country’s leading companies, and our partners and employees are respected throughout the region for their expertise and for their roles in the community."</t>
  </si>
  <si>
    <t>http://www.ksmcpa.com</t>
  </si>
  <si>
    <t>Kauffman Sons Inc.</t>
  </si>
  <si>
    <t>http://kauffmansons.com</t>
  </si>
  <si>
    <t>mailto:kauffmans@kauffmansjddealer.com</t>
  </si>
  <si>
    <t>Kay Equipment &amp; Sply</t>
  </si>
  <si>
    <t>http://kayequipment.com</t>
  </si>
  <si>
    <t>mailto:gashroff@kayind.com</t>
  </si>
  <si>
    <t>Keaton Travel</t>
  </si>
  <si>
    <t>http://www.KeatonTravel.com</t>
  </si>
  <si>
    <t>mailto:info@KeatonTravel.com</t>
  </si>
  <si>
    <t>Keen Green Products LLC</t>
  </si>
  <si>
    <t>mailto:keengreenproducts@yahoo.com</t>
  </si>
  <si>
    <t>Keener Corporation</t>
  </si>
  <si>
    <t>http://www.keenercorporation.com</t>
  </si>
  <si>
    <t>mailto:dtaylor@keenercorporation.com</t>
  </si>
  <si>
    <t>Keepsake Threads L.L.C.</t>
  </si>
  <si>
    <t>="Keepsake Threads offers a wide variety of keepsake products that are designed from customers’ own sentimental clothing items. The company repurposes garments that are no longer worn, but hold special meaning, into goods that can be used and enjoyed on a daily basis. Keepsake Threads can create a variety of items ranging from t-shirt quilts, pillows made from neckties, and stuffed animals displaying pieces of a treasured wedding dress. The company also is able to transfer photographs or sentimental documents, such as a page out of a journal or recipe book, onto fabric and incorporate them into keepsake items such as one-of-a-kind decorative pillows, quilts and wall hangings. The company has creative pre-made gifts available and works with each company to provide custom gifts. There is also a team of employees who are local seamstresses who create the custom sentimental products. The products are sold at art fairs, festivals, via website www.keepsakethreads.com and by phone."</t>
  </si>
  <si>
    <t>http://www.keepsakethreads.com</t>
  </si>
  <si>
    <t>mailto:info@keepsakethreads.com</t>
  </si>
  <si>
    <t>Keesling Custom Pools &amp; Patios</t>
  </si>
  <si>
    <t>Keith Hicks</t>
  </si>
  <si>
    <t>mailto:keithhicks247@hotmail.com</t>
  </si>
  <si>
    <t>Keith Marketing Group, Inc.</t>
  </si>
  <si>
    <t>mailto:dwkeith66@aol.com</t>
  </si>
  <si>
    <t>Keith Powell &amp; Associates, Ltd.</t>
  </si>
  <si>
    <t>mailto:KentGr@aol.com</t>
  </si>
  <si>
    <t>Keith Smith</t>
  </si>
  <si>
    <t>="PT Systems was founded in 1980 as ""Productivity Tools"" in Cincinnati, OH to provide services and software to the budding text pager industry. Over the years the name has changed (Microsoft now refers to its applications as Productivity Tools) and the work has changed. PT Systems was registered with Hamilton County in December 2000 and is providing services and software to clients in the Central Indiana area."</t>
  </si>
  <si>
    <t>http://www.ideasets.com</t>
  </si>
  <si>
    <t>mailto:ptsystems@indy.rr.com</t>
  </si>
  <si>
    <t>Kellems &amp; Coe Tool C</t>
  </si>
  <si>
    <t>mailto:kglass@kellemscoe.com</t>
  </si>
  <si>
    <t>Keller Crescent Advertising</t>
  </si>
  <si>
    <t>http://www.kellercrescentadvertising.com</t>
  </si>
  <si>
    <t>Keller Engineering,Inc.</t>
  </si>
  <si>
    <t>mailto:rick.keller@kellerengineeringinc.com</t>
  </si>
  <si>
    <t>Keller Schroeder &amp; Associates, Inc.</t>
  </si>
  <si>
    <t>="Founded in 1978, KSA is an employee-owned, regionally focused information technology consulting services firm, and a systems integrator of hardware and software products. Headquartered in Evansville, Indiana, our cross-industry market focus includes Manufacturing, Finance, Distribution, Education, and Healthcare. Product and Service Offerings Summary Infrastructure • Network infrastructure design and implementation (LAN, WAN, VPN, Wireless), troubleshooting, and support • IP-based Telephone System design and implementation • Security and Network assessments and audits • Products ? IBM Servers and Storage ? HP Servers and Storage ? Cisco Core Network, Security, and Wireless products ? Cisco IP-based Telephone systems and Unified Messaging ? Microsoft Server and Active Directory ? IBM Printing Systems Applications • Packaged software search, selection, and implementation • Business process improvements • Project management • Integration to packaged software, c"</t>
  </si>
  <si>
    <t>http://KSAinc.com</t>
  </si>
  <si>
    <t>Kelleron Medical Staffing, Inc.</t>
  </si>
  <si>
    <t>http://www.kelleronmedicalstaffing.com</t>
  </si>
  <si>
    <t>mailto:sheilabaker@kelleronmedicalstaffing.com</t>
  </si>
  <si>
    <t>Kelley Chevrolet</t>
  </si>
  <si>
    <t>Kelli Curtis</t>
  </si>
  <si>
    <t>="RC industry's product, Bailey-Ray's Slip Resistant Surface/Floor Covering is designed to reduce slipping and/or sliding upon application to concrete, wood, metal, plastic, or aluminum surfaces. Some suggested uses: concrete surfaces, painted surfaces, wood decks, ramps, steps, any surface that can become slick. Target customers: Homeowners, contractors, marinas, factories, schools, hotel industry, car dealerships, municipalities, anyone with safety concerns."</t>
  </si>
  <si>
    <t>http://www.rcindustry.com</t>
  </si>
  <si>
    <t>mailto:rcind@sigecom.net</t>
  </si>
  <si>
    <t>Paint, Coating, Adhesive, and Sealant Manufacturing</t>
  </si>
  <si>
    <t>Kellie Meyer Training Solutions</t>
  </si>
  <si>
    <t>http://www.kmesolutions.org</t>
  </si>
  <si>
    <t>mailto:kmeyer@kmesolutions.org</t>
  </si>
  <si>
    <t>Kelly Advertising, Inc.</t>
  </si>
  <si>
    <t>http://www.kellyadvertising.com</t>
  </si>
  <si>
    <t>mailto:kellyadv@verizon.net</t>
  </si>
  <si>
    <t>Kelly Construction of Indiana</t>
  </si>
  <si>
    <t>="Kelly Construction is a general contractor located in Lafayette, Indiana specializing in commercial and industrial construction and maintenance. We have been in this area for over 15 years and offer a full service sheet metal shop with capabilities of cutting up to 1 1/2"" plate. We have over 500 employees working throughout the Midwest. No job is too big or too small. We have the qualified millwrights, pipefitters, civil workers, and iron workers on hand to move your equipment, build your expansion, or do your outage maintenance."</t>
  </si>
  <si>
    <t>http://www.thekelly-group.com/kelly_grou</t>
  </si>
  <si>
    <t>mailto:rob.jude@thekelly-group.com</t>
  </si>
  <si>
    <t>Kelly King</t>
  </si>
  <si>
    <t>http://www.KellyKingDesign.com</t>
  </si>
  <si>
    <t>mailto:kelly@kellykingdesign.com</t>
  </si>
  <si>
    <t>Kelly Promotional Products</t>
  </si>
  <si>
    <t>http://www.kellypromotionalproducts.com</t>
  </si>
  <si>
    <t>mailto:deena@kellypromotionalproducts.com</t>
  </si>
  <si>
    <t>Kelly Uniforms and More LLC</t>
  </si>
  <si>
    <t>Kelly's Custom Frames, Inc</t>
  </si>
  <si>
    <t>http://www.kellysframes.com</t>
  </si>
  <si>
    <t>mailto:janie@kellysframes.com</t>
  </si>
  <si>
    <t>Kelmar Safety Inc</t>
  </si>
  <si>
    <t>="We provide Pre Employment background screening,criminal searches, Motor Vehicle records from all 50 states and Canada, Education, Military and employment verifications, Defensive Driving courses, DOT compliance and regulatory specialists, Driver file management, Third Party Drug Testing Administration and Develop safety programs Nationwide."</t>
  </si>
  <si>
    <t>http://www.kelmarsafety.com</t>
  </si>
  <si>
    <t>mailto:ckelly@kelmarsafety.com</t>
  </si>
  <si>
    <t>Other Support Activities for Transportation</t>
  </si>
  <si>
    <t>Keltner Group, LLC</t>
  </si>
  <si>
    <t>http://www.keltner-inc.com</t>
  </si>
  <si>
    <t>Kem Krest Corporation</t>
  </si>
  <si>
    <t>="Kem Krest is an ISO-9001 / 2008 certified and minority owned outsourcing firm that specializes in three integrated categories: Fulfillment Services including kitting and packaging, Supply Chain Management offering demand planning, forecasting, quality compliance and overall product line management, and Logistics where we warehouse your products and ship them directly to your customers at defined ship points. We have four distribution centers in the US and Canada. Kem Krest is certified and compliant to handle, store and ship hazardous materials, hard parts, MRO items, and bulk products. Kem Krest guarantees ROI. Our services leverage the volume of our entire customer base, allowing you to have these benefits at a fraction of the cost of doing it internally. We are able to own inventory on your behalf or assign inventory as consigned. As you can see, Kem Krest offers a complete turnkey solution"</t>
  </si>
  <si>
    <t>http://www.kemkrest.com</t>
  </si>
  <si>
    <t>mailto:bleclair@kemkrest.com</t>
  </si>
  <si>
    <t>Kemery Consulting, LLC</t>
  </si>
  <si>
    <t>http://www.kemeryconsulting.com</t>
  </si>
  <si>
    <t>mailto:leila.kemery@kemeryconsulting.com</t>
  </si>
  <si>
    <t>Kemp &amp; Associates</t>
  </si>
  <si>
    <t>http://www.kempandassociates.info</t>
  </si>
  <si>
    <t>mailto:jkemp@kampandassociates.info</t>
  </si>
  <si>
    <t>Kemper Flooring Inc</t>
  </si>
  <si>
    <t>http://www.kemperflooring.com</t>
  </si>
  <si>
    <t>mailto:kemperflooring</t>
  </si>
  <si>
    <t>Ken Crace Appraisal</t>
  </si>
  <si>
    <t>mailto:jocrace@earthlink.net</t>
  </si>
  <si>
    <t>Ken Herceg &amp; Associates, Inc.</t>
  </si>
  <si>
    <t>="Ken Herceg and Associates, Inc. (Herceg) is an Engineering and Architectural firm led by engineers, architects and planners who represent more than 120 years of professional experience. Founded in 1984, we initially provided consulting services for the engineering field and have continued to expand our range of professional services to meet the needs of current clients. The addition of architectural services provides the opportunity for cross-pollination of design elements on our projects. We can engineer projects and bring in beautiful design elements that aesthetically appeal to the end-user. As the client’s advocate and representative, we deliver across a spectrum of expectations, including: • Accountability at every level • An environment of trust and confidence • Design and construction integrity • Effective decision-making • Enhanced communications • On-time and on-budget delivery • Project leadership • Strategic Planning Call us to see how we can help you ~"</t>
  </si>
  <si>
    <t>http://www.kenherceg.com</t>
  </si>
  <si>
    <t>mailto:bstevens@kenherceg.com</t>
  </si>
  <si>
    <t>KenDel Enterprises, Inc.</t>
  </si>
  <si>
    <t>="As an Indiana owned document destruction company part of a national network, Proshred® Indianapolis combines the benefits of outstanding local service with superior professionalism and quality. We are ISO9000/2008 certified, insuring that we adhiere to the highest standards of quality and security."</t>
  </si>
  <si>
    <t>http://www.proshred.com/indianapolis</t>
  </si>
  <si>
    <t>mailto:ken.carite@proshred.com</t>
  </si>
  <si>
    <t>Kenai Design Studio</t>
  </si>
  <si>
    <t>mailto:info@kenaistudio.com</t>
  </si>
  <si>
    <t>Kendon Corporation</t>
  </si>
  <si>
    <t>http://www.kendon-national.com</t>
  </si>
  <si>
    <t>Kendrick Construction</t>
  </si>
  <si>
    <t>mailto:KNDRMCH@SBCGLOBAL.NET</t>
  </si>
  <si>
    <t>Kenley Consulting, LLC</t>
  </si>
  <si>
    <t>="Consulting services to provide systematic evaluation of R&amp;D and strategic investments to enhance decision making and create opportunities to satisfy multiple stakeholder needs. Previous employment in high tech defense and nuclear industries. BS - MIT (Management). MS - Purdue (Statistics). PhD - Stanford (Engineering-Economic Systems)."</t>
  </si>
  <si>
    <t>http://www.kenley.org</t>
  </si>
  <si>
    <t>mailto:bob.kenley@kenley.org</t>
  </si>
  <si>
    <t>Kenley Designs LLC</t>
  </si>
  <si>
    <t>mailto:kustom-kreations@live.com</t>
  </si>
  <si>
    <t>Piece Goods, Notions, and Other Dry Goods Merchant Wholesalers</t>
  </si>
  <si>
    <t>Kenn-Feld Group LLC</t>
  </si>
  <si>
    <t>http://www.kennfeldgroup.com</t>
  </si>
  <si>
    <t>mailto:andrea.carlin@kfgllc.net</t>
  </si>
  <si>
    <t>Kenna Consulting &amp; Management Group, Inc</t>
  </si>
  <si>
    <t>="Offers Grant Writing &amp; Grant Administration Services to Small Cities and Towns and Not for Profit Organizations accross the State of Indiana. Kenna specializes in Grants for Community Projects such as Improvements to Drinking Water, Storm Water &amp; Waste Water Improvements, Community Centers, Libraries, etc as well as Grants for Affordable Housing."</t>
  </si>
  <si>
    <t>mailto:apappano@kennaconsulting.us</t>
  </si>
  <si>
    <t>Kennedy Tank &amp; Manufacturing Co., Inc,</t>
  </si>
  <si>
    <t>="Kennedy Tank is the industry's leading innovator and fabricator of steel storage tank products since 1898. Manufacturing petroleum, chemical or water storage tanks, heat exchangers, oil/water separators, ASME pressure vessels and process and storage tanks for many other uses. Kennedy also has a field division to do boiler repair and field erection of storage and process tanks."</t>
  </si>
  <si>
    <t>http://www.kennedytank.com</t>
  </si>
  <si>
    <t>mailto:sales@kennedytank.com</t>
  </si>
  <si>
    <t>Metal Tank (Heavy Gauge) Manufacturing</t>
  </si>
  <si>
    <t>Kenneth Chambers</t>
  </si>
  <si>
    <t>mailto:kchambers29@yahoo.com</t>
  </si>
  <si>
    <t>Kenny Glass, Inc.</t>
  </si>
  <si>
    <t>="We are a full line, full service glass company providing commercial and residential service and installation. We also provide custom glass cutting, along with window and screen repair services for counter customers at our location on US Highway 31. Some of our specialties include: Commercial Storefront, Curtain Wall, Windows, Hardware, Shower Enclosures, and Specialty Glass. We are experienced in large and small commercial glass and aluminum installations at all levels, and are skilled in rapid response and planning where timing is critical. Our coverage area is within a 100-mile radius from Columbus, Indiana."</t>
  </si>
  <si>
    <t>http://www.kennyglass.com</t>
  </si>
  <si>
    <t>mailto:danlaw@kennyglass.com</t>
  </si>
  <si>
    <t>Kenny Kent Chevrolet, Inc.</t>
  </si>
  <si>
    <t>http://kennykentchevrolet.com</t>
  </si>
  <si>
    <t>Kenny's Radiator Service LLC</t>
  </si>
  <si>
    <t>mailto:radiatorman1980@att.net</t>
  </si>
  <si>
    <t>Kentuckiana Transport</t>
  </si>
  <si>
    <t>Kentuckiana Wire Rop</t>
  </si>
  <si>
    <t>http://www.kwrinc.com</t>
  </si>
  <si>
    <t>mailto:bob@kwrinc.com</t>
  </si>
  <si>
    <t>Kentuckiana Wood Products, Inc.</t>
  </si>
  <si>
    <t>="Kentuckiana Wood Products is a pallet manufacturing company located in Jeffersonville, IN servicing So. IN, Lou, KY and surrounding cities. Our specialties include custom manufactured pallets, skids and related wood products. We have been most successful manufacturing for customers who want very small or large pallets and customers who need a vendor who is customer service oriented. Many of our customers do business internationally, so these customers need a vendor who is capable of Heat Treating their pallets and other wood products to meet the requirements of the International Plant Protection Convention (IPPC) ISPM 15 Guidelines for regulating Non-Manufactured Wood Packaging in use for the transport of Commodities. We recently purchased a new Kiln to keep up with the growing demand for Heat Treated product being exported by our customers. Additionally, many of these customers need our related wood products we provide like crates and grooved dunnage for their exportation needs."</t>
  </si>
  <si>
    <t>mailto:kentuckianawoodproducts@ccol.net</t>
  </si>
  <si>
    <t>Kentuckiana Yacht Sales, Inc.</t>
  </si>
  <si>
    <t>http://www.kys.com</t>
  </si>
  <si>
    <t>mailto:info@kys.com</t>
  </si>
  <si>
    <t>Kenworthy Public Relations</t>
  </si>
  <si>
    <t>http://www.kenworthypr.com</t>
  </si>
  <si>
    <t>mailto:jay@kenworthypr.com</t>
  </si>
  <si>
    <t>Kerlin Motor Company</t>
  </si>
  <si>
    <t>http://kerlinmotors.com</t>
  </si>
  <si>
    <t>mailto:rkerlin@kerlinmotors.com</t>
  </si>
  <si>
    <t>Kermit Usa Inc.</t>
  </si>
  <si>
    <t>="Kermit roof has been in business more than 33 years in Turkey.We came over here with redevelopment commission invitation. Kermit recycled composite tiles offer the traditional look of concrete and clay tiles without weight, and installation issues. Kermit tile composition makes for easy installation with virtually no tile breakage.This product is backed by a 50-year limited warranty and price is very reasonable.It is available in many different colors and passed all the required tests with A grade."</t>
  </si>
  <si>
    <t>http://www.kermitroof.com</t>
  </si>
  <si>
    <t>mailto:meral@kermitroof.com</t>
  </si>
  <si>
    <t>Kern Automotive Specialties</t>
  </si>
  <si>
    <t>Kern Graphic Design, Inc.</t>
  </si>
  <si>
    <t>="Kern Graphic Design provides Indianapolis businesses with creative freelance graphic design and excellent customer service. Carin McBroom can produce a variety of print materials including: ads, booklets, brochures, corporate identity, direct mail, displays, environmental graphics, folders, invitations, logos, magazines, stationery, etc."</t>
  </si>
  <si>
    <t>http://www.kerngraphicdesign.com</t>
  </si>
  <si>
    <t>mailto:carin@kerngraphicdesign.com</t>
  </si>
  <si>
    <t>Kerns Excavating, L.L.C.</t>
  </si>
  <si>
    <t>http://www.kernsexcavatingllc.com</t>
  </si>
  <si>
    <t>mailto:ekerns3@gmail.com</t>
  </si>
  <si>
    <t>Kerry Earhart</t>
  </si>
  <si>
    <t>Kersting's Cycle Center, Inc.</t>
  </si>
  <si>
    <t>http://www.kerstingscycle.com</t>
  </si>
  <si>
    <t>mailto:sandy@kerstingscycle.com</t>
  </si>
  <si>
    <t>Kesler Schaefer Auto Auction, Inc</t>
  </si>
  <si>
    <t>http://www.ksaa1.com</t>
  </si>
  <si>
    <t>mailto:skesler@ksaa1.com</t>
  </si>
  <si>
    <t>Kessinger Lawn Care</t>
  </si>
  <si>
    <t>http://kessingerlawncare.com</t>
  </si>
  <si>
    <t>mailto:kessingerlawncare@yahoo.com</t>
  </si>
  <si>
    <t>Kettelhut Construction, Inc.</t>
  </si>
  <si>
    <t>http://www.kettelhut.com</t>
  </si>
  <si>
    <t>mailto:kci@kettelhut.com</t>
  </si>
  <si>
    <t>Kevin Eikenberry Grp</t>
  </si>
  <si>
    <t>http://KevinEikenberry.com</t>
  </si>
  <si>
    <t>mailto:Info@KevinEikenberry.com</t>
  </si>
  <si>
    <t>Kevin H. Williams D.B.A. K&amp;N Enterprises</t>
  </si>
  <si>
    <t>Kevin Mathies</t>
  </si>
  <si>
    <t>Key Cartage, Inc.</t>
  </si>
  <si>
    <t>="Key Cartage specializes in bulk transport of liquid petroleum and acid commodities. With more than 25 trucks and 40 trailers Key Cartage offers the tools and expertise to get the job done safely and efficiently. Our management team boasts over 70 years combined transportation experience. Key Cartage has the experience and equipment to transport a variety of products to anywhere in eastern North America. Our equipment includes petroleum tankers, acid tankers, chemical tankers, dump trailers and a low-boy for over-sized or over-weight loads."</t>
  </si>
  <si>
    <t>http://www.keycartage.com</t>
  </si>
  <si>
    <t>mailto:info@keycartage.com</t>
  </si>
  <si>
    <t>Key Construction Co Inc</t>
  </si>
  <si>
    <t>http://www.keyconstructionco.com</t>
  </si>
  <si>
    <t>mailto:clint@keyconstructionco.com</t>
  </si>
  <si>
    <t>Key Financial Measures LLC</t>
  </si>
  <si>
    <t>="Key Financial Measures is a resource to the companies that need a helping hand in financial information management, analysis and reporting. We combine our extensive knowledge and expertise in the areas of financial information processing, GAAP concepts, project management, database management, and reporting to help our clients achieve their goals. By analyzing the integrated business and financial data we research the issues and propose methods to improve the financial structure and processes per business requirements."</t>
  </si>
  <si>
    <t>http://www.keyfinancialmeasures.com</t>
  </si>
  <si>
    <t>mailto:fhunt@keyfinancialmeasures.com</t>
  </si>
  <si>
    <t>Key Life Insurance</t>
  </si>
  <si>
    <t>http://www.keylife.biz</t>
  </si>
  <si>
    <t>mailto:customerservice@keylife.biz</t>
  </si>
  <si>
    <t>Key West Cigar Importers</t>
  </si>
  <si>
    <t>mailto:jennifer.kwci@sbcglobal.net</t>
  </si>
  <si>
    <t>Key West Enterprises</t>
  </si>
  <si>
    <t>mailto:liftingpeoplehigher@yahoo.com</t>
  </si>
  <si>
    <t>KeyPoint Training LLC</t>
  </si>
  <si>
    <t>http://www.keypoint-training.com</t>
  </si>
  <si>
    <t>mailto:info@keypoint-training.com</t>
  </si>
  <si>
    <t>Keys Concrete Construction LLC</t>
  </si>
  <si>
    <t>mailto:Keysconcrete@yahoo.com</t>
  </si>
  <si>
    <t>Keys Counseling Inc</t>
  </si>
  <si>
    <t>Keystone Architecture, Inc.</t>
  </si>
  <si>
    <t>="An Indiana based, qualified architectural firm. We are ready and able to provide the design services necessary to clients in Northern and Central Indiana. We are well grounded in the rules and regulations for construction in this state, and have operated successfully in Indiana for over seventeen years. Prides itself on the quality of services it provides to local clients. The design and construction of a building is composed of many small and large issues, which at times need immediate attention to allow the project to move along at the proper pace. A local architectural firm can save a client many dollars and countless hours of unproductive time. Proud of being a small firm. Being a small firm means we can act quickly to changing conditions, and remain flexible at all times. The architects you meet on a project will be involved in the project from start to finish. Our small size means your project is guaranteed to have our full attention. A good communicator."</t>
  </si>
  <si>
    <t>http://www.keystonearch.com</t>
  </si>
  <si>
    <t>mailto:rob@keystonearch.com</t>
  </si>
  <si>
    <t>Keystone Construction Corporation</t>
  </si>
  <si>
    <t>http://www.keystone-corp.com</t>
  </si>
  <si>
    <t>mailto:info@keystone-corp.com</t>
  </si>
  <si>
    <t>Keystone Designs, Inc.</t>
  </si>
  <si>
    <t>Keystone construction</t>
  </si>
  <si>
    <t>="property maintenance services which include, debris removal, property cleaning, carpet cleaning/removal, lock change, initial lawn cut, periodic lawn maintenance, defective paint removal, pool securing, wintrization/snow removal, vinyl replacement , roof repairs, glass replacement, board ups, restoration/remodel, fence repair, graffiti removal, drywall repair, tree removal, counter top installation"</t>
  </si>
  <si>
    <t>http://tammie williams</t>
  </si>
  <si>
    <t>mailto:tammie_williams14@yahoo.com</t>
  </si>
  <si>
    <t>Kiddz2Go, Inc.</t>
  </si>
  <si>
    <t>="Kiddz2Go is a Saturday Childcare Service that is dedicated to providing children ages 5-12 with a day filled with educational and fun activities. We provide transporation services directly from the residence. Children will attend workshops, theatres, and airport visits with actual flights and much much more!"</t>
  </si>
  <si>
    <t>http://www.kiddz2go.com</t>
  </si>
  <si>
    <t>mailto:jcolbert@kiddz2go.com</t>
  </si>
  <si>
    <t>Kids First Visitation Services</t>
  </si>
  <si>
    <t>="Kids First Visitation Services of Indiana, LLC provides supervised visitation services to the non custodial parent by order of the Court or mutual parental agreement. All our visitations occur offsite in a safe and neutral location. We also offer therapeutic supervised visitation, custody exchange monitoring and reports for the courts, attorneys and psychologists. We are also available to testify in court under subpeona."</t>
  </si>
  <si>
    <t>http://www.kidsfirstvisitationindiana.co</t>
  </si>
  <si>
    <t>mailto:kidsfirstvisitation@comcast.net</t>
  </si>
  <si>
    <t>Kids In Difficult Situations, Inc.</t>
  </si>
  <si>
    <t>http://www.empowerwon.com</t>
  </si>
  <si>
    <t>Kidstuff Playsystems</t>
  </si>
  <si>
    <t>http://www.kidstuffplaysystems.com</t>
  </si>
  <si>
    <t>mailto:rhagelberg@kidstuffplaysystems.com</t>
  </si>
  <si>
    <t>Kightlinger &amp; Gray, LLP</t>
  </si>
  <si>
    <t>="Kightlinger &amp; Gray is a full-service legal firm with offices located in three Indiana cities; Indianapolis, Evansville, and New Albany. Kightlinger &amp; Gray opened its Evansville office in 1976 and its New Albany office in 1991. Kightlinger &amp; Gray attorneys are licensed to practice law in Indiana, Kentucky, Illinois, Michigan and Virginia."</t>
  </si>
  <si>
    <t>http://www.k-glaw.com</t>
  </si>
  <si>
    <t>mailto:info@k-glaw.com</t>
  </si>
  <si>
    <t>Kile Enterprises, Inc</t>
  </si>
  <si>
    <t>http://www.us605.alphagraphics.com</t>
  </si>
  <si>
    <t>mailto:customerservice605@alphagraphics.com</t>
  </si>
  <si>
    <t>Killybegs Irish Shop</t>
  </si>
  <si>
    <t>Kim Graves Ministries, Inc.</t>
  </si>
  <si>
    <t>="KGM, Inc. is a service provider that provides holistic care/ministry to underprivileged individuals in Indianapolis, through computer lab/training, job readiness/preparation, counseling to: single mothers, mothers to be, battered women, young men and women, and a weekly soup kitchen."</t>
  </si>
  <si>
    <t>http://www.worshipconference.info</t>
  </si>
  <si>
    <t>mailto:kim@worshipconference.info</t>
  </si>
  <si>
    <t>Religious Organizations</t>
  </si>
  <si>
    <t>Kim Logistics LLC</t>
  </si>
  <si>
    <t>http://www.kimlogistics.com</t>
  </si>
  <si>
    <t>mailto:monakim@kimlogistics.com</t>
  </si>
  <si>
    <t>Kim Mountain Pest Control, Inc.</t>
  </si>
  <si>
    <t>Kim's Sweets and Treats, LLC</t>
  </si>
  <si>
    <t>Kimball Office Inc.</t>
  </si>
  <si>
    <t>http://www.kimballoffice.com</t>
  </si>
  <si>
    <t>mailto:kogov@kimball.com</t>
  </si>
  <si>
    <t>Kimberly Fagan Consulting</t>
  </si>
  <si>
    <t>Kimberly M Martin, PSY.D., LLC</t>
  </si>
  <si>
    <t>mailto:kimberlymmartin@yahoo.com</t>
  </si>
  <si>
    <t>Kimberly R. Clarkson</t>
  </si>
  <si>
    <t>mailto:Clarksoncleaningservice@yahoo.com</t>
  </si>
  <si>
    <t>Kimbra, Inc.</t>
  </si>
  <si>
    <t>="We are an MBE Certified, 24 hour full-service ground transportation company. Our clients include some of the most diverse and successful businesses in the world. They depend on us to consistently respond to their needs in a timely, efficient and professional manner which then allows them to focus on their business. Our consistency in providing our clients with prompt, courteous, professional and personalized service has earned their loyalty. We are the premier Limousine Service specializing in Chauffeured Transportation Solutions for VIP Business Professional and Personal Travelers in Chicago, its Southern Suburbs and Northwest Indiana. Our amenity filled fleets includes late model sedans and stretch limousines which are customized to meet your chauffeured transportation needs in the most efficient and luxurious manner possible."</t>
  </si>
  <si>
    <t>http://1stchoicelime-chicago.com</t>
  </si>
  <si>
    <t>mailto:firstchoicelimo@aol.com</t>
  </si>
  <si>
    <t>King Communications, Inc.</t>
  </si>
  <si>
    <t>mailto:brenda@kingcommnetworks.com</t>
  </si>
  <si>
    <t>Kingmaking Consult'g</t>
  </si>
  <si>
    <t>http://www.kingmaking.com</t>
  </si>
  <si>
    <t>mailto:renita.lovell@kingmaking.com</t>
  </si>
  <si>
    <t>Kingsway Counseling LLC</t>
  </si>
  <si>
    <t>="When life is hard and you need answers, we can provide constructive ways to effectively deal with your problems. People seek our services for a variety of reasons. They come to us from diverse religious, racial, social and economic backgrounds. Counseling is confidential. Our Master-degreed and professionally trained counselors work with adults, children and families to overcome life's challenging situations. When desired, clients may choose to incorporate their personal faith into the counseling process."</t>
  </si>
  <si>
    <t>http://www.kingswaycounseling.com</t>
  </si>
  <si>
    <t>mailto:help@kingswaycounseling.com</t>
  </si>
  <si>
    <t>Kinney Group, Inc.</t>
  </si>
  <si>
    <t>="We provide data center solutions for Federal, Commercial and State program managers seeking creative, yet pragmatic, approaches to information infrastructure. We offer contemporary thinking by leveraging next-generation technology in the areas of virtualization, cloud computing, process automation, and application optimization."</t>
  </si>
  <si>
    <t>http://www.kinneygroup.com</t>
  </si>
  <si>
    <t>mailto:karen.kuhn@kinneygroup.com</t>
  </si>
  <si>
    <t>Kinsey Poole</t>
  </si>
  <si>
    <t>http://www.kinsey christian security.com</t>
  </si>
  <si>
    <t>mailto:kinsey116bill@hotmail.com</t>
  </si>
  <si>
    <t>Kirby Risk Corporation</t>
  </si>
  <si>
    <t>="Distributor and manufacturer of Electric Products and Assemblies inclusive but not limited to lamps, ballasts, lighting fixtures, switch gear, devices, wire, conduit, datacom, automation controls, power transmission, commercial products, tools, fusing, and raceway."</t>
  </si>
  <si>
    <t>http://www.kirbyrisk.com</t>
  </si>
  <si>
    <t>mailto:cshelton@kirbyrisk.com</t>
  </si>
  <si>
    <t>Kirk Photography, Inc.</t>
  </si>
  <si>
    <t>http://www.davidkirkphoto.com</t>
  </si>
  <si>
    <t>mailto:david@davidkirkphoto.com</t>
  </si>
  <si>
    <t>KirkBooher Enterprise</t>
  </si>
  <si>
    <t>="Protecting Your Precious Is Our Mission. OnGuard Security Solutions is an authorized dealership for Guardian Protection Services. We are located in Fishers, Indiana to serve central Indiana. OnGuard knows how important your home, family, and business are to you. Let us help! We have proven experience and innovative ideas to provide you the 'peace of mind' you deserve. OnGuard's owner and operator has provided honest, caring, electronic security service for over 28 years. OnGuard sells, installs, and services burglar alarms, fire alarms, video surveillance systems, access control systems to residential and commercial property. GPS security systems automatically dispatches the police and/or fire department directly to your home or business in the event of a detected burglary or fire. We also send lifesaving medical help directly to those who count on us."</t>
  </si>
  <si>
    <t>http://www.onguardsecuritysolutions.com</t>
  </si>
  <si>
    <t>mailto:admin@onguardssc.com</t>
  </si>
  <si>
    <t>Kirkwood Design Studio, P.C.</t>
  </si>
  <si>
    <t>="Kirkwood Design Studio is an architectural and planning design firm focusing on creative solutions for projects throughout central Indiana. Our projects involve a variety of building types and scales, from the individual residential, commercial, public or educational building to the planning and design of complete streetscapes and whole neighborhoods."</t>
  </si>
  <si>
    <t>mailto:ks@kdsarchitects.com</t>
  </si>
  <si>
    <t>Kirts Trucking Inc</t>
  </si>
  <si>
    <t>mailto:kti@kirtstrucking.com</t>
  </si>
  <si>
    <t>Kiss My Grass Lawn Care LLC</t>
  </si>
  <si>
    <t>mailto:Kissmygrassllc@gmail.com</t>
  </si>
  <si>
    <t>Kissel Marketing LLC</t>
  </si>
  <si>
    <t>="Promotional and print product supplier. Anything with a company logo including but not limited to: checks, calendars, invoices, envelopes, jackets, umbrellas, pens, t-shirts, magnets, and uniforms, printed catalogs, etc. Employee recognition awards, safety programs, uniform programs, brand management and Logo creation, Online company store development and management, direct mail campaigns, customer/supplier incentive &amp; award programs, corporate, special event &amp; holiday gift giving, meetings, events and tradeshow planning &amp; resources."</t>
  </si>
  <si>
    <t>http://www.proforma.com/kissel</t>
  </si>
  <si>
    <t>mailto:carmen.diener@proforma.com</t>
  </si>
  <si>
    <t>Klaes Image Pro.Inc</t>
  </si>
  <si>
    <t>http://klaesimage.com</t>
  </si>
  <si>
    <t>mailto:bklaes@klaesimage.com</t>
  </si>
  <si>
    <t>Klean Me Up Janitori</t>
  </si>
  <si>
    <t>mailto:kleanmeup@yahoo.com</t>
  </si>
  <si>
    <t>Kleen Rite Supply, Inc.</t>
  </si>
  <si>
    <t>="KRS, Inc. is a top supplier of innovative cost effective maintenance and janitorial solutions for industrial, institutional and commercial businesses, from chemicals and equipment to paper and liners. KRS specializes in all facets of cleaning and maintenance, with a particular focus on ""Green Cleaning."" We offer a wide variety of cleaning and maintenance tools, including chemicals, dilution control systems, paper, safety equipment, cleaning equipment, cleaning tools, and Cleaning and Maintenance Consulting."</t>
  </si>
  <si>
    <t>http://www.krssolutions.com</t>
  </si>
  <si>
    <t>mailto:krs@krssolutions.com</t>
  </si>
  <si>
    <t>Kleenco Maintenance &amp; Construction Inc.</t>
  </si>
  <si>
    <t>="Commercial Maintenance &amp; repairs including,Asphalt &amp; Concrete repairs and maintenance;Landscaping new and repair;Fence repair and new installation;Plumbing &amp; Lift station repair; Stormwater Maintenance and compliance;Grease trap cleaning and compliance;Environmental clean up and testing"</t>
  </si>
  <si>
    <t>http://Kleencousa.com</t>
  </si>
  <si>
    <t>mailto:lemerickkr@kleencousa.com</t>
  </si>
  <si>
    <t>Kleenit Group, Inc.</t>
  </si>
  <si>
    <t>http://www.kleenit.com</t>
  </si>
  <si>
    <t>mailto:customerservicefw@kleenit.com</t>
  </si>
  <si>
    <t>KleinServ, Inc.</t>
  </si>
  <si>
    <t>="Complete furniture REPAIR, Re-UPHOLSTERY, and REFINISHING. Complete On-site repair and touch-up. Complete restoration service for any type of Residential, Commercial, Office and Industrial furniture. Estimates and Pick-up/Delivery. RESTORING a GREAT FIRST IMPRESSION since 1957"</t>
  </si>
  <si>
    <t>http://www.ActionFurnitureRepair.com</t>
  </si>
  <si>
    <t>mailto:george@ActionFurnitureRepair.com</t>
  </si>
  <si>
    <t>Klines Quality Water</t>
  </si>
  <si>
    <t>http://www.klineswater.com</t>
  </si>
  <si>
    <t>mailto:ed@klineswater.com</t>
  </si>
  <si>
    <t>Klinger Engineering LLC</t>
  </si>
  <si>
    <t>http://www.klingereng.com</t>
  </si>
  <si>
    <t>mailto:klingereng@hotmail.com</t>
  </si>
  <si>
    <t>Klutter Klean Up</t>
  </si>
  <si>
    <t>="Klutter Klean Up is a trash out company providing property clean out services as well as eviction assistance in Indianapolis and surrounding counties. Services are Ideal for: Realtors, landlords, property management, investors, homeowners, retirement and communities. Services we provide: Trash out/clean out, foreclosure cleaning, eviction cleaning, estate cleaning, office clean out, debris removal and hauling, and lawn maintenance."</t>
  </si>
  <si>
    <t>http://www.klutterkleanup.com</t>
  </si>
  <si>
    <t>mailto:www.klutterkleanup@aol.com</t>
  </si>
  <si>
    <t>Knauf Insulation GmbH</t>
  </si>
  <si>
    <t>="International Fiber glass manufactuerer providing products for the Commercial and Residential markets. Products include: Air Duct Board, Air Duct Liner, Duct Wrap, Pipe Insulation, Pipe and Tank Insulation, Insulation Board, Elevated Temperature Products, KoolDuct System, OEM Products, Batts, Blowing Wool, Metal Building Insulation, and other specialty items."</t>
  </si>
  <si>
    <t>http://knaufusa.com</t>
  </si>
  <si>
    <t>mailto:scott.miller@knaufusa.com</t>
  </si>
  <si>
    <t>Kneppers Inc</t>
  </si>
  <si>
    <t>http://www.kneppersinc.com</t>
  </si>
  <si>
    <t>mailto:gknepper@ligtel.com</t>
  </si>
  <si>
    <t>Knight &amp; Day</t>
  </si>
  <si>
    <t>mailto:knightanddayco@att.net</t>
  </si>
  <si>
    <t>Knightstown Auto Parts, Inc.</t>
  </si>
  <si>
    <t>Knoll Brothers, Inc.</t>
  </si>
  <si>
    <t>mailto:knollbrosvicki@sbcglobal.net</t>
  </si>
  <si>
    <t>Knowledge Center</t>
  </si>
  <si>
    <t>mailto:knowcenter_2@yahoo.com</t>
  </si>
  <si>
    <t>Knox County Hospital</t>
  </si>
  <si>
    <t>http://www.gshvin.org</t>
  </si>
  <si>
    <t>Koberstein Contracting, Inc.</t>
  </si>
  <si>
    <t>http://www.kobersteins.com</t>
  </si>
  <si>
    <t>Koch Air LLC</t>
  </si>
  <si>
    <t>="Koch Air LLC has been a distributor of HVAC products since 1936, and was the first Carrier distributor outside of Carrier's headquarter city of Syracuse, N.Y. Koch Air, which remains family owned is the second largest independent Carrier distributor in the U.S. Koch air is headquartered in Evansville, IN with branches in Indianapolis, Louisville, KY and St. Louis, MO. Koch Air serves all sizes of HVAC contractors, distributing to the retail, commercial and industrial markets. Koch air is also ISO 9002 certified, which quarantees our customers will receive the highest quality products and services."</t>
  </si>
  <si>
    <t>http://www.kochair.com</t>
  </si>
  <si>
    <t>Koch Air, LLC</t>
  </si>
  <si>
    <t>http://www.kochair.llc</t>
  </si>
  <si>
    <t>Koch Water Treatment Ltd.</t>
  </si>
  <si>
    <t>http://www.watcon_inc.com</t>
  </si>
  <si>
    <t>mailto:craig.koch@att.net</t>
  </si>
  <si>
    <t>Koehler Partners, Inc.</t>
  </si>
  <si>
    <t>="Koehler Partners provides organizational improvement services, including program development and implementation, partnership development, project management, public education and outreach, and capacity building. Kathy Koehler, President, specializes in working with public and non-profit human services, health and workforce development agencies. For over 15 years, Kathy has advised and supported professionals from front-line caseworkers to state and federal policymakers."</t>
  </si>
  <si>
    <t>mailto:kathy@koehlerpartners.com</t>
  </si>
  <si>
    <t>Koehler Welding Supply Inc.</t>
  </si>
  <si>
    <t>http://www.koehlerweld.com</t>
  </si>
  <si>
    <t>mailto:toddu@koehlerweld.com</t>
  </si>
  <si>
    <t>Koehring &amp; Sons, Inc.</t>
  </si>
  <si>
    <t>http://www.koehringandsons.com</t>
  </si>
  <si>
    <t>mailto:erickoehring@hotmail.com</t>
  </si>
  <si>
    <t>Koetter &amp; Smith, Inc.</t>
  </si>
  <si>
    <t>http://www.koettersmith.com</t>
  </si>
  <si>
    <t>mailto:sales@koettersmith.com</t>
  </si>
  <si>
    <t>Koh's Complete Clean</t>
  </si>
  <si>
    <t>mailto:enos516@sbcglobal.net</t>
  </si>
  <si>
    <t>Kokomo Animal Hospital</t>
  </si>
  <si>
    <t>mailto:N/A</t>
  </si>
  <si>
    <t>Kokomo Neurological Group, Inc.</t>
  </si>
  <si>
    <t>Kokomo Pump Supply, Inc.</t>
  </si>
  <si>
    <t>="Supplier of wide selection of pumps, pump parts, drilling fluid products, grouting products, valves, casing, pipes, connectors, and related items. Supplier to water well and geothermal bore hole drillers and pump installers. An Indiana business since 1965."</t>
  </si>
  <si>
    <t>http://www.kokomopump.com</t>
  </si>
  <si>
    <t>mailto:cbergman@kokomopump.com</t>
  </si>
  <si>
    <t>Kokomo Sign Pro LLC</t>
  </si>
  <si>
    <t>="Kokomo Sign Pro is a custom sign manufacturing shop, which specializes in commercial interior and exterior signage. The shop has operated in Kokomo for the past 13 years and was purchased in Feb. 2007 by Kokomo Sign Pro LLC. One of the primary members of Kokomo Sign Pro LLC is Bob Wall, the operations manager for the past 10 years."</t>
  </si>
  <si>
    <t>mailto:1signpro@sbcglobal.net</t>
  </si>
  <si>
    <t>Komplete Systems Integrators, Inc</t>
  </si>
  <si>
    <t>http://kompsys.com</t>
  </si>
  <si>
    <t>Konrady Plastics, Inc.</t>
  </si>
  <si>
    <t>http://www.konradyplastics.com</t>
  </si>
  <si>
    <t>Konrady Promotions, Inc.</t>
  </si>
  <si>
    <t>="Konrady Promotions, Inc. is an ""advertising specialty distributor "" located in Northwest Indiana. We imprint promotional products from A-to-Z , and all orders are neither too big nor too small, from steel mills to schools to small businesses. Konrady Promotions, Inc. is a woman-run enterprise and a service-driven business. We put ""names"" on everything from pencils to shirts to golf balls to high-end leather briefcases and anything else you can imagine in the world of imprinted promtional products. Not only do we supply the imprinted products, but we also advise on the best way for you to reach your target market. Konrady Promotions, Inc. wants to earn your business now and into the 21st century. Please call for a FREE catalogue. (Our NAICS Code is #541890)"</t>
  </si>
  <si>
    <t>mailto:tkmagnet@aol.com</t>
  </si>
  <si>
    <t>Koorsen Fire &amp; Security, Inc.</t>
  </si>
  <si>
    <t>="Koorsen Fire &amp; Secruity is a one stop shop for fire protection and integrated security needs: FIre extinguishers, fire sprinkler systems, fire alarm systems, fire suppression systems, restaurant sytems, security systems/monitoring, access control systems, video surveilliance, audio systems, structured cabling, and exit/emergency lights."</t>
  </si>
  <si>
    <t>http://www.koorsen.com</t>
  </si>
  <si>
    <t>Koorsen Security Technology, Inc.</t>
  </si>
  <si>
    <t>="Koorsen Security Technology, Inc. offers consulting, risk assessment, system design, engineering, installation, inspection, and maintenance services for access control, video surveillance, intercom, emergency notification and network security solutions. Providing products and services throughout the greater Indianapolis area, as well as across Indiana, Ohio, and the Southeast, Koorsen Security Technology clients include Fortune 100 companies as well as major players in the financial, educational, healthcare and commercial industries."</t>
  </si>
  <si>
    <t>http://www.KoorsenST.com</t>
  </si>
  <si>
    <t>mailto:kst01@lists.koorsen.com</t>
  </si>
  <si>
    <t>Korson Inc.</t>
  </si>
  <si>
    <t>="All of our equipment is modern and able to handle any type of vehicle. We have the capabilities to recover motorcycles, cars, trucks (of any size) machinery, snowmobiles, all-terrain vehicles, semi tractors and trailers, along with any size watercraft. We offer both local and long distance towing and recovery as well as twenty-four hour/seven days a week service. Our storage facility is located at our headquarters and is fenced and under twenty-four hour surveillance. We are licensed, bonded and insured. We carry a million dollar liability coverage policy on all of our equipment. We have maintained a constant customer base of individuals, car dealerships, lending services and repair facilities."</t>
  </si>
  <si>
    <t>http://www.asaptowingrecovery.com</t>
  </si>
  <si>
    <t>mailto:www.asaptowingrecovery@yahoo.com</t>
  </si>
  <si>
    <t>Kote It, Inc</t>
  </si>
  <si>
    <t>="Kote It, Inc is an open shop working in the Midwest region but will travel to anywhere in the U.S and southern Canada. We specialize in resinious coatings for residiental, commercial and industrial floors. We prep all surfaces with beadblast diamond blade for maximum adhesion."</t>
  </si>
  <si>
    <t>http://www.koteit.com</t>
  </si>
  <si>
    <t>mailto:nancy@koteit.com</t>
  </si>
  <si>
    <t>Kpaul</t>
  </si>
  <si>
    <t>="KPaul Properties LLC is a certified Service Disable Veteran Owned Small Business. We resell to agencies and military within the Federal Government, Headquartered in Indianapolis we provide goods and services to City and Local Governments within the State of Indiana."</t>
  </si>
  <si>
    <t>http://www.kpaul.com</t>
  </si>
  <si>
    <t>mailto:doug.cahill@kpaul.com</t>
  </si>
  <si>
    <t>Krempp Construction, Inc.</t>
  </si>
  <si>
    <t>mailto:const@krempp.net</t>
  </si>
  <si>
    <t>Kreuter Engineering Corporation</t>
  </si>
  <si>
    <t>http://www.kmccontrols.com</t>
  </si>
  <si>
    <t>mailto:info@kmccontrols.com</t>
  </si>
  <si>
    <t>Krieg DeVault Alexander &amp; Capehart, LLP</t>
  </si>
  <si>
    <t>="Krieg DeVault LLP is a 120-professional, diversified law firm representing a wide variety of local, regional and national clients. It is a business-focused law firm with offices in Indianapolis, Carmel, and Hammond, Indiana. Our practice is comprehensive and encompasses a wide variety of areas of the law. The firm’s attorneys have significant experience in key areas that address the needs of a diversified client base. Through its membership in Meritas, the firm's ability to assist clients reaches around the world. For more information, please visit www.kriegdevault.com."</t>
  </si>
  <si>
    <t>http://www.kriegdevault.com</t>
  </si>
  <si>
    <t>mailto:krieg@kdlegal.com</t>
  </si>
  <si>
    <t>Krintz Lawn Care Inc</t>
  </si>
  <si>
    <t>http://www.krintzlawncare.com</t>
  </si>
  <si>
    <t>mailto:info@krintzlawncare.com</t>
  </si>
  <si>
    <t>Kristi Chrisman</t>
  </si>
  <si>
    <t>Kristie Sutherlin</t>
  </si>
  <si>
    <t>="Complete ""Home Entertainment"" sales and setup. Satellite TV Sales/Service Audio/Video Distribution, Home/Computer Integration, Video Surveillance, Intercom Systems. Complete Pre &amp; Post Construction Wiring for Low Voltage. We also do everything mentioned above for businesses."</t>
  </si>
  <si>
    <t>http://kj-entertainmeninc.com</t>
  </si>
  <si>
    <t>mailto:kjentertainment@sbcglobal.net</t>
  </si>
  <si>
    <t>Kristie Sweeney</t>
  </si>
  <si>
    <t>http://www.learningworx.org</t>
  </si>
  <si>
    <t>mailto:ksweeney@learningworx.org</t>
  </si>
  <si>
    <t>Kristopher Neil Wineinger LLC</t>
  </si>
  <si>
    <t>http://www.premierlawnandtree.com</t>
  </si>
  <si>
    <t>mailto:wineingerkris@yahoo.com</t>
  </si>
  <si>
    <t>Kristopher Neil Wineinger, LLC.</t>
  </si>
  <si>
    <t>mailto:premierlawn@gmx.com</t>
  </si>
  <si>
    <t>Krodel Law Office, P.C.</t>
  </si>
  <si>
    <t>="Private practice law firm with emphasis on pre and post death planning, estate administration, trust administration, real estate transfers, family limited partnership, limited liability company, and Medicaid planning. Practice area includes Dubois, Daviess, Martin, Gibson, Pike , Orange and Spencer Counties. Graduate of Valparaiso University School of Law, University of Miami Florida Masters Program in Tax and Estate Planning, regular annual attendee of ICLEF Medicaid seminars and invitee to Elder Law roundtable discussions. Experience: 8 years managing 92 million in trust assets and private practice attorney for 16 years."</t>
  </si>
  <si>
    <t>mailto:krodelaw@fullnet.com</t>
  </si>
  <si>
    <t>Kropf Design and Communication Services</t>
  </si>
  <si>
    <t>http://www.kropfdesign.com</t>
  </si>
  <si>
    <t>mailto:slappy@kropfdesign.com</t>
  </si>
  <si>
    <t>Kruse Consulting, Inc.</t>
  </si>
  <si>
    <t>http://www.kruseconsulting.com</t>
  </si>
  <si>
    <t>mailto:dkruse@kruseconsulting.com</t>
  </si>
  <si>
    <t>Krutz Shoe Sales, LLC</t>
  </si>
  <si>
    <t>Footwear and Leather Goods Repair</t>
  </si>
  <si>
    <t>Kuert Concrete, Inc.</t>
  </si>
  <si>
    <t>http://www.kuert.com</t>
  </si>
  <si>
    <t>mailto:steve@kuert.com</t>
  </si>
  <si>
    <t>Kuhns Small Engine</t>
  </si>
  <si>
    <t>Kunce Bros. Inc.</t>
  </si>
  <si>
    <t>mailto:lads@kconline.com</t>
  </si>
  <si>
    <t>Kuokapulani Design Associates</t>
  </si>
  <si>
    <t>mailto:rrkapulani@gmail.com</t>
  </si>
  <si>
    <t>Kush Company LLC</t>
  </si>
  <si>
    <t>http://www.KushCompanyConstruction.com</t>
  </si>
  <si>
    <t>mailto:Allen@KushCompanyConstruction.com</t>
  </si>
  <si>
    <t>Kustom Kleen, Inc.</t>
  </si>
  <si>
    <t>="Kustom Kleen, Inc. is a full service janitorial company serving the commercial sector including office buildings, medical facilities, light industrial facilities as well as many other sectors in the commercial market. Kustom Kleen, Inc. has been serving Lake County Indiana since 1994. Most current accounts are located in the East Chicago, Hammond, Highland, and Griffith areas but also service businesses from Crown Point to the south to the city of Whiting in North Lake County. We provide basic janitorial services as well as all phases of carpet and tile care as well as interior and exterior window cleaning. All employees that work in a medical environment follow all applicable OSHA cleaning requirements and all applicable safety regulations. We offer daily, weekly, monthly and one time impact cleaning services to match the needs of each business size and type."</t>
  </si>
  <si>
    <t>Kyle Ballard</t>
  </si>
  <si>
    <t>="We provide a wide arrange of cleaning services - from cleaning carpets and upholstery to cleaning hard floors and washing windows, as well as general household cleaning and auto detailing. We are a Carpet &amp; Rug Institute Seal of Approval Service Provider, and we donate a portion of ever sale to a non-profit organization of your choice."</t>
  </si>
  <si>
    <t>http://www.facebook.com/klservices01</t>
  </si>
  <si>
    <t>mailto:klservices01@gmail.com</t>
  </si>
  <si>
    <t>Kylor Products, LLC</t>
  </si>
  <si>
    <t>mailto:jbansbach@insightbb.com</t>
  </si>
  <si>
    <t>L &amp; D MAIL MASTERS INC</t>
  </si>
  <si>
    <t>="L &amp; D offers direct mail consulting, collating &amp; hand work, fulfillment, mailing lists, laser printing, envelope printing, inkjetting, inserting, labeling, tabbing, polybagging, card embossing, automated presort, advertising &amp; print design, graphic &amp; web design, digital printing, offset printing, web stores, purls, and email blasts."</t>
  </si>
  <si>
    <t>http://www.ldmailmasters.com</t>
  </si>
  <si>
    <t>mailto:ldmail@thepointe.net</t>
  </si>
  <si>
    <t>L &amp; E Cleaning Service LLC</t>
  </si>
  <si>
    <t>http://www.lecleaningservice.com</t>
  </si>
  <si>
    <t>mailto:lecleaning@sbcglobal.net</t>
  </si>
  <si>
    <t>L &amp; L Disposal LLC</t>
  </si>
  <si>
    <t>L &amp; W Construction &amp; Roofing, LLC.</t>
  </si>
  <si>
    <t>L &amp; W Construction C</t>
  </si>
  <si>
    <t>http://www.lwconstruction.com</t>
  </si>
  <si>
    <t>mailto:jwisel@lwconstruction.com</t>
  </si>
  <si>
    <t>L A FEWELL CORPORATION</t>
  </si>
  <si>
    <t>L Tech Computer Service, LLC</t>
  </si>
  <si>
    <t>http://www.ltechrepair.com</t>
  </si>
  <si>
    <t>mailto:techinfo@ltechrepair.com</t>
  </si>
  <si>
    <t>L&amp;L Bulk Materials, LLC</t>
  </si>
  <si>
    <t>mailto:llittlehorsey@aol.com</t>
  </si>
  <si>
    <t>Mining</t>
  </si>
  <si>
    <t>L&amp;L Products Inc</t>
  </si>
  <si>
    <t>http://www.wholesalebizz.com</t>
  </si>
  <si>
    <t>mailto:llproducts@insightbb.com</t>
  </si>
  <si>
    <t>Luggage and Leather Goods Stores</t>
  </si>
  <si>
    <t>L&amp;R, Incorporated</t>
  </si>
  <si>
    <t>="L&amp;R has been in business for 12 years and has handled many types of excavation, demolition and erosion control including, but not limited to: Excavation - site work, clearing, utilities Demolition - structures, concrete Erosion control - silt fence installed with plow, rip/rap and straw check dams, temporary seeding, straw blowing, erosion control netting, hydro-seeding L&amp;R strives for safety, efficiency and quality workmanship on every job site."</t>
  </si>
  <si>
    <t>mailto:lindseyreedinc@msn.com</t>
  </si>
  <si>
    <t>L. Martin Enterprises, Inc</t>
  </si>
  <si>
    <t>http://www.lmartinenterprises.com</t>
  </si>
  <si>
    <t>mailto:lamondlogs@aol.com</t>
  </si>
  <si>
    <t>L. Michelle Wellness, LLC.</t>
  </si>
  <si>
    <t>="Occupational health services provided by industry specific certified Providers. Services include DOT and Non-DOT drug and alcohol testing, drug-free workplace program implementation and management, CDL/DOT physical exams, WellFit exams, employee safety training, supervisor training, and industry specific corporate wellness programs."</t>
  </si>
  <si>
    <t>mailto:lmichellewellness@gmail.com</t>
  </si>
  <si>
    <t>Offices of Chiropractors</t>
  </si>
  <si>
    <t>L. Thorn Company, Inc.</t>
  </si>
  <si>
    <t>http://www.lthorn.com</t>
  </si>
  <si>
    <t>mailto:inquire@lthorn.com</t>
  </si>
  <si>
    <t>L.A. Edgar Enterprises, Inc.</t>
  </si>
  <si>
    <t>L.A. West, Inc.</t>
  </si>
  <si>
    <t>http://www.lawest.com</t>
  </si>
  <si>
    <t>Motor Home Manufacturing</t>
  </si>
  <si>
    <t>L.D. Lee Construction, LLC</t>
  </si>
  <si>
    <t>="General contractor specializing in hotel/multi-family construction. In addition to construction, we are owner/operators of award-winning hotels. Our construction approach is unique because we understand what it takes to not only build an award-winning facility, but what it takes to operate the facility, as well."</t>
  </si>
  <si>
    <t>http://www.leehospitality.com</t>
  </si>
  <si>
    <t>mailto:leslie.steinert@leehospitality.com</t>
  </si>
  <si>
    <t>L.L. Geans Construction Company</t>
  </si>
  <si>
    <t>="L.L. Geans Construction Company, located in Mishawaka, Indiana is a concrete contractor and general construction contractor for industrial and commercial customers. L.L. Geans' concrete services include machine pits and bases; building foundations; sidewalks, parking lots and curbs; trench drains; architectural concrete; and concrete repair and restoration. L.L. Geans' general construction services include excavation and demolition, concrete buildings, and pre-engineered steel building additions. L.L. Geans was founded in 1959 and has a solid reputation for the highest quality work and service and the ability to meet demanding schedules."</t>
  </si>
  <si>
    <t>http://www.llgeans.com</t>
  </si>
  <si>
    <t>mailto:rocky@llgeans.com</t>
  </si>
  <si>
    <t>L.U.I. PLUS</t>
  </si>
  <si>
    <t>http://www.LUICORP.com</t>
  </si>
  <si>
    <t>mailto:luispang@psci.net</t>
  </si>
  <si>
    <t>L2 Logistics</t>
  </si>
  <si>
    <t>mailto:L2LOGISTICSLLC@GMAIL.COM</t>
  </si>
  <si>
    <t>LAB TEK INC</t>
  </si>
  <si>
    <t>="LabTek is a detergent and soap manufacturer located in Indiana.We specialize in warewashing, laundry and maintenance chemical applications. Our trained technicians provide service on automatic dispensing equipment and machinery. Our unique chemical formulations combat the hard water conditions found throughout our state."</t>
  </si>
  <si>
    <t>http://www.labtekonline.com</t>
  </si>
  <si>
    <t>mailto:tporter@labtekonline.com</t>
  </si>
  <si>
    <t>LAB VERDICT, INC</t>
  </si>
  <si>
    <t>http://www,labverdict.com</t>
  </si>
  <si>
    <t>LABEL TECH, INC.</t>
  </si>
  <si>
    <t>http://WWW.LABELTECHIN.COM</t>
  </si>
  <si>
    <t>mailto:INFO@LABELTECHIN.COM</t>
  </si>
  <si>
    <t>LACA Latino Advocacy in Community Affair</t>
  </si>
  <si>
    <t>="The mission of L.A.C.A. is to help Indiana residents and businesses adapt to the increasing influx of Latinos. We develop the knowledge and skills of workers to effectively provide a product or service for the Latino communities. L.A.C.A. was formed in 2001 with a very specific focus and purpose, to promote positive social change in a state with a growing Latino population. Services provided are Spanish &amp; English courses &amp; Study Abroad of the Spanish Language, translations of documents (English to Spanish, Spanish to English only), diversity training on the Latino communities, and consulting on strategic outreach to the Latino communities."</t>
  </si>
  <si>
    <t>http://www.lacainc.com</t>
  </si>
  <si>
    <t>mailto:brenda_gravescroom@lacainc.com</t>
  </si>
  <si>
    <t>LAFAYETTE INSTRUMENT CO., INC.</t>
  </si>
  <si>
    <t>="Our principal product that we manufacture is the polygraph, which accounts for approximately 40% of our total sales. Also, as an original equipment manufacturer we produce various equipment for life and animal sciences. In addition, we also have an Evaluation product line, which includes pre-employment testing (i.e. dexterity tests and strength evaluation), plus products used for rehabilitation (i.e. goniometers, callipers, manual muscle testers, and hand dynamometers). We sell to both domestic and international customers."</t>
  </si>
  <si>
    <t>http://www.lafayetteinstrument.com</t>
  </si>
  <si>
    <t>mailto:lic@lafayetteinstrument.com</t>
  </si>
  <si>
    <t>LAGNAIPPE, LLD</t>
  </si>
  <si>
    <t>http://PIP.COM</t>
  </si>
  <si>
    <t>mailto:PIPOFRIVERCITIES@BETHPAC.COM</t>
  </si>
  <si>
    <t>LAJASA Constructon, Inc.</t>
  </si>
  <si>
    <t>http://lajasaconstruction.intuitwebsites</t>
  </si>
  <si>
    <t>mailto:lajasaconstruction@gmail.com</t>
  </si>
  <si>
    <t>LAKE CITY CYCLE INC</t>
  </si>
  <si>
    <t>http://WWW.LAKECITYHONDA.COM</t>
  </si>
  <si>
    <t>mailto:LAKECITY@KCONLINE.COM</t>
  </si>
  <si>
    <t>LAKESIDE CHEVROLET</t>
  </si>
  <si>
    <t>http://www.lakesidechevy.com</t>
  </si>
  <si>
    <t>mailto:mary@lakesidechevy.com</t>
  </si>
  <si>
    <t>LAMAR CONSULTING BUSINESS SERVICES</t>
  </si>
  <si>
    <t>="a female owned minority business enterprise specialize in providing business consulting services to businesses in need of business reconstruction. We provide a suite of services that make it easy for you to take care of business while we take care of the details."</t>
  </si>
  <si>
    <t>http://www.freewebs.com/lamarbizconsulti</t>
  </si>
  <si>
    <t>mailto:lamarbizconsulting@yahoo.com</t>
  </si>
  <si>
    <t>LAMMCO (Lafayette Materials Management)</t>
  </si>
  <si>
    <t>="Thank you for taking the time to consider LAMMCO for your material handling, storage and safety needs. We trust this letter and accompanying literature will give you a good idea of the products and services LAMMCO provides. Since 1991 LAMMCO has been serving the material handling needs of many manufacturing and distribution companies in and around the Lafayette area. Our experience allows us to offer cost saving and creative material handling solutions to many different types of industries. Some of the products and services LAMMCO offers are listed bellow. - Safety Fencing - Conveyor Solutions - Vacuum Lifts - Jib Cranes - Bridge Cranes - Rack/Shelving - Hoppers - Scissor Lifts - Pallet Trucks - Carousels - Lift Tables - Wireless Control Solutions - Hoists - Anti-Fatigue Matting - Lockers - Storage Bins/Totes - Drum Handling/Storage - Dock Equipment - Lockout/Tagout - Installation - Custom Fabricating Please check out our on-line catalog at WWW.LAMMCO.NET. "</t>
  </si>
  <si>
    <t>http://www.lammco.net</t>
  </si>
  <si>
    <t>mailto:info@lammco.net</t>
  </si>
  <si>
    <t>LAMPTON JONES</t>
  </si>
  <si>
    <t>mailto:ljfoodsinc@msn.com</t>
  </si>
  <si>
    <t>Wholesale Trade, Nondurable Goods</t>
  </si>
  <si>
    <t>LANDIS EXCAVATING INC</t>
  </si>
  <si>
    <t>LANTZ'S COACHWORKS, INC</t>
  </si>
  <si>
    <t>http://WWW.LANTZSCOACHWORKS.COM</t>
  </si>
  <si>
    <t>mailto:CONNIE@LANTZSCOACHWORKS.COM</t>
  </si>
  <si>
    <t>LARSON-DANIELSON CONSTRUCTION CO INC</t>
  </si>
  <si>
    <t>="Since 1908 Larson-Danielson Construction Co., Inc. has provided excellence service to Industrial, Commercial, and Institutional customers. We have successfully completed jobs ranging from minor renovation to the construction of Hospitals, Correctional Facilities, Commercial Buildings, and Educational Facilities with contract amounts ranging from $50,000.00 to $30,000,000.00"</t>
  </si>
  <si>
    <t>http://www.ldconstruction.com</t>
  </si>
  <si>
    <t>mailto:tjo@ldconstruction.com</t>
  </si>
  <si>
    <t>LAS AUTO GROUP, INC</t>
  </si>
  <si>
    <t>mailto:LSIEGER1@VERIZON.NET</t>
  </si>
  <si>
    <t>LAS Auto Group</t>
  </si>
  <si>
    <t>http://www.pctrucks.net</t>
  </si>
  <si>
    <t>mailto:lsieger1@verizon.net</t>
  </si>
  <si>
    <t>LATINO CENTER FOR WELLNESS AND EDUCATION</t>
  </si>
  <si>
    <t>="The Latino Center for Wellness and Education has focused on ensuring the support and services of health and awareness to Tippecanoe's underserved Latino/Hispanic families. As a 501c(3) non-profit organization, our goal is to provide valuable services to these familes that focus on health, educaton, public advocacy and cultural endorsement."</t>
  </si>
  <si>
    <t>http://latinocoalition.net</t>
  </si>
  <si>
    <t>mailto:campos.j@comcast.net</t>
  </si>
  <si>
    <t>LAWSON PRODUCTS,INC.</t>
  </si>
  <si>
    <t>mailto:decker@ccrtc.com</t>
  </si>
  <si>
    <t>LB3 Engineering and Consulting</t>
  </si>
  <si>
    <t>mailto:lbcarrollii@gmail.com</t>
  </si>
  <si>
    <t>LBC Accounting Services, Inc.</t>
  </si>
  <si>
    <t>LBH Chemical &amp; Industrial Supply Inc.</t>
  </si>
  <si>
    <t>="LBH Chemical &amp; Industrial Supply Inc. is a full line Janitorial Supply company located in Fort Wayne Indiana. We stock over 1300 items such as paper, poly liners, maintence chemicals,equipment,wipers,safety products,microfibre,warewash and laundry products etc. We have a 30,000 square foot facility with delivery trucks."</t>
  </si>
  <si>
    <t>http://www.lbhchemical.com</t>
  </si>
  <si>
    <t>mailto:tfrazier@lbhchemical.com</t>
  </si>
  <si>
    <t>LBH Construction LLC</t>
  </si>
  <si>
    <t>http://www.lbhllc.com</t>
  </si>
  <si>
    <t>mailto:lbhconstruction@gmail.com</t>
  </si>
  <si>
    <t>LCP Medical Direct, LLC</t>
  </si>
  <si>
    <t>="LCP Medical Direct is a medical equipment and supply company specializing in excellent customer service, fast delivery and low prices. We are dedicated to finding the right medical product or service to fit each clients individual needs and help improve their quailty of life."</t>
  </si>
  <si>
    <t>http://www.lcpmedicaldirect.com</t>
  </si>
  <si>
    <t>mailto:lavonnda.raines@lcpmedicaldirect.com</t>
  </si>
  <si>
    <t>LCP Transportation</t>
  </si>
  <si>
    <t>mailto:rrobinson81@comcast.net</t>
  </si>
  <si>
    <t>LCR Electrical services Inc.</t>
  </si>
  <si>
    <t>LEADfirst Consulting Group</t>
  </si>
  <si>
    <t>http://www.leadfirstconsulting.com</t>
  </si>
  <si>
    <t>mailto:tena@leadfirstconsulting.com</t>
  </si>
  <si>
    <t>LEE &amp; RYAN ENVIRONMENTAL CONSULTING INC</t>
  </si>
  <si>
    <t>="Lee &amp; Ryan is a Service Disabled Veteran Owned Small Business that has been providing environmental, construction and air quality services since 1996. Our expertise in soil and groundwater remediation, emergency response services, and construction services have made us one of the fastest growing environmental contractors in the Midwest."</t>
  </si>
  <si>
    <t>http://www.leeandryan.com</t>
  </si>
  <si>
    <t>mailto:mgrella@leeandryan.com</t>
  </si>
  <si>
    <t>LEE ALLEN &amp; ASSOCIATES, INC.</t>
  </si>
  <si>
    <t>http://www.ofcmart.net</t>
  </si>
  <si>
    <t>mailto:ofcmart@indy.net</t>
  </si>
  <si>
    <t>LEE WALTMAN</t>
  </si>
  <si>
    <t>LEEP'S SUPPLY COMPANY INC</t>
  </si>
  <si>
    <t>http://WWW.LEEPS.COM</t>
  </si>
  <si>
    <t>LEMACKS CONSTRUCTION, INC</t>
  </si>
  <si>
    <t>="SOUTH BEND - Lemacks Construction, Inc.’s mission statement as stated on its Website is perhaps the main reason the company has gained the success and respect in the design/build contracting business. “Teamwork is essential… where coordinating subcontractor schedules to meet daily deadlines is a never-ending challenge. (We) are fortunate to have a dedicated team of knowledgeable professions who have worked together on many projects over the last several years…consistently reaching a goal of delivering projects on schedule, on budget.” Lemacks, teamed with Chief Industries, Inc., based in Grand Island, Nebraska, can provide a quicker source for area businesses interested in new buildings or additions to existing structures. Headquartered at 56935 Elk Ct., Elkhart, Lemacks provides totalturn- key operations within a 50 miles radius of its Elkhart facility."</t>
  </si>
  <si>
    <t>http://www.lemacksconstruction.com</t>
  </si>
  <si>
    <t>mailto:tlemacks@lemacksconstruction.com</t>
  </si>
  <si>
    <t>LENCO BUILDING SUPPLY</t>
  </si>
  <si>
    <t>LEONARDS CORP</t>
  </si>
  <si>
    <t>http://www.leonardscorp.com</t>
  </si>
  <si>
    <t>mailto:ieb@prodigy.net</t>
  </si>
  <si>
    <t>Agents and Managers for Artists, Athletes, Entertainers, and Other Public Figures</t>
  </si>
  <si>
    <t>LESCO DISTRIBUTING</t>
  </si>
  <si>
    <t>="Lesco is an electronic distributer. Most of our units are 12vt . We distribute Scanners, CB Radio's, Car Stereo's and equiptment. Mobile Video and accessories.Weather alerts, radar detectors and FRS radio's are also part of out stock. Seat Heaters and Video back up systems are also available."</t>
  </si>
  <si>
    <t>http://LESCODISTRIBUTING.COM</t>
  </si>
  <si>
    <t>mailto:SALES@LESCODISTRIBUTING.COM</t>
  </si>
  <si>
    <t>LESCO Facililty Management</t>
  </si>
  <si>
    <t>="The nation's leading cleaning experts, specializing in commercial and janitorial services. We are dedicated to providing you 24 hour access, prompt response and consistent performance. At ServiceMaster Clean ,we are so confident in our services, we guarantee it!"</t>
  </si>
  <si>
    <t>http://www.4servicemaster.com/IN/7056</t>
  </si>
  <si>
    <t>mailto:lsatterfield@sbcglobal.net</t>
  </si>
  <si>
    <t>LEWIS AND ASSOCIATES LINGUISTUS INC</t>
  </si>
  <si>
    <t>http://www.pangealingua.com</t>
  </si>
  <si>
    <t>mailto:project@pangealingua.com</t>
  </si>
  <si>
    <t>LEX Contracting LLC</t>
  </si>
  <si>
    <t>="My business performs multiple areas of site preparation including dirt moving, land clearing, grading, hauling, excavating, and all manner of dirt work. In addition, my business performs all areas of concrete work including pouring, constructing and finishing. My business works on both public and private projects including buildings, residences, roadways and bridges."</t>
  </si>
  <si>
    <t>mailto:LEXContractingLLC@gmail.com</t>
  </si>
  <si>
    <t>LEaD Management Consulting, LLC</t>
  </si>
  <si>
    <t>="LEaD Management Consulting is a trusted business advisor specializing in solutions delivery, change management, and process re-egineering. Consultants include: Business Analyst DBA Help Desk Programmer/Developer Project Manager Service Delivery Manager Software Support Analyst Technical Writer Tester"</t>
  </si>
  <si>
    <t>http://www.leadmanagementconsulting.com</t>
  </si>
  <si>
    <t>mailto:matt.bracher@leadmanagementconsulting.com</t>
  </si>
  <si>
    <t>LG Metalworks LLC</t>
  </si>
  <si>
    <t>="LG Metalworks, LLC is owned and operated by Gary Fleener, who has 29 years of experience in the precision machining industry. Gary began operating the LG Metalworks machine shop in January 2013, in Bloomington, IN. The shop offers conventional lathe and mill services, as well as computer operated lathe and mill production, and TIG/MIG welding. LG Metalworks has experience in working with customers engaged in scientific research in the university setting and within the pharmaceutical industries. It provides precision machining work for private industry and individuals. LG Metalworks welcomes both custom and production projects. Our goal is to provide our customers with the highest quality metalwork production possible, through very dependable and efficient service."</t>
  </si>
  <si>
    <t>http://www.lgmetalworks.org</t>
  </si>
  <si>
    <t>mailto:gar@lgmetalworks.org</t>
  </si>
  <si>
    <t>LGS Plumbing, Inc.</t>
  </si>
  <si>
    <t>="Celebrating over 27 years of service to Northwest Indiana and the Chicagoland area providing building plumbing and site utilities. COMMERCIAL * INDUSTRIAL * RESIDENTIAL Licensed, Bonded &amp; Insured New Construction, Renovation, Drain Cleaning, Sump/Ejector Pumps, Complete Sewer &amp; Water, Directional Bore or Open Trenching, Sewer Rodding 24 Hour Emergency Service Available"</t>
  </si>
  <si>
    <t>mailto:lgsplbg@yahoo.com</t>
  </si>
  <si>
    <t>LH Controls</t>
  </si>
  <si>
    <t>http://www.lhindustries.com/powerstopusa</t>
  </si>
  <si>
    <t>mailto:mslezak@lhindustries.com</t>
  </si>
  <si>
    <t>All Other Motor Vehicle Parts Manufacturing</t>
  </si>
  <si>
    <t>LHP Technologies LLC</t>
  </si>
  <si>
    <t>http://www.lhptechnologies.com</t>
  </si>
  <si>
    <t>mailto:sales@lhptechnologies.com</t>
  </si>
  <si>
    <t>Gasoline Engine and Engine Parts Manufacturing</t>
  </si>
  <si>
    <t>LHR Cable and Satellite Services, Inc.</t>
  </si>
  <si>
    <t>mailto:lhr_cable@comcast.net</t>
  </si>
  <si>
    <t>LHRoque Consulting Agency, LLC</t>
  </si>
  <si>
    <t>="Business management consulting company providing: business and marketing plans, obtainment of non-profit status, LLC or incorporations for individuals or businesses, grant writing, board governance, management training, strategic planning, grant administration, and other technical assistance to both small and large organizations. I also work with individuals who are just beginning their businesses. LHRoque will provide sales training for employees and other business managment consulting services."</t>
  </si>
  <si>
    <t>mailto:zen2561@verizon.net</t>
  </si>
  <si>
    <t>LINARCO LLC</t>
  </si>
  <si>
    <t>LINCOLNWAY AUTOBODY.</t>
  </si>
  <si>
    <t>mailto:cwils@kconline.com</t>
  </si>
  <si>
    <t>LInton-Stockton School Corporation</t>
  </si>
  <si>
    <t>LJOT Inc.</t>
  </si>
  <si>
    <t>="AXIOM is a full service marketing, advertising, and interactive agency. AXIOM features a full spectrum of capabilities including, but not limited to: Graphic Design Creative Services. High Definition Audio/Video Production and Edit Suite. Media Research, Planning, &amp; Placement Services. Market research. Strategic Business Planning Services for Marketing, Advertising, and Interactive needs."</t>
  </si>
  <si>
    <t>http://www.axiomad.com</t>
  </si>
  <si>
    <t>mailto:rlientz@axiomad.com</t>
  </si>
  <si>
    <t>LJRS Enterprises, LLC.</t>
  </si>
  <si>
    <t>="Commercial and Residential real estate firm specializing in the creation and implementation of customized marketing solutions for today's economic challenges. Commercial &amp; Residential Buyer and Seller Representation, Commercial Leasing, Government Property Acquisition/Sales and Short Sale/Foreclosure Specialist (Residential &amp; Commercial)."</t>
  </si>
  <si>
    <t>mailto:260-960-9320</t>
  </si>
  <si>
    <t>LKQ GREAT LAKES CORPORATION</t>
  </si>
  <si>
    <t>http://lkqcorp.com</t>
  </si>
  <si>
    <t>LLR COMPANY</t>
  </si>
  <si>
    <t>mailto:RACTRUCKING06@YAHOO.COM</t>
  </si>
  <si>
    <t>LOCOLI, Inc.</t>
  </si>
  <si>
    <t>mailto:stjohnsports@sbcglobal.net</t>
  </si>
  <si>
    <t>LOHMEYER PLUMBING CO</t>
  </si>
  <si>
    <t>LONDON WITTE GROUP LLC</t>
  </si>
  <si>
    <t>http://www.londonwittegroup.com</t>
  </si>
  <si>
    <t>mailto:teds@londonwittegroup.com</t>
  </si>
  <si>
    <t>LOPEZ LAW OFFICE, P.C.</t>
  </si>
  <si>
    <t>http://www.vanessalopezlaw.com</t>
  </si>
  <si>
    <t>mailto:www.vanessalopezlaw.com</t>
  </si>
  <si>
    <t>LORI'S TRANSPORTATION &amp; EXCAVATION, LLC</t>
  </si>
  <si>
    <t>mailto:ldmarxmiller@aol.com</t>
  </si>
  <si>
    <t>LPM LLC</t>
  </si>
  <si>
    <t>mailto:rstough@stoughtongroup.com</t>
  </si>
  <si>
    <t>LPR Inc.</t>
  </si>
  <si>
    <t>="We sell, install and service Business Telephone Systems and related equipment. The related equipment includes: Auto Attendant \ Voice Mail Systems, with or without Unified Messaging. Voice over IP systems and Voice over IP peripherals for an existing system. Structured wiring for voice and data. Fiber optic solutions. We offer 24/7 service and installation."</t>
  </si>
  <si>
    <t>http://www.cclpr.com</t>
  </si>
  <si>
    <t>mailto:custom@cclpr.com</t>
  </si>
  <si>
    <t>LRSF of Indiana</t>
  </si>
  <si>
    <t>mailto:lrsf@sbcglobal.net</t>
  </si>
  <si>
    <t>LSAI LABS LLC</t>
  </si>
  <si>
    <t>="LSAI Labs provides Analytical Lab Testing Services. We specialize in providing Environmental lab testing services involving routine testing of trace level organics such as VOCs, SVOCs, Pesticides, PCBs, etc., and metals analysis in air, soil, water, waste, biota, &amp; other matrices. We are NELAC Accredited based on ISO 17025 and follow best standard practices in the industry with commitment to Quality, Accuracy, &amp; Integrity. LSAI also has the ability to provide Analytical testing services catering to Pharma/Chemical/Agro/Food/Cosmetic, etc. to deliver complex or special analytical solutions involving R&amp;D (e.g. identification of unknown analytes, method development, and validation). With highly experienced, skilled staff coupled with rapid TATs, customer service, &amp; automated data reporting LSAI would like to be your preferred collaborator."</t>
  </si>
  <si>
    <t>http://www.lsailabs.com</t>
  </si>
  <si>
    <t>mailto:jsarda@lsailabs.com</t>
  </si>
  <si>
    <t>LSM ENTERPRISES, LLC</t>
  </si>
  <si>
    <t>LTVFD</t>
  </si>
  <si>
    <t>LUCAS ACKERMAN SUPPLY CO INC</t>
  </si>
  <si>
    <t>LUCID Services LLC</t>
  </si>
  <si>
    <t>="LUCID Services LLC is service construction firm. We are able to undergo a long list of jobs, no matter how big or small they may be. We want to take a look at it. We pride ourselves on the style of work done and the quality of our finished products. We are honest and believe that this only way to do business and this will be what separates us from the rest. We also have a maintenance department, and a janitorial department"</t>
  </si>
  <si>
    <t>mailto:Demarcus336@hotmail.com</t>
  </si>
  <si>
    <t>LUTES FLYING SERVICE INC</t>
  </si>
  <si>
    <t>LYNN'S WESTSIDE MARINE, INC.</t>
  </si>
  <si>
    <t>="At Lynn's Westside Marine, Inc. we are a full service/parts center for most motors. We carry a full line of new Mercury outboard engines, Bennington Pontoon Boats, Alumacraft Boats, Heritage Trailers, Mid-America Trailers, EZ Loader Trailers and Paddle Boats. We stock parts and accessories for your boating needs."</t>
  </si>
  <si>
    <t>http://LYNNSWESTSIDEMARINE.COM</t>
  </si>
  <si>
    <t>mailto:MINDYHASSLER@AOL.COM.</t>
  </si>
  <si>
    <t>La Azteca Incorporated</t>
  </si>
  <si>
    <t>http://www.laaztecaworks.com</t>
  </si>
  <si>
    <t>mailto:info@laaztecaworks.com</t>
  </si>
  <si>
    <t>La Fanciulla Specialty Food and Beverage</t>
  </si>
  <si>
    <t>="La Fanciulla Specialty Food and Beverage LLC is engaged in wholesale distribution of specialty foods and beverages. Our signature beverage products include coffee imported from Italy and handcrafted tea blends. We partner with Delco Foods, a specialty Italian food distributor, to bring our customers premium quality food products. We create customers for life by treating our customers and their unique needs as our top priority. That is why we offer menu consulting, updates on industry trends, after-hours ordering, overnight delivery, and much more."</t>
  </si>
  <si>
    <t>La Petite Academy, Inc.</t>
  </si>
  <si>
    <t>="La Petite Academy provides care and education in licensced child care centers to children ages 6 weeks to 12 years. La Petite Academy provides caring, nuturing environments where children can feel secure, allowing for expolreation and learning, while providing families with the peace-of-mind that their child is being wellcared for so they can focus on work and school."</t>
  </si>
  <si>
    <t>http://www.lapetite.com</t>
  </si>
  <si>
    <t>La Plaza, Inc.</t>
  </si>
  <si>
    <t>http://www.laplaza-indy.org</t>
  </si>
  <si>
    <t>mailto:miriam@laplaza-indy.org</t>
  </si>
  <si>
    <t>La Porte Regional Health System, Inc.</t>
  </si>
  <si>
    <t>="La Porte Regional Health System (LRHS), a Clarian Health Partner, is comprised of La Porte Hospital, a 227-bed community hospital, La Porte Regional Physicain Network, 15 physician practices, and the philanthropic arm, La Porte Hospital Foundation. La Porte Hospital was the first in northern Indiana to achieve Magnet recognition. The American Nurses Credentialing Center awards an elite group of hospitals the highest level of recognition for exemplary nursing leadership and quality patient care. In addition they’ve been recognized twice by US News &amp; World Report as one of the nation’s best hospitals for both geriatric care and the treatment of respiratory disorders. They also received leadership awards in both clinical and operational excellence from VHA, Inc. and the Employer Excellence Award as the ‘Top Employer’ across a six-county area. The National Association of Employee Recognition named their employee recognition program as one of the “best practices” in the country."</t>
  </si>
  <si>
    <t>http://www.laportehealth.org/</t>
  </si>
  <si>
    <t>LaBov &amp; Beyond, Inc.</t>
  </si>
  <si>
    <t>="LaBov &amp; Beyond is a full-service marketing communications, advertising and training firm. For 30 years, we've created groundbreaking programs for some of the world's leading corporations. We put our clients' business needs first--great creative is a given. We apply our experience and customize strategies to help our clients improve sales, increase market share and create loyalty. Engaging people, igniting passion--that is what we do."</t>
  </si>
  <si>
    <t>http://www.labov.com</t>
  </si>
  <si>
    <t>mailto:info@labov.com</t>
  </si>
  <si>
    <t>LaCosta Facility Support Services</t>
  </si>
  <si>
    <t>="LaCosta is a minority-owned and certified provider of Facility Maintenance &amp; Support Services. Our offering includes: Housekeeping Services, Cleanroom Services, Painting &amp; Decorating, Site Maintenance Services, Protective Floor Coating and Concrete Polishing, and Staffing Solutions. Our well-trained, highly motivated professionals and our proactive systems of measuring and monitoring performance are what sets us apart in the industry. The LaCosta Team takes day to day management out of your hands with structured yet flexible systems &amp; procedures that are grounded in solution based management and provide the best total value!"</t>
  </si>
  <si>
    <t>http://www.LacostaServices.com</t>
  </si>
  <si>
    <t>mailto:jkelly@cms4.com</t>
  </si>
  <si>
    <t>LaFontaine Generator Exchange, Inc.</t>
  </si>
  <si>
    <t>mailto:lagenerator1@gmail.com</t>
  </si>
  <si>
    <t>Agriculture, Construction, and Mining Machinery Manufacturing</t>
  </si>
  <si>
    <t>LaMar Construction</t>
  </si>
  <si>
    <t>mailto:lamarconstruction@comcast.net</t>
  </si>
  <si>
    <t>LaMar Imaging, Inc.</t>
  </si>
  <si>
    <t>mailto:marklamar@insightbb.com</t>
  </si>
  <si>
    <t>LaMere Plumbing &amp; Construction Services</t>
  </si>
  <si>
    <t>="We are a Woman owned Plumbing Company located in Northwest Indiana. The LaMere family has been associated with the plumbing industry in Northwest Indiana since 1908. We specialize in all aspects of plumbing and piping, including new commercial work as well as remodeling and service to existing systems. Our staff includes Indiana Certified Backflow Prevention Device Technicians. LaMere Plumbing employs only fully trained and licensed union plumbers, operating engineers, and laborers. We are fully bonded, insured, and licensed to do business in all major cities of Northwest Indiana. A list of references or completed projects can be furnished upon request."</t>
  </si>
  <si>
    <t>mailto:lamereplumbing@sbcglobal.net</t>
  </si>
  <si>
    <t>LaPorte County</t>
  </si>
  <si>
    <t>http://www.laportecounty.org</t>
  </si>
  <si>
    <t>LaPorte County Child Abuse Prevention Co</t>
  </si>
  <si>
    <t>="Dunebrook is a not-for-profit social service agency with a mission to advocate for children and to provide positive family support and education. We do this by: *providing family-strengthening programs such as Healthy Families, Parents As Teachers, Nurturing Family, and Prenatal Substance Use Prevention *providing a safe, comfortable, child-friendly environment with discreet monitoring and recording capabilities for law enforcment and Child Protection Services to interview child abuse victims and providing an in-house forensic interviewer *providing Body Safety Presentations to help prevent sexual abuse by teaching children to distinguish between good and bad touches, to learn to say no, and to learn how to tell someone *providing public education services and information on child abuse and neglect, Shaken Infant Syndrome, child development and parenting (visit www.dunebrook.org)"</t>
  </si>
  <si>
    <t>http://www.dunebrook.org</t>
  </si>
  <si>
    <t>LaPorte County Comprehensive Mental Heal</t>
  </si>
  <si>
    <t>="The Swanson Center has provided mental health services to the citizens of LaPorte County since 1969. Since its inception, the Swanson Center has developed a full compliment of clinical and community services. Our team of board-certified psychiatrists, psychologists, therapists, clinical social workers, and other mental health professionals is extensively trained in up-to-date methods to provide a wide range of services to persons of all ages."</t>
  </si>
  <si>
    <t>http://www.swansoncenter.org</t>
  </si>
  <si>
    <t>LaPorte Sport. Goods</t>
  </si>
  <si>
    <t>Men's and Boys' Cut and Sew Suit, Coat and Overcoat Manufacturing</t>
  </si>
  <si>
    <t>LaPorte Tool Supply, LLC</t>
  </si>
  <si>
    <t>http://www.lptoolsupply.com</t>
  </si>
  <si>
    <t>mailto:laportetoolsupply@csinet.net</t>
  </si>
  <si>
    <t>mailto:Laportetoolsupply@csinet.net</t>
  </si>
  <si>
    <t>LaRue Distributors of Uniforms</t>
  </si>
  <si>
    <t>mailto:LT17045@aol.com</t>
  </si>
  <si>
    <t>LaVare Cleaning Service, Inc.</t>
  </si>
  <si>
    <t>mailto:lavarecleaning@yahoo.com</t>
  </si>
  <si>
    <t>LaZee Tek LLC</t>
  </si>
  <si>
    <t>="LaZee Tek designs, develops, and manufactures assistive technology products. We are a woman owned business that is dedicated to providing quality products that meet the needs of our customers. Our LaZee Mouse products, provide hands-free computer access for disabled individuals, a godsend for those with conditions resulting from: arthritis, carpal tunnel syndrome, cerebral palsy, multiple sclerosis, muscular dystrophy, neurological disorders, injury, or other physical disability. The lightweight, self-contained units can be worn or operated anywhere, and provide cursor control by converting body motion into cursor movements. Tilt is detected and generates movement based on the degree of tilting. Real-time clicking can be done via microphone or switch. Operation and setup are quick and easy with no software to install. Unit connects via single cable. Universal design ensures compatibility with all hardware and software programs, and operation on PC, MAC, UNIX or AAC devices."</t>
  </si>
  <si>
    <t>http://www.lazeetek.com</t>
  </si>
  <si>
    <t>mailto:info@lazeetek.com</t>
  </si>
  <si>
    <t>Labor Savior Conveyors, LLC</t>
  </si>
  <si>
    <t>="Lightweight, and totally mobile, the gravity operated Multi-Function Conveyor System (MFCS) assists in loading/unloading large, oversized, and unwieldy products which are difficult to maneuver through standard dock openings. It is used to off-load material directly from truck to dock or vice versa. The rails &amp; cart may also be used directly on the ground or facility floor without support legs. The MFCS saves time, cuts labor requirements, eliminates damages to materials &amp; customer's facilities, and provides a safe working environment to workers in a variety of industries. Materials such as pallet racks, lumber, pipes, metal studs, bricks, construction materials, etc may now be brought into or out of a building with ease in record time. Click the MULTIMEDIA on website to SEE IT IN ACTION!"</t>
  </si>
  <si>
    <t>http://www.laborsaviorconveyor.com</t>
  </si>
  <si>
    <t>mailto:tarkingtonjanet@aol.com</t>
  </si>
  <si>
    <t>Labor U.S. of A. Employment Agency, Inc.</t>
  </si>
  <si>
    <t>http://www.geocities.com/laborusofa/labo</t>
  </si>
  <si>
    <t>mailto:laborusofa@yahoo.com</t>
  </si>
  <si>
    <t>Laboratory Supply Co</t>
  </si>
  <si>
    <t>http://www.labsco.com</t>
  </si>
  <si>
    <t>mailto:labscoin@comcast.net</t>
  </si>
  <si>
    <t>Lacy Beyl &amp; Company</t>
  </si>
  <si>
    <t>http://www.lacybeyl.com</t>
  </si>
  <si>
    <t>mailto:office@lacybeyl.com</t>
  </si>
  <si>
    <t>Lady Bug Telephone S</t>
  </si>
  <si>
    <t>mailto:amy@ladybugphones.com</t>
  </si>
  <si>
    <t>Lafayette Building Services Inc.</t>
  </si>
  <si>
    <t>mailto:buildingservices@ymail.com</t>
  </si>
  <si>
    <t>Lafayette Electronic Supply, INC</t>
  </si>
  <si>
    <t>http://www.lafayetteelectronicsupply.com</t>
  </si>
  <si>
    <t>mailto:lafelecsup@earthlink.net</t>
  </si>
  <si>
    <t>Lafayette Limo Inc</t>
  </si>
  <si>
    <t>="Lafayette Limo is a Family owned and operated business with over 50 vehicles ranging from a 3 passenger sedan to a 56 passenger coach. We do transportation for any kind of event from Thousands of people conventions to one person needing a sedan to the Airport."</t>
  </si>
  <si>
    <t>http://lafayettelimo.com</t>
  </si>
  <si>
    <t>mailto:laflimo@lafayettelimo.com</t>
  </si>
  <si>
    <t>Lafayette Materials Management</t>
  </si>
  <si>
    <t>Lafayette Office Systems, LLC</t>
  </si>
  <si>
    <t>="Lafayette Office Systems is a comprehensive communication's solutions provider specializing in services, hardware, and software for all of your copying, imaging and information technology needs. Our partnership philosophy is the key to implementing solutions that give each client an edge in today's ever changing business environment. LOS partners with your business to help you create a competitive advantage. LOS partners with leading manufacturers to provide you with best practice, efficient communication and data solutions. Complete, customized network services and IT support from one local source!"</t>
  </si>
  <si>
    <t>http://www.lafayetteos.com</t>
  </si>
  <si>
    <t>mailto:jclements@lafayetteos.com</t>
  </si>
  <si>
    <t>Lafayette Solvents, Inc.</t>
  </si>
  <si>
    <t>http://leffertoil.com</t>
  </si>
  <si>
    <t>mailto:terri@leffertoil.com</t>
  </si>
  <si>
    <t>Laird Plastics</t>
  </si>
  <si>
    <t>="Your Plastics Distributor of the worlds leading manufacturers for Sheets, Rods, Tubes, Films and Related Plastic Products. We offer a comprehensive network of service centers and inventories with an extensive product range including such major segments as acrylics and polycarbonates, graphics materials (substrates and a variety of higher end materials) and mechanical/engineering materials (UHMW, LDPE, HDPE, nylons, acetyls)."</t>
  </si>
  <si>
    <t>http://www.lairdplastics.com</t>
  </si>
  <si>
    <t>Lake City Scuba Center, LLC.</t>
  </si>
  <si>
    <t>http://lakecityscuba.com</t>
  </si>
  <si>
    <t>mailto:john@lakecityscuba.com</t>
  </si>
  <si>
    <t>Sports and Recreation Instruction</t>
  </si>
  <si>
    <t>Lake County Divers Supply Inc.</t>
  </si>
  <si>
    <t>http://www.lcdivers.com</t>
  </si>
  <si>
    <t>mailto:lakecountydiverssupply@gmail.com</t>
  </si>
  <si>
    <t>Lake County Sheriff</t>
  </si>
  <si>
    <t>http://www.drugfreealliance.com</t>
  </si>
  <si>
    <t>mailto:jkey@lakecountysheriff.com</t>
  </si>
  <si>
    <t>Lake Effect Embroidery</t>
  </si>
  <si>
    <t>mailto:lakeeffectemb@sbcglobal.net</t>
  </si>
  <si>
    <t>Lake Effect Engr</t>
  </si>
  <si>
    <t>Lake Hills Vol. Fire</t>
  </si>
  <si>
    <t>Lake James Vineyard</t>
  </si>
  <si>
    <t>http://satekwinery.com</t>
  </si>
  <si>
    <t>mailto:satekwinery@voyager.net</t>
  </si>
  <si>
    <t>Wineries</t>
  </si>
  <si>
    <t>Lake Pest Control LL</t>
  </si>
  <si>
    <t>="Providing quality pest management programs and services to commercial and residential customers in Northwest Indiana. Member Indiana Pest Management Association, National Pest Management Association, Cedar Lake Chamber of Commerce, Building Industries Association, licensed and Insured."</t>
  </si>
  <si>
    <t>http://lakepestcontrol.com</t>
  </si>
  <si>
    <t>mailto:jim@lakepestcontrol.com</t>
  </si>
  <si>
    <t>Lake Shore Domestics, Inc.</t>
  </si>
  <si>
    <t>http://www.lakeshoremotors.com</t>
  </si>
  <si>
    <t>mailto:don.hadley@lakeshoremotors.com</t>
  </si>
  <si>
    <t>Lake and Luxury Realty Group, LLC</t>
  </si>
  <si>
    <t>http://www.lakeandluxury.com</t>
  </si>
  <si>
    <t>mailto:info@lakeandluxury.com</t>
  </si>
  <si>
    <t>Lakeland School Corporation</t>
  </si>
  <si>
    <t>Lakeridge Supply LLC</t>
  </si>
  <si>
    <t>http://www.lakeridgesupply.com</t>
  </si>
  <si>
    <t>mailto:sales@lakeridgesupply.com</t>
  </si>
  <si>
    <t>Lakes of Four Seasons Volunteer Fire For</t>
  </si>
  <si>
    <t>http://www.lofsfire.com</t>
  </si>
  <si>
    <t>mailto:lofsfire@netnitco.net</t>
  </si>
  <si>
    <t>Lakeshore Design Center, Inc.</t>
  </si>
  <si>
    <t>="We are a residential and light commercial contractor. We are also remodelors of the same. We are also a dealer of Marvin windows which are applicable for residential, commercial, and are approved for historical either as replacements of in new construction. We are also a dealer for cabinetry."</t>
  </si>
  <si>
    <t>http://www.lakeshoredesigncenter.com</t>
  </si>
  <si>
    <t>mailto:janny@spidel.com</t>
  </si>
  <si>
    <t>Lakeshore Landscaping, Inc.</t>
  </si>
  <si>
    <t>http://www.lakeshorelandscaping.com</t>
  </si>
  <si>
    <t>mailto:heidi@lakeshorelandscaping.com</t>
  </si>
  <si>
    <t>Lakeview Advertising Specialties</t>
  </si>
  <si>
    <t>mailto:lizfischler@yahoo.com</t>
  </si>
  <si>
    <t>Lakeview Marina, Inc.</t>
  </si>
  <si>
    <t>http://lakeviewmarina.net</t>
  </si>
  <si>
    <t>mailto:lakeviewmarina@msn.com</t>
  </si>
  <si>
    <t>Lalas, Inc.</t>
  </si>
  <si>
    <t>Lamar Consulting Business Services, LLC</t>
  </si>
  <si>
    <t>="Lamar Consulting Business Services, LLC., a female-owned minority business enterprise is the leading incorporation service provider with more than 15 years of experience servicing the entrepreneur and small business community. LCB's commitment to simplifying your small business structure doesn't end once you incorporate. We provide a suite of services that make it easy for you to take care of business while we take care of the details."</t>
  </si>
  <si>
    <t>Lambert Asphalting and Sealcoating Inc.</t>
  </si>
  <si>
    <t>http://www.lambertasphalting.com</t>
  </si>
  <si>
    <t>mailto:BLambert@lambertasphalting.com</t>
  </si>
  <si>
    <t>Lambert General Contractors, Inc.</t>
  </si>
  <si>
    <t>mailto:dlambert@lambertgcinc.com</t>
  </si>
  <si>
    <t>Laminique, Inc</t>
  </si>
  <si>
    <t>http://laminique.com</t>
  </si>
  <si>
    <t>mailto:bob@laminique.com</t>
  </si>
  <si>
    <t>Lampion Center, Inc.</t>
  </si>
  <si>
    <t>http://www.lampioncenter.com</t>
  </si>
  <si>
    <t>mailto:hdauby@lampioncenter.com</t>
  </si>
  <si>
    <t>Lamprecht Florist Inc</t>
  </si>
  <si>
    <t>http://www.838rose.com</t>
  </si>
  <si>
    <t>Lance Consulting, LLC</t>
  </si>
  <si>
    <t>mailto:cathy.lance@lanceservices.com</t>
  </si>
  <si>
    <t>Land Consultants, Inc.</t>
  </si>
  <si>
    <t>="We are an Engineering/Survey company using state-of-the-art equipment, GPS, GIS and Autocad Systems. We are also trained and cerified in ""confined space surveys"" (PRCS) by OSHA. Prequalified by INDOT to provide land surveying and right-of-way design services."</t>
  </si>
  <si>
    <t>http://www.landconsul.com</t>
  </si>
  <si>
    <t>mailto:scb@landconsul.com</t>
  </si>
  <si>
    <t>Land Mark Building &amp; Development</t>
  </si>
  <si>
    <t>="We are contractors that are proficient in many forms of construction from all types of excavation to sewer &amp; water line instalation to land development and new home construction to preengineered steel building construction and fine construction sand mining."</t>
  </si>
  <si>
    <t>Landings at Indy Four LLC</t>
  </si>
  <si>
    <t>="Country Inn &amp; Suites By Carlson, Indianapolis Airport South is conveniently located near the Indianapolis International Airport off of Interstates 70 or 465. This Indianapolis Airport Hotel provides a warm and welcoming atmosphere sure to please business and leisure travelers alike."</t>
  </si>
  <si>
    <t>http://www.countryinns.com/indyin_airpor</t>
  </si>
  <si>
    <t>mailto:nancy@cisindy.com</t>
  </si>
  <si>
    <t>Landmark Archaeological &amp; Environmental</t>
  </si>
  <si>
    <t>="In 1987 Landmark Archaeological and Environmental Services was formed to provide archaeological, geological, and environmental services to government and private industry. In 1994 the business was incorporated and expanded into our first full service office and lab facility in Sheridan, Indiana. We have a great deal of experience in meeting our client’s needs on all types of compliance issues including; Section 106 projects, Federal Energy Regulatory Commission reviewed projects, Archaeological Resources Protection Act projects, and National Register of Historic Places (NRHP) eligibility statements. We can provide all phases of archaeological investigation including literature and site file checks, reconnaissance surveys, site testing, and mitigation. We have been involved in preparing numerous National Register nominations and may be called upon to identify and document historically or architecturally significant structures within a given project area."</t>
  </si>
  <si>
    <t>http://www.landmarkarchaeology.com</t>
  </si>
  <si>
    <t>mailto:landmark@landmarkarchaeology.com</t>
  </si>
  <si>
    <t>Landmark Majestic Rafillas LLC</t>
  </si>
  <si>
    <t>mailto:landmark.landmark@sbcglobal.net</t>
  </si>
  <si>
    <t>Landmark Signs, Inc</t>
  </si>
  <si>
    <t>="Landmark has been crafting quality business signage since 1983 and has grown to become the largest custom sign company in the Chicago and Northwest Indiana area. Annually, we produce more than 900 projects involving more than 4000 displays in all parts of the Continental United States. Customers large and small look to Landmark to meet their business signage needs."</t>
  </si>
  <si>
    <t>http://www.landmarksign.com</t>
  </si>
  <si>
    <t>mailto:sensign@landmarksign.com</t>
  </si>
  <si>
    <t>Landrum's Cleaning,LLC</t>
  </si>
  <si>
    <t>http://www.landrumsservicess.com</t>
  </si>
  <si>
    <t>Landscape Designs of Indianapolis, Inc.</t>
  </si>
  <si>
    <t>="We provide a variety of services : grading , seeding, hydroseeding,retaning walls, paver patios and other hardscapes. trees , shrubs, mulching and design work for comercial as well as residential. we also instal water features for comerical and residential"</t>
  </si>
  <si>
    <t>mailto:landscapedesigns@comcast.net</t>
  </si>
  <si>
    <t>Landscape,LLC</t>
  </si>
  <si>
    <t>mailto:kjrichards62@aol.com</t>
  </si>
  <si>
    <t>Lange Industries</t>
  </si>
  <si>
    <t>="Lange industries is an Erosion Control company that specializes with stormwater. We offer the construction industries when it comes to storm water. We have an unique system that traps sediment below the sewer grate and lets the clean water pass into the sewer system."</t>
  </si>
  <si>
    <t>Langley Construction Inc.</t>
  </si>
  <si>
    <t>="We are a general contractor with a fantastic knowledge of multi-family, condo and single family dwellings. We can build them, remodel them and repair them from fires, water etc. With ten years of experience you know you are choosing a competant, confident contractor."</t>
  </si>
  <si>
    <t>http://www.langleyconstruction.net</t>
  </si>
  <si>
    <t>mailto:langleyconstruction.net</t>
  </si>
  <si>
    <t>Language Training Center, Inc</t>
  </si>
  <si>
    <t>="Language Training Center, Inc. (LTC) has been an Indiana business hiring Indiana based employees since 1993. LTC provides ASL and foreign language interpreting, CART VRI, written language translation in all major languages, language and ESL training as well as executive business training, cross cultural and repatriation training."</t>
  </si>
  <si>
    <t>http://www.languagetrainingcenter.com</t>
  </si>
  <si>
    <t>mailto:bidopp@languagetrainingcenter.com</t>
  </si>
  <si>
    <t>Lantech Training, LLC</t>
  </si>
  <si>
    <t>="Lantech Training offers a broad array of hands-on training for IT professionals, developers, decision-makers and support personnel . We are a Microsoft Silver Certified Partner for Learning Solutions, delivering Microsoft Official Curriculum from our Indianapolis, Indiana facility. While clearly a source for Microsoft training, we also support any other technology, any location and any other effective training-style. As your on-going training partner, Lantech develops training plans, custom courseware and exercise labs to meet your specific requirements. We deliver “train the trainer” training while providing ongoing support for all of the above training"</t>
  </si>
  <si>
    <t>http://www.LantechTraining.com</t>
  </si>
  <si>
    <t>mailto:registrations@LantechTraining.com</t>
  </si>
  <si>
    <t>LantzQuest, Inc.</t>
  </si>
  <si>
    <t>="LantzQuest Performance Strategies is a professional training development and performance coaching company. LantzQuest Performance Strategies, a full-service human potential company, partners with corporations and individuals assisting them in maximizing more of their potential. LantzQuest has worked with over 100 companies from 22 different industries since it's inception. If you're completely satisfied with where your company is in all aspects of your growth and expect no challenges in the future, LantzQuest has no value to you. If you crave quantum advancement in any part of your company’s life, or you simply want to reshape the destiny of your company, LantzQuest Performance Strategies can motivate and coach you and your company toward your desired results. You owe it to yourself to dream and DREAM BIG!"</t>
  </si>
  <si>
    <t>http://www.lantzquest.com</t>
  </si>
  <si>
    <t>Larbus and Maguire, LLC</t>
  </si>
  <si>
    <t>mailto:dmlarbus@insightbb.com</t>
  </si>
  <si>
    <t>Larry E. Nunn &amp; Associates, CPA's, LLC</t>
  </si>
  <si>
    <t>="Certified Public Accounting Firm - offering personal and business consulting. Services provided include accounting, auditing, computer accounting software support, financial planning, estate planning, income tax preparation including multi state and international, income tax planning, management advisory services, qualified retirement plan administration, litigation support, business valuations, payroll checkwriting services. Offices in Columbus, Seymour, and Plainfield. An Independent Member of BDO Seidman Alliance. Member of Indiana CPA Society, American Institute of Certified Public Accountants, AICPA's Center for Public Company Audit Firms, AICPA""s Governmental Audit Quality Center, AICPA's Employee Benefit Plan Audit Quality Center, Registered with Public Company Accounting Oversight Board."</t>
  </si>
  <si>
    <t>http://www.nunncpas.com</t>
  </si>
  <si>
    <t>mailto:team@nunncpas.com</t>
  </si>
  <si>
    <t>Larry J. Allison</t>
  </si>
  <si>
    <t>mailto:allison@indy.tds.net</t>
  </si>
  <si>
    <t>Larry Reitz &amp; Associates Inc.</t>
  </si>
  <si>
    <t>="Larry Reitz &amp; Associates is a dealer for Skyline Exhibits. We design and manufacture exhibits and graphics for the trade show industry. Our manufacturing is ISO9001 certified. We offer full turnkey exhibit management, install and dismantle services, exhibit rentals, and trade show marketing seminars. Visit our showroom!"</t>
  </si>
  <si>
    <t>http://www.skyline.com</t>
  </si>
  <si>
    <t>mailto:lorireitz@skyindy.com</t>
  </si>
  <si>
    <t>Laser Line, Inc.</t>
  </si>
  <si>
    <t>mailto:laserlinej@aol.com</t>
  </si>
  <si>
    <t>Last Straw Auction, LLC</t>
  </si>
  <si>
    <t>="Professional auctioneer licensed in the State of Indiana providing full services as related to the liquidation of public and personal possessions. Liquidation of real estate, personal property, heavy machinery, vehicles and anything that can be auctioned within the limits of the law. Sort, organize, prepare, inventory and liquidate assets in required time frame. Receive fair market values in the marketplace. Customer service oriented, friendly, courteous, and ethical."</t>
  </si>
  <si>
    <t>http://LASTSTRAWAUCTIONS.COM</t>
  </si>
  <si>
    <t>mailto:laststrawauctions@yahoo.com</t>
  </si>
  <si>
    <t>Latinus Group, Inc.</t>
  </si>
  <si>
    <t>="Latinus Group, Inc. is a minority-owned business consulting firm incorporated in the State of Indiana. Our company provides consulting services in the areas of Latino/Hispanic outreach initiatives and international business development projects. We help our clients appropriately develop Hispanic markets. We serve businesses and organizations that are interested in reaching out and serving the growing Latino/Hispanic population or developing business ventures internationally. For more detailed information about our company please visit us at www.LatinusGroup.com or contact Roberto Curci, Ph.D. at rcurci@LatinusGroup.com"</t>
  </si>
  <si>
    <t>http://www.latinusgroup.com</t>
  </si>
  <si>
    <t>mailto:rcurci@latinusgroup.com</t>
  </si>
  <si>
    <t>Latz, Maudlin &amp; Knowles, Inc. CPAs</t>
  </si>
  <si>
    <t>="Latz, Maudlin &amp; Knowles is a 30+ year old CPA firm located in central Indiana. We serve individuals and small to medium business in all areas of accounting. We handle taxation, financial and accounting issues with professionalism in a timely manner. We have specialty areas in forensic accounting, supporting the insurance and legal industries as well as the general public. We also offer investment services for our clients as part of our overall package of financial advice. Our firm is a member of the AICPA, INCPA and FASNA."</t>
  </si>
  <si>
    <t>http://www.lmkcpa.com</t>
  </si>
  <si>
    <t>mailto:cpas@lmkcpa.com</t>
  </si>
  <si>
    <t>Lauer Communications</t>
  </si>
  <si>
    <t>http://www.lauercomm.com</t>
  </si>
  <si>
    <t>mailto:klauer@lauercomm.com</t>
  </si>
  <si>
    <t>Laukhuff Consulting Inc.</t>
  </si>
  <si>
    <t>="Laukhuff Consulting focuses on providing services in two main areas: moderating/ managing qualitative research and providing flexible staffing for companies needing additional marketing or market research resources. Sharon is a RIVA trained Master Moderator, and has conducted hundreds of in-depth interviews and focus groups. Additionally, she frequently works with companies providing additional marketing and market research resources when head counts are limited or even non-existent. She specializes in the healthcare industry where she has worked with pharmaceutical, device and molecular diagnostic clients. She has experience in the following therapeutic categories: Banking/ Finance, Corporate Strategy/ Branding, DIY, Healthcare, Lottery/ Gaming, Pharmaceuticals/ Molecular Diagnostics, Consumer Packaged Goods."</t>
  </si>
  <si>
    <t>http://www.laukhuffconsulting.com</t>
  </si>
  <si>
    <t>mailto:slaukhuff@laukhuffconsulting.com</t>
  </si>
  <si>
    <t>Laura Kopetsky Tri-Ax, Inc.</t>
  </si>
  <si>
    <t>="Laura Kopetsky started her company in 1979, with one truck and a lot of determination. 29 years later, she's still trucking with a fleet of 69 Tri, Quad, Tanden, single axles, and conveyor trucks. We supply and haul sand, gravel, stone, dirt, overburden, topsoil and mulch. We also carry contaminated materials, demolition debris and special waste in the state of Indiana."</t>
  </si>
  <si>
    <t>http://www.laurakopetsky.com</t>
  </si>
  <si>
    <t>mailto:jana@laurakopetsky.com</t>
  </si>
  <si>
    <t>Laura M. Dellinger</t>
  </si>
  <si>
    <t>mailto:lauramdellinger@msn.com</t>
  </si>
  <si>
    <t>Laura S. Christy</t>
  </si>
  <si>
    <t>http://www.nssindy.com</t>
  </si>
  <si>
    <t>mailto:lauras@nssindy.com</t>
  </si>
  <si>
    <t>Laura Snider Consulting, LLC</t>
  </si>
  <si>
    <t>http://www.inhouseprimarycare.com</t>
  </si>
  <si>
    <t>Laural House, LLC</t>
  </si>
  <si>
    <t>="The Luaral House restaurant, built in1840, offers quality food preparation and a unique dining experience. We host all type of special events, such as: business meetings, weddings, rehearsal dinners, reunions, etc… We also provide catering, with the majority of the service being customized to meet our customer’s requirements. We are proud to say that we support and adhere to the state of Indiana Health Regulations regarding food preparation."</t>
  </si>
  <si>
    <t>http://Lauralhouse.com</t>
  </si>
  <si>
    <t>mailto:rranderson@lauralhouse.com</t>
  </si>
  <si>
    <t>LavilleService and S</t>
  </si>
  <si>
    <t>http://www.laville-vogel.com</t>
  </si>
  <si>
    <t>mailto:lavillebarber@yahoo.com</t>
  </si>
  <si>
    <t>Service Establishment Equipment and Supplies Wholesalers</t>
  </si>
  <si>
    <t>Law Office of Adair W. Brent, P.C.</t>
  </si>
  <si>
    <t>mailto:jon_adairbrent@sbcglobal.net</t>
  </si>
  <si>
    <t>Law Office of Michael L. Deppe</t>
  </si>
  <si>
    <t>http://www.indianamotorcycleaccident.com</t>
  </si>
  <si>
    <t>mailto:attorneydeppe@verizon.net</t>
  </si>
  <si>
    <t>Law Offices of Minh C. Wai</t>
  </si>
  <si>
    <t>="I am a lawyer licensed in the states of Indiana, Illinois and Wisconsin. My principal office is located in Merrillville, Indiana. I specialize in personal injury litigation (both plaintiff and defendant). I am also able and willing to provide legal representation in other areas including, but not limited to: subrogation, corporate, and bankruptcy."</t>
  </si>
  <si>
    <t>mailto:minh_wai@sbcglobal.net</t>
  </si>
  <si>
    <t>Lawn Pride, Inc.</t>
  </si>
  <si>
    <t>="Provider of Lawncare and Landscape Services in central Indiana since 1983 for residential and commercial properties. Our services include lawn mowing, fertilization, weed control applications, irrigation installation and maintenance, tree and shrub applications and installation, landscape maintenance, landscape design and complete installation. Provides snow removal and ice salting services. Unique in our ability to provide flat rate pricing for snow and salting services."</t>
  </si>
  <si>
    <t>http://www.lawnpride.com</t>
  </si>
  <si>
    <t>Lawnscape Land Maintenance</t>
  </si>
  <si>
    <t>mailto:lawnscape@verizon.net</t>
  </si>
  <si>
    <t>Lawnscapes Cut &amp; Care, Inc.</t>
  </si>
  <si>
    <t>="Lawnscapes is a landscape management contractor. We handle all of the outdoor needs for property managers, apartment complexes, commercial properties, retail sites, office buildings and residential homeowners. We also provide landscape installation and design including:shrub and tree planting and removal, mulch installation, decorative rock and gravel installation, and many other projects. Lawnscapes services Indianapolis and the surrounding suburbs."</t>
  </si>
  <si>
    <t>mailto:lawnscapesinc@sbcglobal.net</t>
  </si>
  <si>
    <t>Lawrance Policy Consulting L.L.C</t>
  </si>
  <si>
    <t>="In March of 2010, Kristine Bredemeier Lawrance began Lawrance Policy Consulting. Kristy has been working in public and private sector health and social services since 1999. Previous employers and customers include the IN Family and Social Services Administration Office of Medicaid and the Division of Aging, Aetna Better Health, ADVANTAGE Health Solutions and the Governor of the State of Indiana. Kristy’s experience includes: • Medicaid managed care operations • Project management • Consumer outreach • Legislative analysis • State and Federal government relations • Delegation oversight • Requests for proposals • New program development • Health plan implementation • Call center management • Process improvement using Six Sigma methodology Lawrance Policy Consulting offers services in: • Project Management • Policy Analysis • Research • Policies and Procedures • Technical Writing • Program Evaluation • Process improvement"</t>
  </si>
  <si>
    <t>http://www.lawrancepolicyconsulting.com</t>
  </si>
  <si>
    <t>mailto:kristy@lawrancepolicyconsulting.com</t>
  </si>
  <si>
    <t>Lawrie Consulting, LLC</t>
  </si>
  <si>
    <t>="Founded in 2010, Lawrie Consulting was created to assist businesses and school districts in their efforts to better integrate and implement informational technology through web, media, and social networking. Specializing in instructional technology, Lawrie Consulting has primarily focused on creating online learning programs for K-12 schools. Founder Elizabeth Lawrie has over 15 years of experience in the field and has been involved with the evolution of online/distance learning programs from their inception. Having been a key member in the creation of both the Indiana Online Academy and My Big Campus, Elizabeth has applicable experience and knowledge that she brings to Lawrie Consulting to assist organizations looking to better integrate these technologies."</t>
  </si>
  <si>
    <t>mailto:lawrieconsultingllc@gmail.com</t>
  </si>
  <si>
    <t>Lawson-Fisher Associates P.C.</t>
  </si>
  <si>
    <t>="Lawson-Fisher Associates has been providing engineering services to both public and private clients in a variety of engineering areas for over 37 years. We have a very competent and dedicated team of professionals working together to achieve a common goal of providing high-quality service to our clients. Our 40 member firm consists of 22 engineers (19 of which are registered professional engineers), 10 technicians, 4 surveyors/construction inspectors and 5 support staff. We pride ourselves in the quality of our work and our track record for completing the assigned projects on time and within budget. We offer a broad range of consulting engineering services in the areas of wastewater, water, water resources, structures and transportation."</t>
  </si>
  <si>
    <t>http://www.lawson-fisher.com</t>
  </si>
  <si>
    <t>mailto:lfa@lawson-fisher.com</t>
  </si>
  <si>
    <t>Layne Heavy Civil, Inc.</t>
  </si>
  <si>
    <t>="Layne Heavy Civil delivers sustainable solutions to government agencies and industrial clients by performing design and build services of critical water and wastewater treatment facilities and pipeline installation. In addition, Heavy Civil builds Radial Collector Wells (Ranney Method), surface water intakes, pumping stations, dams and reservoirs, hard rock tunnels and marine construction services – all in support of the world's water infrastructure. Beyond water solutions, our Heavy Civil Division designs and constructs biogas facilities (anaerobic digesters) for the purpose of generating and capturing methane gas, an emerging renewable energy resource"</t>
  </si>
  <si>
    <t>http://www.layne.com</t>
  </si>
  <si>
    <t>mailto:info@layne.com</t>
  </si>
  <si>
    <t>Le Studio des Parfum</t>
  </si>
  <si>
    <t>http://www.lestudiodesparfums.com</t>
  </si>
  <si>
    <t>mailto:lestudioatlanta@aol.com</t>
  </si>
  <si>
    <t>Cosmetics, Beauty Supplies, and Perfume Stores</t>
  </si>
  <si>
    <t>LeSure &amp; Associates, Inc.</t>
  </si>
  <si>
    <t>mailto:jlesure@sbcglobal.net</t>
  </si>
  <si>
    <t>Leadership Development Institute, Inc.</t>
  </si>
  <si>
    <t>mailto:constructionapprenteships@hotmail.com</t>
  </si>
  <si>
    <t>Leading Edge Advisory Firm (LEAF LLC)</t>
  </si>
  <si>
    <t>="Leading Edge Advisory Firm (LEAF LLC) is a full-service consulting firm that enhances the performance of non-profit and for-profit organizations in several key areas, including, but not limited to: market analysis, strategic planning, board development, feasibility studies, fundraising training, succession planning, and leadership development. Clients have included Indiana University, NCAA, USA Funds, Center for Leadership Development, Shepherd Community Center, La Plaza, and Youth for Christ."</t>
  </si>
  <si>
    <t>mailto:larry@leaf-llc.com</t>
  </si>
  <si>
    <t>League Associates, LLC</t>
  </si>
  <si>
    <t>="League Associates is a women-owned business formed by experienced IT professionals.  Our mission is to deliver best-in-class IT business management services to clients to: reduce fulfillment times, achieve greater asset accuracy, gain greater insight into IT spend and return on investment, drive efficiencies through global common processes and tools, and effectively manage projects and IT provider agreements.  League Associates LLC provides project management, and business consultation services, with a focus on structuring your supporting business management processes to enable your core enterprise to achieve the next level of growth and profitability.  We provide consultation to help you streamline business processes like: asset-lease-maintenance management, request-order-receipt management, service level and contract management, and expense-revenue management. "</t>
  </si>
  <si>
    <t>http://www.leagueassociates.com</t>
  </si>
  <si>
    <t>mailto:anne.wise@leagueassociates.com</t>
  </si>
  <si>
    <t>League for the Blind and Disabled, Inc.</t>
  </si>
  <si>
    <t>="The League was established as a non-profit corporation in 1950. Throughout the years the agency has gone through many changes. The most significant was the League’s conversion to a Center for Independent Living in 1981. This event shifted the organization’s focus from serving only people who are blind, to serving all people with severe disabilities. It created a consumer model view of people with disabilities at the League in place of the traditional medical model approach, which focuses on the deficits of the individual being served. This view changed the agency’s perception of those served from individuals who need to be treated or “fixed”, to consumers who are recognized as the experts in issues that affect their lives. It established a “consumer controlled” model of Board governance and service delivery by creating a Board of Directors and staff structure that is dominated by qualified individuals who have disabilities."</t>
  </si>
  <si>
    <t>http://the-league.org</t>
  </si>
  <si>
    <t>mailto:the.league@verizon.net</t>
  </si>
  <si>
    <t>Leaman Infodesign LLC</t>
  </si>
  <si>
    <t>="Leaman Infodesign is a full-service graphic design firm that specializes in information design. We have 8 years of experience working on government projects and contracts. We take complex data and create a simple visual representation that communicates the data clearly to the viewer or clientele.These infographics can be some of the following: maps, graphs, tables, charts, diagrams, and technical exhibits &amp; document layout. In addition to these services, we offer the combination of infographics with our full-service graphic design solutions including: brochure design, logo design, letterhead and business card design, proposal cover design, book design &amp; layout, specialty invitation design, interactive flash design, web design &amp; maintenance, and static &amp; interactive web banners."</t>
  </si>
  <si>
    <t>http://www.leaman-infodesign.com</t>
  </si>
  <si>
    <t>mailto:projects@leaman-infodesign.com</t>
  </si>
  <si>
    <t>Lean Technology Consulting LLC</t>
  </si>
  <si>
    <t>="Lean Technology Consulting, LLC, provides consulting expertise on Information Systems and Project Management, including near and long-term analysis of Business Process Reengineering and the analysis of Information Systems requirements. The company specializes in documenting and analyzing current state processes with a view to streamlining overall service delivery. In addition, the company focuses on documenting and analyzing existing project management processes and training personnel in project management techniques and the introduction of best practices for the existing Information Technology environment."</t>
  </si>
  <si>
    <t>mailto:rileymcr@sbcglobal.net</t>
  </si>
  <si>
    <t>Leap Media Group, Inc.</t>
  </si>
  <si>
    <t>http://www.scoutandzoes.com</t>
  </si>
  <si>
    <t>mailto:info@scoutandzoes.com</t>
  </si>
  <si>
    <t>Leapfrog Logistics</t>
  </si>
  <si>
    <t>http://leapfroglogistics.com</t>
  </si>
  <si>
    <t>mailto:leigh@leapfroglogistics.com</t>
  </si>
  <si>
    <t>General Warehousing and Storage</t>
  </si>
  <si>
    <t>Lear &amp; Associates LL</t>
  </si>
  <si>
    <t>Learning Unlimited LLC</t>
  </si>
  <si>
    <t>http://www.learningunlimitedllc.com</t>
  </si>
  <si>
    <t>mailto:ktyson@learningunlimitedllc.com</t>
  </si>
  <si>
    <t>Learning Well, Inc.</t>
  </si>
  <si>
    <t>="Provider of school-based health clinics in Marion County IN to improve the health, well-being and school performance of Marion County students through improved access to integrated primary and preventative health care services provided through collaborative partnerships"</t>
  </si>
  <si>
    <t>http://www.learningwellinc.org</t>
  </si>
  <si>
    <t>mailto:dstephens@learningwellinc.org</t>
  </si>
  <si>
    <t>Lebanon Health Associates, Inc.</t>
  </si>
  <si>
    <t>="Lebanon Health Associates, Inc., provides affordable counseling services for children, adolescents, and adults. Evidence-based interventions are used to assist with the resolution of emotional distress and other mental health concerns. Services offered include addiction recovery, couples counseling, divorce issues family counseling, grief counseling, group counseling, individual counseling, marriage counseling, play therapy, and PRI risk reduction programs."</t>
  </si>
  <si>
    <t>mailto:jplewa6@comcast.net</t>
  </si>
  <si>
    <t>Lee Computers, LLC</t>
  </si>
  <si>
    <t>="Networks: Let our Solutions specialist, design and implement your network for best possible solution that provide speed and efficiency. Hardware: Lee Infinite Solutions is partnered with the largest hardware providers in the nation to ensure that our clients receive the best quality for their situation. Software: We provide a perfect software solution for your business needs. Service: Lee Infinite Solutions pride itself on customer satisfaction! Our number on goal is to provide a great customer experience. Support: Our support team uses proven monitoring tools to track and discover problems when they occur. This ensures the least amount of down time if any. Cabling: We provide cabling infrastructure for every situation. Whether its indoor/outdoor or underground. Projects: Whether you need IT support or you have your own IT staff. Let us assist you with your next IT project. Consulting: Certified consultants are waiting to assist you with the best solu"</t>
  </si>
  <si>
    <t>http://www.leecomp.net</t>
  </si>
  <si>
    <t>mailto:info@leecomp.net</t>
  </si>
  <si>
    <t>Lee Pruitt Productions</t>
  </si>
  <si>
    <t>http://www.leepruittproductions.com</t>
  </si>
  <si>
    <t>mailto:ltpruitt@gmail.com</t>
  </si>
  <si>
    <t>Lee Supply Corp</t>
  </si>
  <si>
    <t>http://www.leesupplycorp.com/</t>
  </si>
  <si>
    <t>Lee computers LLC</t>
  </si>
  <si>
    <t>="Lee Computer LLC provides Computer Sales such as (HP, DELL), Printers, Dot Matrix, Computer parts, Repair services, Networking (install and troubleshooting, Infrustructure)and Consulting. Lee Computers is a dedicated busines that takes a lot of pride in customer service. We are committed to keeping our cost to a minimum. We have certified technicians that are skilled and experienced with Cisco, Linux, Novell, Microsoft servers 2003, SQL, and Exchange, Cabling, Camera&amp; Security, Asset Recovery &amp; EPA EOL Disposal"</t>
  </si>
  <si>
    <t>http://leecomp.net</t>
  </si>
  <si>
    <t>mailto:charles@leecomp.net</t>
  </si>
  <si>
    <t>Lee's Aggregate &amp; Trucking, Inc</t>
  </si>
  <si>
    <t>Lee's Lock Service</t>
  </si>
  <si>
    <t>mailto:aesmith@seidata.com</t>
  </si>
  <si>
    <t>Leech-Hensley Architects, Inc.</t>
  </si>
  <si>
    <t>="We are a team of professionals and technicians capable of providing a full range of architectural services encompassing concept, design development, document preparation, construction administration and field inspection. This firm has been built upon years of experience in commercial, retail, restorative and residential design. This experience combined with the most current cost-effective design solutions provides the client with a project that has been tailored to individual market requirements."</t>
  </si>
  <si>
    <t>http://www.leechhensleyarchitects.com</t>
  </si>
  <si>
    <t>mailto:LHArch2@cs.com</t>
  </si>
  <si>
    <t>Leeper Land Management, LLC</t>
  </si>
  <si>
    <t>mailto:leeperlandmanagement@gmail.com</t>
  </si>
  <si>
    <t>Lees Ready Mix &amp; Trucking, Inc.</t>
  </si>
  <si>
    <t>Legacy Credit Counseling</t>
  </si>
  <si>
    <t>http://www.legacycreditcounseling.com</t>
  </si>
  <si>
    <t>mailto:info@legacycreditcounseling.com</t>
  </si>
  <si>
    <t>Legacy Environmental Services, Inc.</t>
  </si>
  <si>
    <t>="Legacy Environmental Services offers a wide variety of Environmental Consulting Services. Our services include, but are not limited to: Sustainability Leadership and Innovation, Energy Efficiency Improvements, Identifying Funding Opportunities and Grant Writing, Renewable Energy and Waste to Energy, Alternative Fuels/Green Fleets, Outreach and Education, Grant/Program Management, Waste Reduction, Pollution Prevention, Environmental Management Systems and Policy Review and Development. Legacy Environmental Services, Inc. was founded in 2003 by Lorrie &amp; Carl Lisek to fill a void in the environmental industry. Lorrie Lisek said, ""Our inspiration each day is the belief that we are making a difference. We educate our clients on sustainable practices and help them find funding to implement programs."""</t>
  </si>
  <si>
    <t>http://www.legacyenv.com</t>
  </si>
  <si>
    <t>mailto:info@legacyenv.com</t>
  </si>
  <si>
    <t>Legacy Photography &amp; Design, inc.</t>
  </si>
  <si>
    <t>="Legacy Photography, Marketing &amp; Design, inc. was founded in 1996 by President/CEO Amy Legg. The secret to our success has been to uniquely partner with our clients to help them consistently excel in the marketplace. We believe that results are driven by strategic planning, superior design and out of the box creativity. We custom design and develop marketing pieces that will not only communicate who our clients are today but will help them build a competitively superior brand over time. Our results speak for themselves: greater return on investment, enhanced market share and targeted online presence."</t>
  </si>
  <si>
    <t>http://www.leggdesign.com</t>
  </si>
  <si>
    <t>mailto:leggdesign@sbcglobal.net</t>
  </si>
  <si>
    <t>Legacy Realty Group,</t>
  </si>
  <si>
    <t>mailto:legacyrealtygroup@sbcglobal.net</t>
  </si>
  <si>
    <t>Legal Ease, Inc.</t>
  </si>
  <si>
    <t>="Paralegal and legal administrative support services to law firms, corporations, and governmental agencies. Onsite and offsite support available. Save money on office space, employment taxes, employee benefits, overtime, bonuses, and more! No hourly commitment. Flexible hours and rates available."</t>
  </si>
  <si>
    <t>http://www.legalease.biz</t>
  </si>
  <si>
    <t>mailto:info@legalease.biz</t>
  </si>
  <si>
    <t>LegalTek Legal Video</t>
  </si>
  <si>
    <t>="We specialize in all types of legal video taping such as Depositions, Wills, Accident Investigation, Construction Videos such as site surveys, construction draws, etc. We also would work with a customer to develop training videos for their staff . All of our employees are Certified Legal Videographers through the American Guild of Court Videographers and are Notary Publics. Our only business is legal video. We are located only in Indiana and all of our employees live in Indiana. We will, howerver, do work for out-of-state clients."</t>
  </si>
  <si>
    <t>http://www.legaltek.org</t>
  </si>
  <si>
    <t>mailto:jgianotti@legaltek.org</t>
  </si>
  <si>
    <t>Lehigh Outfitters, LLC</t>
  </si>
  <si>
    <t>http://www.lehighsafetyshoes.com</t>
  </si>
  <si>
    <t>mailto:mark.dean@rockybrands.com</t>
  </si>
  <si>
    <t>Men's Footwear (except Athletic) Manufacturing</t>
  </si>
  <si>
    <t>Lehman's of Muncie</t>
  </si>
  <si>
    <t>http://lehmansinc.com</t>
  </si>
  <si>
    <t>mailto:jprimmer@lehmansinc.com</t>
  </si>
  <si>
    <t>Lehner Designs</t>
  </si>
  <si>
    <t>http://www.lehnerdesigns.com</t>
  </si>
  <si>
    <t>mailto:glehner@lehnerdesigns.com</t>
  </si>
  <si>
    <t>Leinenbach Construction Inc.</t>
  </si>
  <si>
    <t>mailto:mblein@gmail.com</t>
  </si>
  <si>
    <t>Leistner Aquatic Services Inc</t>
  </si>
  <si>
    <t>http://www.sprayboats.com</t>
  </si>
  <si>
    <t>mailto:sprayboats@comcast.net</t>
  </si>
  <si>
    <t>Leisure Pool &amp; Spa Supply Inc</t>
  </si>
  <si>
    <t>http://www.leisurepoolinc.com</t>
  </si>
  <si>
    <t>mailto:myoder@leisurepoolinc.com</t>
  </si>
  <si>
    <t>Leitner and Associates, Inc.</t>
  </si>
  <si>
    <t>Other Financial Investment Activities</t>
  </si>
  <si>
    <t>Lelin, Inc.</t>
  </si>
  <si>
    <t>="Coverall of Indianapolis provides commericial cleaning services: general cleaning, floor care, carpet care, etc.. Coverall professionals are trained on the lastest commercial cleaning techniques as well as proper equipment and product usage- all with the interest of providing consistent quality and state-of-the-art services."</t>
  </si>
  <si>
    <t>http://www.coverall.com</t>
  </si>
  <si>
    <t>mailto:www.coverall.com</t>
  </si>
  <si>
    <t>Lemak LLC</t>
  </si>
  <si>
    <t>http://www.lemakllc.com</t>
  </si>
  <si>
    <t>mailto:beth@lemakllc.com</t>
  </si>
  <si>
    <t>Lemus Services Inc</t>
  </si>
  <si>
    <t>http://www.lemusservices.com</t>
  </si>
  <si>
    <t>mailto:francisco@lemusservices.com</t>
  </si>
  <si>
    <t>Lentz Enterprises</t>
  </si>
  <si>
    <t>mailto:lentzent@locl.net</t>
  </si>
  <si>
    <t>Lentz Independent Consulting Inc</t>
  </si>
  <si>
    <t>http://www.lentzic.com</t>
  </si>
  <si>
    <t>mailto:jlentz@lentzic.com</t>
  </si>
  <si>
    <t>Leon Consulting LLC</t>
  </si>
  <si>
    <t>="LK Marketing Services employs a staff of senior marketing professionals with deep experience in financial services and expertise across multiple marketing disciplines. Applying marketing best practices and proficiency across multiple media, we leverage cutting edge solutions and digital technology to deliver personalized messaging and measurable results."</t>
  </si>
  <si>
    <t>http://www.lkmarketingservices.com</t>
  </si>
  <si>
    <t>mailto:jleon@lkmarketingservices.com</t>
  </si>
  <si>
    <t>Leonards Corp</t>
  </si>
  <si>
    <t>Lerkins Billing &amp; Consulting Professiona</t>
  </si>
  <si>
    <t>mailto:chrystal.zeller@gmail.com</t>
  </si>
  <si>
    <t>Lessons Learned, LLC</t>
  </si>
  <si>
    <t>mailto:lessonslearnedllc@earthlink.net</t>
  </si>
  <si>
    <t>Lester Recreation Designs, LLC</t>
  </si>
  <si>
    <t>="Lester Recreation Designs sells playground, site furnishings, park(grills, litter containers and picnic tables), outdoor athletic equipment. We also provide playground safety surfacing from engineered wood fiber to poured in place rubber, safety mats and swing parts."</t>
  </si>
  <si>
    <t>mailto:lrd.lester@sbcglobal.net</t>
  </si>
  <si>
    <t>Letap Development, LLC</t>
  </si>
  <si>
    <t>mailto:sam46217@hotmail.com</t>
  </si>
  <si>
    <t>LetterPerfect Services</t>
  </si>
  <si>
    <t>mailto:letterp2@worldnet.att.net</t>
  </si>
  <si>
    <t>Level 13 Design Ltd.</t>
  </si>
  <si>
    <t>="Level 13 Design, Ltd. was founded with a mission to partner with each of our clients, to truly understand and provide counsel on how technology can be used efficiently, effectively, and economically to solve the challenges of doing business online. Through our programming and hosting expertise, we can offer reliable services for your internet venture to develop exciting web sites to generate interest in the business community. The success of Level 13 Design is based on the basic principal that customer satisfaction is not only important, but also imperative. We offer many benefits including: professional web presentation, increased usability, enhanced member focus, and better online services for your visitors. The success of your site begins with Level 13 Design."</t>
  </si>
  <si>
    <t>http://www.level13design.com</t>
  </si>
  <si>
    <t>mailto:info@level13design.com</t>
  </si>
  <si>
    <t>Level 5 Engineering, LLC</t>
  </si>
  <si>
    <t>http://www.level5eng.com</t>
  </si>
  <si>
    <t>Level interior architecture + design LLC</t>
  </si>
  <si>
    <t>http://www.levelinterior.com</t>
  </si>
  <si>
    <t>mailto:sendtolevel@yahoo.com</t>
  </si>
  <si>
    <t>Levelsix Communications</t>
  </si>
  <si>
    <t>="Levelsix is a Midwest-based marketing and public relations firm, located in the heart of Broad Ripple in Indianapolis, Indiana. Our goals are to help you manage your brand and marketing efforts to create a synergistic relationship with your target market – whether B2B or B2C. We will work with you on a single project or serve as your marketing and public relations department. Levelsix will become a part of your team, combining our expertise with yours to create a campaign with an impact."</t>
  </si>
  <si>
    <t>http://www.levelsixpr.com</t>
  </si>
  <si>
    <t>mailto:lainey@levelsixpr.com</t>
  </si>
  <si>
    <t>Lewellyn Technology, Inc.</t>
  </si>
  <si>
    <t>http://www.lewellyn.com</t>
  </si>
  <si>
    <t>mailto:mboyd@lewellyn.com</t>
  </si>
  <si>
    <t>Lewie's Electric, LLC</t>
  </si>
  <si>
    <t>mailto:lewieselectric@gmail.com</t>
  </si>
  <si>
    <t>Lewis &amp; Kappes P.C.</t>
  </si>
  <si>
    <t>="Our clients range from national and international corporations to small businesses, municipalities, associations, health care providers and non-profit organizations of every type. We also serve individuals and families, with issues ranging from family law and divorce to estate planning. Lewis &amp; Kappes is well known for its significant immigration and utility law practice. While we offer the kind of work product, human resources and technical support expected from a large law firm, we retain small firm efficiency and focus on personal attention."</t>
  </si>
  <si>
    <t>http://www.lewis-kappes.com</t>
  </si>
  <si>
    <t>mailto:SGriesemer@lewis-kappes.com</t>
  </si>
  <si>
    <t>Lewis Distributing C</t>
  </si>
  <si>
    <t>http://www.hotsecurity.com</t>
  </si>
  <si>
    <t>mailto:info@hotsecurity.com</t>
  </si>
  <si>
    <t>Lewis Equipment Rental</t>
  </si>
  <si>
    <t>="Pink Pots was started in 2007 and is a growing woman owned port-o-let business. Pink Pots consitsts of a total pink fleet. Our units are 27% larger, come standard with hand sanitizers, have shelves with hooks and availiable with locking doors. We accomindate construction, residential, event planning schools and churches. We have added new Pink Pots each year and plan to continue to grow. We earn our customers with Clean units and we take our service seriously as our reputation is what will keep,earn and build our business. Along with the Pink Pots we offer tank evacuation as well. We service job trailers, food trailers and recreation vehicles."</t>
  </si>
  <si>
    <t>http://www.pinkpots.com</t>
  </si>
  <si>
    <t>mailto:rlewis@pinkpots.com</t>
  </si>
  <si>
    <t>Lewis Property Preservation</t>
  </si>
  <si>
    <t>mailto:Lewispropertypreservation@gmail.com</t>
  </si>
  <si>
    <t>Lewis Technologies</t>
  </si>
  <si>
    <t>="We are a dealer for Plantronics telecom headsets. This includes wireless bluetooth technologies, wired headsets for offices, and home headset applications. Lewis Technologies installs, sells, and maintains video surveillance systems, voicemail, telephone systems, computer networks. We are a manufacture representative for Photonix Fiber Optic Testers and Abesco firestopping products."</t>
  </si>
  <si>
    <t>http://www.lewistechs.com</t>
  </si>
  <si>
    <t>mailto:candice@lewistechs.com</t>
  </si>
  <si>
    <t>Lewis and Sons, INC</t>
  </si>
  <si>
    <t>mailto:ovtrucking411@aol.com</t>
  </si>
  <si>
    <t>Lexington Corporation</t>
  </si>
  <si>
    <t>http://www.lexingtonproducts.com / www.d</t>
  </si>
  <si>
    <t>mailto:gwoodle@lexingtonproducts.com</t>
  </si>
  <si>
    <t>Other Transportation Equipment Manufacturing</t>
  </si>
  <si>
    <t>Libanga Systems LLC</t>
  </si>
  <si>
    <t>="Libanga systems LLC provides technology services for small businesses. We provide services in Network Design and installation, Computer sales and repair, computer peripheral sales, Desktop publishing, website design. We also provide monthly/yearly maintenance on software and hardware."</t>
  </si>
  <si>
    <t>http://www.libangasystems.net</t>
  </si>
  <si>
    <t>mailto:mario.guerendo@libangasystems.ent</t>
  </si>
  <si>
    <t>Liberty Behavioral Health Corporation</t>
  </si>
  <si>
    <t>http://www.libertyhealthcare.com</t>
  </si>
  <si>
    <t>mailto:christoh@libertyhealth.com</t>
  </si>
  <si>
    <t>Liberty Behavioral Health of Indiana</t>
  </si>
  <si>
    <t>http://www.libertyhealth.com</t>
  </si>
  <si>
    <t>mailto:webinfo@libertyhealthcare.com</t>
  </si>
  <si>
    <t>Liberty Distribution, Inc.</t>
  </si>
  <si>
    <t>="LED Lighting, Direct Replacement into Existing Fixtures all LED's for: CFL T8 2, 3,&amp; 4ft; compacts; Par; MR16; GU10; G24; G4 E27; B22; E26 bases; rigid and flexible stip lights; Metal Halides; High Pressure Sodium; incandescent; candlelabra; dimmable; in various luminous &amp; colors. **Disposable Self Warming 12 hr Temp. Blanket, surgery rm. &amp; trauma, measuring 12 x 10 x 1 inch pkg. **Disposable Cooling Neck Brace **Orthopedic &amp; Spine Fusion Implants, wholesalers. 423450 Hospital equipment and supplies merchant wholesalers"</t>
  </si>
  <si>
    <t>mailto:mschackel@libertydistributioninc.com</t>
  </si>
  <si>
    <t>Liberty Industries, LC</t>
  </si>
  <si>
    <t>="Tower Innovations is a leading manufacturer of communication towers, specializing in the finest broadcast and wireless structures. More Than 3,500 Towers in Service. Our towers include some of the most complex engineered structures standing. TI has the solution for your next guyed or self-supporting project, from the smallest structure to a premier 2,000 foot candelabra."</t>
  </si>
  <si>
    <t>http://www.towerinnovations.net</t>
  </si>
  <si>
    <t>mailto:TI.gov.sales@towerinnovations.net</t>
  </si>
  <si>
    <t>Liberty Mutual Insurance Company</t>
  </si>
  <si>
    <t>="Liberty Mutual offers a discounted auto and home insurance voluntary benefits to municipalities, associations and employer groups. The product is something everyone has to have, but is discounted specifically for the chosen group. The program is free for the employer or association to offer. Liberty Mutual is a Top 5 insurance carrier in the country and a Fortune 100 company. We are the industry leader in affinity programs and 80% of our business comes from these group programs."</t>
  </si>
  <si>
    <t>http://www.libertymutual.com</t>
  </si>
  <si>
    <t>mailto:evan.keisel@libertymutual.com</t>
  </si>
  <si>
    <t>Liberty Realty, Inc.</t>
  </si>
  <si>
    <t>mailto:libertyrealty@earthlink.net</t>
  </si>
  <si>
    <t>Liberty Technologies, INC</t>
  </si>
  <si>
    <t>http://www.golibertytech.com</t>
  </si>
  <si>
    <t>mailto:rmcgee@golibertytech.com</t>
  </si>
  <si>
    <t>Liberty Tire Services of Ohio, LLC</t>
  </si>
  <si>
    <t>mailto:jdillon@libertytire.com</t>
  </si>
  <si>
    <t>Liberty of Indiana Corporation</t>
  </si>
  <si>
    <t>Liechty Media LLC</t>
  </si>
  <si>
    <t>http://liechtymedia.com</t>
  </si>
  <si>
    <t>mailto:info@liechtymedia.com</t>
  </si>
  <si>
    <t>Life Choices Maternity &amp; Youth Home</t>
  </si>
  <si>
    <t>http://www.LCEVv.org</t>
  </si>
  <si>
    <t>mailto:lifechoice@sigecom.net</t>
  </si>
  <si>
    <t>LifeSpan Resources, Inc.</t>
  </si>
  <si>
    <t>="LifeSpan Resources, Inc. is the Area Agency On Aging for Scott, Clark, Floyd ands Harrison Counties in Indiana. Our agency funds and provides Access, In-Home and Community Based services to enable the elderly and persons with disabilities to remain independent."</t>
  </si>
  <si>
    <t>http://www.lsr14.org</t>
  </si>
  <si>
    <t>mailto:phoward@lsr14.org</t>
  </si>
  <si>
    <t>LifeSpring Inc.</t>
  </si>
  <si>
    <t>http://www.lifespr.com</t>
  </si>
  <si>
    <t>LifeSpring, Inc.</t>
  </si>
  <si>
    <t>mailto:lifespr.com</t>
  </si>
  <si>
    <t>LifeStyle 360</t>
  </si>
  <si>
    <t>http://www.lifestyle-360.com</t>
  </si>
  <si>
    <t>mailto:loisann@lifestyle-360.com</t>
  </si>
  <si>
    <t>Lifeline Youth &amp; Family Services, Inc.</t>
  </si>
  <si>
    <t>http://lifelineyouth.org</t>
  </si>
  <si>
    <t>Lifeline Youth and Family Services Inc</t>
  </si>
  <si>
    <t>http://www.lifelineyouth.org</t>
  </si>
  <si>
    <t>Lifes Touch Staffing</t>
  </si>
  <si>
    <t>mailto:VSELLARS_LIFETOUCH@HOTMAIL.COM</t>
  </si>
  <si>
    <t>Light Engineering, Inc.</t>
  </si>
  <si>
    <t>="Manufacturer of Portable 4KW Light Towers Like the cell phone, Light Engineering’s LT30-30 is today’s enabling technology for the ever popular Light Tower. We are taking the Light Tower to a whole new level of performance and efficiency! Join our revolutionary technology, order now and realize."</t>
  </si>
  <si>
    <t>http://www.lightengineering.com</t>
  </si>
  <si>
    <t>mailto:mkorinko@Lt-Eng.com</t>
  </si>
  <si>
    <t>Other Lighting Equipment Manufacturing</t>
  </si>
  <si>
    <t>Light's Lawn Care and Landscaping, Inc.</t>
  </si>
  <si>
    <t>LightBound, LLC</t>
  </si>
  <si>
    <t>="LightBound, LLC is an Indiana based IP services provider. We provide full service of IP Services including,ISP (Internet Service Provider), 24 hour per day, 7 day per week, 365 days per year NOC monitoring services, CLEC (Competitive Local Exchange Carrier) voice services including analog, PRI, and SIP voice lines, WAN (Wide Area Network) Circuit provider through carrier neutral telecommunication facility (20+ carriers), private fiber networks, Home and Business Internet Services, Web Hosting, Data Center Tier IV Colocation Services, Disaster Recovery Services, Hosted and on premise-phone systems, Managed IT services for servers, data storage, and firewalls, Cloud Computing services, and also a reseller of Scale Computing NAS and SAN,"</t>
  </si>
  <si>
    <t>http://www.lightbound.net</t>
  </si>
  <si>
    <t>mailto:sales@lightbound.net</t>
  </si>
  <si>
    <t>LightSky</t>
  </si>
  <si>
    <t>="LightSky is a full service web development firm. We work with businesses and organizations to get to know their mission and customers or clients. Then, we find ways to harness the power of the Web to drive their business. We design and build custom websites as well as provide complete web services including e-commerce, SEO, social media integration and training,and content creation. LightSky encourages and provides responsive design, so websites look and function beautifully regardless of the device they're viewed on. We also integrate systems like customer relations management software to streamline processes so that your business can work smarter, not harder. Contact us for a no obligation consultation today."</t>
  </si>
  <si>
    <t>http://www.lightsky.com</t>
  </si>
  <si>
    <t>mailto:info@lightsky.com</t>
  </si>
  <si>
    <t>Lighthouse Data Solutions, Inc.</t>
  </si>
  <si>
    <t>="Lighthouse Data Solutiions provides Information Security Services and Computer Forensic Examinations. Such services include Security Management, Security Testing/Auditing, Security Program Development, Security Awareness and Training, and Policy/Standards Development."</t>
  </si>
  <si>
    <t>mailto:wraysx4@sbcglobal.net</t>
  </si>
  <si>
    <t>Lighthouse Public Relations</t>
  </si>
  <si>
    <t>http://www.Lighthouse-PublicRelations.co</t>
  </si>
  <si>
    <t>mailto:jason@lighthouse-publicrelations.com</t>
  </si>
  <si>
    <t>Lighthouse Readiness Group, Inc.</t>
  </si>
  <si>
    <t>="Lighthouse Readiness Group is an Indiana-based consulting firm specializing in improving the emergency preparedness of our clients through planning, training and exercises. We help both public and private organizations protect life safety and maintain continuity of operations/continuity of government in the event of an emergency."</t>
  </si>
  <si>
    <t>http://www.lighthousereadiness.com</t>
  </si>
  <si>
    <t>mailto:info@lighthousereadiness.com</t>
  </si>
  <si>
    <t>Lighthouse Window Fashions, LLC</t>
  </si>
  <si>
    <t>="Our company specializes in “quality” custom window solutions. We offer a full line of custom window treatments such as shutters, blinds and more including motorization. We also offer window screens, window tinting for residential/commercial and window cleaning. We are your number one source for complete window solutions."</t>
  </si>
  <si>
    <t>http://www.lighthousewindowfashions.com</t>
  </si>
  <si>
    <t>mailto:info@lighthousewindowfashions.com</t>
  </si>
  <si>
    <t>Lightning Tree Service LLC</t>
  </si>
  <si>
    <t>mailto:amadus@otherside.com</t>
  </si>
  <si>
    <t>Ligonier Telephone C</t>
  </si>
  <si>
    <t>="Since 1896 Ligonier Telephone Company has been providing communication services to the Ligonier Indiana area. We offer Local &amp; Long Distance Phone Service as well as voice mail, caller ID, call waiting and many other calling features. Visit us today to see how we can help you."</t>
  </si>
  <si>
    <t>http://www.ligoniertelephone.com</t>
  </si>
  <si>
    <t>mailto:info@ligoniertelephone.com</t>
  </si>
  <si>
    <t>Lile's Trailer Sales</t>
  </si>
  <si>
    <t>http://www.lilestrailersales.com</t>
  </si>
  <si>
    <t>mailto:trailerman.jim@gmail.com</t>
  </si>
  <si>
    <t>Limeberry Lumber Company Inc</t>
  </si>
  <si>
    <t>mailto:limeberrylumber@insightbb.com</t>
  </si>
  <si>
    <t>Limit Energy LLC</t>
  </si>
  <si>
    <t>http://www.limitenergy.com</t>
  </si>
  <si>
    <t>mailto:ash@limitenergy.com</t>
  </si>
  <si>
    <t>Lincoln Hills Development Corporation</t>
  </si>
  <si>
    <t>Lincoln Investment Group LLC</t>
  </si>
  <si>
    <t>mailto:twilbornphillips@yahoo.com</t>
  </si>
  <si>
    <t>Lincoln Park Stone</t>
  </si>
  <si>
    <t>mailto:glenn_sg@frontier.com</t>
  </si>
  <si>
    <t>Linda F. Russell</t>
  </si>
  <si>
    <t>="Russell Appraisal Service provides real estate appraisals for lending institutions, private individuals and organizations, attorneys, and governmental entitites. Since 1998 right-of-way road and bicycle path projects have grown to comprise the majority of appraisal assignments for Russell Appraisal Service. Property types typically include improved residential and bare land. Individual appraisal problems have included relatively uncomplicated minimal roadside takes and temporary R/W to more complex assignments involving both total and partial acquisitions (including damages resulting from setback and loss of access). Linda Russell has been an Indiana real estate appraiser since 1984 and earned the SRA designation from the Appraisal Institute in 1991."</t>
  </si>
  <si>
    <t>mailto:russellapprsvc@verizon.net</t>
  </si>
  <si>
    <t>Linda Mora</t>
  </si>
  <si>
    <t>="ELA Cleaning Services is a full service Commercial and Industrial janitorial maintenance service. We provide our customers with 24hour/7days a week service. Services include: Janitorial maintenance, window cleaning and floor restoration and carpet cleaning."</t>
  </si>
  <si>
    <t>mailto:ELACleaningSvcs@aol.com</t>
  </si>
  <si>
    <t>Linda ODonnell</t>
  </si>
  <si>
    <t>Lindco Equipment Sal</t>
  </si>
  <si>
    <t>="Lindco offers sales, parts, service, repair and installation of steel, stainless steel and aluminum dump bodies and hoists. Steel, fiberglass and aluminum service, utility and crane bodies. Steel and aluminum stake, cargo, landscapers, platform and grain bodies. Snow and ice control equipment. Conventional, tukaway and rail type liftgates. Aerial buckets. Knuckle boom cranes and stick boom cranes. Central hydraulic systems. Warning light systems and components. Pickup and van accessories and more."</t>
  </si>
  <si>
    <t>http://www.lindco-usa.com</t>
  </si>
  <si>
    <t>mailto:lindco@lindco-usa.com</t>
  </si>
  <si>
    <t>Lindsey's Lumber &amp; Builders' Supply</t>
  </si>
  <si>
    <t>LinerLady, LLC.</t>
  </si>
  <si>
    <t>mailto:Jumarwoods@juno.com</t>
  </si>
  <si>
    <t>Link Environmental Equipment, Inc.</t>
  </si>
  <si>
    <t>http://www.linkeq.com</t>
  </si>
  <si>
    <t>mailto:link@sugardog.com</t>
  </si>
  <si>
    <t>Link Psychological &amp; Consulting Service</t>
  </si>
  <si>
    <t>mailto:linkpsyc@msn.com</t>
  </si>
  <si>
    <t>Link2 Technologies, Inc.</t>
  </si>
  <si>
    <t>http://www.link2tech.com</t>
  </si>
  <si>
    <t>mailto:bwerler@link2tech.com</t>
  </si>
  <si>
    <t>Lion Building Care &amp; Maintenance, Inc.</t>
  </si>
  <si>
    <t>="Your building maintenance is the first and last impression your business makes on its customers, clients, and its own employees. Lion Building Care &amp; Maintenance has proudly maintained the cleanliness and appearance for medical facilities, banks, churches, commercial, industrial, and retail locations. Our customers and their facilities have varied requirements and, because of that, we provide a comprehensive range of cleaning services to satisfy individual customer’s needs and budgets. We also provide special services such as carpet cleaning, move-in / move-out and construction clean-up."</t>
  </si>
  <si>
    <t>http://lionbuildingcare.com</t>
  </si>
  <si>
    <t>mailto:dabebe@lionbuildingcare.com</t>
  </si>
  <si>
    <t>Lippert Components, Inc.</t>
  </si>
  <si>
    <t>http://www.lci1.com</t>
  </si>
  <si>
    <t>Lisa Jo Robinson</t>
  </si>
  <si>
    <t>="JoVox is 'smarter audio solutions'. JoVox provides copywriting, National voice over talent and audio recording/editing/production services in English and in Spanish. The type of voice overs offered include Radio Station and Television Imaging, TV and Radio Commercials, Audio Books, Telephone Systems and Corporate Trainings."</t>
  </si>
  <si>
    <t>http://www.jovox.com</t>
  </si>
  <si>
    <t>Other Sound Recording Industries</t>
  </si>
  <si>
    <t>Lisa Jorman LLC</t>
  </si>
  <si>
    <t>Lisa M Earnhart, CPA</t>
  </si>
  <si>
    <t>="Public accounting firm providing; tax services - including preparation and consulting for income, payroll, property, and sales tax; attestation services - including management statements and compilations; outsourcing services - available for payroll, bookkeeping, controller and CFO services; and consulting services for tax, financial analysis, and divorce matters. Serving small and medium size Indiana businesses as well as individuals. Certified QuickBooks Proadvisor available."</t>
  </si>
  <si>
    <t>mailto:LisaMarieCPA@sbcglobal.net</t>
  </si>
  <si>
    <t>Lisa Renee Tyner Troxell</t>
  </si>
  <si>
    <t>http://www.tyner-photography.com</t>
  </si>
  <si>
    <t>mailto:LRTyner@tyner-photography.com</t>
  </si>
  <si>
    <t>Lisco, LLC</t>
  </si>
  <si>
    <t>mailto:jli@liscollc.com</t>
  </si>
  <si>
    <t>Lisle Family Eye Care, Inc</t>
  </si>
  <si>
    <t>mailto:nveyedocs@cinergymetro.net</t>
  </si>
  <si>
    <t>Liss Body &amp; Paint Shop Inc</t>
  </si>
  <si>
    <t>http://www.carstar-nwi.com</t>
  </si>
  <si>
    <t>Little Button Inc</t>
  </si>
  <si>
    <t>="For more than 40 years, Prosco, Inc. has produced and supplied some of the most innovative cleaners, coolants, rust preventatives and rust removers to many of the largest corporations in the world. Why do so many large and small companies choose Prosco, Inc. for their production cleaning needs? Simple, our products work!"</t>
  </si>
  <si>
    <t>http://www.proscoinc.com</t>
  </si>
  <si>
    <t>mailto:dhulsey@proscoinc.com</t>
  </si>
  <si>
    <t>Little Red Door Cancer Agency</t>
  </si>
  <si>
    <t>http://littlereddoor.org</t>
  </si>
  <si>
    <t>Little River Consultants, LLC</t>
  </si>
  <si>
    <t>="Natural resource firm specializing in streams, wetlands, stormwater quality, and endangered species. Services include wetland delineations, stream assessment, mitigation design, mitigation monitoring, erosion control inspections, watershed planning, preparation of NEPA documents, Clean Water Act Section 404/401 permit applications, and Construction in a Floodway applications."</t>
  </si>
  <si>
    <t>http://www.littleriverconsultants.com</t>
  </si>
  <si>
    <t>mailto:contact@littleriverconsultants.com</t>
  </si>
  <si>
    <t>Little Squeakers Window Washing Services</t>
  </si>
  <si>
    <t>http://www.littlesqueakersindiana.blogsp</t>
  </si>
  <si>
    <t>mailto:littlesqueakers01@gmail.com</t>
  </si>
  <si>
    <t>Little by Little Janitorial Services, LL</t>
  </si>
  <si>
    <t>mailto:JODIE.LITTLE@YMAIL.COM</t>
  </si>
  <si>
    <t>Livengood, McGuffey and Vickery, Inc.</t>
  </si>
  <si>
    <t>http://www.lmvconsulting.com</t>
  </si>
  <si>
    <t>mailto:info@lmvconsulting.com</t>
  </si>
  <si>
    <t>Living Aware, Inc.</t>
  </si>
  <si>
    <t>="Rebecca Minser, M.D. is a board-certified internist now practicing acupuncture. She offers Acupuncture and Herbs for Migraines, Asthma, Allergies, Arthritis, Dizziness, Gastrointestinal, or Menstrual problems, Pain Smoking and other difficulties. Tina Zion has been in the counseling field since 1978. She is also a certified hypnotist and a Reiki Master-Teacher."</t>
  </si>
  <si>
    <t>http://www.healingartsassociates.org</t>
  </si>
  <si>
    <t>mailto:wellbeing@healingartsassociates.org</t>
  </si>
  <si>
    <t>Living Legacy &amp; Associates Inc</t>
  </si>
  <si>
    <t>http://www.legacy1.com</t>
  </si>
  <si>
    <t>mailto:llegacy@legacy1.com</t>
  </si>
  <si>
    <t>Liz Ditzler Interior Design,</t>
  </si>
  <si>
    <t>http://lizditzler.com</t>
  </si>
  <si>
    <t>mailto:liz@lizditzler.com</t>
  </si>
  <si>
    <t>Liz Group, LLC</t>
  </si>
  <si>
    <t>="Liz Group, LLC provides clients professional event, marketing, management, and sponsorship services. These services include all-inclusive event planning (professional training seminars to amateur sporting events and all events in between); marketing and brand consultation and strategy fulfillment (e-newsletters, website, brochures, etc); association management, and sponsorship package development thru fulfillment."</t>
  </si>
  <si>
    <t>mailto:lizgroupllc@yahoo.com</t>
  </si>
  <si>
    <t>Liz Media Solutions</t>
  </si>
  <si>
    <t>mailto:ldininger@comcast.net</t>
  </si>
  <si>
    <t>Llanfair, Inc.</t>
  </si>
  <si>
    <t>="Llanfair works with people and organizations that deal with technology to help them be more productive. We don't chase after the latest management or technical fad. But we do focus on tried and true leadership methods that span business and technology. It is in that ability to work meaningfully and productively with technologists, business executives, and technology users that Llanfair shows its strength."</t>
  </si>
  <si>
    <t>http://www.llanfairinc.com</t>
  </si>
  <si>
    <t>mailto:info@llanfairinc.com</t>
  </si>
  <si>
    <t>Lloyds of indiana, Inc</t>
  </si>
  <si>
    <t>http://www.lloydsofindiana.com</t>
  </si>
  <si>
    <t>mailto:sales@lloydsofindiana.com</t>
  </si>
  <si>
    <t>Lochmandy Motor Sales</t>
  </si>
  <si>
    <t>mailto:jodell@lochmandymotors.com</t>
  </si>
  <si>
    <t>Lochmueller Group, Inc.</t>
  </si>
  <si>
    <t>="Lochmueller Group was founded in 1980 to help clients reinvent their future through actionable planning based on their aspirations and supported by applicable data and the most accurate forecasting tools available. Over time, the firm expanded, so that today we can assist clients from planning through execution. This allows us to suggest alternative approaches that save time and money. These include environmentally sensible solutions, such as green infrastructure, that support long-term sustainability, while respecting limited budgets. It also means we understand how decisions made today can impact your goals tomorrow. In short, what drives us today is still what our founders envisioned over 30 years ago— helping clients imagine and create plans and projects that optimize resources, realize their potential, and create a bright and prosperous future."</t>
  </si>
  <si>
    <t>http://blainc.com</t>
  </si>
  <si>
    <t>mailto:Marketing.Admin@lochgroup.com</t>
  </si>
  <si>
    <t>Locke De-Icing Solutions LLC</t>
  </si>
  <si>
    <t>http://www.haulinrocks.com</t>
  </si>
  <si>
    <t>mailto:info@haulinrocks.com</t>
  </si>
  <si>
    <t>Locke Trucking Inc</t>
  </si>
  <si>
    <t>Lockhart Custom Solutions LLC</t>
  </si>
  <si>
    <t>http://www.lockhartcs.com</t>
  </si>
  <si>
    <t>mailto:lockhart.bc@gmail.com</t>
  </si>
  <si>
    <t>Lockhart Enterprises Inc</t>
  </si>
  <si>
    <t>http://www.tophatphotoboothsindy.com</t>
  </si>
  <si>
    <t>mailto:carol@tophatphotobooths.com</t>
  </si>
  <si>
    <t>Lockman Peck, LLC</t>
  </si>
  <si>
    <t>="Lockman Peck, LLC is the only woman-owned U.S. manufacturer of swing and slide door systems. Located in Mishawaka, Indiana, this company has designed and manufacturers products intended for use in hospitals, clinics, colleges, aluminum store fronts and interior applications. The Model 2000 Swing Door operator provides compliance with the Federally required American's With Disabilities Act. When installed, a handicap push button will activate the automatic operator to open and close the door. This company serves 137 distributors in 40 states and has been awarded a GSA Contract with the U. S. Government. As the product has been over-engineered, mechanical failure is a rare occurrence and the electronic control provides every conceivable feature at no extra cost."</t>
  </si>
  <si>
    <t>http://www.automatedentrance.com</t>
  </si>
  <si>
    <t>mailto:sales@automatedentrance.com</t>
  </si>
  <si>
    <t>Lockwood's Service Inc.</t>
  </si>
  <si>
    <t>Lodge Design Inc</t>
  </si>
  <si>
    <t>http://lodgedesign.com</t>
  </si>
  <si>
    <t>mailto:jhagy@lodgedesign.com</t>
  </si>
  <si>
    <t>Loftus Engineering, Inc.</t>
  </si>
  <si>
    <t>="Engineering consulting services providing professionally engineered solutions to mechanical, electrical and control problems. Primary market sectors targeted are architectural, industrial, transportation, institutional and government clients with HVAC, plumbing, electrical power, lighting and system control design needs."</t>
  </si>
  <si>
    <t>http://loftusengineering.com</t>
  </si>
  <si>
    <t>mailto:kloftus@loftusengineering.com</t>
  </si>
  <si>
    <t>Logan &amp; Graham Accountants, P.C.</t>
  </si>
  <si>
    <t>="We are a locally-owned accounting practice based in Tipton, Indiana with 2 CPAs, 1 PA, and a staff accountant. We handle about 1,400 1040's and 100 business tax returns per year. We also handle bookkeeping, financial statement preparation, payroll processing, accounts payable, and QuickBooks and Peachtree support."</t>
  </si>
  <si>
    <t>mailto:pnlcpa&amp;tiptontel.com</t>
  </si>
  <si>
    <t>Logan Architects Inc</t>
  </si>
  <si>
    <t>mailto:loganarchitects@ameritech.net</t>
  </si>
  <si>
    <t>Logan Community Resources, Inc.</t>
  </si>
  <si>
    <t>http://www.logancenter.org</t>
  </si>
  <si>
    <t>mailto:cbolser@logancenter.org</t>
  </si>
  <si>
    <t>Logan Street Signs &amp; Banners</t>
  </si>
  <si>
    <t>http://www.LoganStreetSigns.com</t>
  </si>
  <si>
    <t>mailto:Sales@loganstreetsigns.com</t>
  </si>
  <si>
    <t>Logan Street Signs &amp; Banners, Inc.</t>
  </si>
  <si>
    <t>http://www.nobesvilletrophies.com</t>
  </si>
  <si>
    <t>mailto:sherry@loganstreetsigns.com</t>
  </si>
  <si>
    <t>LoganNet, Inc.</t>
  </si>
  <si>
    <t>http://www.Lneti.com</t>
  </si>
  <si>
    <t>mailto:sales@Lneti.com</t>
  </si>
  <si>
    <t>Logansport Lumber Co</t>
  </si>
  <si>
    <t>http://www.mccordsdoitbest.com</t>
  </si>
  <si>
    <t>mailto:info@mccordsdoitbest.com</t>
  </si>
  <si>
    <t>Logic Key, Inc.</t>
  </si>
  <si>
    <t>="Logic Key, Inc. is helping more businesses than ever find practical solutions for their technology needs. The world of information technology is ever changing and it is our duty to keep our clients up to date. What's hot, what's not; what's coming and what's going? Most companies have a good idea of what they need today, but what will they need tomorrow? How will they meet those needs when they get there? At Logic Key, we listen to your goals and help you exceed them. Logic Key will help you meet your current and future needs by introducing cost effective solutions in software and hardware. The manufacturers we recommend and use are industry leaders in quality and performance. Logic Key serves many markets, including: Health Care, Insurance, Temporary Staffing, Manufacturing Sales, and others. We currently handle companies ranging in annual revenue from $750,000 to $70+ million. Logic Key understands the needs of companies of many different sizes."</t>
  </si>
  <si>
    <t>http://www.logickey.com</t>
  </si>
  <si>
    <t>mailto:sales@logickey.com</t>
  </si>
  <si>
    <t>Logicalis</t>
  </si>
  <si>
    <t>="Hardware and software products provide the foundation for all IT environments. Starting with best-in-class solutions provides an excellent basis for a stable infrastructure. From mission-critical servers and complex wired and wireless networks to high-end storage and operating systems and much more, industry-leaders like HP, IBM, Cisco and others provide quality that has been counted on for decades. Technology is great when it works, but when it doesn’t it can mean considerable cost in terms of money, time and the potential of lost customers. Bringing multiple platforms from various vendors together can be challenging. Nearly all organizations today have little choice but to utilize a variety of products. Bringing those diverse platforms together is critical to a reliable IT environment that works with your business rather than against it. Through three primary service areas (AIM) Logicalis can help you accomplish this: Application services Infrastructure services M"</t>
  </si>
  <si>
    <t>http://www.us.logicalis.com</t>
  </si>
  <si>
    <t>mailto:jeff.brown@us.logicalis.com</t>
  </si>
  <si>
    <t>Logikos, Inc.</t>
  </si>
  <si>
    <t>="Logikos software engineering services company started in Fort Wayne, Indiana, January, 1978. Through a philosophy of “grow it right, grow it wisely.” We develop custom software for our outsource clients in the embedded, desktop and handheld markets. Example projects include an automobile telematics system for vehicle navigation and operator assistance, an underwater robotics system, diabetes management software, systems for noise tracking on cable TV, automobile stereo systems, active cruise control using radar, multimedia PC technology, self-steering automobiles, voice-recognition/voice-control for handhelds and engine control software. We provide services such as complete lifecycle project management, systems analysis and architecture, technical performance measurement, and requirements management."</t>
  </si>
  <si>
    <t>http://www.logikos.com</t>
  </si>
  <si>
    <t>Logistics Safety &amp; Security Corp.</t>
  </si>
  <si>
    <t>http://www.lsscorp.net</t>
  </si>
  <si>
    <t>mailto:info@lsscorp.net</t>
  </si>
  <si>
    <t>Logo's &amp; Promotions</t>
  </si>
  <si>
    <t>="The services that Logos and Promotions offers includes screen printing, embroidery, applique and advertising specialty items. We also have a cut and sew operation and offer customized items such as tablecloths, safety vest, boxer shorts, pajama pants, etc."</t>
  </si>
  <si>
    <t>http://www.companycasuals.com/logosandpr</t>
  </si>
  <si>
    <t>mailto:janislogosandpromos@gmail.com</t>
  </si>
  <si>
    <t>Logos To Go</t>
  </si>
  <si>
    <t>http://www.logostogo.net</t>
  </si>
  <si>
    <t>mailto:logostogo10@yahoo.com</t>
  </si>
  <si>
    <t>Lois D. Jones</t>
  </si>
  <si>
    <t>mailto:uplandvillage@att.net</t>
  </si>
  <si>
    <t>Long Printing Svcs</t>
  </si>
  <si>
    <t>="Allegra Print &amp; Imaging, formed in 1986, specializes in short run four color offset and digital printing from quantities of 1 to 50,000. Our state of the art digital equipment allows variable data personalization to enhance your marketing program. Inhouse design, prepress, full bindery and mailing services allow your job to be completed from start to finish with one phone call. Online ordering and promotional products add to your convenience."</t>
  </si>
  <si>
    <t>http://www.allegracastleton.com</t>
  </si>
  <si>
    <t>mailto:dklong@allegranet.com</t>
  </si>
  <si>
    <t>Long Run Partners, LLC</t>
  </si>
  <si>
    <t>Long's School of Cosmetology</t>
  </si>
  <si>
    <t>="As a family owned school of professional education since 1973, we understand the importance of creating a positive learning environment. We strive for our students to not only develop strong professional skills in your profession, but to also learn life lessons that will continue to have positive influence over your future for years to come. We pride ourselves in offering individualized education with smaller class instruction. We are extremely proud of our 100% Licensure Rate in Indiana and Illinois. Our school prides itself in enforcing the State of Indiana Cosmetology Board licensing rules and regulations. We Offer: No Federal Loans to Repay Monday-Friday Classes Weekends Free Full Time/Part Time Classes Affordable Payment Plans Graduate DEBT FREE Options Long's School of Cosmetology is owned and operated by Loree J Roberts and Britanee J Stivers. ""Where Friendly Service is ALWAYS in style""."</t>
  </si>
  <si>
    <t>http://www.LongsSchoolofCosmetology.com</t>
  </si>
  <si>
    <t>mailto:LongsSchoolofCosmetology@yahoo.com</t>
  </si>
  <si>
    <t>Cosmetology and Barber Schools</t>
  </si>
  <si>
    <t>Longe Optical-North</t>
  </si>
  <si>
    <t>Optical Goods Stores</t>
  </si>
  <si>
    <t>Lonnie M. Randolph</t>
  </si>
  <si>
    <t>mailto:attyrandolph@abcglobal.net</t>
  </si>
  <si>
    <t>Lorealee Moore</t>
  </si>
  <si>
    <t>mailto:lmship243@gmail.com</t>
  </si>
  <si>
    <t>Loree O. Everette Design Inc.</t>
  </si>
  <si>
    <t>="Phanomen/design is an interior design firm who is capable of doing all of the following services for our clients: Programming Space Analysis/Square Footage Optimization Space Planning/ Facility Planning Furniture Layouts Store Planning Budget Development Complete Design Development Site Verification Project Documentation Furniture, Fixture &amp; Equipment Specification Finish Specification, including Sustainable Selections Lighting Design &amp; Specifications Photometric Evaluation Artwork &amp; Accessories Procurement Interior Landscaping Coordination &amp; Procurement Complete Construction Documentation Shop Drawing Drafting Fixtures &amp; Casework Design State Construction Design Release"</t>
  </si>
  <si>
    <t>http://www.phanomen.com</t>
  </si>
  <si>
    <t>mailto:Loree@Phanomen.com</t>
  </si>
  <si>
    <t>Lorentson Manufacturing Company Inc.</t>
  </si>
  <si>
    <t>="Lorentson Manufacturing Co (LMC) is a full service supplier of plastic injection tooling and plastic injection molded product. Within our 135,000 sq ft facility, we offer product &amp; tool design, prototyping, tool building, sampling, inspection, production, assembly, shipping &amp; tool maintenance. LMC specializes in small to medium, highly engineered, close tolerance, multi-cavity functional components. We have 27 injection presses from 40-400 ton capacity. LMC also specializes in custom machining with CNC EDM's, Wire EDM's, and multi-axis high-speed CNC VMC's. LMC is privately held, family owned, with no debt &amp; over 63 years of sound financial performance."</t>
  </si>
  <si>
    <t>http://www.lorentson.com</t>
  </si>
  <si>
    <t>Lorenza Grace Tuujillo</t>
  </si>
  <si>
    <t>mailto:grace.trujillo@shelterdistribution.com</t>
  </si>
  <si>
    <t>Loretta's Cleaning Services</t>
  </si>
  <si>
    <t>Lori Brackemyre d/b/a My Media Directory</t>
  </si>
  <si>
    <t>http://www.IndianaMediaDirectory.com</t>
  </si>
  <si>
    <t>mailto:contact@MyMediaDirectory.com</t>
  </si>
  <si>
    <t>Loucks &amp; Weaver Financial Inc</t>
  </si>
  <si>
    <t>Loudermilk Contracting Inc</t>
  </si>
  <si>
    <t>http://www.loudermilkcontracting.com</t>
  </si>
  <si>
    <t>Lovely Results Inc.</t>
  </si>
  <si>
    <t>="LOVELY RESULTS INCORPORATED Janitorial &amp; Commercial Cleaning ______________________________________________________________ Lovely Results Incorporated provides quality professional cleaning service, without compromise; proving that exemplary cleaning standards can be easily maintained without expenditure increase to the customer. Our commercial and janitorial services include: • General Dusting • Sweeping and mopping the floors • Vacuuming all carpeted areas • Cleaning and Polishing the furniture • Freshen air • Emptying and replacing trash bags • General pickup • Kitchen/ break area cleaning • Cleaning and disinfecting bathrooms • Refilling toiletries Lovely Results Incorporated is a company built on integrity and quality customer service. Our staff of trained technicians provides our clients with experience, fair pricing and quality service. Please contact Turqueya Wilson at (773) 699-6168, to discuss future contract opportunities. Thank you in advance."</t>
  </si>
  <si>
    <t>http://www.lovelyresultsinc.com</t>
  </si>
  <si>
    <t>mailto:turqueya@lovelyresultsinc.com</t>
  </si>
  <si>
    <t>Lovelylawns &amp; landscaping</t>
  </si>
  <si>
    <t>mailto:g.owens@yahoo.com</t>
  </si>
  <si>
    <t>Loving Hands R On The Way LLC</t>
  </si>
  <si>
    <t>="Loving Hands R On The Way LLC home health agency is a for profit agency founded in 2008. We are located in the downtown Hammond Indiana area and service clients in Lake and Porter counties. We are a state licensed, ACHC accredited, Medicare/Medicaid certified agency. We are committed to offering our patients the highest standards of skill and excellence in health care. Great concern is placed on the comfort and well being of our patients. Therefore, we encourage and promote family participation. We value the importance of working together with our patients, their families, their doctors and all other health care providers involved in their care. By understanding this concept of care it has allowed us to meet our patients’ individual needs. Our specialty is in the area of providing skilled nursing, physical therapy, and home health aide service to clients that are homebound. Our business is located at 3523 165th St., Hammond, IN 46323."</t>
  </si>
  <si>
    <t>http://www.rlovinghands.com</t>
  </si>
  <si>
    <t>mailto:ronya@rlovinghands.com</t>
  </si>
  <si>
    <t>Lowe Professional Fl</t>
  </si>
  <si>
    <t>Loy-Quinn Inc.</t>
  </si>
  <si>
    <t>mailto:765-564-6148</t>
  </si>
  <si>
    <t>Lu Ann Shaffer Insurance Inc.</t>
  </si>
  <si>
    <t>="Lu Ann Shaffer Insurance Agency, Inc has been in business for 20+ years. We are affiliated with Farmers Insurance Group. At the Shaffer Insurance Agency, we strive to provide the best possible coverage with the lowest possible premiums. This is done by careful analysis of needs for each valued client. We are your best choice for your insurance needs."</t>
  </si>
  <si>
    <t>mailto:lshaffer@farmersagent.com</t>
  </si>
  <si>
    <t>Lucas Research and Consulting LLC</t>
  </si>
  <si>
    <t>mailto:barbara.lucas@sbcglobal.net</t>
  </si>
  <si>
    <t>Lucy Berry</t>
  </si>
  <si>
    <t>mailto:acs_surveying_co@earthlink.net</t>
  </si>
  <si>
    <t>Lucy Riegel CPA, PC</t>
  </si>
  <si>
    <t>Ludwig Crane Service, Inc.</t>
  </si>
  <si>
    <t>http://www.ludwigcrane.com</t>
  </si>
  <si>
    <t>mailto:info@ludwigcrane.com</t>
  </si>
  <si>
    <t>Ludwig Fish &amp; Produc</t>
  </si>
  <si>
    <t>mailto:ludwig@csinet.net</t>
  </si>
  <si>
    <t>Ludwig Inc.</t>
  </si>
  <si>
    <t>http://www.littlebirdframingstudio.com</t>
  </si>
  <si>
    <t>mailto:ffgallery10@aol.com</t>
  </si>
  <si>
    <t>Lueking &amp; Whitman Veterinary Clinic</t>
  </si>
  <si>
    <t>Luisi Enterprises</t>
  </si>
  <si>
    <t>="Carmel Pro Printer opened in 1979 and quickly became a full service commercial printer that can handle your printing needs, including: Single color to multiple color jobs such as: Carbonless Forms, Pocket Folders, Stationary, Folding Cartons, Brochures, Booklets, etc... Small and large print runs High volume photocopying as well as digital color output A variety of finishing services are also available including binding, laminating, padding, collating, die-cutting, scoring, folding, stitching and more. Our approach is simple. Combine the strategic considerations with an intimate knowledge of the latest in printing technology and you have a winning formula for success. Let Carmel Pro Printer, design, pre-press, print and post-press operations work together as a team to provide results that maximize efficiency, economics and quality for you."</t>
  </si>
  <si>
    <t>http://www.carmelproprinter.com</t>
  </si>
  <si>
    <t>mailto:art@carmelproprinter.com</t>
  </si>
  <si>
    <t>Luke Oil Co., Inc.</t>
  </si>
  <si>
    <t>http://www.lukeoil.com</t>
  </si>
  <si>
    <t>mailto:csmith@lukeoil.com</t>
  </si>
  <si>
    <t>Lukemeier Industrial Mold &amp; Machine Co.,</t>
  </si>
  <si>
    <t>="LIMMCO is a registered ISO 9001;2000 Woman-owned small business that designs and builds class ""A"" molds, manufactures custom plastic injected molded parts and performs intricate tooling and fixtures, as it has for over a quarter of a century. LIMMCO is a full service molding house that can generate anything from small sample runs to high production. LIMMCO can design and build a mold, produce high quality plastic parts and ship them at a low cost."</t>
  </si>
  <si>
    <t>http://www.limmco.com</t>
  </si>
  <si>
    <t>mailto:missys@limmco.com</t>
  </si>
  <si>
    <t>Lumanlan Associates, Inc.</t>
  </si>
  <si>
    <t>="Lumanlan Associates, Inc. is a creative firm specializing in the planning and design of Foodservice Facilities. As an independent consulting firm, we are not in any way associated with the manufacture or sale of equipment, supplies or products. Design Services include, but are not limited to: Pre-Design Concepts, Equipment Plans, Utility Requirement Plans, Equipment Specifications and Details, Coordination With Design Team and Regulatory Agencies, Bid Documents, and Post Contract Services."</t>
  </si>
  <si>
    <t>mailto:lesterlumanlan@sbcglobal.net</t>
  </si>
  <si>
    <t>Lumenociti, Inc.</t>
  </si>
  <si>
    <t>http://www.lumenociti.com</t>
  </si>
  <si>
    <t>mailto:smccomas@lumenociti.com</t>
  </si>
  <si>
    <t>LumiNET Voice &amp; Data</t>
  </si>
  <si>
    <t>="LumiNET is a trusted advisor founded upon the assumption that the management of information and communications for business is not a do-it-yourself proposition. It relies upon professional knowledge and advice just as if your business was dealing with its legal, accounting, banking and other professional consultants. Smart business people, who aren’t experts in the deployment of enterprise-wide communications and information management, need to find quality advisors to direct them to reliable solutions, service and support after the sale. LumiNET is that advisor to our clients. LumiNET concentrates on providing our customers with measurable return on investment through the strategic implementation of proven and reliable solutions that give them a competitive advantage. We focus upon improving our customers cost of operations, service delivery, efficiency and effectiveness to improve their bottom line. Many of our customers tell us we are their BEST vendor."</t>
  </si>
  <si>
    <t>http://www.goluminet.com</t>
  </si>
  <si>
    <t>mailto:mikek@goluminet.com</t>
  </si>
  <si>
    <t>Lumin Advisors</t>
  </si>
  <si>
    <t>="Lumin Advisors provides services to help businesses improve. Lumin Advisors combines financial analysis with operating processes and data management to determine the changes that will best meet the organization’s goals. The definition of improvement varies by client but usually falls into one or more of the following categories: 1. Increase revenue 2. Decrease expenses 3. Increase customer service 4. Identify asset risk (theft opportunities) and develop preventative and detective processes 5. Compliance reviews 6. Determine the data needed for good management decisions and modify existing or obtain new systems to provide the required data 7. Teach management and staff how to use the data produced by their systems 8. Design, document, train, and implement new processes 9. Test hardware and software systems for contract compliance and accuracy. 10. Audits - construction, finance, project management, parking, concessions, process. Lumin Advisors can assist in a"</t>
  </si>
  <si>
    <t>http://www.lumin.us.com</t>
  </si>
  <si>
    <t>mailto:mkrakowski@luminadvisors.com</t>
  </si>
  <si>
    <t>Luna Transport Inc</t>
  </si>
  <si>
    <t>http://www.facebook.com/pages/Two-Men-An</t>
  </si>
  <si>
    <t>mailto:gabriel.soukup@twomen.com</t>
  </si>
  <si>
    <t>Lundgren Insurance &amp; Financial Services</t>
  </si>
  <si>
    <t>mailto:swlmilfe@bluemarble.net</t>
  </si>
  <si>
    <t>Lupke Insurance Agency, Inc.</t>
  </si>
  <si>
    <t>http://www.lupkerice.com</t>
  </si>
  <si>
    <t>Luther Consulting</t>
  </si>
  <si>
    <t>="Luther Consulting provides consulting related to program evaluation, research, and associated technology services in areas such as public health, behavioral health, social service, education, and private or public organizational functioning. Our company has the flexibility to meet the needs of smaller organizations, but is large enough to guarantee timely results. Evaluation and research services are achieved through a dedicated and highly qualified staff with over 10 years of experience in behavioral science and program evaluation. Web-based services, available for private and public organizations, include data collection programs, live technical assistance, statistical reporting, and customized real-time reports available online. Recipients of onsite consulting and research services currently include public health organizations, universities, social services organizations, and other non-profit organizations."</t>
  </si>
  <si>
    <t>http://www.lutherconsutling.com</t>
  </si>
  <si>
    <t>mailto:mail@lutherconsulting.com</t>
  </si>
  <si>
    <t>Lutheran Child and Family Services of IN</t>
  </si>
  <si>
    <t>="Lutheran Child and Family Services is located in Indianapolis, primarily serving Marion and the surrounding counties, but serve State-wide. We are a Faith-based, long term, residential care and community based services for youth ages 6-18, and their families. We team with families to restore relationships and transform lives."</t>
  </si>
  <si>
    <t>http://www.lutheranfamily.org</t>
  </si>
  <si>
    <t>Residential Mental Health and Substance Abuse Facilities</t>
  </si>
  <si>
    <t>Lutheran Social Ser.</t>
  </si>
  <si>
    <t>http://lssin.org</t>
  </si>
  <si>
    <t>mailto:glhemrick@lssin.org</t>
  </si>
  <si>
    <t>Lutz Irrigation and Drainage</t>
  </si>
  <si>
    <t>="I am a small Irrigation company moved to Indiana in 2003 from the state of Texas where I am still currently a licensed Irrigator in good standing since 1989 I have been in this line of business for almost 20 years and have worked on many different size projects. My primary expertise is in servicing of exsisting irrigation systems but have also installed many systems from small residential to large commercial projects consisting of acres of irrigated areas. I do all my own design work and am involved with every aspect of a project."</t>
  </si>
  <si>
    <t>mailto:Llutz138138@cs.com</t>
  </si>
  <si>
    <t>Management of Companies and Enterprises</t>
  </si>
  <si>
    <t>Lynn H. Armstrong &amp; Associates, Inc.</t>
  </si>
  <si>
    <t>mailto:lynn.armstrong@sbcglobal.net</t>
  </si>
  <si>
    <t>Lynn Trucking</t>
  </si>
  <si>
    <t>mailto:PHALL0284@AOL.COM</t>
  </si>
  <si>
    <t>Lynn's Embroidery &amp; Graphics, INC.</t>
  </si>
  <si>
    <t>http://www.lynndeno.com</t>
  </si>
  <si>
    <t>mailto:lynn@lynndeno.com</t>
  </si>
  <si>
    <t>M &amp; B Trucking LLC</t>
  </si>
  <si>
    <t>mailto:mbtruckingllc@live.com</t>
  </si>
  <si>
    <t>M &amp; M Auto Sales</t>
  </si>
  <si>
    <t>mailto:mmautosales@earthlink.net</t>
  </si>
  <si>
    <t>Used Car Dealers</t>
  </si>
  <si>
    <t>M &amp; M ENTERPRISE</t>
  </si>
  <si>
    <t>http://mmlawnmower.com</t>
  </si>
  <si>
    <t>mailto:mmower@mikes.net</t>
  </si>
  <si>
    <t>M &amp; M Trim, Inc.</t>
  </si>
  <si>
    <t>="We are a family owned, indiana based, residential construction company. We have over one hundred years combined experience in all facites of construction. We are a diversifed corporation that owns real estate all across Indianapolis. We operated a residential service team that works with homeowners over the greater metropolitian area. We are a ground up company that has been building homes since the mid ninetys. We are a member in good standing with the Greater Indianapolis Chamber of Commerce. We are an active participant with the Indiana Habitat for Humanity, working on projects on a yearly basis. We also give back to our local southside community by sponcering local little leage baseball. We have been in business since 1995 and look forward to growing with the great city of indianapolis well into the 21st century."</t>
  </si>
  <si>
    <t>mailto:pat.fritz@yahoo.com</t>
  </si>
  <si>
    <t>M A S MARKERS INC</t>
  </si>
  <si>
    <t>M C Supply &amp; Service Company LLC</t>
  </si>
  <si>
    <t>http://WWW.MCSUPPLY.ORG</t>
  </si>
  <si>
    <t>mailto:ray@mcsupply.org</t>
  </si>
  <si>
    <t>M R Designs, Inc.</t>
  </si>
  <si>
    <t>="M R Designs, Inc. was founded in 1995 and was incorpatated in 2000. Our purpose is to provide Mechanical Designs for industries and the general public. We have over thirty years of experance in the field of mechanical designs and drafting. From special machines to gauges and fixturing to plastic and die cast molds. We are a CAD design service. Our Purpose is to help comany's and indiviguals document their produts, tooling, and prototype equipment. With a personal touch with the customer."</t>
  </si>
  <si>
    <t>http://MRDesigns-Inc.com</t>
  </si>
  <si>
    <t>mailto:mrdesigns@sbcglobal.net</t>
  </si>
  <si>
    <t>M STONE CONSTRUCTION INC</t>
  </si>
  <si>
    <t>mailto:mstoneconstruction@sbcglobal.net</t>
  </si>
  <si>
    <t>M V Farrar Electric</t>
  </si>
  <si>
    <t>M&amp;B Harston Communic</t>
  </si>
  <si>
    <t>M&amp;M Office Products</t>
  </si>
  <si>
    <t>="Specialize in Printers, Copiers, Facimiles, Shredders. We are a Kyocera-Mita and Oki-Data Dealer. Also have access to Dell, HP, Canon, Sharp and other machine brands. Machines available for rental, leasing, or purchase. We service machines as well. We sell ink and toner cartridges(OEM and Compatible available.) Located in Sellersburg Indiana. *Service calls local to southeastern Indiana only. Supplies can be shipped statewide."</t>
  </si>
  <si>
    <t>mailto:mmoffice@thepoint.net</t>
  </si>
  <si>
    <t>M&amp;M Tax Service</t>
  </si>
  <si>
    <t>mailto:m.orkmon@sbcglobal.net</t>
  </si>
  <si>
    <t>M&amp;W Pump DBA JM Auto</t>
  </si>
  <si>
    <t>M-Plan, Inc.</t>
  </si>
  <si>
    <t>="M•Plan is locally and provider owned by The HealthCare Group, LLC, one of Indiana's largest managed care organizations. Its health system owners include Clarian Health Partners in Indianapolis, Community Hospitals Indianapolis, and Deaconess Hospital in Evansville."</t>
  </si>
  <si>
    <t>http://www.mplan.com</t>
  </si>
  <si>
    <t>M. J. Schuetz Insurance Services, Inc.</t>
  </si>
  <si>
    <t>http://wwwMJSchuetzInsuranceServcies.com</t>
  </si>
  <si>
    <t>mailto:vwolcott@mjsis.com</t>
  </si>
  <si>
    <t>M. Nelson &amp; Associates, Inc.</t>
  </si>
  <si>
    <t>http://www.mnelson.com</t>
  </si>
  <si>
    <t>mailto:carolina@mnelson.com</t>
  </si>
  <si>
    <t>M. R. Brown &amp; Co., LLC</t>
  </si>
  <si>
    <t>mailto:jocko@ccrtc.com</t>
  </si>
  <si>
    <t>M.A.M inc.</t>
  </si>
  <si>
    <t>="A-Z is a professionally owned company with many years of experience in the pest control industry in Indiana. We thrive because of our competitive pricing, quality of work, and customer satisfaction. We regularly provide training of our service team to ensure a premiere customer experience for each client. We are capable of offering the best pest control service in Indiana."</t>
  </si>
  <si>
    <t>mailto:mamchicago@gmail.com</t>
  </si>
  <si>
    <t>M.A.T. Consulting, Inc.</t>
  </si>
  <si>
    <t>="As President of M.A.T. Consulting, Margie combines her 15 years of management experience with 10 years of experience in training and facilitation to help organizations learn how to tame the chaos. Drawing from her degrees in Biology and Chemistry from Indiana University, she continues to study and work with the complex scientific processes of communications that make organizations thrive. You will receive a personalized, strategic process and specific communications techniques to enhance leadership skills and job performance. Margie offers a variety of venues to learn her tools including conference keynotes, full-day seminars, workshops, executive retreats, on-site consultation and resource learning products. Her latest book is titled Real World Team Building Strategies that Work. She is currently completing a new book entitled The Issue Behind the Issue, scheduled for publication 2006."</t>
  </si>
  <si>
    <t>http://www.MATCONSULTING.com</t>
  </si>
  <si>
    <t>mailto:Margie@MATConsulting.com</t>
  </si>
  <si>
    <t>M.E.D. Communications LLC</t>
  </si>
  <si>
    <t>="MED Communications LLC provides writing services, producing documents such as news releases, Web content, grant applications, speeches, brochure copy, book copy (including ghostwritten copy), video scripts, letters, PowerPoint presentations, newsletter content and internal communiqués. We craft written and spoken words that forcefully, precisely and evocatively convey our clients’ message, tone, attitude and vision. MED’s editing services transform pedestrian products into masterfully efficacious documents. We edit everything from Web content to technical reports to books. In addition, MED Communications offers consultation on dealing with the news media and crisis communications."</t>
  </si>
  <si>
    <t>http://www.maryedieter.com</t>
  </si>
  <si>
    <t>mailto:maryedieter@aol.com</t>
  </si>
  <si>
    <t>M.L. Taylor Construction, Inc.</t>
  </si>
  <si>
    <t>http://sales@mltaylor.biz</t>
  </si>
  <si>
    <t>mailto:trichardson@mltaylor.biz</t>
  </si>
  <si>
    <t>M.S.D. of Wayne Township</t>
  </si>
  <si>
    <t>http://www.wayne.k12.in.us</t>
  </si>
  <si>
    <t>M.T. Publishing Company, Inc.</t>
  </si>
  <si>
    <t>="Our publishing company specializes in producing historical books and anniversary books for local historical/genealogical societies, police/fire, corporate clients and individual authors. Our popular no-risk program is a full service approach to publishing, providing all the services necessary to see each project through to a successful completion with the least amount of work on behalf of the client. Our full range of services include layout/design, order processing/fulfillment/distribution, advertising/marketing and more. Our books are available at bookstores and retail stores nationwide. Our list of clients includes Ford Motor Company, the Indiana State Police, Indianapolis Fire Department, Indiana FFA (Future Farmers of America) and hundreds more. We were established in 1986 and are located in Evansville, Indiana, employing Indiana residents and we are ready to serve your publishing/printing needs."</t>
  </si>
  <si>
    <t>http://www.mtpublishing.com</t>
  </si>
  <si>
    <t>mailto:info@mtpublishing.com</t>
  </si>
  <si>
    <t>M2 Promotions</t>
  </si>
  <si>
    <t>="M2 Promotions is a 100% woman owned business that procures and sells advertising specialty items such as promotional products, logo-ed apparel, printing services and direct mail services. M2 Promotions was created for customers that want and need a vendor that works to understand your business and needs, to supply you with the latest products and services to drive mindshare and improve ROI. We have more than 20 years marketing and promoting businesses through branded apparel, promotional products and print collateral."</t>
  </si>
  <si>
    <t>http://www.M2-promotions.com</t>
  </si>
  <si>
    <t>mailto:info@m2-promotions.com</t>
  </si>
  <si>
    <t>M2 Technology Solutions, LLC</t>
  </si>
  <si>
    <t>="• Proactive network management, desktop support, network security and/or managed hosting • Remote monitoring and management of servers and devices (24x7) • Scheduled maintenance • Security and risk management • Intrusion detection • Anti-virus management and verification • Spam filtering • Automated alerting and event notification • Patch management • Dynamic management of administrator passwords • Event log analysis, clean up, and reporting • Online and onsite backup for data integrity • Performance and capacity (bandwidth) monitoring and management • Emergency support (24 x 7) • Asset and software management • Expert-on-demand access and remote management capabilities • Access to automation tools and enterprise products"</t>
  </si>
  <si>
    <t>mailto:marcyrturner@gmail.com</t>
  </si>
  <si>
    <t>M3V LLC</t>
  </si>
  <si>
    <t>="M3V, LLC (M3V) is a woman-owned small business based in Indiana specializing in environmental consulting, testing and environmental software development. M3V provides practical and timely solutions to air/water/land testing and monitoring, regulatory compliance, soil remediation, waste management, litigation challenges and environmental data management for numerous clients. M3V’s specialists have a broad experience in the environmental engineering, consulting and software development arena. Our clients are foundries, energy sector, printing industry, automotive and grain industry, pulp and paper, magnet-wire industry, metal refinishers, hospitals, schools, universities, etc. General areas: · Environmental Consulting, · Auditing, · Monitoring, · Sampling, · Due diligence, · Stack Testing, · Mold Investigations, · Federal &amp; State Regulatory Compliance Assistance · Environmental Software Design · Soil Remediation, · Environmental Management Systems · Permitting"</t>
  </si>
  <si>
    <t>http://www.m3v.net</t>
  </si>
  <si>
    <t>mailto:info.m3v@earthlink.net</t>
  </si>
  <si>
    <t>MA Hacker Security, Inc.</t>
  </si>
  <si>
    <t>http://WWW.MAHACKERSECURITYINC.COM</t>
  </si>
  <si>
    <t>mailto:MAHACKERSECURITYINC@GMAIL.COM</t>
  </si>
  <si>
    <t>MAC ALLISTER MACHINERY CO INC</t>
  </si>
  <si>
    <t>http://www.macallister.com</t>
  </si>
  <si>
    <t>MAC CONSTRUCTION &amp; EXCAVATING INC</t>
  </si>
  <si>
    <t>="MAC's work consist of all major earthwork, grade and drain, storm/sanitary/water pipeline and finish grade. MAC performs asphalt and concrete work including bridge structures, headwalls, retaining walls, curbs, paved ditches and sidewalks. MAC also performs seeding, strawing, fencing, bridge approaches, bridge demolition and traffic control."</t>
  </si>
  <si>
    <t>http://MACCONSTRUCTION.COM</t>
  </si>
  <si>
    <t>mailto:BRYANW@MACCONSTRUCTION.COM</t>
  </si>
  <si>
    <t>MAC Consulting, LLC</t>
  </si>
  <si>
    <t>="MAC Consulting, LLC (MAC) was formed for the purpose of providing financial consulting services to the transportation industry. MAC’s primary marketplace is the aviation industry and specifically airports nationwide, with a targeted focus on medium and small hub airports. We have a secondary market of project management companies specialized in transportation."</t>
  </si>
  <si>
    <t>mailto:jmattlin@macconsultingllc.com</t>
  </si>
  <si>
    <t>MAGIC GLASS, INC.</t>
  </si>
  <si>
    <t>MAIDS OF HONOR</t>
  </si>
  <si>
    <t>MAJESTIC ELECTRIC COMPANY, INC.</t>
  </si>
  <si>
    <t>mailto:jcraig@majesticelectric.com</t>
  </si>
  <si>
    <t>MAJESTIC REAL ESTATE INC</t>
  </si>
  <si>
    <t>https://www.majesticrealtyinc.com</t>
  </si>
  <si>
    <t>mailto:majestic_realty@yahoo.com</t>
  </si>
  <si>
    <t>MANAGED PROPERTIES P</t>
  </si>
  <si>
    <t>mailto:PAY@SBCGLOBAL.NET</t>
  </si>
  <si>
    <t>MANNIA GREEN, LLP</t>
  </si>
  <si>
    <t>http://www.manniagreen.com</t>
  </si>
  <si>
    <t>mailto:mbeaver@manniagreen.com</t>
  </si>
  <si>
    <t>MANPOWER</t>
  </si>
  <si>
    <t>MAPLE CITY MECHANICAL INC</t>
  </si>
  <si>
    <t>http://www.maplecitymech.com</t>
  </si>
  <si>
    <t>mailto:bsnyder@maplecitymech.com</t>
  </si>
  <si>
    <t>MARCO SUPPLY COMPANY</t>
  </si>
  <si>
    <t>Hardware, and Plumbing and Heating Equipment and Supplies Wholesalers</t>
  </si>
  <si>
    <t>MARCUS ANTHONY JOHNSON</t>
  </si>
  <si>
    <t>mailto:mjsupplies@hotmail.com</t>
  </si>
  <si>
    <t>MARIA SUSANA RECK</t>
  </si>
  <si>
    <t>mailto:jackbras2003@yahoo.com</t>
  </si>
  <si>
    <t>Language Schools</t>
  </si>
  <si>
    <t>MARIA SUSANA RECK dba SPRINGTIME COMPANY</t>
  </si>
  <si>
    <t>="MSReck dba Springtime Company is a small woman owned business that is owned by American citizens an hires American workers. The business is headquartered in Homestead, Florida and has branches in Argentina, Brazil and Sunnyvale, California, USA. The reason being is that Springtime maintains a close contact with the Spanish speaking world, oftentimes participating in language seminars to improve and perfect translating techniques and language meanings. MSReck Springtime performs translations from English to continental Spanish; Brazilian Portuguese, Italian, French, German, Mandarian, Arabic, among other languages."</t>
  </si>
  <si>
    <t>MARINE INDUSTRIES CORP.</t>
  </si>
  <si>
    <t>http://www.marineworks.com</t>
  </si>
  <si>
    <t>mailto:mic@marineworks.com</t>
  </si>
  <si>
    <t>Transportation Equipment and Supplies (except Motor Vehicle) Merchant Wholesalers</t>
  </si>
  <si>
    <t>MARJEN Inc</t>
  </si>
  <si>
    <t>mailto:mjwaechter@live.com</t>
  </si>
  <si>
    <t>MARSHAL SAFETY INC</t>
  </si>
  <si>
    <t>http://marshalsafety.com</t>
  </si>
  <si>
    <t>mailto:shall@marshalsafety.com</t>
  </si>
  <si>
    <t>MARSHALL BUILDING SPECIALTIES</t>
  </si>
  <si>
    <t>http://WWW.MARSHALLBLDGSPEC.COM</t>
  </si>
  <si>
    <t>mailto:BMARSHALL@MARSHALLBLDGSPEC.COM</t>
  </si>
  <si>
    <t>MARTIN ASPHALT AND CONCRETE CONSTRUCTION</t>
  </si>
  <si>
    <t>="WE DO ALL CONCRETE WORK AS WELL AS ASPHALT WORK,CONCRETE FLAT WORK,DRIVEWAYS ,ROAD WORK ,SIDEWALKS,CURBS,WE CAN DO SMALL CREEK BRIDGES,ASPHALT WALKS AND DRIVEWAYS AS WELL AS ROAD WORK.WE DO WALLS,SLOP WALLS,WE DO JUST ABOUT ANYTHING TO DO WITH BOTH.WE ALSO DO DEMOLITION WORK AND CLEAN UP SITE WORK"</t>
  </si>
  <si>
    <t>mailto:slammabamer17@yahoo.com</t>
  </si>
  <si>
    <t>MARTIN EYE CLINIC</t>
  </si>
  <si>
    <t>http://MARTINEYECLINIC.COM</t>
  </si>
  <si>
    <t>MARTIN'S BODY SHOP INC</t>
  </si>
  <si>
    <t>http://martinsbodyshop.com</t>
  </si>
  <si>
    <t>mailto:dave@martinsbodyshop.com</t>
  </si>
  <si>
    <t>MASONRY ERECTORS</t>
  </si>
  <si>
    <t>="Masonry Erectors is a minority/veteran owned masonry sub contracting business that specializes in commercial brick, block (CMU), and pre-fab panel installation. Masonry Erectors also provides demolition services, tuckpointing/historical tuckpointing, foundations, residential brick and block work, installation of doors and garage door openings in brick or block walls, and installation of ceramic tile."</t>
  </si>
  <si>
    <t>mailto:1ayfield1@att.net</t>
  </si>
  <si>
    <t>Masonry, Drywall, Insulation, and Tile Contractors</t>
  </si>
  <si>
    <t>MATNEY AGRI PRODUCTS CORP</t>
  </si>
  <si>
    <t>="Wholesale and Retail Sales of farm equipment including, but not limited to: Livestock Production equipment and supplies, Liquid Manure Equipment pumps, tanks and parts, Hoop and Canvas Buildings, Fencing, Waterers, Feeders , Confinement Equipment, Fans and Ventilation equipment, Gypsoil, High Pressure Washers, used equipment ."</t>
  </si>
  <si>
    <t>http://www.matneyagri.com</t>
  </si>
  <si>
    <t>mailto:info@matneyagri.com</t>
  </si>
  <si>
    <t>MATRIX INTEGRATION</t>
  </si>
  <si>
    <t>="Matrix Integration is a woman-owned systems and network integrator headquartered in Southern Indiana. Matrix has been serving state, regional and international clients for more than 25 years. Named as one of the top 500 resellers and one the top 10 interconnects in the US, Matrix has the experience to assist with a multitude of computer and telecommunications needs. Also, with partnerships with such industry leaders as HP, Juniper, Cisco, IBM, Microsoft, VMware, Mitel, and others, Matrix is poised to provide a vast array of solutions depending upon the needs of our clients. Matrix Integration has extensive contract knowledge in the Government, Higher Education, K-12, Commercial and Healthcare markets."</t>
  </si>
  <si>
    <t>http://www.matrixintegration.com</t>
  </si>
  <si>
    <t>mailto:cwilliams@matrixintegration.com</t>
  </si>
  <si>
    <t>MAX PITTS YAMAHA INC.</t>
  </si>
  <si>
    <t>http://MAXPITTS.COM</t>
  </si>
  <si>
    <t>mailto:MAXPITTS.COM</t>
  </si>
  <si>
    <t>MAXIM HEALTHCARE SERVICES</t>
  </si>
  <si>
    <t>http://www.maximstaffin.com</t>
  </si>
  <si>
    <t>mailto:indianapolisstaffing@maxhealth.com</t>
  </si>
  <si>
    <t>MAXIMUM Hteating &amp; Cooling Inc</t>
  </si>
  <si>
    <t>MB Water, Inc</t>
  </si>
  <si>
    <t>="Water treatment systems, water softeners, reverse osmosis systems, deionized water systems, salt and bottled water for residential, commercial and industrial applications. We service the entire state of Indiana for commercial and indistrial services. Engineering and design services available."</t>
  </si>
  <si>
    <t>http://Culliganof TerreHaute.com</t>
  </si>
  <si>
    <t>mailto:culliganth@verizon.net</t>
  </si>
  <si>
    <t>MBC Group Inc.</t>
  </si>
  <si>
    <t>="Capabilities Statement MBC Group Mr. Holloway holds a current Secret Security Clearance. Logistic Solutions: Facilities management- coordinate and oversee the safe, secure, and environmentally sound operations and maintenance of secure and non-secure assets in a cost effective manner aimed at long-term preservation of the asset value. · General and Specialized Staff Augmentation (Including I/T) · Army RESET and Maintenance Programs · Facilities Management · Warehouse and Inventory Management · Project Management · Light Industrial and Assembly · Comprehensive Safety Planning Staffing Solutions- provide administrative, executive, professional, and technical level staffing to include engineering and biomedical associates. · Customer service representatives · Human resource professionals · Electrical, Structural, Mechanical Engineers · Light Industrial and Assembly · Warehouse inventory/stock control and order processing · Medical and Lab Professionals · "</t>
  </si>
  <si>
    <t>http://www.mbcgroup.us</t>
  </si>
  <si>
    <t>mailto:eholloway@mbcgroup.us</t>
  </si>
  <si>
    <t>MBD Services LLC</t>
  </si>
  <si>
    <t>http://www.mbdpainters.com</t>
  </si>
  <si>
    <t>mailto:mercedes@mbdpainters.com</t>
  </si>
  <si>
    <t>MBK Services, Inc</t>
  </si>
  <si>
    <t>http://www.pciprint.com</t>
  </si>
  <si>
    <t>mailto:info@pciprint.com</t>
  </si>
  <si>
    <t>MBP Inc</t>
  </si>
  <si>
    <t>="Mary Beth Poe and her team of professionals have been creating distinctive events since 1987. We have built an impeccable reputation as one of Indianapolis' finest caterers for almost 21 years. Known for our courteous and professional service and our excellent cuisine, MBP settles for nothing less than perfection in every area of catering. MBP provides a wide selection of food along with an infinite number of combinations. We will create customized menus for all of our customers' events. MBP is also fully licensed and insured to handle all of your beverage service needs."</t>
  </si>
  <si>
    <t>http://www.mbpcatering.com</t>
  </si>
  <si>
    <t>mailto:marypoe@mbpcatering.com</t>
  </si>
  <si>
    <t>MC 2 INC</t>
  </si>
  <si>
    <t>MC Aluminum America,</t>
  </si>
  <si>
    <t>http://www.mcaluminum.net</t>
  </si>
  <si>
    <t>mailto:mcaluminum@mcaluminum.net</t>
  </si>
  <si>
    <t>Secondary Smelting and Alloying of Aluminum</t>
  </si>
  <si>
    <t>MCCAIN CONSULTING GROUP, LLC</t>
  </si>
  <si>
    <t>="The McCain Consulting Group, LLC is a multi-faceted firm primarily engaged in providing social assistance services for the welfare of children and families in such areas as adoption and foster care, drug prevention, life skills training, and positive social development."</t>
  </si>
  <si>
    <t>http://www.mccainconsultinggroup.com</t>
  </si>
  <si>
    <t>mailto:terri@mccainconsultants.com</t>
  </si>
  <si>
    <t>MCCUBBIN FORD INC</t>
  </si>
  <si>
    <t>http://www.mccubbin.net</t>
  </si>
  <si>
    <t>mailto:mccubbin@seidata.net</t>
  </si>
  <si>
    <t>MCDS Ventures LLC</t>
  </si>
  <si>
    <t>http://www.360services.com</t>
  </si>
  <si>
    <t>mailto:mcollins@get360services.com</t>
  </si>
  <si>
    <t>MCE Investments</t>
  </si>
  <si>
    <t>http://www.sealantsales.com</t>
  </si>
  <si>
    <t>mailto:kathy.oconnell@sealantsales.com</t>
  </si>
  <si>
    <t>MCFARLING FOODS INC</t>
  </si>
  <si>
    <t>http://www.mcfarling.com</t>
  </si>
  <si>
    <t>mailto:dlc@mcfarling.com</t>
  </si>
  <si>
    <t>MCGEE DESIGNHOUSE, INC.</t>
  </si>
  <si>
    <t>="McGee Designhouse is an inclusive interior design firm with more than 12 years of commercial experience specializing in Corporate, Healthcare and Higher Education design. Some of our many services include: Existing Conditions Assessment, Schematic Design and Space Planning, Design Development, Finish, Furniture and Artwork Selection and Specification, Construction Documents, Construction Administration and Project Control Binders. McGee Designhouse creates innovative strategies that successfully bring concepts to life."</t>
  </si>
  <si>
    <t>http://www.mcgeedesignhouse.com</t>
  </si>
  <si>
    <t>mailto:melinda@mcgeedesignhouse.com</t>
  </si>
  <si>
    <t>MCH Commercial Real Estate Management</t>
  </si>
  <si>
    <t>http://www.mchindianapolis,com</t>
  </si>
  <si>
    <t>mailto:mchconsulting@outlook.com</t>
  </si>
  <si>
    <t>MCIS LLC</t>
  </si>
  <si>
    <t>MCNALLY EMTERPRISES LLC</t>
  </si>
  <si>
    <t>mailto:alts1@aol.com</t>
  </si>
  <si>
    <t>MCR Excavating, Inc.</t>
  </si>
  <si>
    <t>http://www.mcrexcavating.us</t>
  </si>
  <si>
    <t>mailto:mike@mcrexcavating.us</t>
  </si>
  <si>
    <t>MCR, L.L.C.</t>
  </si>
  <si>
    <t>http://www.mcrllc.net</t>
  </si>
  <si>
    <t>mailto:mbrown@mcrllc.net</t>
  </si>
  <si>
    <t>MD Architects, PC</t>
  </si>
  <si>
    <t>="MD Architects is a locally owned and operated architectural and design firm out of Fishers. MD was founded in 2000 by Richard D. Renschen, AIA, LEED A.P. and serves clients locally and nationally. Projects range in size from less than 1500 to 100,000+ square feet and range in type from commercial and retail, medical, religious and multi-family residential buildings to tenant build-out. MD has two LEED AP architects and is a member of the USGBC, My Home Green Pages, Fishers Chamber and Indiana Chamber of Commerce. Examples of some local projects include Copper Moon Coffee (Airport), Khara Spa, Heartland Church, and Fishers Medical Office Plaza. MD Architects approaches each project through DISCOVER, DESIGN and DELIVER. By DISCOVER, MD determines the client’s needs and vision. By DESIGN, MD implements individual unique ideas and value-engineering. By DELIVER, MD produces succes"</t>
  </si>
  <si>
    <t>http://www.mdarchitects.com</t>
  </si>
  <si>
    <t>mailto:info@mdarchitects.com</t>
  </si>
  <si>
    <t>MD Holdings LLC</t>
  </si>
  <si>
    <t>http://www.affinis.biz</t>
  </si>
  <si>
    <t>mailto:sales@affinis.biz</t>
  </si>
  <si>
    <t>Food Product Machinery Manufacturing</t>
  </si>
  <si>
    <t>MD Rowe Construction Inc.</t>
  </si>
  <si>
    <t>MD SIMS SERVICES LLC</t>
  </si>
  <si>
    <t>http://mdsimsservices.com</t>
  </si>
  <si>
    <t>mailto:mdsimsservices@yahoo.com</t>
  </si>
  <si>
    <t>MD Strum Hsg Srv Inc</t>
  </si>
  <si>
    <t>="MDStrum is a professional services organization specializing in physical planning, housing development, construction management/construction related services, disaster response/recovery, and community and economic development. Our services promote efficiency, effectiveness, accountability and professional integrity in our work for federal, state, and locally funded client groups. Our 27 years of work experiences span the continental USA, Alaska, Hawaii, US Virgin Islands and Puerto Rico. We are a federal contractor and served as HUD's Hurricanes' Katrina, Rita, Ike, and Gustav Recovery contractors assigning personnel with academic and professional training and experiences in building inspections, cost estimating, physical planning, housing finance-housing develpment, and construction management. We have planned and/or managed small, medium and extra-large ($100M+ ) urban revitalization mixed finance-mixed use projects with real estate portfolios valued at $1B+ in Durham, Detroit a"</t>
  </si>
  <si>
    <t>http://www.mdstrum.com</t>
  </si>
  <si>
    <t>mailto:joe.koch@mdstrum.com</t>
  </si>
  <si>
    <t>MDC Group Inc</t>
  </si>
  <si>
    <t>http://www.allthingsh2o.com</t>
  </si>
  <si>
    <t>mailto:heath@allthingsh2o.com</t>
  </si>
  <si>
    <t>MDS Contractor Services</t>
  </si>
  <si>
    <t>mailto:michelledrwal@hotmail.com</t>
  </si>
  <si>
    <t>MDS ENVIRONMENTAL SERVICES, Inc.</t>
  </si>
  <si>
    <t>mailto:mdsenvironmentalservicesinc@yahoo.com</t>
  </si>
  <si>
    <t>MDS International Corp</t>
  </si>
  <si>
    <t>mailto:maxshi@ameritech.net</t>
  </si>
  <si>
    <t>MDwise, Inc.</t>
  </si>
  <si>
    <t>http://www.mdwise.org</t>
  </si>
  <si>
    <t>mailto:questions@mdwise.org</t>
  </si>
  <si>
    <t>ME2 Cleaning Service</t>
  </si>
  <si>
    <t>mailto:markeasterling@comcast.net</t>
  </si>
  <si>
    <t>MEB Associates, LLC</t>
  </si>
  <si>
    <t>mailto:mebrozouski@woh.rr.com</t>
  </si>
  <si>
    <t>MED+CLEAN LLC</t>
  </si>
  <si>
    <t>="Specializing in medical janitorial &amp; maintenance services. Specialized cleaning programs, Medical offices &amp; clinics, Dental offices, Blood &amp; Plasma donation centers, Surgical facilities, Dialysis clinics, Nursing homes, Vet clinics. Full service floor care, Carpet cleaning, Window cleaning, Building maintenance."</t>
  </si>
  <si>
    <t>mailto:medclean@sbcglobal.net</t>
  </si>
  <si>
    <t>MED-REC SYSTEMS, INC</t>
  </si>
  <si>
    <t>MED-WASH INC</t>
  </si>
  <si>
    <t>="HEALTHCARE - MEDICAL SPECIALISTS Complete Laundry &amp; Dry Cleaning Services - Including - Textiles - Purchase, Rental, Embroidery, Laundering (Lab Coats, Warmups, Scrubs, Adult &amp; Pediatric Gowns, Dr Towels, Linens) Pick-up &amp; Deliery at your business / Samples on request / Help in fitting BIG ENOUGH TO MEET YOUR NEEDS - SMALL ENOUGH TO CARE"</t>
  </si>
  <si>
    <t>MEDspot, LLC</t>
  </si>
  <si>
    <t>http://www.medspot.net</t>
  </si>
  <si>
    <t>mailto:info@medspot.net</t>
  </si>
  <si>
    <t>MEEBOER DATA PRODUCTS</t>
  </si>
  <si>
    <t>="Established in 1978, Data Comm is leading provider of computer and printing supplies to all industries such as Government, Education, Legal, Manufacturing, Health and Professional. Serving central and northern Indiana for almost 30 years, Data Comm specializes in technology supplies and have over 4,000 items from over 70 national brands, ready for immediate shipping."</t>
  </si>
  <si>
    <t>http://www.datacomm-supplies.com</t>
  </si>
  <si>
    <t>mailto:info@datacomm-supplies.com</t>
  </si>
  <si>
    <t>MEETING SERVICES UNLIMITED INC</t>
  </si>
  <si>
    <t>="Conference planning and management firm providing site selection, negotiation, logistic arrangements, speaker coordinationi, online registrations, attendee hotel reservations, meal function coordination and all other aspects of planning to assure a successful event."</t>
  </si>
  <si>
    <t>http://www.conventionmanagers.com</t>
  </si>
  <si>
    <t>mailto:info@conventionmanagers.com</t>
  </si>
  <si>
    <t>MEETINGplan, Inc.</t>
  </si>
  <si>
    <t>="We are a professional services firm bringing a unique perspective to meeting planning that starts with an understanding of your business goals and results in memorable meetings aligned to your strategy. By combining leaders in the Meeting Planning Industry and Management Consultants with backgrounds in Project Management, Marketing, and Finance, MEETINGplan delivers effective meetings while leveraging the leading industry practices to maximize efficiency on your behalf. Great meetings don’t just happen, they are the result of a master plan. At MEETINGplan we partner with our clients to deliver events of all sizes that inspire, motivate, create action and build lasting messages. When its time for your next meeting, let us show you what the New Face of Meetings can do for you."</t>
  </si>
  <si>
    <t>http://www.meetingplaninc.com</t>
  </si>
  <si>
    <t>mailto:slp@meetingplaninc.com</t>
  </si>
  <si>
    <t>MEG &amp; Associates</t>
  </si>
  <si>
    <t>http://www.megpromo.com</t>
  </si>
  <si>
    <t>mailto:Meg@Megpromo.com</t>
  </si>
  <si>
    <t>MEI</t>
  </si>
  <si>
    <t>="Meetings &amp; Events International (MEI) delivers a world of opportunity at your fingertips including twenty years and 225,000 programs of experience in the areas of: -Centralized Call Center -Continuing Education Programs -Custom Software and Reports -Database Management and Housing -Developing and Managing Meetings -Incentive Program and Events -Product Launches -Research and Implementation -Strategic Planning -Training Seminars and Workshops -Trade Show Management MEI can manage every aspect of your businesses needs – no matter how large or small – anywhere in the world, to allow you to concentrate your time, energy and efforts in the areas that best benefit your organization. MEI has the expertise, experience and ability to create and implement a customized program for your company quickly, efficiently and effectively."</t>
  </si>
  <si>
    <t>http://www.meintl.com</t>
  </si>
  <si>
    <t>mailto:twhitney@meintl.com</t>
  </si>
  <si>
    <t>MEK Engineering</t>
  </si>
  <si>
    <t>mailto:macleanpe@ymailcom</t>
  </si>
  <si>
    <t>MELCHIORS TRAILER SALES &amp; SERVICE INC</t>
  </si>
  <si>
    <t>mailto:Aamtrack@aol.com</t>
  </si>
  <si>
    <t>MERIDIAN HEALTHCARE SOLUTIONS IN</t>
  </si>
  <si>
    <t>http://www.meridianhcs.com</t>
  </si>
  <si>
    <t>mailto:tmullen@vanausdall.com</t>
  </si>
  <si>
    <t>MERIDIAN MEDICAL SERVICES, INC</t>
  </si>
  <si>
    <t>http://WWW.MERIDIANMEDICALSERVICES.COM</t>
  </si>
  <si>
    <t>mailto:ECOLE@MERIDIANMEDICALSERVICES.COM</t>
  </si>
  <si>
    <t>Diagnostic Imaging Centers</t>
  </si>
  <si>
    <t>MESHBERGER BROTHERS STONE CORP</t>
  </si>
  <si>
    <t>http://www.meshbergerbros.com</t>
  </si>
  <si>
    <t>mailto:mikes@meshbergerbros.com</t>
  </si>
  <si>
    <t>MET Consultants, LLC</t>
  </si>
  <si>
    <t>="Independent consulting business providing a wide range of custom-designed human capital solutions intended to address the following individual and business concerns: Organization Development; Business Start up; Team Dynamic Problem Analysis and Solutions; Conflict Management; Team Building; Trust Building; Executive Coaching and Individual &amp; Group Coaching; Employee Engagement and Career Exploration."</t>
  </si>
  <si>
    <t>http://www.METaylor.com</t>
  </si>
  <si>
    <t>METICULOUS DESIGN + ARCHITECTURE</t>
  </si>
  <si>
    <t>="METICULOUS Design + Architecture principals and associates have designed projects of varying scale nationally and internationally. METICULOUS Design + Architecture is a collaborative partnership architects, expert design practitioners and committed business professionals. METICULOUS Design + Architecture serves clients in residential, commercial, educational, and mixed use land development disciplines. Large or small, singularly or in collaboration our services include: Architecture, Interior Design, Urban Design, Master Planning, Programming, Space Planning, Design Integration, Fabrication and Construction Management &amp; Administration. We are METICULOUS about work that is “Meaningful, Purposeful, and Impactful”. We approach each engagement as an opportunity to positively shape the built environment around us and within our communities. No matter the project scale, the design or the detail, we are METICULOUS."</t>
  </si>
  <si>
    <t>http://www.meticulousda.com</t>
  </si>
  <si>
    <t>mailto:rmorrison@meticulousda.com</t>
  </si>
  <si>
    <t>MEYER MATERIAL HANDLING PRODUCTS INC.</t>
  </si>
  <si>
    <t>="As a full service distributor, Meyer has provided Material Handling Systems, Products, and Storage Solutions from beginning to end for over 30 years. Meyer prides itself on developing solutions in collaboration with our customers to ensure results meet or exceed all expectations. We can provide solutions for: Material Handling Equipment, Pallet, Hand and Platform Trucks, Conveyors, Carts, Lift Tables, Mezzanines, Cranes, Hoists, Bins, Totes, Containers, Cabinets, Modular Drawer Cabinets, Wire and Steel Shelving, Decking, Racks, Pallet Rack, Drum Handling Equipment, Safety Cabinets, Benches, Lockers, In-Plant Offices, Partitions, or any other material handling or storage application that you require."</t>
  </si>
  <si>
    <t>http://www.meyermat.com</t>
  </si>
  <si>
    <t>mailto:sales@meyermat.com</t>
  </si>
  <si>
    <t>MFG Wealth Mgmt, LLC</t>
  </si>
  <si>
    <t>http://www.mfgwealthmgmt.com</t>
  </si>
  <si>
    <t>mailto:craig@mfgwealthmgmt.com</t>
  </si>
  <si>
    <t>MG Sales Inc</t>
  </si>
  <si>
    <t>http://boilers-online.com</t>
  </si>
  <si>
    <t>MGMedia Group</t>
  </si>
  <si>
    <t>http://www.MGMediaGroup.com</t>
  </si>
  <si>
    <t>mailto:mgauf@mgmediagrooup.com</t>
  </si>
  <si>
    <t>MGW Holdings, LLC</t>
  </si>
  <si>
    <t>http://genalarm.com</t>
  </si>
  <si>
    <t>mailto:info@genalarm.com</t>
  </si>
  <si>
    <t>MHM Associates Ltd Inc.</t>
  </si>
  <si>
    <t>="MHM Associates Inc.,an engineering and planning firm, engaged in developing BUILDING DESIGN , BRIDGE DESIGN,, HIGHWAY ENGINEERING, TRAFFIC ENGINEERING, and SOFTWARE for GIS based Pavement Management System. We offer pavement surface video logging, ride quality monitoring, pavement roughness measurement (IRI), civil engineering and visual information systems. One of our products is BlockiewGIS, a web based visual information system. This software integrates various geometric/condition/gps location/video or picture image of roadside assets or pavement information within a City/County/State road net work."</t>
  </si>
  <si>
    <t>http://www.mhmassociates.com</t>
  </si>
  <si>
    <t>mailto:mhmassoc@aol.com</t>
  </si>
  <si>
    <t>MI-BOX Holding Company</t>
  </si>
  <si>
    <t>="MI-BOX manufactures, sells and delivers mobile storage containers. Durable portable storage containers for use in moving, storage and outdoor storage applications. MI-BOX storage containers come in 8 ft. 16 ft. and 20 ft. lengths and are shipped in modular easy to assembly units."</t>
  </si>
  <si>
    <t>http://www.getmibox.com</t>
  </si>
  <si>
    <t>mailto:sales@getmibox.com</t>
  </si>
  <si>
    <t>MICO Business Servic</t>
  </si>
  <si>
    <t>mailto:micobus-ser@att.net</t>
  </si>
  <si>
    <t>MICRO X PRESS INC</t>
  </si>
  <si>
    <t>="We would like to take this opportunity and introduce to you Micro X-Press, Inc. d.b.a. Emicrox.com - Indiana's largest and best priced computer systems and parts vendor and your one-stop-shop for all technology needs. Here's why others order from us: • Selection of over 60,000 brand name products • Super low corporate discounted prices • Easy and secure online ordering • Personal relationship with experienced sales and tech consultants • Same day delivery thanks to our Indianapolis warehouse Please visit our website www.emicrox.com or our retail showroom on the corner of Georgetown Road and 79th Street. For the past 12 years we have provided our corporate clients with thousands of computer items we stock. We are a registered Small Business and for your convenience we accept Credit Cards and Purchase Orders."</t>
  </si>
  <si>
    <t>http://www.emicrox.com</t>
  </si>
  <si>
    <t>mailto:alina@emicrox.com</t>
  </si>
  <si>
    <t>MID-AMERICA ENVIRONMENTAL, LLC</t>
  </si>
  <si>
    <t>="THE PRINCIPLE PART OF OUR BUSINESS IS THE REMANUFACTURING OF LASER &amp; INKJET CARTRIDGES. THE BUSINESS WAS STARTED IN 11/99 &amp; EMPLOYEES 13, ALL INDIANA. WE JUST ESTABLISHED A NEW DEALERSHIP WITH THE GESTETNER FAMILY, WHICH SELLS RICOH, SAVIN, &amp; LANIER MACHINES. WE ARE A FAMILY OWNED BUSINESS."</t>
  </si>
  <si>
    <t>http://www.alpha-laser.com</t>
  </si>
  <si>
    <t>mailto:rbrown@alpha-laser.net</t>
  </si>
  <si>
    <t>MID-STATES SUPPLY CO, INC.</t>
  </si>
  <si>
    <t>="Our corporate headquarters is located in Kansas City, Missouri. We opened our full-service Indiana location a three years ago. Lafayette, Indiana is our principal place of business in Indiana and we are ready to serve the industrial pipe, valves, and fittings needs for the entire state of Indiana through exceptional service."</t>
  </si>
  <si>
    <t>mailto:andrew.nicolaou@midstate.com</t>
  </si>
  <si>
    <t>MIDLAND, LLC</t>
  </si>
  <si>
    <t>MIDWAY WINNELSON</t>
  </si>
  <si>
    <t>="Serving South-Central Indiana For all of your kitchen and bath cabinetry needs, as well as electrical, plumbing, and HVAC We are located on Highway 31 one mile south of the junction of Highway 50 and Highway 31. 4329 North Highway 31 We are open Monday thru Friday 7:00 to 5:00 and Saturday 7:00 to 12:00 Please stop in our showroom or call us at 812-522-5199 to let us help you with your next project."</t>
  </si>
  <si>
    <t>MIDWEST COMPUTER ACCESSORIES</t>
  </si>
  <si>
    <t>http://www.mca-midwest.com</t>
  </si>
  <si>
    <t>mailto:tdale@mca-midwest.com</t>
  </si>
  <si>
    <t>MIDWEST CREDIT SVC</t>
  </si>
  <si>
    <t>MIDWEST DATA INC</t>
  </si>
  <si>
    <t>="Midwest Data, Inc. is a professional organization specializing in computers, communication and networking. MDI is a member of the Dearborn County Chamber of Commerce, a member of the Better Business Bureau, a Microsoft Business Solutions Partner, and an Intel Premier Provider. MDI provides hardware, software , and a complete line of services ranging from system consulting to implementing and maintaining a computer network. Since our beginning in 1983, Midwest Data, Inc. has been committed to providing products and services nationally. Since opening our Lawrenceburg office in November 1992, our tradition of excellence is backed by the following numbers: Over 10,000 systems sold, over 85 networks supported, over 60 local organizations depend on MDI for service and support and over 40 years of combined experience from univeristy graduate computer specialists covering servers, PC's, and laptops in both local and wide area networks."</t>
  </si>
  <si>
    <t>http://www.midwestdatainc.com</t>
  </si>
  <si>
    <t>mailto:mdi@midwestdatainc.com</t>
  </si>
  <si>
    <t>MIDWEST FIRE AND SAFETY EQUIPM</t>
  </si>
  <si>
    <t>http://www.midwestfire.net</t>
  </si>
  <si>
    <t>mailto:chanley@midwestfire.net</t>
  </si>
  <si>
    <t>MIDWEST GUN EXCHANGE</t>
  </si>
  <si>
    <t>="Retail law enforcement and wholesale distribution company. Established in 1993 with 10 years prior experience in our industry. Now serving all 52 states as well as 10 or more foreign countries. Our retail and wholesale growth has been based on quality and availability of inventory as well as price and customer service. A well trained group of employees with many years in our industry has been a positive for helping all levels of customers with their purchases."</t>
  </si>
  <si>
    <t>http://WWW.MIDWESTGUNEXCHANGE.COM</t>
  </si>
  <si>
    <t>mailto:BRAIN@MIDWESTGUNEXCHANGE.COM</t>
  </si>
  <si>
    <t>Hunting and Trapping</t>
  </si>
  <si>
    <t>MIDWEST PSYCHOLOGICAL CENTER INC</t>
  </si>
  <si>
    <t>http://www.midwestpsych.com</t>
  </si>
  <si>
    <t>mailto:shelvyjr@sbcglobal.net</t>
  </si>
  <si>
    <t>MIDWEST TILE &amp; CONCR</t>
  </si>
  <si>
    <t>http://MIDWESTTILE.NET</t>
  </si>
  <si>
    <t>mailto:BSCHAEFFER@MIDWESTTILE.NET</t>
  </si>
  <si>
    <t>MIDpro, Inc.</t>
  </si>
  <si>
    <t>http://www.midprofluidpower.com</t>
  </si>
  <si>
    <t>mailto:info@midprofluidpower.com</t>
  </si>
  <si>
    <t>MIGNONE COMMUNICATIONS INC</t>
  </si>
  <si>
    <t>="Web fed printing company offering both heat set &amp; air dry printing. Products ranging from two page flyers to multiple page booklets. Paper stocks ranging from 30# newsprint to 9pt coated cover. Complete bindery services including ink jet mailing and fulfillment."</t>
  </si>
  <si>
    <t>http://www.mignone.com</t>
  </si>
  <si>
    <t>mailto:www.mignonecomm@yahoo.com</t>
  </si>
  <si>
    <t>MIKAR,Inc.</t>
  </si>
  <si>
    <t>MIKI Outreach Foundation Inc.</t>
  </si>
  <si>
    <t>http://www.prisonprayers.com</t>
  </si>
  <si>
    <t>mailto:kdrblessed@yahoo.com</t>
  </si>
  <si>
    <t>MILESTONE FIELD &amp; POST INC</t>
  </si>
  <si>
    <t>="Milestone Field &amp; Post, Inc. is an award-winning video production company. We produce videos for sales &amp; marketing, training &amp; education, broadcast &amp; entertainment; they are distributed via videotape, DVD, CD-ROM, web, or other digital formats. Clients include Roche, Lilly, Shell, BMW, John Deere, Animal Planet, Nestle, Discovery Channel, Avaya, Interactive Intelligence, ESPN and many others."</t>
  </si>
  <si>
    <t>http://www.mfpmedia.com</t>
  </si>
  <si>
    <t>mailto:info@mfpmedia.com</t>
  </si>
  <si>
    <t>MILLENNIUM SELECT LOGISTICS, LLC</t>
  </si>
  <si>
    <t>http://www.warehouse2000.net</t>
  </si>
  <si>
    <t>mailto:carolyn@warehouse2000.net</t>
  </si>
  <si>
    <t>MILLER'S CARPET INC</t>
  </si>
  <si>
    <t>="We are a privately owned Flooring store located outside of Cicero and Nolblesville. We specialize in all types of floor coverings carpet, tile, laminate, vinyl and hardwood. Country Carpet has been servicing Hamilton County and surrounding Counties for over 37 years. We provide excellent customer service and would like to become your new flooring consultant."</t>
  </si>
  <si>
    <t>mailto:MILLERSCOUNTRYCARPET@ATT.NET</t>
  </si>
  <si>
    <t>MILLER'S CARPET INC.</t>
  </si>
  <si>
    <t>MILOR INC</t>
  </si>
  <si>
    <t>http://www.milorinc.com</t>
  </si>
  <si>
    <t>mailto:info@milorinc.com</t>
  </si>
  <si>
    <t>MISCO INC</t>
  </si>
  <si>
    <t>="Physical inventory of product and property for all entities requiring third party verification of the existence of assets. Includes supplies, warehouse items and property items such as equipment, etc. May also include asset list services/verification with or without ID tagging. Can perform simplest financial inventories to sophisticated SKU, or bar-coded, counts. In business since 1977 and serving all Indiana."</t>
  </si>
  <si>
    <t>http://misco.biz</t>
  </si>
  <si>
    <t>mailto:franksauer@misco.biz</t>
  </si>
  <si>
    <t>MITTLER SUPPLY INC</t>
  </si>
  <si>
    <t>http://www.mittler.com</t>
  </si>
  <si>
    <t>mailto:sales@mittler.com</t>
  </si>
  <si>
    <t>MIYU Furniture</t>
  </si>
  <si>
    <t>http://www.miyufurniture.com</t>
  </si>
  <si>
    <t>mailto:info@miyufurniture.com</t>
  </si>
  <si>
    <t>MJ Realty Pros LLC</t>
  </si>
  <si>
    <t>mailto:mjrealty101@yahoo.com</t>
  </si>
  <si>
    <t>MJS Distributing</t>
  </si>
  <si>
    <t>="MJS Distributing, Inc. is a distributor of exterior aluminum windows, storefront, curtain wall, aluminum entrance doors and skylights. MJS Distributing, Inc. supply material to contractors on commercial, educational, governmental and private projects. MJS Distributing, Inc. provides consultation, shop drawings and all submittals required."</t>
  </si>
  <si>
    <t>mailto:George@mjsdis.com</t>
  </si>
  <si>
    <t>MJV Power Sweeping, Inc</t>
  </si>
  <si>
    <t>mailto:vaughn@mintel.net</t>
  </si>
  <si>
    <t>MK &amp; Family Cleaning Inc.</t>
  </si>
  <si>
    <t>mailto:mkfamilycleaning@hotmail.com</t>
  </si>
  <si>
    <t>MKM Machine Tool Company, Inc.</t>
  </si>
  <si>
    <t>="Family owned and operated business that has grown into a 280,000 sq. ft, facility. A manufactured of metal &amp; plastic components. Capabilities include screw machine, Hydromat Rotary Transfer machines, CNC, Swiss CNC turning centers and a complete line of secondary machining. ISO 9001 &amp; TS 16949 Registered."</t>
  </si>
  <si>
    <t>http://www.mkmmachine.com</t>
  </si>
  <si>
    <t>mailto:sales@mkmmachine.com</t>
  </si>
  <si>
    <t>Machine Shops, Turned Product, and Screw, Nut and Bolt Manufacturing</t>
  </si>
  <si>
    <t>MKM architecture + design, Inc.</t>
  </si>
  <si>
    <t>="MKM architecture + design, Inc. was established in 1981, and is a full service architectural, planning, and interior design firm serving clients throughout the Midwest. Currently the firm is a Sub-Chapter S Corporation with five partners and a staff of professionals including architects, architectural technicians, project managers, planners, construction specialists, and interior designers. Most of our work is for municipal, institutional, and not-for-profit clients representing health care providers, long term care, educational facilities, community service organizations, and libraries, with a growing emphasis on sustainable design and green architecture, managed by LEED Accredited Professionals on staff. Many of our projects are for repeat clients with whom we have established long term relationships."</t>
  </si>
  <si>
    <t>http://www.MKMdesign.com</t>
  </si>
  <si>
    <t>mailto:info@MKMdesign.com</t>
  </si>
  <si>
    <t>ML Enterprises, LLC</t>
  </si>
  <si>
    <t>mailto:mluttrell@verizon.net</t>
  </si>
  <si>
    <t>MLE Enterprises, Inc</t>
  </si>
  <si>
    <t>="Founded by Mary Luttrell, a Certified WBE, Certified HUBZone Small Business Enterprise, MLE Enterprises, Inc. specializing in Construction Management and General Contracting serving commercial, industrial and government client Additionally, MLE ENTERPRISES, INC. (MLE) is a leading environmental consulting firm serving industrial, legal, government, educational, and insurance clients with state-of-the-art capabilities in the areas of hazard assessment, safety engineering, environmental inspections, and environmental compliance evaluations."</t>
  </si>
  <si>
    <t>http://www.mleenterprisesinc.com</t>
  </si>
  <si>
    <t>mailto:kmcrouch@verizon.net</t>
  </si>
  <si>
    <t>MLP Investigative &amp; Security Services</t>
  </si>
  <si>
    <t>http://mlpsecurity.com</t>
  </si>
  <si>
    <t>mailto:mpharr@mlpsecurity.com</t>
  </si>
  <si>
    <t>MLW Express, Inc.</t>
  </si>
  <si>
    <t>mailto:mlwexpress@yahoo.com</t>
  </si>
  <si>
    <t>MM eCONSULTANTS INC.</t>
  </si>
  <si>
    <t>="Providing Business Consulting service, Life Cycle Business Process management and specialization in the implementation of SAP R/3 and other ERP software and IT related services. Providing prototyping, testing and evaluation services of products (consumer and industrial) and engineering goods, specifically in electrical and electronic goods."</t>
  </si>
  <si>
    <t>http://www.mmeconsultants.com</t>
  </si>
  <si>
    <t>mailto:mvagal@yahoo.com</t>
  </si>
  <si>
    <t>MMM Masonry Inc.</t>
  </si>
  <si>
    <t>http://www.mmmmasonry.com</t>
  </si>
  <si>
    <t>mailto:sonja@mmmmasonry.com</t>
  </si>
  <si>
    <t>MNE Incorporated</t>
  </si>
  <si>
    <t>="MNE Incorporated is 100% minority owned and does business mainly in the construction industry. This includes computer hardware, software, design, construction, subcontracting, management, consulting and acquisition. MNE Incorporated does some management and consulting work in other fields other than construction and is interested in diversifying in all possible fields. Mining, oil and gas, acquisition and professional services are major areas of interest."</t>
  </si>
  <si>
    <t>mailto:mneincorporated@yahoo.com</t>
  </si>
  <si>
    <t>MOBILE MEDICAL PROVIDER</t>
  </si>
  <si>
    <t>="Medical Mobile Provider engage in the provision of medical services to clients at their natural place of residence such as home, assisted living facilities, group home, boarding houses. The huge benefit include taking care to the patients at their residences. Services provided includes, but not limited to, Diagnosing of illness, treatment, medication nmanagements and prescriptions, preventive cares, health promotion, health educations, minor procedures, referrals, ordering medical supplies, lab drawns, ordering diagnostic tests and imaging. The provided services include the same services available in typical doctor offices"</t>
  </si>
  <si>
    <t>mailto:abiolasola@gmail.com</t>
  </si>
  <si>
    <t>MOFFETT INCORPORATED</t>
  </si>
  <si>
    <t>mailto:moffe65@aol.com</t>
  </si>
  <si>
    <t>Wrecking and Demolition Contractors</t>
  </si>
  <si>
    <t>MOFFETT'S WELDING INC</t>
  </si>
  <si>
    <t>mailto:JMOFFETT@TCTC.COM</t>
  </si>
  <si>
    <t>MONNINGER CORPORATION</t>
  </si>
  <si>
    <t>mailto:info@cheetahproducts.com</t>
  </si>
  <si>
    <t>MORGAN COUNTY KAWASKI</t>
  </si>
  <si>
    <t>http://morgancountykawasaki.com</t>
  </si>
  <si>
    <t>mailto:morgancountykawasaki@comcast.net</t>
  </si>
  <si>
    <t>MORRIS, LLOYD &amp; ASSOCIATES, LLC</t>
  </si>
  <si>
    <t>http://www.morrislloyd.com</t>
  </si>
  <si>
    <t>mailto:matt@morrislloyd.com</t>
  </si>
  <si>
    <t>MORRISON INDUSTRIAL EQUIPEMENT COMPANY</t>
  </si>
  <si>
    <t>http://WWW.MORRISON-IND.COM</t>
  </si>
  <si>
    <t>mailto:WWW.MORRISON-IND.COM</t>
  </si>
  <si>
    <t>MOWER ZONE INCORPORATED</t>
  </si>
  <si>
    <t>="Mower Zone sells and services outdoor power equipment that runs the gamut from small hand-held equipment to heavy duty commercial mowers. Mower Zone offers pick-up and delivery and the service department honors warranties. Providing quality service, fair prices and exemplary customer service is our goal. In the winter months, the Mower Zone installs and maintains snowplows and performs winter service on mowers so they be in prime condition upon the arrival of spring."</t>
  </si>
  <si>
    <t>http://mowerzoneonline.com</t>
  </si>
  <si>
    <t>mailto:danvillemowerzone@gmail.com</t>
  </si>
  <si>
    <t>MP Machine Inc</t>
  </si>
  <si>
    <t>mailto:mpmachine@kconline.com</t>
  </si>
  <si>
    <t>Motorcycle, Bicycle and Parts Manufacturing</t>
  </si>
  <si>
    <t>MPS Printing, Inc.</t>
  </si>
  <si>
    <t>http://www.mpsprinting.com</t>
  </si>
  <si>
    <t>mailto:jeff_daghir@mpsprinting.com</t>
  </si>
  <si>
    <t>MR Tarts, Inc</t>
  </si>
  <si>
    <t>MRNISO</t>
  </si>
  <si>
    <t>http://www.mrniso.org</t>
  </si>
  <si>
    <t>MS Inspection &amp; Logistics, Inc</t>
  </si>
  <si>
    <t>http://www.ms-il.com</t>
  </si>
  <si>
    <t>MS Logistics</t>
  </si>
  <si>
    <t>="Specializing in contract packaging &amp; assembly services including shrink packaging, blister packaging, clamshell sealing, kitting, multi-packaging, bagging, POS display assembly, rework, quality inspection, returns processing, warehousing, fulfillment, pick packaging, crisis management, local transportation."</t>
  </si>
  <si>
    <t>http://www.msl-indy.com</t>
  </si>
  <si>
    <t>mailto:jbunce@msl-indy.com</t>
  </si>
  <si>
    <t>MSA Cleaning Service, INC</t>
  </si>
  <si>
    <t>="MSA Cleaning Serivces, INC has to divisions: Cleaning Services, which provides residential and commercial carpet cleaning, as well as, upholstery (fabric and leather), cleaning, tile/grout cleaning and sealing, and VCT stripping and waxing. The Cleaning Services primarily operates Monday-Saturday (0600 - 2300). On special requests, certain jobs can be schedule outside on the stated times. Restoration Division, 24 hrs emergency water/fire/smoke damage service. MSA is a IICRC certified firm with all technicians also certified in areas work. MSA has immediate response to any emergency with the Indianapolis area."</t>
  </si>
  <si>
    <t>http://www.msarestoration.com</t>
  </si>
  <si>
    <t>mailto:gm@msarestoration.com</t>
  </si>
  <si>
    <t>MSD Bluffton-Harrison</t>
  </si>
  <si>
    <t>MSD of Boone Township</t>
  </si>
  <si>
    <t>http://www.hebronschools.k12.in.us</t>
  </si>
  <si>
    <t>mailto:brooksj@hebronschools.k12.in.us</t>
  </si>
  <si>
    <t>MT Acquisitions, LLC</t>
  </si>
  <si>
    <t>http://www.markettower.net</t>
  </si>
  <si>
    <t>mailto:kbranch@ctmt.com</t>
  </si>
  <si>
    <t>MULHAUPT'S INC</t>
  </si>
  <si>
    <t>http://www.mulhaupts.com</t>
  </si>
  <si>
    <t>mailto:JOSHR@MULHAUPTS.COM</t>
  </si>
  <si>
    <t>MULTIGUARD CORPORATION</t>
  </si>
  <si>
    <t>http://www.multiguard.com</t>
  </si>
  <si>
    <t>mailto:sales@multiguard.com</t>
  </si>
  <si>
    <t>MULZER CRUSHED STONE INC</t>
  </si>
  <si>
    <t>http://www.mulzer.com</t>
  </si>
  <si>
    <t>mailto:postmaster@mulzer.com</t>
  </si>
  <si>
    <t>MUNCIE SAND &amp; GRAVEL</t>
  </si>
  <si>
    <t>MUNDELL &amp; ASSOCIATES INC</t>
  </si>
  <si>
    <t>http://www.mundellassociates.com</t>
  </si>
  <si>
    <t>mailto:info@mundellassociates.com</t>
  </si>
  <si>
    <t>MUNICIPAL EMERGENCY SERVICES, INC.</t>
  </si>
  <si>
    <t>http://www.mesfire.com</t>
  </si>
  <si>
    <t>MWW Transcriptino LLC</t>
  </si>
  <si>
    <t>="Our goal is to provide our clients with an improved quality of transcription and top-rate customer srvice with a fast turn-around-time. No initial capital investiment, high level of accuracy, and cost-effective. Let us make your transcription staffing and cost woes ""magically"" disappear!!! MWW Transcription---The ""Medical Word Wizards"""</t>
  </si>
  <si>
    <t>mailto:mwwtranscription@insightbb.com</t>
  </si>
  <si>
    <t>MY COMPUTER GEEK</t>
  </si>
  <si>
    <t>http://mycomputergeek.net</t>
  </si>
  <si>
    <t>mailto:holliebritney@sbcglobal.net</t>
  </si>
  <si>
    <t>MY RESCUE TOWING, INC.</t>
  </si>
  <si>
    <t>="My Rescue Towing, Inc. is a family owned business that opened June 13, 2005. Currently we have one heavy duty tow truck (2001 Peterbuilt with a Century under reach) and a light duty truck and trailer. We can tow Semis, Tractor Trailers, Buses, Large Equipment, and Motor homes. We transport vehicles from point A to point B, we do no impounding. We can recomend established garages in our area for repairs. We can do some road side assistance and lock outs. ~ We are adequately insured in the event of an accident or injury. ~ Our trucks are properly equipped and up to safety standards. ~ We have permits in: IN, OH, IL, IA, KY, MO, PA, WI &amp; MI, also an over length permit for MI. ~ No job is to small, no distance to long, we go anywhere and are available 24/7."</t>
  </si>
  <si>
    <t>http://WWW.MYRESCUETOWING.COM</t>
  </si>
  <si>
    <t>mailto:MYRESCUE@COMCAST.NET</t>
  </si>
  <si>
    <t>MYBURG LLC</t>
  </si>
  <si>
    <t>mailto:randy.myers@dishnetworkindy.com</t>
  </si>
  <si>
    <t>MYERS PAVING, INC.</t>
  </si>
  <si>
    <t>mailto:skmyers@hsonline.net</t>
  </si>
  <si>
    <t>Asphalt Paving, Roofing and Saturated Materials Manufacturing</t>
  </si>
  <si>
    <t>MZD Advertising, LLC</t>
  </si>
  <si>
    <t>http://www.mzd.com</t>
  </si>
  <si>
    <t>mailto:azukerman@mzd.com</t>
  </si>
  <si>
    <t>Maaco Collision Repair and Auto Painting</t>
  </si>
  <si>
    <t>="Maaco is the collision shop that paints cars. We do it all, and just as importantly, give you more value than anyone else can. By bringing your car to Maaco, North America’s Bodyshop, you benefit from our experience, buying power, management systems and continual technical training. Schererville-area residents rely on our locally owned store for every kind of collision, bodywork and painting repair. We tailor every customer’s auto repair investment to save provide the greatest value for their situation. Whether you need to economically return a damaged new car to showroom condition or restore an older vehicle’s original appearance, we have repair and pricing options that make sense for you. Please stop by to see first-hand the broad range of services we provide for vehicles as diverse as, say, a brand new Lexus, a 12-year-old Ford and a U.S. Postal van. From microrepair to a couple of dents, to collision repair, to an overall paint on an older car, MAACO does it all -- faster,"</t>
  </si>
  <si>
    <t>http://schererville.maaco.com/</t>
  </si>
  <si>
    <t>mailto:m1297@maaco.com</t>
  </si>
  <si>
    <t>Mabe Electric, LLC</t>
  </si>
  <si>
    <t>mailto:mabeelectric@aol.com</t>
  </si>
  <si>
    <t>Mabel Sharp</t>
  </si>
  <si>
    <t>mailto:MbSha6@aol.com</t>
  </si>
  <si>
    <t>Mabry Enterprises</t>
  </si>
  <si>
    <t>http://www.mabryenterprises.com</t>
  </si>
  <si>
    <t>mailto:pmabry@mabryenterprises.com</t>
  </si>
  <si>
    <t>MacDonald Machinery</t>
  </si>
  <si>
    <t>http://macdonaldmachinery.com</t>
  </si>
  <si>
    <t>Building Equipment and Other Machinery Installation Contractors</t>
  </si>
  <si>
    <t>MacDougall PIerce Construction, Inc.</t>
  </si>
  <si>
    <t>http://www.mpconstr.com</t>
  </si>
  <si>
    <t>mailto:mpci@mpconstr.com</t>
  </si>
  <si>
    <t>MacNJosh Consulting Inc.</t>
  </si>
  <si>
    <t>Machango Construction, Inc</t>
  </si>
  <si>
    <t>http://machangoconstruction.com</t>
  </si>
  <si>
    <t>mailto:machango@bluemarble.net</t>
  </si>
  <si>
    <t>Machine Tools &amp; Accessories Solutions,</t>
  </si>
  <si>
    <t>="Press brake tooling manufacturer offering American and European precision and general purpose tooling. Additionally, offering sheet metal accessories ranging from gauging and urethane products, to special tool profiles. Also supplying hand brakes and shearers plus blades to iron workers, tube benders. Larger line card available."</t>
  </si>
  <si>
    <t>mailto:shergij@msn.com</t>
  </si>
  <si>
    <t>Machinery Services LLC</t>
  </si>
  <si>
    <t>Mackie &amp; Son's, LLC</t>
  </si>
  <si>
    <t>mailto:mackietrucking@hotmail.com</t>
  </si>
  <si>
    <t>Maco Press Inc.</t>
  </si>
  <si>
    <t>="Maco Press, Inc. provides businesses with printing, mailing, &amp; design and related services. Traditional 1-5 color offset and digital. Full Bindery compliment including Foil-Stamping &amp; Embossing, High-Speed Numbering, &amp; Lay-flat perforation as well as the traditional finishing services. Mailing Services include standard Inkjet and Barcode addressing with Variable Data Printing."</t>
  </si>
  <si>
    <t>https://www.macopress.com</t>
  </si>
  <si>
    <t>mailto:eric@macopress.com</t>
  </si>
  <si>
    <t>Macon Mentor Academy</t>
  </si>
  <si>
    <t>="Provide youth services via after school programs and tutoring programs to at risk youth to include fatherless families as a way of life. Provide Mentoring programs and speaking engagements to our youth, Parents, and youth organizations and churches to ensure healthy families across Indiana. Provide referral service helping to bridge gaps between our youth and our services, I.E., food, shelter, and clothing."</t>
  </si>
  <si>
    <t>http://tlcindy.org</t>
  </si>
  <si>
    <t>mailto:maconmentor@tlcindy.org</t>
  </si>
  <si>
    <t>Maddock Construction Equipment LLC</t>
  </si>
  <si>
    <t>="Maddock Construction Equipment, LLC designs, manufactures and sells mobile construction equipment and attachments. Four of our products have received ""Best New Product of the Year"" awards from national trade publications. Our products are sold to contractors and governmental agencies responsible for the maintenance and rehabilitation of roadways. Customers use our products to increase productivity and reduce costs in maintenance operations. Our facility is located in beautiful Bloomington, Indiana USA."</t>
  </si>
  <si>
    <t>http://www.maddockcorp.com</t>
  </si>
  <si>
    <t>mailto:sales@maddockcorp.com</t>
  </si>
  <si>
    <t>Madeleine D. Thomas</t>
  </si>
  <si>
    <t>Mader Design LLC</t>
  </si>
  <si>
    <t>="Landscape Architecture and Site Planning firm specializing in Institutional, Commercial, and Residential design, including Education, Civic, Commercial, and Parks &amp; Recreation projects. Specialties include campus planning and design, park design, trails, athletic fields, and 'people' space."</t>
  </si>
  <si>
    <t>http://www.maderdesignllc.com</t>
  </si>
  <si>
    <t>mailto:info@maderdesignllc.com</t>
  </si>
  <si>
    <t>Madhaus Studio LLC</t>
  </si>
  <si>
    <t>="Madhaus Studio is a graphic design and marketing services studio, with a specialized expertise in information technology solutions, servicing the Northwest Indiana market. The unique alignment of integrated service offerings in both marketing communications and technology solutions, allows Madhaus Studio to offer clients resources that have been unseen within the marketplace."</t>
  </si>
  <si>
    <t>http://www.madhausstudio.com/</t>
  </si>
  <si>
    <t>mailto:sales@madhausstudio.com</t>
  </si>
  <si>
    <t>Madison Chemical Co., Inc</t>
  </si>
  <si>
    <t>="1. Metal and composite fabricators specialties including cleaners, conversion coatings, rust inhibitors, paint strippers &amp; lapping compounds. 2. Transportation industry specialties including bus &amp; truck wash compounds, glass &amp; interior cleaners. 3. Food industry specialties including U.S.D.A., E.P.A., &amp; F.D.A. authorized cleaners. We provide products &amp; technical service to dairy, frozen food, canning, salad dressing manufacturers, meat packers, cookie, snack food companies &amp; bottling plants. 4. Waste water treatment specialties including coagulants, flocculents &amp; precipitants used in wastewater treatment plants, metal finishing facilities, food processing industries &amp; municipal POTW facilities. 5. Industrial maintenance specialties including floor cleaners, degreasers &amp; hot tank cleaners used by automotive, train &amp; towboat overhaul facilities, &amp; manufacturing facilities."</t>
  </si>
  <si>
    <t>http://www.madchem.com</t>
  </si>
  <si>
    <t>mailto:solutions@madchem.com</t>
  </si>
  <si>
    <t>Madison County Glass and Mirror, Inc.</t>
  </si>
  <si>
    <t>="Commercial and Residential Glazing Contractor - New Construction, Replacement, and Service Products Include: Aluminum Storefront, Entrance Doors &amp; Curtainwall - Mirrors - All Glass Products - HM Doors and Frames - Hardware - All Window Types - Statewide Service"</t>
  </si>
  <si>
    <t>mailto:aarondrysdale@insightbb.com</t>
  </si>
  <si>
    <t>Madison Fasteners</t>
  </si>
  <si>
    <t>http://www.madisonfastener.com</t>
  </si>
  <si>
    <t>mailto:michaeltraylor@laakagency.com</t>
  </si>
  <si>
    <t>Madison Milton Ferry LLC</t>
  </si>
  <si>
    <t>="Madison Milton Ferry is seeking to secure the INDOT contract for the ferry service operating between Madison, Indiana and Milton, Kentucky during the bridge outage from Fall 2011 until the Fall 2012. The ferries will provide a free service 24/7/365 carrying pedestrians, cars, motorcycles and light trucks across the Ohio River."</t>
  </si>
  <si>
    <t>http://www.madisonmiltonferry.com</t>
  </si>
  <si>
    <t>mailto:madisonmiltonferry@gmail.com</t>
  </si>
  <si>
    <t>Inland Water Passenger Transportation</t>
  </si>
  <si>
    <t>Madison Power Equipment</t>
  </si>
  <si>
    <t>http://www.madpowerequipment.com</t>
  </si>
  <si>
    <t>mailto:randyspry@frontier,com</t>
  </si>
  <si>
    <t>Madison Property Investments, LLC.</t>
  </si>
  <si>
    <t>Madison Twp.fire dept</t>
  </si>
  <si>
    <t>Madison Winsupply Company</t>
  </si>
  <si>
    <t>Magic Circle Corporation</t>
  </si>
  <si>
    <t>http://www.dixiechopper.com</t>
  </si>
  <si>
    <t>Lawn and Garden Tractor and Home Lawn and Garden Equipment Manufacturing</t>
  </si>
  <si>
    <t>Magiera Diesel Injection Service, Inc.</t>
  </si>
  <si>
    <t>http://mdidiesel.com</t>
  </si>
  <si>
    <t>mailto:mail@mdidiesel.com</t>
  </si>
  <si>
    <t>Magitek.com, LLC</t>
  </si>
  <si>
    <t>="Magitek produces assistive technology for the severely disabled community. Our products consist of an alternative drive control system for power wheelchairs integrated with a computer access control systrem. The computer mouse alternative may be used as a stand alone system and is very useful in employment and vocational situations."</t>
  </si>
  <si>
    <t>http://www.magitek.com</t>
  </si>
  <si>
    <t>mailto:sales@magitek.com</t>
  </si>
  <si>
    <t>Magnum Express, Inc.</t>
  </si>
  <si>
    <t>http://www.gomagnum.com</t>
  </si>
  <si>
    <t>Magnum Logistics, Inc.</t>
  </si>
  <si>
    <t>Magnum Procurement LLC</t>
  </si>
  <si>
    <t>http://magnumprocurement.blogspot.com/</t>
  </si>
  <si>
    <t>mailto:sschleker@gmail.com</t>
  </si>
  <si>
    <t>Natural Gas Liquid Extraction</t>
  </si>
  <si>
    <t>Magnum Security Services, Inc.</t>
  </si>
  <si>
    <t>="Magnum Security Services,Inc. is an Indiana corporation licensed both as a Security Guard Agency and a Private Detective Agency in Indiana and Michigan. We provide uniformed Security Officers to protect industrial sites, government properties, apartment complexes, institutional sites (including hospitals) and other business locations. We have been in business since 1980 in South Bend, Indiana."</t>
  </si>
  <si>
    <t>http://www.magnumsecurityservicesinc.com</t>
  </si>
  <si>
    <t>mailto:magnum-marz@att.net</t>
  </si>
  <si>
    <t>Mahern Audio Engineering Inc.</t>
  </si>
  <si>
    <t>http://www.mahernarchival.com</t>
  </si>
  <si>
    <t>mailto:info@mahernaudio.com</t>
  </si>
  <si>
    <t>Mahomed Sales &amp; Ware</t>
  </si>
  <si>
    <t>http://www.whse.com</t>
  </si>
  <si>
    <t>mailto:ymahomed@whae.com</t>
  </si>
  <si>
    <t>Maid In America Janitorial Service, LLC</t>
  </si>
  <si>
    <t>mailto:maidinamerica@ymail.com</t>
  </si>
  <si>
    <t>Maid Simple of Fort Wayne LLC</t>
  </si>
  <si>
    <t>="I am Tai Jeffries, and I am here to make your life simpler. I know how busy life can get, and I understand that your time is precious. I am a mother and a disabled veteran, so I realize that time spent with friends and family is most important. Let me take care of the house and office cleaning so you can focus on the things that matter most! After serving our country in multiple branches of the military, I am ready to serve residents of Fort Wayne, Indiana by providing reliable, affordable, and trustworthy house and office cleaning. Your home or small business will truly sparkle after it is cleaned by my maid service team! You can trust in the quality cleaning provided by my Maid Simple cleaning service in Fort Wayne, which has a high rating of A- from the Better Business Bureau. My business is also recognized as a Service Disabled Veteran Owned Small Business."</t>
  </si>
  <si>
    <t>http://www.ftwaynemaidsimple.com</t>
  </si>
  <si>
    <t>mailto:tjeffries@maidsimplehc.com</t>
  </si>
  <si>
    <t>Maid to Clean Indy LLC</t>
  </si>
  <si>
    <t>="Maid to Clean Indy is a well established residential and commercial cleaning company. We are dedicated to providing high quality exceptional cleaning at a great price. We provide services in Indianapolis and the surrounding area. We maintain a reputation for being experienced, honest, punctual, and consistent. Our commitment is keeping you, our customers our top priority."</t>
  </si>
  <si>
    <t>http://www.maidtocleanindy.yolasite.com</t>
  </si>
  <si>
    <t>mailto:maidtocleanindy@yahoo.com</t>
  </si>
  <si>
    <t>Mail House, LLC</t>
  </si>
  <si>
    <t>="Mail consolidation services, Mail presorting services, Desktop publishing services (I.e. document preparation service), Document preparation services, Document transcription services, Editing services, Letter writing services, Proofreading services, Radio transcription services, Resume writing services, Secretarial services, Stenographic services (except court or stenographic reporting), Transcription services, Typing services, Word processing services"</t>
  </si>
  <si>
    <t>mailto:mail.house@rocketmail.com</t>
  </si>
  <si>
    <t>Mailing Solutions, Inc.</t>
  </si>
  <si>
    <t>="Midwest Presort Service (MPS) was founded in July 1988. MPS provides complete mailing solutions including printing, metering, postage reduction by presorting/bar-coding, ink jet addressing and automated folding and inserting of mail. MPS is a member of the Better Business Bureau and the Indiana and Greater Indianapolis Chambers of Commerce. MPS is located in a 23,000 square foot facility (with electronic security access control) at 3169 N Shadeland Ave. in Indianapolis. MPS is a Woman-Owned-Business; certified nationally by the National Women Business Owners Corporation and locally by the City of Indianapolis and the State of Indiana. MPS is owned by Karen Scales (President) and Mark Scales (VP-Sales &amp; Operations), who purchased it in October 2003."</t>
  </si>
  <si>
    <t>http://www.midwestpresort.com</t>
  </si>
  <si>
    <t>mailto:marks@midwestpresort.com</t>
  </si>
  <si>
    <t>Main Channel Marina</t>
  </si>
  <si>
    <t>http://mainchannel.com</t>
  </si>
  <si>
    <t>mailto:info@mainchannel.com</t>
  </si>
  <si>
    <t>Main Event Merchandise Group</t>
  </si>
  <si>
    <t>http://www.mainevt.com</t>
  </si>
  <si>
    <t>mailto:adam@mainevt.com</t>
  </si>
  <si>
    <t>Main Street Computer</t>
  </si>
  <si>
    <t>="WE Do almost everything computer related. From Small SOHO to Midsize Office Network installations - wired &amp; wireless. We buy, sell, and trade NEW and USED computers. Our Specialty are custom designed. We offer Both dialup And Hi-speed internet. And of course we do computer repairs!"</t>
  </si>
  <si>
    <t>http://www.mainstreetcomputers.net</t>
  </si>
  <si>
    <t>mailto:postmaster@mainstreetcomputers.net</t>
  </si>
  <si>
    <t>Main Street Surveying &amp; Engineering Co</t>
  </si>
  <si>
    <t>http://www.mainstreetconsulting.com</t>
  </si>
  <si>
    <t>mailto:mainstreet-iomega2311@mailblocks.com</t>
  </si>
  <si>
    <t>MainStreet Outfitters</t>
  </si>
  <si>
    <t>http://www.mainstreetoutfitters.com</t>
  </si>
  <si>
    <t>mailto:info@mainstreetoutfitters.com</t>
  </si>
  <si>
    <t>Maintenance Electrical Repair Co Inc.</t>
  </si>
  <si>
    <t>http://www.mercielectric.com</t>
  </si>
  <si>
    <t>mailto:monica@mercielectric.com</t>
  </si>
  <si>
    <t>Maitlen Heating Inc</t>
  </si>
  <si>
    <t>mailto:jeff-southside@comcast.net</t>
  </si>
  <si>
    <t>Warm Air Heating and Air-Conditioning Equipment and Supplies Merchant Wholesalers</t>
  </si>
  <si>
    <t>Majestic Marble Imports, Inc.</t>
  </si>
  <si>
    <t>http://www.majesticmarble.com</t>
  </si>
  <si>
    <t>Majestic Security, Inc</t>
  </si>
  <si>
    <t>http://www.majesticsecurity.com</t>
  </si>
  <si>
    <t>mailto:bstoll@majesticsecurity.com</t>
  </si>
  <si>
    <t>Malinowski Consultin</t>
  </si>
  <si>
    <t>http://malinowskiconsulting.com</t>
  </si>
  <si>
    <t>mailto:charles@malinowskiconsulting.com</t>
  </si>
  <si>
    <t>Malone Advertising Inc.</t>
  </si>
  <si>
    <t>http://www.malonead.com</t>
  </si>
  <si>
    <t>Malone Industrial Products</t>
  </si>
  <si>
    <t>http://www.maloneindustrialproducts.com</t>
  </si>
  <si>
    <t>mailto:info@maloneindustrialproducts.com</t>
  </si>
  <si>
    <t>Mama Oak Ventures Inc</t>
  </si>
  <si>
    <t>mailto:NANCY.SWAIM@GMAIL.COM</t>
  </si>
  <si>
    <t>Managed Communications Services, LLC</t>
  </si>
  <si>
    <t>="Managed Communications Services (MCS) is a wireless communication system integrator focusing on design and implementation aspects of Engineering, Equipment Procurement, Project Management, and Maintenance of current and legacy wireless communication systems and networks."</t>
  </si>
  <si>
    <t>http://www.mcs-wireless.com</t>
  </si>
  <si>
    <t>mailto:mcssales@mcs-wireless.com</t>
  </si>
  <si>
    <t>="Managed Communications Services, LLC (MCS) is a company specializing in the installation, testing and maintenance of Wired and wireless communications equipment. Our expertise is on Wireless Communications Networks, focused on the following primary areas: Police and Public Safety Networks, Intelligent Transportation Systems, Municipal and State Government Networks as well as Carriers and Enterprise users. Our consulting, design, engineering, installation, maintenance, support and monitoring programs are designed to give you cost competitive services, while offering leading edge technology and expertise"</t>
  </si>
  <si>
    <t>http://mcs-wireless.com</t>
  </si>
  <si>
    <t>mailto:bidteam@mcs-wireless.com</t>
  </si>
  <si>
    <t>Managed Solutions Incorporated</t>
  </si>
  <si>
    <t>Management &amp; Planning Solutions, LLC</t>
  </si>
  <si>
    <t>="Management &amp; Planning Solutions, LLC is a park and recreation consultant that focuses on all aspects of administration, management, planning, and operations for park and recreation agencies. Services include park and recreation master plans, organizational assessments, strategic planning, capital development planning, leadership and staff training, workshops and seminars, recreation program analysis, community surveys, focus group and meeting facilitation, and other related projects."</t>
  </si>
  <si>
    <t>http://www.mpsolutionsllc.net</t>
  </si>
  <si>
    <t>mailto:dennisu@mpsolutionsllc.net</t>
  </si>
  <si>
    <t>Management Information Disciplines</t>
  </si>
  <si>
    <t>="Management Information Disciplines, Inc. is an Indianapolis based information technology management and consulting firm serving clients throughout the United States for the past 25 years. Utilizing two intergrated but seperate business models for Retail Which is comprised of a group of Retail Professionals with over 20 years of expertise in retail planning, allocation and replenishment. We believe that we can help show your company the way to achieve its goals in the constantly evolving world of retail. and Technical Services Which specializes in working with private industry, social service, healthcare and government organizations to improve productivity, reduce cost and enhance quality through effective information management and the strategic application of information technology."</t>
  </si>
  <si>
    <t>http://www.midtechnologies.com</t>
  </si>
  <si>
    <t>mailto:larry@midtechnologies.com</t>
  </si>
  <si>
    <t>Management Information Systems, Company</t>
  </si>
  <si>
    <t>="MISCompany for over a decade has been a dependable Partner serving a diverse range of clients with valuable technology support services, sound advice and innovative solutions. MISCompany is a national company centrally located in Indianapolis, Indiana serving clients throughout North America. With our Partnerships with HP, IBM, Dell, Cisco, Microsoft, VMWare, and Citrix and a dedicated engineering staff; we provide our clients with a sound reliable solution with a low initial cost of procurement and overall total cost of ownership. From Design to Desktop/Network Remote and On-site Support; MISCompany will Partner with your Business to provide solutions to meet your unique business needs."</t>
  </si>
  <si>
    <t>http://www.TeamMIS.com</t>
  </si>
  <si>
    <t>mailto:sales@TeamMIS.com</t>
  </si>
  <si>
    <t>Management Registry Inc</t>
  </si>
  <si>
    <t>http://www.managementregistry.com</t>
  </si>
  <si>
    <t>mailto:bkissick@managementregistry.com</t>
  </si>
  <si>
    <t>Manan Technologies Inc</t>
  </si>
  <si>
    <t>="Manan Technologies is a Indiana Base Company which manufactures, supports, and Researches Medical Durable Devices for health Industry, and other Hearing Protection Devices for commercial and Military applications. Located in the Heat of Indiana in Bainbridge, Indiana ;Manan Technologies is able to provide our technology around the world."</t>
  </si>
  <si>
    <t>http://www.mananhearing.com</t>
  </si>
  <si>
    <t>mailto:rbrown@manantechnologies.com</t>
  </si>
  <si>
    <t>Mandrisa Security &amp; Hardware, Inc.</t>
  </si>
  <si>
    <t>mailto:mandrisa@bnin.net</t>
  </si>
  <si>
    <t>Mane Containers LLC</t>
  </si>
  <si>
    <t>="Mane Containers LLC provides 20, 30, and 40 yd open or closed top waste disposal containers, and collection and disposal services for construction and industrial entities. (We are currently in the WBE certification process with the State of Indiana and hope to be successful by the end of January 07.)"</t>
  </si>
  <si>
    <t>http://pending</t>
  </si>
  <si>
    <t>mailto:vhuffer@mintel.net</t>
  </si>
  <si>
    <t>Mangala Hasanadka</t>
  </si>
  <si>
    <t>Mangrum's Contract Carriers</t>
  </si>
  <si>
    <t>Mantz Sounds &amp; Service, LLC</t>
  </si>
  <si>
    <t>mailto:mss.llc@verizon.net</t>
  </si>
  <si>
    <t>Mantz Sounds &amp; Service, LLC.</t>
  </si>
  <si>
    <t>="Specializing in two-way radio communucations, emergency lighting for public safety officials, providing both sales and service on these listings. Providing a large selection on electronic equipment sales. Vinyl decaling vehicles, shirts, full printing abilities, business cards, banners, screen printing, embroidering etc.."</t>
  </si>
  <si>
    <t>Manuszak/Schoff, Inc</t>
  </si>
  <si>
    <t>="Manuszak/Schoff is an Advertising, Design and Communications firm specializing in intelligent and thoughtful creative services appropriate for the client, the project and the audience. Our core strengths are graphic design, copywriting, art direction, and campaign development, whether it's for an effective identity, a functional Web site or targeted advertising in any media. As testament to being effective and easy to work with, we have long-term relationships with entrepeneurs, Fortune 500 companies and not-for-profit agencies. Manuszak/Schoff. Good thinking."</t>
  </si>
  <si>
    <t>http://www.manuszakschoff.com</t>
  </si>
  <si>
    <t>mailto:lorrie@manuszakschoff.com</t>
  </si>
  <si>
    <t>Map Girl LLC</t>
  </si>
  <si>
    <t>mailto:mapgirlllc@gmail.com</t>
  </si>
  <si>
    <t>Maple Grove Distribu</t>
  </si>
  <si>
    <t>Maple Hill Engineering, LLC</t>
  </si>
  <si>
    <t>http://www.maplehillengineering.com</t>
  </si>
  <si>
    <t>mailto:maplehillengineering@gmail.com</t>
  </si>
  <si>
    <t>Maple Tronics Computers, Inc.</t>
  </si>
  <si>
    <t>="MapleTronics, based in Goshen, Indiana, is a leading provider of computer technology and technology based solutions. For nearly 20 years, MapleTronics has provided quality computer systems and technology solutions for government agencies, businesses and consumers."</t>
  </si>
  <si>
    <t>http://www.mapletronics.com</t>
  </si>
  <si>
    <t>mailto:gglass@maplenet.net</t>
  </si>
  <si>
    <t>Maplestreet Group, INC</t>
  </si>
  <si>
    <t>http://www.maplest.com</t>
  </si>
  <si>
    <t>mailto:susann@maplest.com</t>
  </si>
  <si>
    <t>Marbach &amp; Brady Land Surveying, Inc.</t>
  </si>
  <si>
    <t>="Licensed as both Professional Land Surveyors and Professional Engineers in Indiana, Michigan, Illinois and Ohio, our knowledgeable and skilled staff has a reputation for thorough, satisfactory service. That comes from their years of experience and our dedication to new technology and ongoing education. Our innovative, common sense approach to complicated projects wins us distinguished awards and referrals from peers. Accuracy and precision. Since 1918, Marbach, Brady &amp; Weaver has attained a high level of excellence while striving to meet these goals in every project, whether large or small. We look forward to continuing this excellence for years to come as leaders in the fields of land surveying and civil engineering."</t>
  </si>
  <si>
    <t>http://www.marbachpls.com</t>
  </si>
  <si>
    <t>mailto:Info@marbachpls.com</t>
  </si>
  <si>
    <t>Marc Hord Heating and Cooling, LLC</t>
  </si>
  <si>
    <t>March Environmental Services, LLC</t>
  </si>
  <si>
    <t>="March Environmental Services, LLC specializes in Section 106 compliannce and mitigation documents, including Memoranda of Agreement and Programmatic Agreements. March Environmental also conducts architectural surveys; develops historic contexts; prepares nominations for the National Register of Historic Places; and prepares preservation plans and historic resource management plans."</t>
  </si>
  <si>
    <t>http://www.marchenvironmental.com</t>
  </si>
  <si>
    <t>mailto:marchenviro@att.net</t>
  </si>
  <si>
    <t>Marcia J. Oddi</t>
  </si>
  <si>
    <t>http://enviro-info-solutions.com</t>
  </si>
  <si>
    <t>mailto:moddi@iquest.net</t>
  </si>
  <si>
    <t>Marcum's Welding &amp; Steel Processing, Inc</t>
  </si>
  <si>
    <t>="Custom Steel Fabrication and Welding; drilling, bending and notching, sawing, sheering, punching, mig &amp; tig welding, beam splitting, beam cambering, straight burning. Some project examples include; Handrails, Storage Racks, Shipping Racks, Dock Stairs &amp; Catwalks, Beams &amp; Columns for Buildings to name a few. We have extensive experience with Structural Steel Processing &amp; Fabrication. We are capable of handling both large and small items, from angles and pipes to beams and sheet metal. Fast Quality Service. Indiana based, started as Sole Proprietorship in 1977 and Incorporated 2004."</t>
  </si>
  <si>
    <t>mailto:marcumswelding@aol.com</t>
  </si>
  <si>
    <t>Margaret Eloise Moore</t>
  </si>
  <si>
    <t>Margaret Mary Community Hospital</t>
  </si>
  <si>
    <t>mailto:mmch.org</t>
  </si>
  <si>
    <t>Margaret, LLC</t>
  </si>
  <si>
    <t>mailto:margaretllcaol.com</t>
  </si>
  <si>
    <t>Margie L. Stankoven</t>
  </si>
  <si>
    <t>mailto:relo@quixnet.net</t>
  </si>
  <si>
    <t>Maria C. Larson Consulting</t>
  </si>
  <si>
    <t>mailto:mariaconcepcionlarson@gmail.com</t>
  </si>
  <si>
    <t>Maria Swift</t>
  </si>
  <si>
    <t>="Indiana Virtual Professionals is pleased to offer high quality, reasonable cost professional services. Our virtual network provides an alternative to off-shoring, traditional consulting, and temporary employees for IT, data entry, billing, administrative, and analysis work. We're detail-oriented and deadline-driven! Indiana Virtual Professionals are highly educated, organized, experienced individuals who have left the traditional office workforce to focus on special needs of their families, but still have capacity and desire to work on professional projects. Our virtual professionals are based in Indiana and work primarily from their homes with occasional trips to your facility for project specifications. Why use our services? Lower cost than on-site consultants Better communication than off shoring Highly educated, motivated, US citizen workforce Project-focused, detail-oriented, deadline-driven WBE Credit Support Indiana special needs families"</t>
  </si>
  <si>
    <t>http://www.IndianaVirtualPro.com</t>
  </si>
  <si>
    <t>mailto:info@indianavirtualpro.com</t>
  </si>
  <si>
    <t>Maribeth Smith &amp; Associates, Inc.</t>
  </si>
  <si>
    <t>="Maribeth Smith &amp; Associates, Inc. is an event consulting and project management firm specializing in organizational skills and attention to detail. We provide expertise in project management and logistics and other elements necessary for a successful conference, party, meeting, or special event. We apply our unique methodology to plan and execute events that are efficiently organized, creative, and financially solvent, resulting in outcomes beyond client satisfaction. We operate as a team to perform responsibilities with commitment, integrity and excellence. We have extensive experience with program and budget development, strategic thinking, creative development and production, local organizing committee management, fundraising campaigns and sponsorship fulfillment, on-site event logistics, registration systems, volunteer coordination and hospitality, media relations, event promotions, community awareness programs, and event and project branding."</t>
  </si>
  <si>
    <t>http://www.maribethsmith.com</t>
  </si>
  <si>
    <t>mailto:ellen@maribethsmith.com</t>
  </si>
  <si>
    <t>Marie B. Hawkins</t>
  </si>
  <si>
    <t>Marie Enterprises Inc</t>
  </si>
  <si>
    <t>mailto:celswick@purdue.edu</t>
  </si>
  <si>
    <t>Marietta Community Volunteer Fire Dept.</t>
  </si>
  <si>
    <t>Mariga, Chan &amp; Associates, LLC</t>
  </si>
  <si>
    <t>mailto:smariga@mariga-and-chan.com</t>
  </si>
  <si>
    <t>Marine Center of Indiana</t>
  </si>
  <si>
    <t>http://www.marinecenterusa.com</t>
  </si>
  <si>
    <t>mailto:sales@marinecenterusa.com</t>
  </si>
  <si>
    <t>Marine Fasteners Inc</t>
  </si>
  <si>
    <t>http://www.marfas.com</t>
  </si>
  <si>
    <t>mailto:doug@marfas.com</t>
  </si>
  <si>
    <t>Fastener, Button, Needle and Pin Manufacturing</t>
  </si>
  <si>
    <t>Mario's Foods, Inc.</t>
  </si>
  <si>
    <t>http://www.marioscateringinc.com</t>
  </si>
  <si>
    <t>mailto:lyndamarios@msn.com</t>
  </si>
  <si>
    <t>Mark A. Swanson</t>
  </si>
  <si>
    <t>mailto:mark@markswanson.com</t>
  </si>
  <si>
    <t>Mark International, LLC</t>
  </si>
  <si>
    <t>mailto:usasecuriy@aol.com</t>
  </si>
  <si>
    <t>Mark International,LLC</t>
  </si>
  <si>
    <t>mailto:ojohn9424@aol.com</t>
  </si>
  <si>
    <t>Mark Keutzer</t>
  </si>
  <si>
    <t>Mark Lewis</t>
  </si>
  <si>
    <t>mailto:mlewis.free@sbcglobal.net</t>
  </si>
  <si>
    <t>Mark Ruiz, M.D.</t>
  </si>
  <si>
    <t>mailto:markruiz@earthlink.net</t>
  </si>
  <si>
    <t>Mark's Brothers Mechanical</t>
  </si>
  <si>
    <t>http://www.marksbrothers.net</t>
  </si>
  <si>
    <t>mailto:mark@marksbrothers.net</t>
  </si>
  <si>
    <t>Mark's Heating, Air Cond &amp; Refrigeration</t>
  </si>
  <si>
    <t>="We are a 27 year old company located in northeast indiana dedicated to rsidential and light commercial installation and repair work. We specialize in heating (gas electric and fuel oil), air conditioning and heat pumps, open and closed loop geothermal units. Located in Decatur, Indiana."</t>
  </si>
  <si>
    <t>http://www.marksheating.com</t>
  </si>
  <si>
    <t>mailto:marksheating@earthlink.net</t>
  </si>
  <si>
    <t>Mark's Vacuum Inc.</t>
  </si>
  <si>
    <t>http://www.marksvac.com</t>
  </si>
  <si>
    <t>mailto:mgcleary@marksvac.com</t>
  </si>
  <si>
    <t>MarkVatten Services Inc.</t>
  </si>
  <si>
    <t>="MarkVatten Services, Inc. is a stormwater compliance consulting company. We offer trained professional stormwater inspections of construction sites under Indiana's Rule 5 requirements for developers, builders, and municipalities. We also offer assistance to municipalities for meeting Indiana's Good Housekeeping Requirements for their Stormwater Pollution Prevention Programs."</t>
  </si>
  <si>
    <t>mailto:tsailor@markvatten.com</t>
  </si>
  <si>
    <t>Markel Markel Lambring &amp; MacTavish</t>
  </si>
  <si>
    <t>mailto:jmarkel@markellaw.com</t>
  </si>
  <si>
    <t>Marker's Wally World</t>
  </si>
  <si>
    <t>="We are a Honda (selling generators, engines, pumps, tillers, trimmers, lawn mowers, snowblowers and accessories), Milwaukee tools and Hustler mowers dealer. In our store, you will find hundreds of hardware items to include rags, bolts, nuts, screws, carpets, tools and more. We also sell custom golf karts and buildings."</t>
  </si>
  <si>
    <t>http://wallyworld-markers.com</t>
  </si>
  <si>
    <t>Market-Ting LLC.</t>
  </si>
  <si>
    <t>http://www.market-ting.com</t>
  </si>
  <si>
    <t>MarketVoice Consulting</t>
  </si>
  <si>
    <t>="Market Voice Consulting is dedicated to helping organizations analyze business operations and market information for better decision-making. Market Voice designs, collects, analyzes, and interprets data, using customized qualitative and quantitative research to help organizatiions reach higher profits and market share."</t>
  </si>
  <si>
    <t>http://www.market-voice.com</t>
  </si>
  <si>
    <t>mailto:adavidoff@market-voice.com</t>
  </si>
  <si>
    <t>Marketing Informatics LLC</t>
  </si>
  <si>
    <t>="Marketing Informatics is a professional, direct marketing services provider that uses data intelligence and statistical analysis to inform direct marketing programs that drive sales from target audiences. We also utilize primary research as a means of capturing consumer data that can serve as a stand alone resource, or used to further inform the data intelligence associated with direct marketing programs for our clients."</t>
  </si>
  <si>
    <t>http://www.marketinginformatics.com</t>
  </si>
  <si>
    <t>mailto:info@marketinginformatics.com</t>
  </si>
  <si>
    <t>Marketpath, Inc.</t>
  </si>
  <si>
    <t>http://www.marketpath.com</t>
  </si>
  <si>
    <t>mailto:mzentz@marketpath.com</t>
  </si>
  <si>
    <t>Marketpro, Inc.</t>
  </si>
  <si>
    <t>http://www.emktpro.com</t>
  </si>
  <si>
    <t>mailto:info@emktpro.com</t>
  </si>
  <si>
    <t>Markey's Audio Visual, Inc.</t>
  </si>
  <si>
    <t>http://www.markeys.com</t>
  </si>
  <si>
    <t>mailto:RentalOrders@markeys.com</t>
  </si>
  <si>
    <t>Markey's Video Images LLC</t>
  </si>
  <si>
    <t>http://sensorytechnologies.com</t>
  </si>
  <si>
    <t>mailto:aesellers@sensorytechnologies.com</t>
  </si>
  <si>
    <t>Marlyn Communication</t>
  </si>
  <si>
    <t>="We are a family owned small business that only works in Indiana and only uses Indiana residents as employees. I am the primary owner and my husband is the primary technician in a business that sells and services small business telephone systems and installs infrastructure for small buildings and residences. I also do clerical work in the office for both myself and others as needed. We can provide scheduling, A/R, A/P and telephone response."</t>
  </si>
  <si>
    <t>mailto:lyndamil@sbcglobal.net</t>
  </si>
  <si>
    <t>Marmax Construction, LLC</t>
  </si>
  <si>
    <t>mailto:marmaxconstr1@sbcglobal.net</t>
  </si>
  <si>
    <t>Marque Consulting Engineers</t>
  </si>
  <si>
    <t>http://www.marque-engineers.com</t>
  </si>
  <si>
    <t>mailto:azra@marque-engineers.com</t>
  </si>
  <si>
    <t>Marquee Vending, LLC</t>
  </si>
  <si>
    <t>Marquis Consulting Services Inc.</t>
  </si>
  <si>
    <t>http://www.marquis-id.com</t>
  </si>
  <si>
    <t>mailto:info@marquis-id.com</t>
  </si>
  <si>
    <t>Marquise Properties</t>
  </si>
  <si>
    <t>mailto:dburgess@marquiseproperties.biz</t>
  </si>
  <si>
    <t>Marquise Properties,LLC</t>
  </si>
  <si>
    <t>http://www.marquiseproperties.biz</t>
  </si>
  <si>
    <t>Marr &amp; Associates</t>
  </si>
  <si>
    <t>mailto:maggie@marrindy.com</t>
  </si>
  <si>
    <t>Married 2 Magic, LLC</t>
  </si>
  <si>
    <t>="As the #1 husband &amp; wife comedy mind reading act in the nation, Christian &amp; Katalina take audiences on an adventurous mental ride with their special brand of entertainment. They have a continuously running show called Mind Tripping at the Hilton Indianapolis Hotel &amp; Suites in downtown Indianapolis every Friday and Saturday night (mindtrippingshow.com) as well as performing for corporate events, trade shows, awards ceremonies, hospitality suites, VIP client functions, conferences, colleges, and resorts. Christian &amp; Katalina perform a fun, yet mystifying act that infuses modern day repartee with psychological illusions. They bring master illusionist skills, sophisticated humor, and an undeniable enigmatic spark to their cutting edge performances. Visualize one part Gomez and Morticia, one part Candid Camera, and one part Twilight Zone. They have been called mentalists, magicians, and mind readers, but most of all amazing entertainers and entertainment experts."</t>
  </si>
  <si>
    <t>http://married2magic.com</t>
  </si>
  <si>
    <t>mailto:shows@married2magic.com</t>
  </si>
  <si>
    <t>Mars Telecommunications LLC</t>
  </si>
  <si>
    <t>http://www.marstelecom.net</t>
  </si>
  <si>
    <t>mailto:mars@marstelecom.net</t>
  </si>
  <si>
    <t>Marsha's Specialty Cakes</t>
  </si>
  <si>
    <t>http://www.marshasspecialtydesserts.com</t>
  </si>
  <si>
    <t>mailto:sales@marshasspecialtydessertc.com</t>
  </si>
  <si>
    <t>Marshall Best Security Corporation</t>
  </si>
  <si>
    <t>="Marshall Best Security is a leading provider of commercial locking hardware, masterkeyed locking systems and security technology. Service is our hallmark as we aim to delight our customers by meeting their security needs in a timely manner. Please contact us for a free survey of your security and hardware requirements."</t>
  </si>
  <si>
    <t>http://www.marshallbestsecurity.com</t>
  </si>
  <si>
    <t>mailto:mrisden@mbestsecurity.com</t>
  </si>
  <si>
    <t>Marshall Mechanical Inc</t>
  </si>
  <si>
    <t>http://www.marshallhvac.com</t>
  </si>
  <si>
    <t>mailto:marshallmech@embarqmail.com</t>
  </si>
  <si>
    <t>Marshall Roofing &amp; Siding</t>
  </si>
  <si>
    <t>http://www.marshallroofinandsiding.com</t>
  </si>
  <si>
    <t>mailto:info@marshallroofingandsiding.com</t>
  </si>
  <si>
    <t>Martell Electric, LLC</t>
  </si>
  <si>
    <t>="We provide electrical and telecommunication services for -New Construction; Commercial, Industrial and Institutional -Highway Speciality; traffic lighting, highway lighting, ITS, and highway signage -Sports Lighting -Site Electrical -High Voltage Systems -Control Systems -Maintenance Services We also provide design build services for electrical and telecommunication systems for all the above areas of service."</t>
  </si>
  <si>
    <t>http://www.martellelectric.com</t>
  </si>
  <si>
    <t>mailto:jmmartell@martellelectric.com</t>
  </si>
  <si>
    <t>Marti Mac Enterprises LLC</t>
  </si>
  <si>
    <t>="A member of the National Speakers Association, Marti MacGibbon is a nationally award-winning author, humorous inspirational speaker and trainer. She speaks on resilience and overcoming adversity to a variety of populations including business people, military veterans, human service and heath care professionals."</t>
  </si>
  <si>
    <t>http://www.matimacgibbon.com</t>
  </si>
  <si>
    <t>mailto:marti@martimacgibbon.com</t>
  </si>
  <si>
    <t>Martin Design Servic</t>
  </si>
  <si>
    <t>http://www.mds-indy.com</t>
  </si>
  <si>
    <t>mailto:info@mds-indy.com</t>
  </si>
  <si>
    <t>Martin Electrical Services LLC</t>
  </si>
  <si>
    <t>mailto:dmartin1868@gmail.com</t>
  </si>
  <si>
    <t>Martin Riley, Inc.</t>
  </si>
  <si>
    <t>="architecture, engineering, interior design, roof consulting. A professional architectural and engineering firm working in: K-University education-- educational planning, feasibility studies and master planning. Municipal-- includinding police stations, fire stations, administrative and judicial facilities. Medical-- professional offices, residential facilities, long-term care. Religious-- churches, parochial education, support facilities. Industrial, commercial and retail facilities. Historical restoration and renovation"</t>
  </si>
  <si>
    <t>http://www.martin-riley.com</t>
  </si>
  <si>
    <t>mailto:mail@martin-riley.com</t>
  </si>
  <si>
    <t>Marvin E Lewis</t>
  </si>
  <si>
    <t>="LEWIS DISTRIBUTING Co. sells safety,health, enviromental products. We sell police and fire department supplies and equipment. We sell medical gloves and supplies. We sell industrial and all other types of gloves. We sell print cartridges and supplies. On our website we sell peppersprays,stunguns and tasers."</t>
  </si>
  <si>
    <t>http://HOTSECURITY.COM</t>
  </si>
  <si>
    <t>mailto:INFO@HOTSECURITY.COM</t>
  </si>
  <si>
    <t>Marwell LLC</t>
  </si>
  <si>
    <t>="Marwell is a small business located in Southern Indiana. We are a home remodeling business. We specialize in kitchens and bathrooms. We custom build countertops. We also install and repair desktop computers. We have certifications in automobiles, motorcycles, computers and carpentry. We provide a high quality service at very reasonable prices."</t>
  </si>
  <si>
    <t>http://www.marwell.us</t>
  </si>
  <si>
    <t>mailto:email@marwell.us</t>
  </si>
  <si>
    <t>Mary &amp; Martha's, LLC</t>
  </si>
  <si>
    <t>="Mary &amp; Martha's is a full-service catering company specializing in southern style down-home cooking but also prepares dishes from your basic platters to fine dining 5-course upscale meals. We cater: Banquets, Coporate Events, Family Reunions, Private Parties and Receptions. We also specialize in contract meals for schools and daycare facilities. Mary &amp; Martha's ""heavenly home cooking.....fantastic food--period!"</t>
  </si>
  <si>
    <t>http://www.mary-marthas.com</t>
  </si>
  <si>
    <t>mailto:maryandmarthascuisine@yahoo.com</t>
  </si>
  <si>
    <t>Mary Beth Kohart, PC</t>
  </si>
  <si>
    <t>http://www.marybethkohart.com</t>
  </si>
  <si>
    <t>mailto:mkohart@ctmt.com</t>
  </si>
  <si>
    <t>Mary Daly</t>
  </si>
  <si>
    <t>Mary Elizabeth Mellon</t>
  </si>
  <si>
    <t>="Providing desktop publishing and commercial art services, including sales collateral, signage, catalog publishing, corporate identity development as well as full strategic marketing consultation. We can also provide complete production solutions and delivery on printed projects and signage. 20+ years experience serving worldwide."</t>
  </si>
  <si>
    <t>http://www.mellonink.com</t>
  </si>
  <si>
    <t>mailto:me@mellonink.com</t>
  </si>
  <si>
    <t>Mary K Flagg</t>
  </si>
  <si>
    <t>http://www.americandreampropertypreserva</t>
  </si>
  <si>
    <t>mailto:maryk@americandreampropertypreservation.com</t>
  </si>
  <si>
    <t>Mary Rigg Neighborhood Center</t>
  </si>
  <si>
    <t>="Mary Rigg Neighborhood Center is a nonprofit, social services organization that serves children, youth, adults, and seniors living in low-income neighborhoods in west and southwest Indianapolis area. Services provided improve youth and families, increase employment, and serve the community."</t>
  </si>
  <si>
    <t>http://www.maryrigg.org</t>
  </si>
  <si>
    <t>mailto:info@maryrigg.org</t>
  </si>
  <si>
    <t>MaryComm Wiring, Inc.</t>
  </si>
  <si>
    <t>http://www.marycommwiring.com/</t>
  </si>
  <si>
    <t>mailto:marycommwiring@gmail.com</t>
  </si>
  <si>
    <t>MaryDesigns, LLC</t>
  </si>
  <si>
    <t>http://www.marydesigns.com</t>
  </si>
  <si>
    <t>mailto:mary@marydesigns.com</t>
  </si>
  <si>
    <t>Marys Futon Factory</t>
  </si>
  <si>
    <t>http://thefutonfactoryinc.com</t>
  </si>
  <si>
    <t>mailto:mary@thefutonfactoryinc.com</t>
  </si>
  <si>
    <t>Marysville True Value Hardware</t>
  </si>
  <si>
    <t>="Marysville Hardware is an independantly owned rural hardware. We carry paint, plumbing, electrical, general, and specialty hardware. We also specialize in small engine sales and repair. We are proud to offer Stihl brand power equipment and also Ariens &amp; Gravely residential and commerical mowers."</t>
  </si>
  <si>
    <t>mailto:marysvillehardware@yahoo.com</t>
  </si>
  <si>
    <t>Mason Engineering and Construction, Inc.</t>
  </si>
  <si>
    <t>http://www.masonec.com</t>
  </si>
  <si>
    <t>Mass Gemini, Inc.</t>
  </si>
  <si>
    <t>http://www.massgemini.com</t>
  </si>
  <si>
    <t>mailto:info@massgemini.com</t>
  </si>
  <si>
    <t>Massie, Inc.</t>
  </si>
  <si>
    <t>="Marketing Informatics provides high quality marketing services, delivered with integrity, as we strive to exceed the expectations of our clients. Specifically, our services include: - Market Research (surveys, focus groups, intercepts, etc.) - Full range of creative services - Direct Marketing (Smart Marketing™ Services that incorporate database analytics, segmentation, and goal oriented project management) - Full Service Mailing Operation (specializing in no-excuses, get-it-done production) - Commercial Printing"</t>
  </si>
  <si>
    <t>Master Craft Floors,</t>
  </si>
  <si>
    <t>mailto:jdmcc@sbcglobal.net</t>
  </si>
  <si>
    <t>Master's Touch Counseling Services</t>
  </si>
  <si>
    <t>="Master's Touch Counseling Services offers the highest quality integrated behavioral health counseling services. We provide provided personalized treatment plans for individuals and families in a confidential environment for the treatment of issues such as depression, anxiety, drug and alcohol addictions and much more."</t>
  </si>
  <si>
    <t>http://Masterstouchllc.com</t>
  </si>
  <si>
    <t>mailto:dmoore@masterstouchllc.com</t>
  </si>
  <si>
    <t>Master's Touch Home Services</t>
  </si>
  <si>
    <t>="Master's Touch Counseling Services offers the highest quality integrated behavioral health counseling services and personalized treatment plans to individuals and families in a confidential environment for the treatment of issues such as depression, anxiety, drug and alcohol addiction and much more. Our understanding and professional staff will help to assess your behavioral health needs and get you back on the path to stabilization, wellness and recovery."</t>
  </si>
  <si>
    <t>mailto:xxDMoore@masterstouchllc.com</t>
  </si>
  <si>
    <t>Mastercut Lawn Care, Inc.</t>
  </si>
  <si>
    <t>="We provide lawn care services including grass cutting, mulching and bagging, trimming, leaf pickup, trash pickup, mulching of shrub and flower beds, watering of trees, shrubs and flowers, gutter cleaning and other related lawn care services for both commercial and residential customers in Evansville and Vanderburgh, Posey and Warrick Counties."</t>
  </si>
  <si>
    <t>Masters Architectural Graphics, Inc.</t>
  </si>
  <si>
    <t>http://www.asisignage.com</t>
  </si>
  <si>
    <t>mailto:bill.reid@asisignage.com</t>
  </si>
  <si>
    <t>Mat Man Inc.</t>
  </si>
  <si>
    <t>http://www.thematman.com</t>
  </si>
  <si>
    <t>mailto:Matman300@aol.com</t>
  </si>
  <si>
    <t>Matchbook Creative, Inc.</t>
  </si>
  <si>
    <t>http://www.sparktoignite.com</t>
  </si>
  <si>
    <t>mailto:dgray@sparktoignite.com</t>
  </si>
  <si>
    <t>Maten Gabor Gerdenich II</t>
  </si>
  <si>
    <t>mailto:bibgerdenich@insightbb.com</t>
  </si>
  <si>
    <t>Material Girls Building Supplies LLC</t>
  </si>
  <si>
    <t>http://www.materialgirlsbuildingsupplies</t>
  </si>
  <si>
    <t>mailto:jane@materialgirlsbuildingsupplies.com</t>
  </si>
  <si>
    <t>Material Matters LLC</t>
  </si>
  <si>
    <t>mailto:bettysorgius@msn.com</t>
  </si>
  <si>
    <t>Material Service Corporation</t>
  </si>
  <si>
    <t>http://lehighhanson.com</t>
  </si>
  <si>
    <t>mailto:michelle.sutor@hanson.biz</t>
  </si>
  <si>
    <t>Materials Transport, Inc.</t>
  </si>
  <si>
    <t>Mathematical Advantage Tutoring headquar</t>
  </si>
  <si>
    <t>mailto:rechele@m-a-t-h-inc.com</t>
  </si>
  <si>
    <t>Mathes Assoc., Inc.</t>
  </si>
  <si>
    <t>http://www.gopaperlite.com</t>
  </si>
  <si>
    <t>mailto:nancy@gopaperlite.com</t>
  </si>
  <si>
    <t>Mathews-Purucker-Anella, Inc.</t>
  </si>
  <si>
    <t>="MPA Architects is an Indiana Corporation founded in 1956. Today, the corporation is a Woman Owned Business Enterprise with Jacquelyn S. Hilderbrandt as President and Dean R. Bergeman as Vice President. Together, they provide leadership skills and focus on design solutions that reflect the importance of the human experience and the environmental imperative to create sustainable environments for living. MPA Architects has distinguished itself with a diverse and technologically challenging portfolio of design solutions. The scope of our projects include: educational, commercial, industrial, religious, health care, and recreational facilities, single and multi-family residential, and retirement communities. These environments include new construction, additions, restoration, and renovation. We have over twelve hundred commissions to our credit, with over ninety percent of our new work the result of repeat business, an indication of our service and the value we place on our clients."</t>
  </si>
  <si>
    <t>http://www.mpaarchitects.com</t>
  </si>
  <si>
    <t>mailto:jhilderbrandt@mpaarchitects.com</t>
  </si>
  <si>
    <t>Matlock Inc</t>
  </si>
  <si>
    <t>http://www.matlockford.com</t>
  </si>
  <si>
    <t>mailto:sales@matlockford.com</t>
  </si>
  <si>
    <t>Matney &amp; Associates, Inc</t>
  </si>
  <si>
    <t>="Matney Technology Group is a solutions based organization specializing in Information Technology consulting and contracting. Our group of professionals are available for Network, Server, Infrastructure, VoIP, Desktop Support and Outsourced IT Solutions. MTG strives to provide the best in class solutions using standard technologies to sustain long term supportability. Many organizations over the years have chosen solutions that were created in-house and are very difficult to support. MTG will organize these unknowns and provide you with a fully supported solution that will be scalable for your needs long-term. MTG also would like to offer our outsourced Help Desk solution for organizations that do not want to build the support staff and continually train. By delivering this service, you are removing the highest turn-over positions and letting your engineers do what they do best."</t>
  </si>
  <si>
    <t>http://www.MatneyTechGroup.com</t>
  </si>
  <si>
    <t>mailto:dan@matneytechgroup.com</t>
  </si>
  <si>
    <t>Matrix Global Partners, Inc.</t>
  </si>
  <si>
    <t>http://www.MatrixGP.com</t>
  </si>
  <si>
    <t>mailto:RNFoley@MatrixGP.com</t>
  </si>
  <si>
    <t>Matrix Label Systems, Inc.</t>
  </si>
  <si>
    <t>="For more than 20 years, Matrix Label has been providing the highest quality stock and custom labels, continuous tags, and postal ink technology products for a variety of applications from shipping and postage to product identification. Our products can be found in use on a variety of consumer goods and in many different industries throughout the country from industrial and retail to pharmaceutical and manufacturing. Matrix Label is an experienced innovator and leading manufacturer in the pressure sensitive converting industry providing many of the latest materials and design ideas. We are a supplier of a full range of products and services from individual small to long-run orders to large multi-month print management contracts. Our sole focus is the continued development and improvement of our products and drive to provide our customers with innovative and sound product solutions. At Matrix Label we design innovative products that answer our customer’s needs."</t>
  </si>
  <si>
    <t>http://www.matrixlabel.com</t>
  </si>
  <si>
    <t>mailto:info@matrixlabel.com</t>
  </si>
  <si>
    <t>Commercial Flexographic Printing</t>
  </si>
  <si>
    <t>Matrix Photo Laboratories, Inc</t>
  </si>
  <si>
    <t>http://matrixdigitalphoto.com</t>
  </si>
  <si>
    <t>mailto:support@matrixdigitalphoto.com</t>
  </si>
  <si>
    <t>Matt's Lawn Care &amp; Landscaping</t>
  </si>
  <si>
    <t>http://www.mattslawn.com</t>
  </si>
  <si>
    <t>mailto:emailmattslawn@yahoo.com</t>
  </si>
  <si>
    <t>Mattcon General Contractors, Inc.</t>
  </si>
  <si>
    <t>http://www.mattcongc.com</t>
  </si>
  <si>
    <t>mailto:info@mattcongc.com</t>
  </si>
  <si>
    <t>Matthew Beach</t>
  </si>
  <si>
    <t>Matthew Holbrook Structural Engineer Inc</t>
  </si>
  <si>
    <t>mailto:mdholbrook@indy.rr.com</t>
  </si>
  <si>
    <t>Matthews' Painting Company, LLC.</t>
  </si>
  <si>
    <t>="Professional Painting and Pressure Washing- Interior / Exterior - Residential Repainting - New Construction / Remodel / Commercial / Industrial - Decks and Concrete - Stain and / or Seal - Wallpaper Removal and Drywall Repair. Pressure Washing - Mold and Mildew Removal - Decks and Houses - Businesses / Factories - Driveways, Sidewalks, and Floors - Fences and Canopies - Heavy Equipment and Machinery"</t>
  </si>
  <si>
    <t>mailto:matthewspainting@hotmail.com</t>
  </si>
  <si>
    <t>Maura B Clark Consulting Inc</t>
  </si>
  <si>
    <t>Maura G. Robinson</t>
  </si>
  <si>
    <t>="M. G. Robinson, Inc. is a consulting and professional development expert that creates systemic platforms that revolutionize the way organizations implement organizational changes to transform to a culture of inclusion. The company specializes in three areas: Organizational Diversity™, Latino Cultures Awareness, and group development. This company provides tangible and successful behavior changes at the organizational level because the founder uses the organizational competencies to modify or improve employees behavior to create an environment of inclusion regardless personal beliefs. Each professional development component is strengthening by the organization’s strategic plan and core competencies of success. M. G. Robinson, Inc. is your inclusion solutionl.!"</t>
  </si>
  <si>
    <t>http://mgrobinsoninc.com</t>
  </si>
  <si>
    <t>mailto:maurarobinson@mgrobinsoninc.com</t>
  </si>
  <si>
    <t>Maura G. Robinson Inc.</t>
  </si>
  <si>
    <t>="Provides organizational Development training in the areas of Diversity-including Latino training, Facilitation, mediation, time management, MBE/WBE Development. The company is also able to provide any type of training in the areas of human services, corporate and business enterprises. Each training is individualized to serve the client's needs."</t>
  </si>
  <si>
    <t>mailto:mr28@sigecom.net</t>
  </si>
  <si>
    <t>Maury Boyd &amp; Associates, Inc.</t>
  </si>
  <si>
    <t>http://www.mauryboyd.com</t>
  </si>
  <si>
    <t>mailto:eberhartb@mauryboyd.com</t>
  </si>
  <si>
    <t>Maven Construction &amp; Environmental, LLC</t>
  </si>
  <si>
    <t>="Maven Construction &amp; Environmental provides General Contracting and turnkey self-performance to our Federal, Industrial, and Municipal clients worldwide, with services including roofing, HVAC, demolition, and abatement, as well as architectural, structural, and civil construction."</t>
  </si>
  <si>
    <t>http://www.mavenconstructionllc.com</t>
  </si>
  <si>
    <t>mailto:info@mavenconstructionllc.com</t>
  </si>
  <si>
    <t>MavenSphere Inc.</t>
  </si>
  <si>
    <t>="MavenSphere Inc. founded in 2007, is headquartered in Carmel, IN. We are an IT consulting and technology services company offering technology specific and industry specific solutions to companies of all sizes, all industries both locally and globally. Sthiram is focused on innovation and invention as a business practice. We deliver innovative solutions for business needs. Our focus is on delivering the best talent to our clients to help them achieve rapid deployment, world-class quality and reduced costs."</t>
  </si>
  <si>
    <t>http://www.MavenSphere.com</t>
  </si>
  <si>
    <t>mailto:bynagari@MavenSphere.com</t>
  </si>
  <si>
    <t>Maverick Addiction Services, LLC</t>
  </si>
  <si>
    <t>="Maverick Addiction Services, LLC at 408 O&amp;M Ave., North Vernon, Indiana, is a for-profit private practice developed to provide clinical services to youth and their families, specialized chemical dependency and counseling needs assessments, recovery groups, education, social skills development and insight awareness programs. Vickie Cox, NCAC II, CADAC II, ICAC II is the owner and director of Maverick Addiction Services, LLC and has been practicing in the addictions field for more than 20 years. She was the first therapist in the State of Indiana to be certified in equine assisted psychotherapy in 2000."</t>
  </si>
  <si>
    <t>mailto:vjcox@verizon.net</t>
  </si>
  <si>
    <t>Mavid Construction Services, LLC</t>
  </si>
  <si>
    <t>mailto:zfulwilder@mavidconstruction.com</t>
  </si>
  <si>
    <t>Mavin Global Company</t>
  </si>
  <si>
    <t>="Mavin Global Company is working to empower others. We assist small, medium, and large? enterprises in solution architecture, solution implementation, governance/training, testing overview, and staffing services. Our specialties include collaboration, application development, server engineering, security, networking, supply chain management, customer relationship management, and project life-cycle management."</t>
  </si>
  <si>
    <t>http://mavinglobal.com</t>
  </si>
  <si>
    <t>mailto:contactus@mavinglobal.com</t>
  </si>
  <si>
    <t>Max Katz Bag Company, Inc.</t>
  </si>
  <si>
    <t>="Formed in 1911, sorting, patch, and sellin used Burlap and Osnaburg bags. The company developed the ability to manufacture new bags in the early 50’s. Flexible laminations followed in the late 50’s and 60’s. Max Katz Bag Company first extruded plastic in 1969 and has since developed extrusion coatings, blown film (mono and co-extruded), and converting and reprocessing processes for the packaging, construction, automotive and absorbent industries. In the mid 80’s, Max Katz Bag Co. began an ongoing process of becoming a The 90’s saw the addition of Hi-Tenacity multifilament spinning equipment, as well as more recycling and extruding equipment"</t>
  </si>
  <si>
    <t>http://www.maxkatzbag.com</t>
  </si>
  <si>
    <t>mailto:info@maxkatzbag.com</t>
  </si>
  <si>
    <t>Petrochemical Manufacturing</t>
  </si>
  <si>
    <t>Max Siegel Inc.</t>
  </si>
  <si>
    <t>="Max Siegel Inc. is a sports, entertainment, multicultural marketing and media business. Max Siegel Inc. connects brands with consumers through access to unique sports, multicultural, media and entertainment properties. Max Siegel Inc. is a leader in talent representation, including elite athletes, coaches, industry executives and prestigious sports organizations across the sports, entertainment and media industries. Max Siegel Inc.'s core capabilities include brand management, advertising, marketing, social media, licensing, content creation and media rights."</t>
  </si>
  <si>
    <t>http://www.maxsiegelinc.com</t>
  </si>
  <si>
    <t>mailto:msiegel@maxsiegelinc.com</t>
  </si>
  <si>
    <t>Maxi-Blast, Inc.</t>
  </si>
  <si>
    <t>http://maxiblast.com</t>
  </si>
  <si>
    <t>mailto:info@maxiblast.com</t>
  </si>
  <si>
    <t>Custom Compounding of Purchased Resin</t>
  </si>
  <si>
    <t>Maxim Health Systems LLC</t>
  </si>
  <si>
    <t>="Maxim Health Systems, a division of Maxim Healthcare Services, was established in 1996 with the simple goal of becoming the most comprehensive wellness provider in the United States. Maxim has excelled rapidly in its industry by building solid relationships with clients through an uncompromising dedication to customer service. This dedication has allowed us to become the largest privately held community immunizer in the country. Maxim provides services ranging from onsite biometrics screenings and wellness programs to onsite flu immunizations to a variety of clientele from corporate, municipalities, senior, educational facilities, and retail organizations across the country."</t>
  </si>
  <si>
    <t>http://www.maximwellness.com</t>
  </si>
  <si>
    <t>mailto:doug.applegate@maximwellness.com</t>
  </si>
  <si>
    <t>Maxim Pipette Service, Inc</t>
  </si>
  <si>
    <t>http://www.maximpipetteservice.com</t>
  </si>
  <si>
    <t>mailto:service@maximpipetteservice.com</t>
  </si>
  <si>
    <t>Maximum Flooring Inc.</t>
  </si>
  <si>
    <t>mailto:maximumflooring@att.net</t>
  </si>
  <si>
    <t>Maximum Transportation Inc.</t>
  </si>
  <si>
    <t>http://www.maximumtrans.com</t>
  </si>
  <si>
    <t>mailto:Maximumtran@aol.com</t>
  </si>
  <si>
    <t>Maxine's Chicken and Waffles, Inc.</t>
  </si>
  <si>
    <t>="Provide full servces to customers who order and are served while seated with waiter/waitress services and pay after eating. Do not serve any alcoholic beverages. Provide catering services for single event-based food services. Transport meals to the events and prepare food off site of the event."</t>
  </si>
  <si>
    <t>http://www.maxineschicken.com</t>
  </si>
  <si>
    <t>mailto:info@maxineschicken.com</t>
  </si>
  <si>
    <t>Maxton Motors Inc</t>
  </si>
  <si>
    <t>mailto:dbyers@maxtonmotors.com</t>
  </si>
  <si>
    <t>Maxwell Associates,</t>
  </si>
  <si>
    <t>http://www.mmaxwellassoc.com</t>
  </si>
  <si>
    <t>mailto:marniem@mmaxwellassoc.com</t>
  </si>
  <si>
    <t>Maxwell Tree Expert</t>
  </si>
  <si>
    <t>="Full service tree care and landscape company. Employing certified arborists that are able to diagnose tree problems and recommend treatment options. Services include pruning, removal, spraying, fertilizing, etc. Other services are design/build landscape projects, landscape maintenance and irrigation."</t>
  </si>
  <si>
    <t>http://www.to-the-max.com</t>
  </si>
  <si>
    <t>mailto:office@to-the-max.com</t>
  </si>
  <si>
    <t>Maxwell's Business Machines, Inc.</t>
  </si>
  <si>
    <t>="Maxwell's has been an Indiana leader in Office Technology, Supplies, and Furniture for well over 30 years. We have dedicated ourselves to servicing Indiana business and providing the best available products. We pride ourselves in offering ""best of class"" solutions. -document solutions (copier/fax) -document imaging -office furniture -office supply -information technology"</t>
  </si>
  <si>
    <t>http://www.maxwells.com</t>
  </si>
  <si>
    <t>mailto:info@maxwells.com</t>
  </si>
  <si>
    <t>Mayer-Paetz Inc.</t>
  </si>
  <si>
    <t>http://mayerfabrics.com</t>
  </si>
  <si>
    <t>mailto:mick@mayerfabrics.com</t>
  </si>
  <si>
    <t>Fabric Mills</t>
  </si>
  <si>
    <t>Mays Chemical Co., I</t>
  </si>
  <si>
    <t>Mazda Sign, Inc.</t>
  </si>
  <si>
    <t>http://www.mazdasigninc.com</t>
  </si>
  <si>
    <t>mailto:sales@mazdasigninc.com</t>
  </si>
  <si>
    <t>McAlister Rentals</t>
  </si>
  <si>
    <t>mailto:aaapartments@verizon.net</t>
  </si>
  <si>
    <t>McAnlis Law LLC</t>
  </si>
  <si>
    <t>="McAnlis Law is a firm specializing in real estate law and dedicated to providing the highest quality legal services to its clients. Areas of expertise include development, leasing, eminent domain, quiet title, landlord-tenant law, easement, right-of-way, contract negotiation, and corporate compliance."</t>
  </si>
  <si>
    <t>mailto:joanne.mcanlis@gmail.com</t>
  </si>
  <si>
    <t>McClendon &amp; Associat</t>
  </si>
  <si>
    <t>mailto:jsroba@sroba.com</t>
  </si>
  <si>
    <t>McClintock &amp; Associates LLC</t>
  </si>
  <si>
    <t>http://www.mcclintockandassociates.com</t>
  </si>
  <si>
    <t>McClung's Heating, Air Condition &amp; Refri</t>
  </si>
  <si>
    <t>mailto:jlmcclung@sbcglobal.net</t>
  </si>
  <si>
    <t>McClure Oil Corp</t>
  </si>
  <si>
    <t>McCord Auto Supply</t>
  </si>
  <si>
    <t>http://www.mccordtiregroup.com</t>
  </si>
  <si>
    <t>mailto:mccordauto@mccordtiregroup.com</t>
  </si>
  <si>
    <t>McCormick Electrical Services, Inc.</t>
  </si>
  <si>
    <t>http://www.meservicesinc.com</t>
  </si>
  <si>
    <t>mailto:mccormick.thomas@mchsi.com</t>
  </si>
  <si>
    <t>McCormick Engineering, LLC</t>
  </si>
  <si>
    <t>http://www.mccormickengineering.com</t>
  </si>
  <si>
    <t>mailto:tracy@mccormickengineeringcom</t>
  </si>
  <si>
    <t>McCoy Investments Inc.</t>
  </si>
  <si>
    <t>http://idsblast.com</t>
  </si>
  <si>
    <t>mailto:smccoy@idsblast.com</t>
  </si>
  <si>
    <t>McCrea Land Surveyin</t>
  </si>
  <si>
    <t>mailto:surveymccrea@comcast.net</t>
  </si>
  <si>
    <t>McCready and Keene</t>
  </si>
  <si>
    <t>="Established in 1933, McCready and Keene, Inc. is an independent actuarial/benefits consulting firm specializing in design, installation and administration of qualified defined benefit and defined contribution plans. The company administers 401(k), 403(b), 457 and other tax-deferred savings plans, traditional defined benefit pension plans, ESOPs, nonqualified plans for highly compensated employees, and others. McCready and Keene provides actuarial services for both government and private retirement plans and is one of the nation’s largest independent actuarial and employee benefits consulting firms that does not sell financial products or provide investment advice."</t>
  </si>
  <si>
    <t>http://www.mcak.com</t>
  </si>
  <si>
    <t>McCrite Milling &amp; Construction Co., Inc.</t>
  </si>
  <si>
    <t>McCrory Masonry, llc</t>
  </si>
  <si>
    <t>="At McCrory Masonry we focus on building the highest quality masonry, masonry restoration, and hardscapes. Including, but not limited to foundations, brick and block, and Stonework. We also have a large focus on restorations, including brick, stone, limestone, and pavings. Paving work including concrete, wet laid stone and brick, and dry lay pavers and bricks. We stay up to date on our industry standards, and go the extra mile to preform top notch work. Our work with the Noblesville Preservation alliance will soon be available, as we are collaborating with them on paving education acting as their resident masonry expert. We strive to continue keeping Indiana beautiful with new and restorative masonry practices that will stand the test of time."</t>
  </si>
  <si>
    <t>mailto:mccrorymasonry@gmail.com</t>
  </si>
  <si>
    <t>McCue Hauling, INC</t>
  </si>
  <si>
    <t>="I have a dump truck business. My consist of hauling materials like asphalt, millings, dirt, stone, demolations, and any hauling a dump truck can do. I haul material for customers regardless the size of the job. I also belong to the union and do all union and non-union work. My rates are the same as most other companies if not lower and I will match anyones price."</t>
  </si>
  <si>
    <t>mailto:jackimccue@aol.com</t>
  </si>
  <si>
    <t>McCullough Archaeological Services LLC</t>
  </si>
  <si>
    <t>="Full-service archaeological investigations (Phase I to III), including Native and historic sites, for all Section 106 and compliance work. CEO Robert G. McCullough, Ph.D, has 34 years experience in archaeology and has directed $3.5 million in archaeological projects."</t>
  </si>
  <si>
    <t>http://archaeologicalservice.com</t>
  </si>
  <si>
    <t>mailto:mccullor5@gmail.com</t>
  </si>
  <si>
    <t>All Other Professional, Scientific and Technical Services</t>
  </si>
  <si>
    <t>McDaniel Fire Systems</t>
  </si>
  <si>
    <t>="McDaniel Fire Systems is an employee-owned company based in Valparaiso, Indiana. We serve customers throughout the Midwest and Special Hazards customers nationwide. An industry leader for 70 years, McDaniel has earned a reputation for “getting it right the first time” and the trust of customers in a broad range of industries including commercial, healthcare, education, heavy industry, hospitality and special hazards. Our products and services include consultation, design, installation and services for: Fire Alarm Fire Protection Services – Inspection, Testing &amp; Preventive Maintenance Special Hazards &amp; Non-Water Based Suppression Systems Fabrication Services"</t>
  </si>
  <si>
    <t>McDermott Tools Inc</t>
  </si>
  <si>
    <t>http://www.mcdermott-tool.com</t>
  </si>
  <si>
    <t>mailto:info@mcdermott-tool.com</t>
  </si>
  <si>
    <t>McDonald Mechanical LLC</t>
  </si>
  <si>
    <t>mailto:mcdonald@sugardog.com</t>
  </si>
  <si>
    <t>McDowell Construction &amp; Remodeling</t>
  </si>
  <si>
    <t>mailto:m.mcdowell@yahoo.com</t>
  </si>
  <si>
    <t>McFarland PR &amp; Public Affairs Inc</t>
  </si>
  <si>
    <t>http://www.mcfarlandpr.com</t>
  </si>
  <si>
    <t>mailto:stephanie@mcfarlandpr.com</t>
  </si>
  <si>
    <t>McFarland PR &amp; Public Affairs LLC</t>
  </si>
  <si>
    <t>McGladrey LLP</t>
  </si>
  <si>
    <t>http://www.mcgladrey.com</t>
  </si>
  <si>
    <t>mailto:bob.poisal@mcgladrey.com</t>
  </si>
  <si>
    <t>McGuire Studio, Inc.</t>
  </si>
  <si>
    <t>="Studio Midwest specializes in all forms of advertising photography, including, but not limited to: industrial, food, architectural, product, and life-style photography. This company is deeply inbedded in Indiana as it has been in business since 1964. Keeping our ties from the past but jolting to the future, Studio Midwest is current in all the latest digital technology."</t>
  </si>
  <si>
    <t>http://www.studiomidwest.com</t>
  </si>
  <si>
    <t>mailto:ltomlin@studiomidwest.com</t>
  </si>
  <si>
    <t>McHugh Marketing</t>
  </si>
  <si>
    <t>="I sell recognition awards to companies. My company specializes in awards for prgrams such as years of service, sales recognition, saftye,quality special corparate gifts,employee gifts and special promotion products.. My company sells plaques and awards, jewelry, leather goods etc. products companies would use for recognition. I also do lobby plaques and signs for corporations."</t>
  </si>
  <si>
    <t>mailto:mchughmarketing@sbcglobal.net</t>
  </si>
  <si>
    <t>McIntyre Jones, Inc.</t>
  </si>
  <si>
    <t>mailto:holcocapital@aol.com</t>
  </si>
  <si>
    <t>McKelvey Painting &amp; Design</t>
  </si>
  <si>
    <t>mailto:MADONNAMCKELVEY@AOL.COM</t>
  </si>
  <si>
    <t>McKinley Jones &amp; Associates</t>
  </si>
  <si>
    <t>="McKinley Jones &amp; Associates (MJA) is a full service management consulting and accounting firm. The following serices are offered by MJA: Auditing, Accounting, Management Consulting, Financial Planning, Billing &amp; Collection, Human Resources Training and Consulting, and Construction Cost Recovery and Containment Services."</t>
  </si>
  <si>
    <t>http://www.mjacpa.com</t>
  </si>
  <si>
    <t>mailto:mjones2989@aol.com</t>
  </si>
  <si>
    <t>McLane Realty, Inc.</t>
  </si>
  <si>
    <t>="McLane Realty is a full service commerical (retail and office), industrial and investment real estate company assisting buyers and sellers in the acquisition, sale, leasing or exchange of their properties. In addition, McLane Realty provides professional real estate appraising services and property management. McLane Realty is a trusted name in the real estate industry for delivering excellent service for over 33 years."</t>
  </si>
  <si>
    <t>http://www.mclanerealty.com</t>
  </si>
  <si>
    <t>mailto:bmclane@mclanerealty.com</t>
  </si>
  <si>
    <t>McLeodUSA Telecommunications Services</t>
  </si>
  <si>
    <t>http://www.mcleodusa.com</t>
  </si>
  <si>
    <t>mailto:jsitko@mcleodusa.com</t>
  </si>
  <si>
    <t>McNeely Owned, Inc.</t>
  </si>
  <si>
    <t>="McNeely Owned Inc. provides plumbing, heating, air conditioning services to residential homes, apartments and light commercial buildings. Services include repairs and replacements of water lines, water heaters, gas lines, furnaces, and air conditioners We specialize in rehab projects for apartments, and gas meter conversions."</t>
  </si>
  <si>
    <t>McNeil Coatings Consultants, Inc.</t>
  </si>
  <si>
    <t>mailto:mcdeever@aol.com</t>
  </si>
  <si>
    <t>Meadows Heating and Cooling LLC.</t>
  </si>
  <si>
    <t>Meaningful Day Services, Inc.</t>
  </si>
  <si>
    <t>mailto:meaningfuldayservices@yahoo.com</t>
  </si>
  <si>
    <t>Mechanical Concepts,</t>
  </si>
  <si>
    <t>http://www.mechanicalconceptsinc.com</t>
  </si>
  <si>
    <t>mailto:melissan@mechanicalconceptsinc.com</t>
  </si>
  <si>
    <t>Mecom, Ltd.</t>
  </si>
  <si>
    <t>http://www.mecomltd.com</t>
  </si>
  <si>
    <t>mailto:carol.saunders@mecomltd.com</t>
  </si>
  <si>
    <t>Luggage Manufacturing</t>
  </si>
  <si>
    <t>Med Condense, Incorporated</t>
  </si>
  <si>
    <t>http://www.medcondense.com</t>
  </si>
  <si>
    <t>mailto:bjinkins@medcondense.com</t>
  </si>
  <si>
    <t>MedPro Services Corporation</t>
  </si>
  <si>
    <t>="Medlcal Billing Company. We process medical services claims for professional providers. We gather Provider information which includes patient information, CPT and ICD9 coding. We process insurance payments, conduct appeals and send patient statements for groups or individual providers."</t>
  </si>
  <si>
    <t>http://www.orthopaedicsbilling.com</t>
  </si>
  <si>
    <t>mailto:info@medproservices.net</t>
  </si>
  <si>
    <t>MedallionRx Staffing Solutions, LLC</t>
  </si>
  <si>
    <t>="MedallionRX Staffing Solutions is a pharmacist owned and operated staffing firm dedicated to supporting the pharmacy community with superior contract and permanent placement services through utilization of personal knowledge, experience, and market relationships."</t>
  </si>
  <si>
    <t>http://www.medallionrx.com</t>
  </si>
  <si>
    <t>mailto:angela@medallionrx.com</t>
  </si>
  <si>
    <t>Medassure of Indiana, LLC</t>
  </si>
  <si>
    <t>http://www.medassureservices.com</t>
  </si>
  <si>
    <t>mailto:info@medassureservices.com</t>
  </si>
  <si>
    <t>MedeoLinx,LLC</t>
  </si>
  <si>
    <t>="MedeoLinx is an informatics-driven biotech company dedicated to helping pharmaceutical, biotech, and diagnostic companies solve complex data management and knowledge discovery problems. We're aiming to personalize the impact of drugs, so eventually individuals can go into a hospital; learn, much more accurately than at present, what diseases they are at risk of getting; and receive drugs that are customized to provide a better health outcome than drugs currently generate. We are moving toward this future through these activities: 1. We create software tools that can predict an individual’s likelihood of acquiring a disease. 2. We provide drug makers with expertise about how to personalize drugs to match an individual’s genetic makeup and susceptibility to disease."</t>
  </si>
  <si>
    <t>http://www.medeolinx.com</t>
  </si>
  <si>
    <t>mailto:info@medeolinx.com</t>
  </si>
  <si>
    <t>Media Hub, LLC</t>
  </si>
  <si>
    <t>http://www.officehubonline.com/</t>
  </si>
  <si>
    <t>mailto:shannonhuber@iwantmysupplies.com</t>
  </si>
  <si>
    <t>Media Link</t>
  </si>
  <si>
    <t>="Media Link is available to provide marketing &amp; media services to the tourism, gaming, service/hospitality and not-for-profit business sectors. Areas of expertise include product development, promotional services, copywriting, public relations, advertising and direct sales."</t>
  </si>
  <si>
    <t>http://www.medialinkmidwest</t>
  </si>
  <si>
    <t>mailto:smcwilliams@medialinkmidwest.com</t>
  </si>
  <si>
    <t>MediaMercs Inc</t>
  </si>
  <si>
    <t>="StreamLine Communications, currently located in Franklin Indiana specializes in the integration of mobile and fixed satellite systems. StreamLine Communications is considered one of the most experienced mobile satellite integration companies in the industry, and currently acquisitioning Nationwide Broadband Inc. The company offers a variety of mobile and fixed satellite based services such as internet broadband services, VOIP, phone and fax services, long range wireless networks, web casting, streaming video, custom VPN solutions, including network engineering services for disaster recovery, emergency preparedness, and homeland security communications. StreamLine Communications has many years of experience in the industry and works closely with technology partners in the mobile specialty vehicles industry, as well as many local, state, and federal agencies. It has installed and configured high speed Internet connectivity into Luxury RV's, Book Mobiles, Mobile Command Units, Police, "</t>
  </si>
  <si>
    <t>http://www.streamlinecomm.com</t>
  </si>
  <si>
    <t>mailto:info@streamlinecomm.com</t>
  </si>
  <si>
    <t>Mediation Works, LLC</t>
  </si>
  <si>
    <t>http://www.mediationworksllc.com</t>
  </si>
  <si>
    <t>mailto:info@mediationworksllc.com</t>
  </si>
  <si>
    <t>Medic On-Site Services, LLC</t>
  </si>
  <si>
    <t>Medical Billing &amp; Accounting, Inc.</t>
  </si>
  <si>
    <t>Medical Claims Assistance LLC</t>
  </si>
  <si>
    <t>http://www.medicalclaimsassistance.org(u</t>
  </si>
  <si>
    <t>mailto:kellyjo@medicalclaimsassistance.org</t>
  </si>
  <si>
    <t>Medical Decision Modeling Inc.</t>
  </si>
  <si>
    <t>="Medical Decision Modeling Inc.’s mission is to provide products and services that facilitate cost-effective healthcare decisions. MDM’s core competency lies in the development of interactive software applications called medical decision models. These models clearly communicate the benefits, risks, and costs of competing courses of care for medical conditions. MDM’s target markets are found across the healthcare spectrum, encompassing pharmaceutical and medical device companies, and healthcare payers, providers, and patients. MDM creates scientific evidence-based solutions tailored to the clients’ specific needs. These needs range from assisting pharmaceutical and medical device companies in quantitatively promoting the benefits of their products to customers and reimbursement-setting agencies, to assisting healthcare payers, providers, and patients in selecting the most effective and cost-effective courses of treatment."</t>
  </si>
  <si>
    <t>http://www.mdm-inc.com</t>
  </si>
  <si>
    <t>mailto:smolen@mdm-inc.com</t>
  </si>
  <si>
    <t>Medical General Corp. DBA MGC Supplies</t>
  </si>
  <si>
    <t>mailto:mgcsupplies@hotmail.com</t>
  </si>
  <si>
    <t>Medical Management Support Services, Inc</t>
  </si>
  <si>
    <t>mailto:marysturm1@comcast.net</t>
  </si>
  <si>
    <t>Medical Nutritional Therapists, Inc.</t>
  </si>
  <si>
    <t>="Medical Nutritional Therapists, Inc. a firm of consultant dietitians is the most comprehensive provider of nutrition care and food management services in Indiana. We provide nutritional assessment...patient education...staff development and empowerment...computerized menu management...to operational ""reengineering""...kitchen design and redesign work...quality assurance...policy and procedure development. These services are supported by extensive resources and highly effective operating systems. Everything we do is tailored to each client's needs. We take care of our clients' needs 24/7 and our services are the most cost-effective out there."</t>
  </si>
  <si>
    <t>mailto:medicalnutritional@medicalnutritional.com</t>
  </si>
  <si>
    <t>Medical Professional Billing &amp; Consultin</t>
  </si>
  <si>
    <t>http://www.medprobc.com</t>
  </si>
  <si>
    <t>mailto:info@medprobc.com</t>
  </si>
  <si>
    <t>Medical Protective</t>
  </si>
  <si>
    <t>http://www.medro.com</t>
  </si>
  <si>
    <t>Medical Staffing Solutions, LLC</t>
  </si>
  <si>
    <t>http://www.mssmedicalstaffing.com</t>
  </si>
  <si>
    <t>mailto:success@mssmedicalstaffing.com</t>
  </si>
  <si>
    <t>Medical Supply Plus of Indiana, Inc.</t>
  </si>
  <si>
    <t>="The mission of Medical Supply Plus of Indiana is to service the people of Indiana with the highest quality of medical supplies and equipment. To provide this service with professional and prompt efficiency, allowing Medical Supply Plus to continue to educate its employees with new and innovating supplies that the manufactory produce for clients in need of them."</t>
  </si>
  <si>
    <t>mailto:medsupplyplus_1@yahoo.com</t>
  </si>
  <si>
    <t>Medina Integrated National Consulting In</t>
  </si>
  <si>
    <t>="LEAN MANUFACTURING CONSULTING www.medinainc.com 1921 Westfield Ct. Griffith, Indiana 46319 (219) 670-3208 MBE To Whom It May Concern: We would like to take a moment of your time and introduce ourselves. We are MINC Inc., Medina Intergraded National Consulting. We specialize in Lean Manufacturing Consulting and Implementation. Our consultants have experience in automotive, pharmaceutical, food and beverage manufacturing. Our clients have seen an average increase of 20% in there productivity due to the training and ROI campaigns that have been implemented with a hands-on approach. The following is a brief list of our areas of expertise: • Six Sigma (Green Belt) • OEE (Overall Equipment Efficiency) • Fishbone Diagram (Root cause analyst tool) • 5S (Sort, Set, Shine, Standardize &amp; Sustain) • SIC (Short Interval Control) • Muda (7 Waste) • Kaizen (Continuous Improvement) • Change Management Please consider MINC Inc. for any of your Lean Manufacturing Consu"</t>
  </si>
  <si>
    <t>http://www.medinainc.com</t>
  </si>
  <si>
    <t>mailto:chris@medinainc.com</t>
  </si>
  <si>
    <t>Medley Creations, Inc.</t>
  </si>
  <si>
    <t>="Medley Creations, Inc. is an up and coming small M.B.E. certified architectural design studio with over 17yrs of experience. Taking pride in how we deliver our customer service and professional design services means everything to us and we are eager to demonstrate our services to your design endeavors. We specialize in commercial building types, educational buildings, military buildings, municipal buildings and residential. We also provide drafting and full A/E services."</t>
  </si>
  <si>
    <t>http://www.medleycreationsinc.com</t>
  </si>
  <si>
    <t>mailto:medleycreations@comcast.net</t>
  </si>
  <si>
    <t>Medley-Heritage USA Enterprises, Inc.</t>
  </si>
  <si>
    <t>="Anderson B. Fields Gourmet Homestyle Desserts &amp; Foods is a wholesale producer of made from scratch desserts and foods, fresh and fresh-frozen. Our tested and proven family recipes are made with high quality ingredients, herbs, seasonings, and an assortment of specialty spices to ensure robust taste in every bite. Our specialty cold savory creamy meat and vegetable salad sides will enhance your deli or deli case, providing a fresh taste twist. And our specialty fresh-frozen hot savory sides and entrees, as they bake, fill your restaurant, store, and customer homes with a rich, warm homemade aroma. We at Anderson B. Fields cook and bake from the heart and soul, and, as always . . . we thank you for your business!"</t>
  </si>
  <si>
    <t>http://www.andersonbfields.com</t>
  </si>
  <si>
    <t>mailto:heartandsoul@andersonbfields.com</t>
  </si>
  <si>
    <t>Meek Consulting, LLC</t>
  </si>
  <si>
    <t>="Provide strategic health management consulting to state government human resources agencies. Help design and manage RFP's related to employee health management services. Help design incentives and communication strategies around new employee benefit offerings. Design evaluation strategies."</t>
  </si>
  <si>
    <t>http://meekconsulting.org</t>
  </si>
  <si>
    <t>mailto:info@meekconsulting.org</t>
  </si>
  <si>
    <t>Meeks &amp; Company Professional Surveying</t>
  </si>
  <si>
    <t>http://meekscompany.com</t>
  </si>
  <si>
    <t>mailto:info@meekscompany.com</t>
  </si>
  <si>
    <t>Meeks Insurance, Inc.</t>
  </si>
  <si>
    <t>http://www.meeksinsurance.net</t>
  </si>
  <si>
    <t>mailto:beth@meeksrealestate.net</t>
  </si>
  <si>
    <t>Meeks Real Estate, Inc.</t>
  </si>
  <si>
    <t>http://www.meeksrealestate.net</t>
  </si>
  <si>
    <t>Meeting &amp; Event Professionals, Inc.</t>
  </si>
  <si>
    <t>http://www.mep-inc.com</t>
  </si>
  <si>
    <t>mailto:mepinc@aol.com</t>
  </si>
  <si>
    <t>Meetings Designed Wright, LLC</t>
  </si>
  <si>
    <t>="Meetings Designed Wright, LLC's focal point is Business Development Consulting. Assisting Minority, Women, Small-Owned businesses and Majority Companies in building viable relationships that will enhance diversity inclusion for contractual opportunities: enabling optimal fulfillment. Our Services include: Facilitation of Community Outreach Meetings; Company Retreat Facilitation; Event/Project Planning and Management; Notary Public services; Graphic Design; Marketing Consulting; and, Training."</t>
  </si>
  <si>
    <t>http://www.mdwllc.com</t>
  </si>
  <si>
    <t>mailto:info@mdwllc.com</t>
  </si>
  <si>
    <t>Meetings Plus, Inc.</t>
  </si>
  <si>
    <t>http://www.mpi-evv.com</t>
  </si>
  <si>
    <t>mailto:rhall@mpi-evv.com</t>
  </si>
  <si>
    <t>Mega Input Data Serv</t>
  </si>
  <si>
    <t>="Mega Input Data Services, Inc. is a full service database management firm specializing in custom, data-driven web applications. We build large-scale workflow systems that you can access 24 hours a day, seven days a week, from any internet connection. Our capabilities include SSL, database, and software encryption schemes for the ultimate security experience."</t>
  </si>
  <si>
    <t>http://www.mids-inc.com</t>
  </si>
  <si>
    <t>mailto:info@mids-inc.com</t>
  </si>
  <si>
    <t>Megastream Media, LLC</t>
  </si>
  <si>
    <t>="We are creative technologists providing resources, media solutions and technical services to advertising agencies and for organizations that wish to resell our products and services. Web: Creative concepts and design. User interface programming. CMS Implementations. Open source customization. Support for mobile devices. Ecommerce and mobile commerce solutions. Video: We are local everywhere in North America. Video production services in every major city. Post production editing services. Motion graphics. Special effects. Live video production and deployment."</t>
  </si>
  <si>
    <t>http://www.megastreammedia.com</t>
  </si>
  <si>
    <t>mailto:sales@megastreammedia.com</t>
  </si>
  <si>
    <t>Mel - Rac, LLC.</t>
  </si>
  <si>
    <t>http://www.thriftyindy.com</t>
  </si>
  <si>
    <t>mailto:www.thriftyindy.com</t>
  </si>
  <si>
    <t>Mel-Kay Electric Co.</t>
  </si>
  <si>
    <t>http://www.mel-kayelectric.com</t>
  </si>
  <si>
    <t>mailto:lgarrett@mel-kayelectric.com</t>
  </si>
  <si>
    <t>Melissa Brenneman</t>
  </si>
  <si>
    <t>="TopoWorks offers timely, innovative GIS services and training. In addition to a variety of GIS services, TopoWorks specializes in client site and custom training. The company has experience with the ArcGIS framework as well as legacy ESRI applications. With more than 13 years of ESRI GIS experience, TopoWorks is well versed in ArcGIS, ArcGIS Spatial Analyst, ArcGIS 3D Analyst, ModelBuilder, Visual Basic, ArcObjects, AML, geodatabase design, UML, use cases, and object-oriented modeling. The company has worked on a variety of projects including database design and implementation, modeling and spatial analysis, cartographic design and mapping, application development, and training."</t>
  </si>
  <si>
    <t>http://www.topoworks.com</t>
  </si>
  <si>
    <t>mailto:info@topoworks.com</t>
  </si>
  <si>
    <t>Melling Electric Inc</t>
  </si>
  <si>
    <t>http://mellingelectric@aol.com</t>
  </si>
  <si>
    <t>mailto:mellingelectric@aol.com</t>
  </si>
  <si>
    <t>Melsernet, Inc.</t>
  </si>
  <si>
    <t>="Melsernet offers proactive technical analysis and customized recommendations that give structure and direction to computer networks. The Melsernet team is made up of highly educated specialists who are trained in every aspects of information technology. Whether you are a small business that just needs to ""get the bugs out,"" or a large corporation in search of high level network infrastructure, we can put together the right solutions to keep your network working."</t>
  </si>
  <si>
    <t>http://www.melsernet.com</t>
  </si>
  <si>
    <t>mailto:melsernet@melsernet.com</t>
  </si>
  <si>
    <t>Memorable Signs</t>
  </si>
  <si>
    <t>http://www.MemorableSigns.com</t>
  </si>
  <si>
    <t>mailto:Sherrydwelle@embarqmail.com</t>
  </si>
  <si>
    <t>="Temporary Signs,Banners, and Decals for events. Works mostly with non-profit organizations with special events, sport events, registration signs, directionals, vinyl sign updates, etc. 4' x 8' sign rentals available. Vinyl Lettering also for sale. Most products designed and custom made for individual clients and/or events."</t>
  </si>
  <si>
    <t>http://www.memorablesigns.com</t>
  </si>
  <si>
    <t>mailto:Sherry@MemorableSigns.com</t>
  </si>
  <si>
    <t>Memorial Health System Inc</t>
  </si>
  <si>
    <t>http://qualityoflife.org</t>
  </si>
  <si>
    <t>Memorial Hospital</t>
  </si>
  <si>
    <t>="Memorial Hospital of Logansport, established in 1925 as a county hospital, is a 83-bed, regional medical center, accredited by the Joint Commission on Accreditation of Healthcare Organizations, providing healthcare services to residents in Cass County and the surrounding areas of North Central Indiana."</t>
  </si>
  <si>
    <t>http://www.logansportmemorial.org</t>
  </si>
  <si>
    <t>mailto:avanzee@logansportmemorial.org</t>
  </si>
  <si>
    <t>Memorial Hospital of South Bend</t>
  </si>
  <si>
    <t>Memories</t>
  </si>
  <si>
    <t>http://www.memoriesmadejust4u.com</t>
  </si>
  <si>
    <t>mailto:mvories1@avenuebroadband.com</t>
  </si>
  <si>
    <t>Menno Travel Service, Inc</t>
  </si>
  <si>
    <t>="Full service travel agency. Member American Express Travel Representative Network. Northern Indiana's largest single-office travel service. 30 employees in specialities including corporate travel management, incentive travel, meeting planning, foreign currency exchange, group travel, vacation travel, mission travel. Serving northern Indiana since 1953."</t>
  </si>
  <si>
    <t>http://www.mennotrav.com</t>
  </si>
  <si>
    <t>mailto:info@mennotrav.com</t>
  </si>
  <si>
    <t>Mensch Enterprises, Inc</t>
  </si>
  <si>
    <t>mailto:tm@kaproducts.com</t>
  </si>
  <si>
    <t>Mental Health America of Indiana</t>
  </si>
  <si>
    <t>="Mental Health America of Lake County, formerly The Mental Health Association in Lake County, was founded in 1957, primarily as an advocacy group attempting to deconstruct the stigma of mental illness. Today it remains affiliated with the national Mental Health America, and maintains a committment to its original purpose. It has expanded its scope over the decades, however, finding a vibrant focus on promoting wellness through prevention services to families and youth. Programs include Healthy Families, Parents as Teachers, Girls, Inc., I'm Thumbody, Systematic Training for Effective Parenting (STEP) and Power Paws that serve significant numbers of individuals in Lake County."</t>
  </si>
  <si>
    <t>http://www.mhalakecounty.org</t>
  </si>
  <si>
    <t>mailto:wsellers@sbcglobal.net</t>
  </si>
  <si>
    <t>Mental Health Association in Indiana</t>
  </si>
  <si>
    <t>="The Mental Health Association in Indiana is a statewide organization, with over sixty local chapters and branch offices, making it the largest Mental Health Association in the country. It was created to work for the mental health of all citizens and victory over mental illness. The Mental Health Association is how a broad-based group of citizens, consumers, individuals in recovery, families, and professionals working to: Promote the mental health and recovery of all Indiana citizens through educational programs to increase public understanding and acceptance of persons with a mental illness and addiction disorders Foster the delivery of the most appropriate and effective services to all individuals in need Initiate reform of mental health and addiction service delivery system through advocacy and public policy"</t>
  </si>
  <si>
    <t>http://www.mentalhealthassociation.com</t>
  </si>
  <si>
    <t>mailto:mhai@mentalhealthassociation.com</t>
  </si>
  <si>
    <t>Mentzer Printing Ink</t>
  </si>
  <si>
    <t>="We are a printer owned by a third generation printer that handles all types of printing and have over 200 years experience in our offce staff. My father was a principal at Indiana's oldest printing company and I am a technology geek. We strive to bring technological advances to the industry and improve the industry as a whole. We have GATF certified graphic artistis with Digital Workflow certification. Less than 1% of Graphic Artists can publish this fact. We also have a CFC on staff. Certified Forms Consultant. Less that 1500 of these people are available in the country. We print and publish directories, books, forms, labels, commercial, print on demand, digital printing, checks, large format, promotional items, wearables, brochures, business cards, etc... We have an online ordering system that we can integrate with any procurement system to simplify the ordering process and reduce errors. We are happy to help with by supplying creative solutions for your problems and our y"</t>
  </si>
  <si>
    <t>http://www.M2Print.com</t>
  </si>
  <si>
    <t>mailto:jamie@M2Print.com</t>
  </si>
  <si>
    <t>Merchant Law Office</t>
  </si>
  <si>
    <t>="Our firm focuses our practice on general civil litigation, Wills, Healthcare documents (Power of Attorney, Living Will, Healthcare Representative), Adoption documents, private Guardian Ad Litem, Grandparents Visitation Rights, Immigration documents, and Real Estate documents."</t>
  </si>
  <si>
    <t>http://www.merchantlawoffice.net</t>
  </si>
  <si>
    <t>mailto:jennifer@merchantlawoffice.net</t>
  </si>
  <si>
    <t>Mercy Ambulance of Evansville, Inc dba A</t>
  </si>
  <si>
    <t>http://WWW.AMR.Net</t>
  </si>
  <si>
    <t>Ambulance Services</t>
  </si>
  <si>
    <t>Mercy Mechanical, LLC</t>
  </si>
  <si>
    <t>mailto:cbare19491@aol.com</t>
  </si>
  <si>
    <t>MereImage, Inc.</t>
  </si>
  <si>
    <t>Community Housing Services</t>
  </si>
  <si>
    <t>Meridian Asset Dev</t>
  </si>
  <si>
    <t>mailto:vperez@assetdev.net</t>
  </si>
  <si>
    <t>Meridian Real Estate</t>
  </si>
  <si>
    <t>="Founded in 1993, Meridian Real Estate is one of Indiana’s largest office and industrial real estate brokerage firms. Named by the Indianapolis Business Journal as the area’s eighth fastest growing private company in September, 2003 and the sixteenth in 2004, the company was recognized by the Johnson Center for Innovation of the Kelly School of Business in 2002, 2003 and 2004 as an Indiana “Growth 100 Company”. Meridian is recognized by many as one of Indianapolis’ dominant tenant representation firms and a leader in corporate multi-market services, medical office brokerage, project management services."</t>
  </si>
  <si>
    <t>http://www.mresonline.com</t>
  </si>
  <si>
    <t>mailto:jharris@mresonline.com</t>
  </si>
  <si>
    <t>Meridian Services Corp</t>
  </si>
  <si>
    <t>="Meridian Services Corp is licensed as both a freestanding psychiatric hospital and as a community mental health center by the Indiana Division of Mental Health and Addiction. Meridian Services employs over 300 staff, serves over 8,000 clients, and provides services to 11 counties in east central Indiana. Programs offered and client populations treated include: • Outpatient Counseling • Medication Management • 24-hour Emergency Services • Inpatient Treatment • Intensive Outpatient Chemical Dependency Services • Children and Adolescent Services • Dual Diagnosis (Developmental Disabilities and Mental Illness) • Family Centered Services • Community Support Services • Community Housing (Residential Services) • Case Management Services • Homeless Outreach Services • HIV Care Coordination • Assertive Community Treatment • Comprehensive Employment Services • Senior Adult Services • Business and Industry Consultation • Employee Assistance Programs"</t>
  </si>
  <si>
    <t>http://meridiansc.org</t>
  </si>
  <si>
    <t>mailto:shaferk@meridiansc.org</t>
  </si>
  <si>
    <t>Merkamp Sales &amp; Serv</t>
  </si>
  <si>
    <t>mailto:merkamps@infocom.com</t>
  </si>
  <si>
    <t>Merrill-Stone, Inc.</t>
  </si>
  <si>
    <t>http://www.merrill-stone.com</t>
  </si>
  <si>
    <t>mailto:IndyWBE@aol.com</t>
  </si>
  <si>
    <t>Merrillville Community School Corporatio</t>
  </si>
  <si>
    <t>Mesmerized by MJM</t>
  </si>
  <si>
    <t>Mesquite Lawn Maintenance LLC.,</t>
  </si>
  <si>
    <t>="Lawn Service, Landscaping Designing, Lawn Maintenance Service Residential and Commercial, Public and Private. Maintenance includes pesticide and weed prevention with the use of registered fertilizers. Tree cutting and trimming is available. Mesquite Lawn Maintenance Service has the ability to provide trees,plants and flowers. Also the application of stones and boulders, architect landscaping designs and implementation are available"</t>
  </si>
  <si>
    <t>Messmer Mechanical, Inc.</t>
  </si>
  <si>
    <t>http://www.messmermechanical.com</t>
  </si>
  <si>
    <t>Metal Specialists of Indy, LLC</t>
  </si>
  <si>
    <t>="MSOI supplies detailed pricing, of Metals Designed and Fabricated per customer specifications. Supply Detail Drawings, for customer review and approval from conceptuals if required. Laser cutting, welding, forming and final assembly are all a part of the capabilites we offer. Supply of materials per job requirements"</t>
  </si>
  <si>
    <t>mailto:jkramer@metalspecialistsofindy.com</t>
  </si>
  <si>
    <t>Metal Works Polishing &amp; Plating Inc,</t>
  </si>
  <si>
    <t>http://www.allmetalworks.com</t>
  </si>
  <si>
    <t>mailto:mwpp@comcast.net</t>
  </si>
  <si>
    <t>Metalfor LLC</t>
  </si>
  <si>
    <t>mailto:cpolly@gmail.com</t>
  </si>
  <si>
    <t>Metamorphose Corporation</t>
  </si>
  <si>
    <t>http://www.rlsspecializedconstruction.co</t>
  </si>
  <si>
    <t>mailto:metamorphose@fourway.net</t>
  </si>
  <si>
    <t>Metamorphosis Consulting Services</t>
  </si>
  <si>
    <t>="Metamorphosis Consulting Services provides services to nonprofit organizations and small businesses. Consulting areas include: leadership transition and search, interim services, regional expansion, organizational assessment, transformation and revitalization, start-up, grant writing and short term project management."</t>
  </si>
  <si>
    <t>http://wwww.experiencemcs.com</t>
  </si>
  <si>
    <t>mailto:rebecca@experiencemcs.com</t>
  </si>
  <si>
    <t>http://www.experiencemcs.com</t>
  </si>
  <si>
    <t>Methodist Occupational Helath Centers, I</t>
  </si>
  <si>
    <t>http://www.iuhealthoccupationalservices.</t>
  </si>
  <si>
    <t>mailto:www.iuhealthoccupationalservices.org</t>
  </si>
  <si>
    <t>Meticulous Design Build, LLC</t>
  </si>
  <si>
    <t>http://www.meticulousdb.com</t>
  </si>
  <si>
    <t>mailto:brobinson@meticulousdb.com</t>
  </si>
  <si>
    <t>Meticulous Investments</t>
  </si>
  <si>
    <t>http://www.apeaceofcake317.com</t>
  </si>
  <si>
    <t>mailto:apeaceofcake_317.com</t>
  </si>
  <si>
    <t>http://www.peaceofcake317.com &amp; grasshop</t>
  </si>
  <si>
    <t>mailto:apeaceofcake_317@yahoo.com</t>
  </si>
  <si>
    <t>Metro Auto Recyclers</t>
  </si>
  <si>
    <t>="Dealer of Quality Late model used auto parts. Delivery service available to businesses in Northwest and Central Indiana. Metro Auto Recyclers has been recognized by the Indiana Department of Environmental Management as a GOLD certified clean yard for 3 consecutive terms, for setting controls and practices in place that protect the environment."</t>
  </si>
  <si>
    <t>http://metroautorecyclers.com</t>
  </si>
  <si>
    <t>Metro Elevator Co., Inc.</t>
  </si>
  <si>
    <t>http://www.metroelevator.com</t>
  </si>
  <si>
    <t>mailto:gary@metroelevator.com</t>
  </si>
  <si>
    <t>Metro Elevator Company Inc.</t>
  </si>
  <si>
    <t>="Metro Elevator Company Inc. does all facets of elevator work including installation of commercial and residential elevators, service, repair and modernization of existing elevators, service and maintenance on all regulated conveyor systems. Metro also provides professional code consultation upon request."</t>
  </si>
  <si>
    <t>mailto:jimmy@metroelevator.com</t>
  </si>
  <si>
    <t>Metro Fibernet, LLC</t>
  </si>
  <si>
    <t>="Headquartered in Evansville, Indiana, Metronet is a customer-focused company that provides cutting-edge fiber optic communication services, including high-speed Fiber Internet, full-featured Fiber Phone, and Fiber IPTV with a wide variety of programming. All Metronet services are delivered across our 100% fiber optic network—made up of thousands of miles of fiber optic cables connected directly to homes and businesses throughout Indiana. At Metronet, we are committed to bringing state-of-the-art telecommunication services to communities in Indiana, and beyond—services that are comparable or superior to those offered in large metropolitan areas. This commitment not only means better TV, Internet and phone options for our customers today, but also the capacity to continually provide additional products and services in the future as new uses for 100% fiber are developed."</t>
  </si>
  <si>
    <t>http://www.metronetinc.com</t>
  </si>
  <si>
    <t>mailto:bart.saunders@metronetinc.com</t>
  </si>
  <si>
    <t>Metro Printed Products</t>
  </si>
  <si>
    <t>http://www.metroprintedproducts.com</t>
  </si>
  <si>
    <t>mailto:info@metroprintedproducts.com</t>
  </si>
  <si>
    <t>Metropolitan Life Insurance Company</t>
  </si>
  <si>
    <t>http://www.metlife.com</t>
  </si>
  <si>
    <t>Metropolitan Oasis Community Dev. Corp</t>
  </si>
  <si>
    <t>http://www.metropolitanoasiscdc.org</t>
  </si>
  <si>
    <t>mailto:trobinson@metropolitanoasiscdc.org</t>
  </si>
  <si>
    <t>Metropolitan Oasis Community Development</t>
  </si>
  <si>
    <t>http://www.metropolitanoasis.org</t>
  </si>
  <si>
    <t>mailto:metrooasis@aol.com</t>
  </si>
  <si>
    <t>Metropolitan Registered Pharmacist, Inc.</t>
  </si>
  <si>
    <t>Meyer &amp; Associates, Inc.</t>
  </si>
  <si>
    <t>mailto:kennethbmeyer@sbcglobal.net</t>
  </si>
  <si>
    <t>Meyer &amp; Wallis, Inc.</t>
  </si>
  <si>
    <t>http://www.meyerwallis.com</t>
  </si>
  <si>
    <t>mailto:info@meyerwallis.com</t>
  </si>
  <si>
    <t>Meyer Glass &amp; Mirror</t>
  </si>
  <si>
    <t>mailto:meyerglassmirror@sbcglobal.net</t>
  </si>
  <si>
    <t>Meyer Najem</t>
  </si>
  <si>
    <t>="Meyer Najem Construction, LLC is a local construction management and general contyracting firm specializing in technical construction projects including renovation projects. Primary parkets include healthcare, labs, public schools and libraries, and other public instritutional constrction. Meyer Najam has received many awards for jobsite safety, and is one of a few 2004 MICCS Safety Certified Contractors. Meyer NAjem has two Indiana locations, one in Fishers, IN and one in Bloomington, IN. Meyer NAjem was just nominated as a finalist for the ""Business of the Year"" by the Fishers Chamber of Commerce. Meyer Najem is very involved in the communities we serve, and our philanthropic efforts are well-documented. This is an important part of our the corporate culture of our firm. Meyer NAjem has openly embraced the diversity community, serving as a mentor and partner for smaller firms who need our assistance."</t>
  </si>
  <si>
    <t>http://www.meyer-najem.com</t>
  </si>
  <si>
    <t>mailto:smishelow@meyer-najem.com</t>
  </si>
  <si>
    <t>Meyer Plastics, Inc.</t>
  </si>
  <si>
    <t>http://www.meyerplastics.com</t>
  </si>
  <si>
    <t>mailto:jalbright@meyerplastics.com</t>
  </si>
  <si>
    <t>Meyer Search Consultants</t>
  </si>
  <si>
    <t>="The best candidates with the qualities you desire may not be available through normal search channels. With our search services, you get highly targeted research that locates and qualifies the best candidates for your position, anywhere in the world. We can also help you develop and implement your own personnel selection system. It is our practice to research appropriate organizations to locate individuals who meet your position specifications and who have demonstrated patterns of accomplishment and success in positions which closely match your requirements. This process is designed to yield a number of qualified candidates to compare and evaluate competitively against each other. Meyer Search Consultants search services include: · Direct sourcing of proven professionals in targeted organizations · National and International search capabilities · Extensive research of industry and target organizations provided to clients · Extensive candidate reference and background search "</t>
  </si>
  <si>
    <t>mailto:mscllc@gmail.com</t>
  </si>
  <si>
    <t>Mezzetta Construction Services</t>
  </si>
  <si>
    <t>Miami Tool &amp; Die, Inc.</t>
  </si>
  <si>
    <t>http://www.miamitool.com</t>
  </si>
  <si>
    <t>mailto:jconley@miamitool.com</t>
  </si>
  <si>
    <t>Michael A Wynn</t>
  </si>
  <si>
    <t>mailto:wynnandwhere_electric@comcast.net</t>
  </si>
  <si>
    <t>Michael Burns Consulting, LLC.</t>
  </si>
  <si>
    <t>="Providing program evaluation and management consulting services, especially for 501c3 nonprofit organizations, state agencies, and school districts. Expertise includes grantwriting, project planning consulting, and strategic development and executive coaching, to companies, communities and education organizations."</t>
  </si>
  <si>
    <t>mailto:mb.consult@yahoo.com</t>
  </si>
  <si>
    <t>Michael C. Lady Advisors</t>
  </si>
  <si>
    <t>="We are a real estate appraisal firm. We appraise residential and commercial properties in the State of Indiana. Valuations are performed for mortgage loan purposes, equity participation and due diligence support, estate planning, condemnation proceedings, insurance purposes and real estate tax valuation."</t>
  </si>
  <si>
    <t>http://www.irr.com</t>
  </si>
  <si>
    <t>mailto:mlady@irr.com</t>
  </si>
  <si>
    <t>Michael Consulting</t>
  </si>
  <si>
    <t>="Provide brokerage and consulting for individual and businesses regarding insurance benefits, i.e., medical, dental, life, disability, pension, &amp; annuities. We also provide consulting services in Human Resouces specializing in employee compensation and variable pay plan design and recruitment."</t>
  </si>
  <si>
    <t>http://www.avisent.com</t>
  </si>
  <si>
    <t>mailto:cmichael@avisent.com</t>
  </si>
  <si>
    <t>Michael J Layton</t>
  </si>
  <si>
    <t>http://www.laytonservice.com</t>
  </si>
  <si>
    <t>mailto:mjlayton@laytonsenservice.com</t>
  </si>
  <si>
    <t>Michael J. Thomas Consulting LLC</t>
  </si>
  <si>
    <t>="Michael J. Thomas Consulting LLC is a local Indiana company serving Indianapolis, Fort Wayne and organizations and agencies outside of Indiana. We pride ourselves in being responsive to our customers, providing accurate information and prompt service to exceed our customers expectations. We can offer your organization with strategic management solutions and consulting services; such as, -Project management (PMI) -State and Federal regulatory compliance -Auditing and monitoring tools -Data analysis and management reports -Performance monitoring -Quality improvement and quality assurance -MS Access database applications -Business development and proposal writing -Human resources -Training and staff development -Professional recruitment -Team facilitation"</t>
  </si>
  <si>
    <t>http://www.linkedin.com/in/mjtcllc</t>
  </si>
  <si>
    <t>mailto:MJTCLLC@GMAIL.COM</t>
  </si>
  <si>
    <t>Michael Kinder &amp; Sons, Inc.</t>
  </si>
  <si>
    <t>http://kinderandsons.com</t>
  </si>
  <si>
    <t>Michael Lewis</t>
  </si>
  <si>
    <t>="LEED Safety Consulting Group is devoted exclusively to assisting your company save money and to secure a safe and profitable future through proactive comprehensive safety &amp; loss control services that: reduce the frequency and severity of your losses, reduce and/or eliminate your exposure to liability and loss, safeguard the environment, health and safety of your employees, and protect your assets and your profitability."</t>
  </si>
  <si>
    <t>mailto:leedsafetyconsultinggroup@yahoo.com</t>
  </si>
  <si>
    <t>Michael Mitchell</t>
  </si>
  <si>
    <t>http://www.mis-group.com</t>
  </si>
  <si>
    <t>mailto:michael@mis-group.com</t>
  </si>
  <si>
    <t>Michael Neese</t>
  </si>
  <si>
    <t>mailto:m.neese@sbcglobal.net</t>
  </si>
  <si>
    <t>Michael Test Business</t>
  </si>
  <si>
    <t>Other Crop Farming</t>
  </si>
  <si>
    <t>Michael Wolff</t>
  </si>
  <si>
    <t>mailto:wildtreeguys@gmail.com</t>
  </si>
  <si>
    <t>Michele Wilberding</t>
  </si>
  <si>
    <t>mailto:mwilberding@seidata.com</t>
  </si>
  <si>
    <t>Michelle L Moore Consulting Services</t>
  </si>
  <si>
    <t>="Michelle L Moore Consulting Services is a sole proprietorship providing business management and IT consulting services to the public sector. Prior to starting this consulting business, proprietor Michelle Moore was employed for eighteen years with the Indiana Bureau of Motor Vehicles, the last seven years of which she served as the agency's Chief Information Officer. Michelle L Moore Consulting Services can provide experienced business management as well as information technology management services."</t>
  </si>
  <si>
    <t>mailto:michellelmoore@prodigy.net</t>
  </si>
  <si>
    <t>Michiana Area Council of Governments</t>
  </si>
  <si>
    <t>http://www.macog.com</t>
  </si>
  <si>
    <t>mailto:sseanor@macog.com</t>
  </si>
  <si>
    <t>Michiana Brick &amp; Building Supply</t>
  </si>
  <si>
    <t>http://www.michianabrick.net</t>
  </si>
  <si>
    <t>mailto:Jayne@michianabrick.net</t>
  </si>
  <si>
    <t>Brick, Stone, and Related Construction Material Merchant Wholesalers</t>
  </si>
  <si>
    <t>Michiana Health Information Network</t>
  </si>
  <si>
    <t>="As a health information exchange, MHIN is committed to improving healthcare quality in the communities we serve. Through a variety of communication solutions, MHIN connects you to other healthcare providers throughout the region, ensuring that you have immediate access to the information you need to take care of your patients."</t>
  </si>
  <si>
    <t>http://www.mhin.com</t>
  </si>
  <si>
    <t>mailto:info@mhin.com</t>
  </si>
  <si>
    <t>Michiana Hearing Care Center, P.C.</t>
  </si>
  <si>
    <t>="Michiana Hearing Care Center provides diagnostic hearing testing and provides hearing aids and assistive listening devices to all ages. The office works with most insurances including Medicare, Medicaid, First Steps, Vocational Rehabilitation and some ancillary work with the Veteran's Administration."</t>
  </si>
  <si>
    <t>http://www.michianahearingcarecenter.com</t>
  </si>
  <si>
    <t>mailto:mhcc03@msn.com</t>
  </si>
  <si>
    <t>Michiana Tree Movers</t>
  </si>
  <si>
    <t>mailto:Treemoversinc@aol.com</t>
  </si>
  <si>
    <t>Michiana Wireless</t>
  </si>
  <si>
    <t>http://www.michianawireless.com</t>
  </si>
  <si>
    <t>mailto:sales@michianawireless.com</t>
  </si>
  <si>
    <t>Micker Enterprises L</t>
  </si>
  <si>
    <t>http://www.mickerenterprises.com</t>
  </si>
  <si>
    <t>mailto:sales@mickerenterprises.com</t>
  </si>
  <si>
    <t>Micro Air Inc.</t>
  </si>
  <si>
    <t>="Micro Air, Inc. is an environmental consulting firm dedicated to offering solutions to damage done to buildings and their occupants by health threatening environmental conditions. Supported by its own highly accredited laboratory, Micro Air, Inc. specializes in industrial hygiene, indoor air quality, sick building syndrome, disaster restoration, radon, lead and asbestos management. Micro Air, Inc. consists of skilled professionals extensively trained in their specialties. Since its founding, Micro Air, Inc. has provided consulting, testing, and remedial services to a broad spectrum of society. Micro Air, Inc. also offers a wide variety of laboratory services. These services include air, surface, and bulk analysis of mold and bacteria, air and bulk analysis of asbestos, radon testing, drinking water analysis, and pool and lake water analysis. Micro Air, Inc.'s laboratory is fully accredited by the State of Indiana and the American Industrial Hygiene Association."</t>
  </si>
  <si>
    <t>http://www.microair.com</t>
  </si>
  <si>
    <t>mailto:microair@microair.com</t>
  </si>
  <si>
    <t>Micro Business Management Solutions, Inc</t>
  </si>
  <si>
    <t>mailto:MBMSolutions@att.net</t>
  </si>
  <si>
    <t>Microdome Computers, Inc.</t>
  </si>
  <si>
    <t>="Microdome Computers is a leading regional provider of computer systems, laptops, computer peripherals, software licensing, and computer repair and maintenance services. We have been in business since 1998 and are committed to the highlest level of quality and service."</t>
  </si>
  <si>
    <t>http://www.microdome.net</t>
  </si>
  <si>
    <t>mailto:andy@microdome.net</t>
  </si>
  <si>
    <t>Micrology Laboratories, LLC.</t>
  </si>
  <si>
    <t>="Provider of simple microbiology products. Our products are used to test for bacteria, from all bacteria to as specific as E. coli. They are used to test water (creeks, lakes) or testing surfaces of equipment or other objects. Our Easygel product line is inexpensive and easy to use by anyone of any age or experience level."</t>
  </si>
  <si>
    <t>http://www.micrologylabs.com</t>
  </si>
  <si>
    <t>mailto:info@micrologylabs.com</t>
  </si>
  <si>
    <t>Microtech Welding Co</t>
  </si>
  <si>
    <t>mailto:microtech01@verizon.net</t>
  </si>
  <si>
    <t>Mid America Automation, Inc.</t>
  </si>
  <si>
    <t>="Designer and Builders of Custom Assembly Equipment, Special Machines, Fixtures and Jigs. Turn Key Facility for Lean Cells, Robotics Cells, Vision Systems, Testing Equipment, Dial Indexing Machines, Walking Beams, and Palletizing Systems servicing the medical, consumer, and automotive industies."</t>
  </si>
  <si>
    <t>http://www.midamericaautomation.com</t>
  </si>
  <si>
    <t>mailto:louism@midamericaautomation.com</t>
  </si>
  <si>
    <t>Mid America Avionics</t>
  </si>
  <si>
    <t>="Sales, Installation and Service for many Aircraft Avionics Products including comms, navs, radars, autopilots, gps, engine monitors and more. Dealers for Garmin, Bendix/King/Honeywell, STEC/Meggit, Century Flight Systems, L-3 Communications, Insight, JPI, Shadin, Ryan, and more."</t>
  </si>
  <si>
    <t>http://mid-americaavionics.com</t>
  </si>
  <si>
    <t>mailto:rickmidamericafw</t>
  </si>
  <si>
    <t>Mid America Clinical Laboratories, LLC</t>
  </si>
  <si>
    <t>="Mid America Clinical Laboratories, LLC is a full service clinical laboratory located in Indianapolis providing laboratory testing to physicians and hospitals throughout the Central Indiana area. Mid America Clinical Lab perfomed over 5 million tests for 3 million patients during the year ended 2008."</t>
  </si>
  <si>
    <t>http://www.maclonline.com</t>
  </si>
  <si>
    <t>mailto:info@macl1.com</t>
  </si>
  <si>
    <t>Mid America Fire &amp; Safety LLC</t>
  </si>
  <si>
    <t>http://www.midamericafire.com</t>
  </si>
  <si>
    <t>mailto:sales@midamericafire.com</t>
  </si>
  <si>
    <t>Mid America Health, Inc.</t>
  </si>
  <si>
    <t>http://Mahweb.com</t>
  </si>
  <si>
    <t>mailto:Contactus@mahweb.com</t>
  </si>
  <si>
    <t>Mid America Psychological &amp; Counseling</t>
  </si>
  <si>
    <t>http://midapsychologicalcounseling.com</t>
  </si>
  <si>
    <t>mailto:midamericapsych@aol.com</t>
  </si>
  <si>
    <t>Mid Cities Construction &amp; Overhead Door</t>
  </si>
  <si>
    <t>http://www.midcitiesdoor.com</t>
  </si>
  <si>
    <t>mailto:midcities@verizon.net</t>
  </si>
  <si>
    <t>Mid Cities Mechanical LLC</t>
  </si>
  <si>
    <t>Mid-America Uniforms</t>
  </si>
  <si>
    <t>http://www.mid-americauniforms.com</t>
  </si>
  <si>
    <t>mailto:mid-america1@sbcglobal.net</t>
  </si>
  <si>
    <t>Mid-American Cleaning Contractors Inc.</t>
  </si>
  <si>
    <t>http://www.macc.net</t>
  </si>
  <si>
    <t>mailto:ken@macc.net</t>
  </si>
  <si>
    <t>Mid-American Specialized Transport, Inc.</t>
  </si>
  <si>
    <t>http://www.mastusa.com</t>
  </si>
  <si>
    <t>mailto:pjoyner@mastusa.com</t>
  </si>
  <si>
    <t>Mid-Continental Restoration Co., Inc.</t>
  </si>
  <si>
    <t>http://www.midcontinental.com</t>
  </si>
  <si>
    <t>mailto:ron_pertl@midcontinental.com</t>
  </si>
  <si>
    <t>Mid-State Electric of New Castle, LLC</t>
  </si>
  <si>
    <t>Mid-State Truck Equipment, Inc</t>
  </si>
  <si>
    <t>http://www.mid-statetruck.com</t>
  </si>
  <si>
    <t>mailto:mike@mid-statetruck.com</t>
  </si>
  <si>
    <t>Mid-States Concrete &amp; Gen. Const., Inc.</t>
  </si>
  <si>
    <t>MidCountry Media, Inc</t>
  </si>
  <si>
    <t>http://www.midcountrymedia.com</t>
  </si>
  <si>
    <t>mailto:gthoe@midcountrymedia.com</t>
  </si>
  <si>
    <t>Midland Engineering Company, Inc</t>
  </si>
  <si>
    <t>http://www.midlandengineering.com</t>
  </si>
  <si>
    <t>mailto:midland@midlandengineering.com</t>
  </si>
  <si>
    <t>Midland Lumber Co Inc</t>
  </si>
  <si>
    <t>Midway Dental Supply, Inc.</t>
  </si>
  <si>
    <t>http://midwaydental.com</t>
  </si>
  <si>
    <t>Midway Specialty Vehicles LLC</t>
  </si>
  <si>
    <t>="Midway Specialty Vehicles is a custom upfitter for commercial fleet users located in Elkhart, Indiana. Throughout the years, we have always worked with the customer to develop solutions to specific transportation needs in lieu of trying to make the customer needs fit our existing product line. The customization process, starting with salesman inquiry then through engineering and design with the customer and finally product implementation ensures that our customers receive the best product to satisfy their needs to the best of our ability. We are known as one of, if not the, leader in customized commercial van conversions."</t>
  </si>
  <si>
    <t>http://www.midwayspecialtyvehicles.com</t>
  </si>
  <si>
    <t>mailto:midway@midwayspecialtyvehicles.com</t>
  </si>
  <si>
    <t>Transit and Ground Passenger Transportation</t>
  </si>
  <si>
    <t>Midwest Ambulance Service, Inc</t>
  </si>
  <si>
    <t>http://midwestambulance.org</t>
  </si>
  <si>
    <t>Midwest Benefit Solutions, LLC</t>
  </si>
  <si>
    <t>="We are independent, fee-based, employee benefit consultants and consulting actuaries. Our focus and expertise is in the area of health and welfare benefit plans for self funded, partially self funded and experience rated plans. Our founding partners have over 30 years experience in the industry."</t>
  </si>
  <si>
    <t>http://www.benexperts.com</t>
  </si>
  <si>
    <t>mailto:pcostello@benexperts.com</t>
  </si>
  <si>
    <t>Midwest Biotec, Inc.</t>
  </si>
  <si>
    <t>http://www.midwestbiotech.com</t>
  </si>
  <si>
    <t>mailto:mwbiotech@att.net</t>
  </si>
  <si>
    <t>Other Basic Inorganic Chemical Manufacturing</t>
  </si>
  <si>
    <t>Midwest Communications Review, Inc.</t>
  </si>
  <si>
    <t>http://www.midwestcommunicationsreview.c</t>
  </si>
  <si>
    <t>mailto:Michelle@midwestcommunicationsreview.com</t>
  </si>
  <si>
    <t>Midwest Companies, Inc.</t>
  </si>
  <si>
    <t>="Novolight / Midwest is the OEM Lighting Division of Midwest Companies, Inc. We are a full service manufacturer of lighting devices and fixtures. In house support operations include injection molding, thermoforming, packaging, labeling and printing, allowing the customer a complete product solution."</t>
  </si>
  <si>
    <t>http://www.novolight.com</t>
  </si>
  <si>
    <t>mailto:sales@novolight.com</t>
  </si>
  <si>
    <t>Midwest Concrete Pumping, Inc.</t>
  </si>
  <si>
    <t>http://www.midwestpumping.com</t>
  </si>
  <si>
    <t>mailto:rpierce@midwestpumping.com</t>
  </si>
  <si>
    <t>Midwest Consulting Services</t>
  </si>
  <si>
    <t>="With unpredictable disasters both man made and natural, our company helps individuals, businesses and families develop emergency plans prior to emergencies. Our services range from free advice and resources to individual, workplace and family disaster planning and preparation and emergency kits. We offer services for all budgets, company sizes and family sizes. We understand that people have great needs when disaster strikes and many governmental resources are over stretched or not immediately available. Our services are geared towards lessening the impact of emergencies on over stretched governmantal resources and the families affected."</t>
  </si>
  <si>
    <t>http://www.midwestdisasterservices.com</t>
  </si>
  <si>
    <t>mailto:midwestdisasterservices@gmail.com</t>
  </si>
  <si>
    <t>Midwest DataTech LLC</t>
  </si>
  <si>
    <t>http://www.midwestdatatech.com</t>
  </si>
  <si>
    <t>mailto:srue@midwestdatatech.com</t>
  </si>
  <si>
    <t>Midwest Decortating Co. INC.</t>
  </si>
  <si>
    <t>Midwest Engineered P</t>
  </si>
  <si>
    <t>http://www.centrasep.com</t>
  </si>
  <si>
    <t>mailto:sales@centrasep.com</t>
  </si>
  <si>
    <t>Midwest Environmental Systems, Inc.</t>
  </si>
  <si>
    <t>="Midwest Environmental Systems, Inc. has been involved in industrial waste management and recycling for over 21 years. Our goals are to reduce materials going into landfills, lessen the cost of waste disposal, decrease the cost of manufacturing and limit the need for raw materials."</t>
  </si>
  <si>
    <t>http://www.midwestesi.com</t>
  </si>
  <si>
    <t>mailto:pmishlerfish@midwestesi.com</t>
  </si>
  <si>
    <t>Midwest Environmental, Inc.</t>
  </si>
  <si>
    <t>="Midwest Environmental is an employee owned envrionmental contractor located in Hammond, Indiana. The company is experienced and qualified to provide hazardous and non-hazardous waste handling (e.g. disposal, recycling, waste minimization, etc.) MEI also provides environmental remediation services including: excavation, equipment decommissioning, groundwater remediation and waste handling. All of MEI's owners are full-time employees. This means that our clients have the benefit of dealing with individuals who have a vested interest in providing top-quality service while establishing the bond necessary for repeat business. Our relatively low overhead enables us to provide competitive bids in most instances, reflected in cost savings to the customer."</t>
  </si>
  <si>
    <t>mailto:dianeabellmei@ameritech.net</t>
  </si>
  <si>
    <t>Remediation and Other Waste Management Services</t>
  </si>
  <si>
    <t>Midwest Firestop Inc.</t>
  </si>
  <si>
    <t>="Midwest Firestop Inc. provides installation of passive firestop systems, consultation, and third party inspections on existing facilities. The implementation of comprehensive firestop management programs on construction projects and existing facilities to ensure code compliance from design to completion is our number one goal. We install UL rated firestop systems and approved engineering judgments including, but not limited to through and membrane penetrations of fire rated assemblies, head-of-wall, wall-to-wall, and floor-to-wall joints, curtain wall joints, and edge of slab joints. We provide complete documentation of all submittals, UL systems, and engineering judgments. In addition, we can provide and managed a firestop tracking computer program to insure firestop compliance throughout the entire facility and/or network."</t>
  </si>
  <si>
    <t>mailto:mwfs1@comcast.net</t>
  </si>
  <si>
    <t>Midwest Institute, Inc.</t>
  </si>
  <si>
    <t>mailto:midwest@midwestpsych.com</t>
  </si>
  <si>
    <t>Midwest Land Agents</t>
  </si>
  <si>
    <t>mailto:midwestlandagents@earthlink.net</t>
  </si>
  <si>
    <t>Midwest Luxury Baths</t>
  </si>
  <si>
    <t>="For the first several years the company would only remodel the tub area. We soon realized that most of our clients liked the idea of having one contractor do the complete bath remodel. We now offer complete bath remodeling including, tub and shower area, flooring, electrical, plumbing, cabinetry and tile. Recently replacement windows were added to the products we offer. We believe the windows we offer are some of the finest available."</t>
  </si>
  <si>
    <t>http://www.midwesttublady.com</t>
  </si>
  <si>
    <t>mailto:info@midwesttublady.com</t>
  </si>
  <si>
    <t>Midwest Maintenance &amp; Const., Co., Inc.</t>
  </si>
  <si>
    <t>="Midwest Maintenance &amp; Construction Co., Inc. can provide maintenance, installation &amp; service of petroleum equipment and lighting. We also maintain a competitive inventory of pump and dispenser related parts and service. We offer fuel station or bulk station project management and installation."</t>
  </si>
  <si>
    <t>http://www.midwestmaintenance.com</t>
  </si>
  <si>
    <t>mailto:blandis@midwest-maint.com</t>
  </si>
  <si>
    <t>Midwest Marketing</t>
  </si>
  <si>
    <t>="Advertising Specialties: Imprinted logos screened or embroidered on such items as tshirts, hats, sweatshirts, jackets, safety awards, pens, pencils, mugs, calendars, lanyards, badge holders, desk items, mousepads, binders, padfolios, magnets,decals,clipboards,etc"</t>
  </si>
  <si>
    <t>http://www.midwestmarketing.net</t>
  </si>
  <si>
    <t>mailto:midmkt@juno.com</t>
  </si>
  <si>
    <t>Midwest Marketing Research,Inc.</t>
  </si>
  <si>
    <t>="Midwest Marketing Research has been helping clients make better marketing decisions since our founding in 1986. We’ve helped hundreds of clients solve their marketing dilemmas with customized research, affordably priced and delivered on time. MMR serves companies of all sizes, primarily within a 100-mile radius of South Bend, Indiana, although we have worked for companies in other parts of the United States. Our clients come from diverse industries, including manufacturing, consumer goods, recreation vehicle, finance, education, health care, media, advertising, government, restaurant and food service. We utilize all research methodologies including focus groups, telephone surveys, mailed surveys, intercept interviews and mystery shoppers."</t>
  </si>
  <si>
    <t>mailto:acanola@skyenet.net</t>
  </si>
  <si>
    <t>Midwest Meat Processors</t>
  </si>
  <si>
    <t>mailto:pabduaalh@aol.com</t>
  </si>
  <si>
    <t>Midwest Mold LLC.</t>
  </si>
  <si>
    <t>="Introducing the world’s safest and most effective antimicrobial and chemical decontaminant. Kills bacteria, viruses, spores, molds and fungus to 99.99999% and neutralizes industrial toxic chemicals within minutes, with something totally biodegradable and safe enough for household use."</t>
  </si>
  <si>
    <t>mailto:midwestmold@sbcglobal.net</t>
  </si>
  <si>
    <t>Midwest Office Solutions, LLC</t>
  </si>
  <si>
    <t>mailto:cindy@midwestofficesolutions.org</t>
  </si>
  <si>
    <t>Midwest Pipe &amp; Steel, Inc</t>
  </si>
  <si>
    <t>http://www.midwestpipe.com</t>
  </si>
  <si>
    <t>mailto:info@midwestpipe.com</t>
  </si>
  <si>
    <t>Midwest Rake Company LLC</t>
  </si>
  <si>
    <t>="Midwest Rake Company is a 15 year old, family owned, manufacturer of professional grade tools serving the landscaping, sport turf/surface, aquatic maintenance, asphalt/sealcoating, decorative concrete, industrial and marine floor and surface coating, and general construction markets around the world under a variety of labels and brand names."</t>
  </si>
  <si>
    <t>http://www.midwestrake.com</t>
  </si>
  <si>
    <t>mailto:orders@midwestrake.com</t>
  </si>
  <si>
    <t>Hand and Edge Tool Manufacturing</t>
  </si>
  <si>
    <t>Midwest Rentals, Inc</t>
  </si>
  <si>
    <t>http://www.midwestrentalsinc.com</t>
  </si>
  <si>
    <t>Midwest Rentals, Inc.</t>
  </si>
  <si>
    <t>="From our growing inventory, our knowledgeable staff, to over 50 years of service, Midwest Rentals is an industry leader in the rental business. We have everything from tools, to wedding and party goods, to portable restrooms, storage containers and temporary fencing. Midwest Rentals excels in customer service providing the customers with what they want and need to set the staging for their special event. Whether you’re moving and need some extra storage, needing portable restrooms for the job site, tilling a new garden in your backyard or if you’re planning the event of the century, Midwest Rentals looks forward to becoming your event or project partner."</t>
  </si>
  <si>
    <t>mailto:jstacy@midwestrentalsinc.com</t>
  </si>
  <si>
    <t>Midwest Security Group, LLC</t>
  </si>
  <si>
    <t>mailto:tamera@midwestsecuritygroup.com</t>
  </si>
  <si>
    <t>Midwest Server Repair</t>
  </si>
  <si>
    <t>Midwest Sourcing</t>
  </si>
  <si>
    <t>="Midwest Sourcing provides direct placement services, strategic IT contract staffing and full lifecycle project outsourcing to enterprises across the Midwest in all vertical markets. Whether it is a direct hire scenario, a short or long-term consulting engagement or the outsourcing of all or part of a project, we can alleviate the time, effort and expense necessary to identify quality, talented professionals. Our strength centers around our ability to best understand our clients’ requirements. Our process helps us identify the specific technical skills as well as the soft skills necessary for an optimal fit. We go to great lengths to ensure our consultants and candidates are specialists in their technical disciplines, understand our client’s business objectives and goals, and will assimilate into the culture and environment."</t>
  </si>
  <si>
    <t>http://www.midwestsourcing.com</t>
  </si>
  <si>
    <t>mailto:ktheno@midwestsourcing.com</t>
  </si>
  <si>
    <t>Midwest Surveying &amp; Mapping, Inc</t>
  </si>
  <si>
    <t>Midwest Surveying, LLC</t>
  </si>
  <si>
    <t>mailto:dp.midwest@hotmail.com</t>
  </si>
  <si>
    <t>Midwest Tank, Inc.</t>
  </si>
  <si>
    <t>="Midwest Tank, Inc. has served the Tank &amp; Trailer industry for over 24 years. We are a DOT Registered &amp; ASME accredited Testing &amp; Repair Facility for MC &amp; DOT Code Tank Trailers. We offer complete welding and fabrication services as well as sandblasting and painting. We perform the following tests and inspections: DOT, external, internal visuals, leakage, pressure &amp; upper coupler. We repair major &amp; minor accident &amp; vacuum damage as well as sheet repair &amp; replacement, barrel repair &amp; section replacement, complete frame rebuilding &amp; repair, pit welding, steam &amp; glycol conversions. We perform complete suspension repair &amp; upgrades &amp; Alignments on all types of trucks, tractors, &amp; trailers. We work on ISO containers. We have a Full Service Diesel Repair Shop."</t>
  </si>
  <si>
    <t>http://www.midwesttank.com</t>
  </si>
  <si>
    <t>mailto:info@midwesttank.com</t>
  </si>
  <si>
    <t>Midwest Telephone Co., Inc.</t>
  </si>
  <si>
    <t>="We Sell, Repair, Service, Install Business Telephone Systems and Equipment. Including Voice Mail Systems, Paging System, Computer Cabling Cat5E , Cat6 Fiber Cabling. We also do in house, board level repair on Telephone sets and circuit cards. Provide 24/7 emergency on site repairs also."</t>
  </si>
  <si>
    <t>http://www.midwesttelephone.com</t>
  </si>
  <si>
    <t>mailto:charles@midwesttelephone.com</t>
  </si>
  <si>
    <t>Midwest Toxicology Services, Inc.</t>
  </si>
  <si>
    <t>="Midwest Toxicology Services offers professional assistance in establishing Regulated (DOT) and Non-Regulated substance abuse testing programs. Our services include policy development, employee education, supervisor training, random selection and testing, student testing, reports and DOT compliance. We specialize in on-site , mobile unit service for collections and testing."</t>
  </si>
  <si>
    <t>http://www.midwesttoxicology.com</t>
  </si>
  <si>
    <t>="Midwest Toxicology Services, Inc. offers professional assistance in setting up substance abuse testing programs for regulated (DOT) or non-regulated testing. Our services include policy development, employee education, supervisor training, random selection and reports. We specialize in on-site service with our mobile unit for collections and testing."</t>
  </si>
  <si>
    <t>mailto:info@midwesttoxicology.com</t>
  </si>
  <si>
    <t>Midwest Traffic Solutions LLC</t>
  </si>
  <si>
    <t>Midwest Transit Equipment of Indiana</t>
  </si>
  <si>
    <t>http://www.midwesttransit.com</t>
  </si>
  <si>
    <t>mailto:info@midwesttransit.com</t>
  </si>
  <si>
    <t>Midwest Transit Equipment, Inc.</t>
  </si>
  <si>
    <t>http://www.midwesttransit. com</t>
  </si>
  <si>
    <t>mailto:jacob.mcburnie@midwesttransit.com</t>
  </si>
  <si>
    <t>Midwest Tree Service llc</t>
  </si>
  <si>
    <t>mailto:midwesttree@yahoo.com</t>
  </si>
  <si>
    <t>Midwest Tube Mills, Inc.</t>
  </si>
  <si>
    <t>http://www.midwesttubemills.com</t>
  </si>
  <si>
    <t>mailto:info@midwesttubemills.com</t>
  </si>
  <si>
    <t>Midwest Turf Care, Inc.</t>
  </si>
  <si>
    <t>mailto:help@midwestturfcare.com</t>
  </si>
  <si>
    <t>Midwestern Engineers</t>
  </si>
  <si>
    <t>http://midwesterneng.com</t>
  </si>
  <si>
    <t>Mighty Tidy Cleaning</t>
  </si>
  <si>
    <t>mailto:mightytidycleaning@aol.com</t>
  </si>
  <si>
    <t>Mike Anderson C/D/J</t>
  </si>
  <si>
    <t>http://mikeanderson.com</t>
  </si>
  <si>
    <t>Mike Hamonds</t>
  </si>
  <si>
    <t>mailto:m-tech@attglobal.net</t>
  </si>
  <si>
    <t>Mike Jones and Son</t>
  </si>
  <si>
    <t>mailto:rock_star8968@yahoo.com</t>
  </si>
  <si>
    <t>Mike Ward Insurance Agency</t>
  </si>
  <si>
    <t>http://www.mikeward.biz</t>
  </si>
  <si>
    <t>mailto:mike@mikeward.biz</t>
  </si>
  <si>
    <t>Mike's Carpet Cleaning Service</t>
  </si>
  <si>
    <t>="Mike's Carpet Cleaning Service, located in southern Indiana, specializes in carpet and upholstery cleaning using a Von Schrader dry foam application system which dries in 1 to 2 hours and is Green Seal Certified. We also offer ceramic tile cleaning and disinfecting using a hot vapor steam method by Vaporlux which uses water only to kill even stubborn stains and bacteria."</t>
  </si>
  <si>
    <t>mailto:mikescarpet@outlook.com</t>
  </si>
  <si>
    <t>Mikolajewski &amp; Associates, Inc.</t>
  </si>
  <si>
    <t>http://mikolajewskisecurityandinvestigat</t>
  </si>
  <si>
    <t>mailto:gmikolaj@sbcglobal.net</t>
  </si>
  <si>
    <t>Milani Custom Homes, LLC.</t>
  </si>
  <si>
    <t>http://www.milanicorp.com</t>
  </si>
  <si>
    <t>mailto:info@milanicorp.com</t>
  </si>
  <si>
    <t>Miles Printing on Pl</t>
  </si>
  <si>
    <t>http://wwwmilesprintingonplastics.com</t>
  </si>
  <si>
    <t>mailto:lchurchill@milesprintingonplastics.com</t>
  </si>
  <si>
    <t>Miles Technologies</t>
  </si>
  <si>
    <t>="Founded in 1982, Miles Technologies automates the warehouse with Barcode, Data Capture, RFID and Warehouse Software. Miles is an authorized business partner with Symbol, Zebra, Intermec, LXE, PSC, HP, Alien and more. Our customers include large nationwide companies to smaller local firms. We pride ourselves on meeting our customers changing needs, budgets and project timelines. Our mission at Miles Technologies is to provide exceptional customer service and improve our customer's competitiveness by automating their warehouse processes with innovative and cost effective solutions."</t>
  </si>
  <si>
    <t>http://www.milestechinc.com</t>
  </si>
  <si>
    <t>mailto:jskulski@milestechinc.com</t>
  </si>
  <si>
    <t>Milestone Construction, Inc.</t>
  </si>
  <si>
    <t>http://www.milestoneconstruction</t>
  </si>
  <si>
    <t>Milestone Contractors, L.P.</t>
  </si>
  <si>
    <t>http://www.milestonelp.com</t>
  </si>
  <si>
    <t>Milestone Investments, LLC</t>
  </si>
  <si>
    <t>Milestone Performance Inc.</t>
  </si>
  <si>
    <t>mailto:sgreen@milestoneperformanceinc.com</t>
  </si>
  <si>
    <t>Milford Vol Fire Dep</t>
  </si>
  <si>
    <t>Millennium Group of Indiana, Inc.</t>
  </si>
  <si>
    <t>mailto:info@warehouse2000.net</t>
  </si>
  <si>
    <t>Millennium Marketing</t>
  </si>
  <si>
    <t>mailto:kim@livemusicindiana.com</t>
  </si>
  <si>
    <t>Millennium Tool Inc.</t>
  </si>
  <si>
    <t>="Millennium Tool Inc. is a modern, high-tech CNC machine shop. We perform production machining and prototyping for clients in automotive, electronics, robotics, healthcare and a variety of other industries. MTI's CNC machine shop features the latest in state-of-the-art CAD and CAM software, as well as the most modern CNC milling and turning centers. All MTI work, production, or prototyping, is guaranteed to customer satisfaction. At Millennium Tool Inc., we pride ourselves on our broad scope of manufacturing expertise. Our key people have been with the company for many years, and their combined knowledge and commitment to quality and customer service offers our customers unparalleled value in short-run and production machining. State-of-the-art CNC equipment, including 4-axis horizontal, combined with our manufacturing experience makes MTI your total solution for precision machining in the 21st century."</t>
  </si>
  <si>
    <t>http://www.millenniumtoolinc.com</t>
  </si>
  <si>
    <t>mailto:info@millenniumtoolinc.com</t>
  </si>
  <si>
    <t>Millennium Trailers</t>
  </si>
  <si>
    <t>http://www.milltrailers.com</t>
  </si>
  <si>
    <t>mailto:info@milltrailers.com</t>
  </si>
  <si>
    <t>Industrial Truck, Tractor, Trailer and Stacker Machinery Manufacturing</t>
  </si>
  <si>
    <t>Miller &amp; Miller Information Management S</t>
  </si>
  <si>
    <t>="We provide expert technical services to design, implement and support business computer networks. As a Microsoft Certified Partner and Novell Authorized Partner with MCSE, MCP, CNE, CNA, and A+ Certified Professionals on staff, we stand ready and qualified to service your organization’s technology challenges. We offer technology consulting, local and wide area networks, and procurement of properly configured network servers, desktops, laptops, and software. Our remote support system reduces your costs and gets your technology issues solved fast. Support contracts are available. We design and host corporate websites and Internet email accounts. Since 1982, we have been an information technology leader, providing “better results through better solutions”. Put our long-term experience, knowledge, and stability to work for your information systems."</t>
  </si>
  <si>
    <t>http://www.mmims.com</t>
  </si>
  <si>
    <t>mailto:sales@mmims.com</t>
  </si>
  <si>
    <t>Miller Electronics Co. Inc</t>
  </si>
  <si>
    <t>mailto:martym@millerelectronics.net</t>
  </si>
  <si>
    <t>Miller Huggins, Inc</t>
  </si>
  <si>
    <t>http://www.millerhuggins.com</t>
  </si>
  <si>
    <t>mailto:foster.mhi@sbcglobal.net</t>
  </si>
  <si>
    <t>Miller Machinery &amp; Construction, Inc.</t>
  </si>
  <si>
    <t>Miller Sales Corp.</t>
  </si>
  <si>
    <t>mailto:sales@millersalescorp.com</t>
  </si>
  <si>
    <t>Miller Surveying Inc</t>
  </si>
  <si>
    <t>="Miller Surveying, Inc. performs quality and professional surveys for the commercial, residential and industrial concerns. In business since April 1971, our services include ALTA/ACSM, Topographic and Boundary surveys, Subdivisions, Route surveys and Construction Staking."</t>
  </si>
  <si>
    <t>mailto:nalthouse@msinc.us</t>
  </si>
  <si>
    <t>Miller's Port-A-Pots</t>
  </si>
  <si>
    <t>mailto:ryan@dandmexcavating.com</t>
  </si>
  <si>
    <t>Miller-Eads</t>
  </si>
  <si>
    <t>http://www.miller-eads.com</t>
  </si>
  <si>
    <t>mailto:saccardo@miller-eads.com</t>
  </si>
  <si>
    <t>Miller-Eads Company, Inc.</t>
  </si>
  <si>
    <t>mailto:info@miller-eads.com</t>
  </si>
  <si>
    <t>Miller-St James, Inc</t>
  </si>
  <si>
    <t>http://www.stjamescompany.com</t>
  </si>
  <si>
    <t>mailto:mprises10@aol.com</t>
  </si>
  <si>
    <t>Millers Police &amp; Fire Equipment LLC</t>
  </si>
  <si>
    <t>mailto:millers.equipment@sbcglobal.net</t>
  </si>
  <si>
    <t>Millers Precision Enterprises</t>
  </si>
  <si>
    <t>http;/www.protective-clothing.net</t>
  </si>
  <si>
    <t>mailto:jeanette@protective-clothing.net</t>
  </si>
  <si>
    <t>Mills Construction Co. d/b/a Abaco Dock</t>
  </si>
  <si>
    <t>http://www.abacodock.com</t>
  </si>
  <si>
    <t>mailto:susanwallace@abacodock.com</t>
  </si>
  <si>
    <t>Millspaugh Properties LLC</t>
  </si>
  <si>
    <t>mailto:j.millspaugh@sbcglobal.net</t>
  </si>
  <si>
    <t>Millwright Machine, Inc.</t>
  </si>
  <si>
    <t>http://www.millwrightmachine.com</t>
  </si>
  <si>
    <t>mailto:kkrukowski@millwrightmachine.com</t>
  </si>
  <si>
    <t>Milus &amp; Company LLC</t>
  </si>
  <si>
    <t>="Wellness, Clinical and Onsite Strategies. Milus &amp; Company provides third party, unbiased advocacy and health consulting for employers including wellness strategies, clinical analysis and onsite or near-site employee health consulting. We work in partnership with employers and their key broker / consultants to develop long term strategies to reach your goals. Jeanne Spencer Milus, RN is the President and founder, bringing 14 years of clinical, payer, vendor and consulting experience working with over 150 employers to develop their wellness and health strategies. Her knowledge extends from health promotion and wellness programs, employee communications and engagement, disease management, case management, occupational health and workers compensation as well as worksite programs and clinics."</t>
  </si>
  <si>
    <t>http://www.milusandco.com</t>
  </si>
  <si>
    <t>mailto:smilus@milusandco.com</t>
  </si>
  <si>
    <t>Mind's Eye Company</t>
  </si>
  <si>
    <t>="Writing, research, policy design and analysis, institutional and program design, funds development, and project management services to nonprofit, public and private clients in Indianapolis. Urban policy research, writing and consulting across a diverse range of substantive areas for many urban policy projects."</t>
  </si>
  <si>
    <t>mailto:mec@mindseyecompany.com</t>
  </si>
  <si>
    <t>MindGent, LLC</t>
  </si>
  <si>
    <t>="Provide I/T consulting services for: Application Development and integration, Identity Management (Access control, provisioning, roles, single sign-on), Microsoft infrastructure design and implementation (Active Directory, Exchange, ISA, MOMs), Help Desk, Disaster Recovery, Project Risk Assessment, I/T Risk Assessment, Project management."</t>
  </si>
  <si>
    <t>http://www.mindgent.com</t>
  </si>
  <si>
    <t>mailto:pat.lockwood@mindgent.com</t>
  </si>
  <si>
    <t>Mindiola &amp; Associates LLC</t>
  </si>
  <si>
    <t>mailto:cmindiola@sbcglobal.net</t>
  </si>
  <si>
    <t>Minkis Construction</t>
  </si>
  <si>
    <t>="We have more than 25 years experience in the construction industry and as a general contractor in the State of Indiana. Our primary focus is on contractor / customer relations. We constantly strive to make the client feel confident throughout the entire process. Minkis Construction has enjoyed continued growth xince our inception in January 1985. With Clientele ranging from the residential homeowner to commercial developers, Minkis Contruction Corporation has the ability to complete ANY project. We ensure that your needs are as important to us as they are to you."</t>
  </si>
  <si>
    <t>Minorities Achieving Success, Inc.</t>
  </si>
  <si>
    <t>mailto:mr28@wowway.com</t>
  </si>
  <si>
    <t>Minority Construction Group, LLC</t>
  </si>
  <si>
    <t>="Minority Construction Group, LLC provides the following services: Drywall, including hanging, finishing, texturing and painting; trim work; doors; flooring (carpet,tile and laminated); cabinetry and counter tops; roofing; siding and soffit; windows and window wrap; framing; carpentry work; plumbing; heating and cooling; and decks."</t>
  </si>
  <si>
    <t>http://www.minoritycgllc.com</t>
  </si>
  <si>
    <t>mailto:info@minoritycgllc.com</t>
  </si>
  <si>
    <t>Miracle Medical Supply Inc</t>
  </si>
  <si>
    <t>mailto:miraclemed_1@att.net</t>
  </si>
  <si>
    <t>Miracle Microfiber</t>
  </si>
  <si>
    <t>mailto:dkthimling 69@sbcglobal.net</t>
  </si>
  <si>
    <t>Miranda Enterprises</t>
  </si>
  <si>
    <t>="Selling of carbon flat rolled bare and prepainted steel, stainless and structural steels, as well as value-added steel such as slit coil, blanks, embossed coil, etc. Carbon flat rolled steel includes galvanized, galvanneal, galvalume, cold rolled and hot rolled products. Consulting for supply chain management of value-added materials such as prepainting, slitting, embossing and blanking."</t>
  </si>
  <si>
    <t>Mirich Construction &amp; Development Corpor</t>
  </si>
  <si>
    <t>http://www.themirichcompanies.com</t>
  </si>
  <si>
    <t>mailto:mirichco@sbcglobal.net</t>
  </si>
  <si>
    <t>Mischler Financial</t>
  </si>
  <si>
    <t>="The firm currently conducts business with some of the largest Plan Sponsors including California Public Employees' Retirement System (CalPERS), California State Teachers' Retirement System (CalSTRS) and the Illinois State Teacher’s Retirement System (IllSTRS). We have been involved with several corporate share repurchase programs including Chevron, Southwest Airlines, Southern California Edison, and Lockheed Martin. We have been providing these types of services for over 10 years. Primary and Secondary Market Participation. * U.S. Govt./Agency, Corporate, MBS/ABS, High Yield, Derivatives * Direct Access and window capability Federal National Mortgage Association (FannieMae) Federal Home Loan Mortgage Corporation (FreddieMac) * Fed Agency new issues, discount notes, and MTN’s Federal National Mortgage Association (FannieMae) Federal Home Loan Mortgage Corporation (FreddieMac) Federal Home Loan Bank (FHLB) Federal Farm Credit Bank (F"</t>
  </si>
  <si>
    <t>http://www.mischlerfinancial.com</t>
  </si>
  <si>
    <t>mailto:smonji@mischlerfinancial.com</t>
  </si>
  <si>
    <t>Miss Humblebee's Academy, LLC</t>
  </si>
  <si>
    <t>="Miss Humblebee's Academy is an online Kindergarten preparatory program for children ages three to six. The curriculum specifically addresses the skills required by the Common Core State Standards as well as the curriculum being used by excelling countries in all subject: language and literature, math, science, social studies, art and music."</t>
  </si>
  <si>
    <t>http://www.misshumblebee.com</t>
  </si>
  <si>
    <t>mailto:crystal@misshumblebee.com</t>
  </si>
  <si>
    <t>Mission Coffee &amp; Tea Company</t>
  </si>
  <si>
    <t>="Office Coffee Service providing high quality coffee, tea, cocoa, paper products delivered statewide. Free Equipment and delivery. Social Enterprise provides revenue share to charity of choice. Woman owned, family operated. Personal service, very competitive prices. Contact for custom service quote and equipment assessment. In business since 2001. Thank you!"</t>
  </si>
  <si>
    <t>http://www.missioncoffeeantea.com</t>
  </si>
  <si>
    <t>mailto:info@missioncoffeeandtea.com</t>
  </si>
  <si>
    <t>Mitch Feikes Builders Inc</t>
  </si>
  <si>
    <t>="Mitch Feikes Builders is a higq quality home builder offering quality homes at affordable prices. Mitch Feikes Builders is the exclusive builder in Whispering Meadows Subdivision located in LaPorte, Indiana. Mitch Feikes Builders also builds custom homes throughout the area."</t>
  </si>
  <si>
    <t>http://www.mitchfeikesbuilders.com</t>
  </si>
  <si>
    <t>mailto:mfbuilders@comcast.net</t>
  </si>
  <si>
    <t>Mitchell Appraisals, Inc.</t>
  </si>
  <si>
    <t>="Mitchell Appraisals provides commercial real estate appraisals and related services throughout the Midwest and occasionally other states. We are located in Indianapolis and do most of our work in Indiana. We specialize in all types of multi-family properties, including low income housing; multi-tenant industrial, office, and retail properties; nursing homes and assisted living facilities; and hotels and motels."</t>
  </si>
  <si>
    <t>http://www.mitchellappraisals.com</t>
  </si>
  <si>
    <t>mailto:jatkinson@mitchellmarketanalysts.com</t>
  </si>
  <si>
    <t>Mitchell Industries, Inc.</t>
  </si>
  <si>
    <t>="Mitchell Industries is a domestic manufacturer of galvanized steel strand serving the Electrical, Telephone, CATV and other related markets. Our products include: guy strand, messenger and overhead ground wire. The company is RUS approved and all products are produced in strict compliance to ASTM and customer specifications."</t>
  </si>
  <si>
    <t>http://www.mitchell-industries.us</t>
  </si>
  <si>
    <t>mailto:bbebout@mitchell-industries.us</t>
  </si>
  <si>
    <t>Mobi Wireless Management, LLC</t>
  </si>
  <si>
    <t>="With spiraling costs and a maze of complicated services and features, today's technology is straining corporate mobility programs to their breaking point. Mobi gives you the tools you need to control your company's plans and devices so that they work for you - not against you. Basically, we make mobile manageable!"</t>
  </si>
  <si>
    <t>http://www.thefutureis.mobi</t>
  </si>
  <si>
    <t>mailto:info@thefutureis.mobi</t>
  </si>
  <si>
    <t>Mobile Drill Operating Company, LLC</t>
  </si>
  <si>
    <t>="Mobile Drill International manufactures a wide range of mechanical and hydraulic powered drilling rigs for geothermal, geotechnical, environmental, water well, and mineral exploration applications. All of the drill rigs are manufactured in Indianapolis, Indiana. The Company has the ability to configure the product to suit it’s customer’s needs, with various engine options, winches, water tanks, water pumps, swivels, rod chucks, tool boxes, and auger racks. Truck, trailer and track carriers are available. In addition to the drill rigs, the operations manufacture a complete range of continuous flight and hollow stem augers, adapters and cutter bits. The Indianapolis facility also stocks sampling tools, drill rod and rotary tools, swivels and hoses, as well as drill rig parts and accessories."</t>
  </si>
  <si>
    <t>http://www.mobiledrill.net</t>
  </si>
  <si>
    <t>mailto:info@mobiledrill.net</t>
  </si>
  <si>
    <t>Oil and Gas Field Machinery and Equipment Manufacturing</t>
  </si>
  <si>
    <t>Mobile Limb &amp; Brace, Inc.</t>
  </si>
  <si>
    <t>http://www.mobilelimbandbrace.com</t>
  </si>
  <si>
    <t>mailto:crdecamp@insightbb.com</t>
  </si>
  <si>
    <t>Surgical Appliance and Supplies Manufacturing</t>
  </si>
  <si>
    <t>Mobile Medical Maintenance Co.</t>
  </si>
  <si>
    <t>http://www.mobmain.com</t>
  </si>
  <si>
    <t>mailto:info@mobmain.com</t>
  </si>
  <si>
    <t>Mobile Mobiles</t>
  </si>
  <si>
    <t>="Cellular Optimization works with our clients to review their cellular bills, identifying changes that can be made to produce savings, usually 25-40% of the bill, without having to change carriers. We can also assist in carrier changes. This often frees client personnel to do other tasks."</t>
  </si>
  <si>
    <t>http://www.cellularoptimization.com</t>
  </si>
  <si>
    <t>mailto:bthompson@cellularoptimization.com</t>
  </si>
  <si>
    <t>Mobile Structures</t>
  </si>
  <si>
    <t>http://www.msitrailers.com</t>
  </si>
  <si>
    <t>mailto:msibill@elkhart.net</t>
  </si>
  <si>
    <t>Modern Drug Testing Services, LLC</t>
  </si>
  <si>
    <t>="We are a company helping parents and communities confront the scourge of drugs in the home. We have developed a comprehensive program for home use that not only discourages your children from using and abusing drugs, but actually increases communication within the family. We start with education about drug and alcohol abuse. Our program is a complete approach to educating the family and preventing drug abuse. Modern Drug Testing Services, LLC is a full service drug testing service. We provide comprehensive testing services including: Drug Detection Assessments (Workplace, Home, Schools) In-Home Drug Testing Steroid Testing (Teens, Athletic Departments) Workplace Drug Testing Programs Laboratory Testing Instant On-Site Drug Testing DNA/Paternity Testing Hair Follicle Drug Tests Background Checks"</t>
  </si>
  <si>
    <t>http://www.moderndrugtesting.com</t>
  </si>
  <si>
    <t>mailto:sharon@moderndrugtesting.com</t>
  </si>
  <si>
    <t>Modern Information Solutions</t>
  </si>
  <si>
    <t>="Based in Indianapolis, Indiana, Modern Information Solutions offers a broad array of technology solutions for small to mid-size businesses. We specialize in bringing high-end litigation support technology and infrastructure support to businesses through our seasoned team of consultants. Our mission is to provide high end Litigation Support and IT Services to empower our clients and provide them leverage via technology to maximize their business potential. By utilizing our experienced team of professionals, you can focus on your business without worrying about the technology supporting it. Please visit our website at www.miscindiana.com to learn more about us."</t>
  </si>
  <si>
    <t>http://www.miscindiana.com</t>
  </si>
  <si>
    <t>Modern Materials, Inc.</t>
  </si>
  <si>
    <t>="Modern Materials applies hi-tech and conventional coatings to a variety of substrates. We have capacity for extremely high volume (multi-million) or very low volume ( 1 or 2 piece) orders. We can coat pieces weighing up to 3500 lbs and up to 10' x 8' x 8' in size. We also supply a wide-range of pre-treatment services including phospates, chromate conversion coating, blasting, washing and de-rusting."</t>
  </si>
  <si>
    <t>http://www.modernmaterials.net</t>
  </si>
  <si>
    <t>mailto:sam@modernmaterials.net</t>
  </si>
  <si>
    <t>Modern Photo Offset Supply Inc</t>
  </si>
  <si>
    <t>http://www.offsetsupply.com</t>
  </si>
  <si>
    <t>mailto:modernphoto@offsetsupply.com</t>
  </si>
  <si>
    <t>Photographic Equipment and Supplies Merchant Wholesalers</t>
  </si>
  <si>
    <t>Modern Trailer Sales, INC</t>
  </si>
  <si>
    <t>http://moderntrailer.com</t>
  </si>
  <si>
    <t>mailto:info@moderntrailer.com</t>
  </si>
  <si>
    <t>Modlin Consulting &amp; Training</t>
  </si>
  <si>
    <t>http://www.modlinconsulting.com</t>
  </si>
  <si>
    <t>mailto:dawn@modlinconsulting.com</t>
  </si>
  <si>
    <t>Moellman Land Maintenance, LLC</t>
  </si>
  <si>
    <t>Moench Engineering</t>
  </si>
  <si>
    <t>="We provide professional engineering services for site development projects. We perform services for clients in the industrial, commercial and residential markets throughout the state of Indiana. Our projects include single family residential subdivisions, commercial retail buildings, large box warehouses, commercial/industrial complexes and gravel extraction operations."</t>
  </si>
  <si>
    <t>http://moencheng.com</t>
  </si>
  <si>
    <t>mailto:moencheng.com</t>
  </si>
  <si>
    <t>Mofab, Inc.</t>
  </si>
  <si>
    <t>http://mofabinc.com</t>
  </si>
  <si>
    <t>mailto:admin@mofabinc.com</t>
  </si>
  <si>
    <t>Moir Electric</t>
  </si>
  <si>
    <t>mailto:tmoir@seidata.com</t>
  </si>
  <si>
    <t>Moisture Management</t>
  </si>
  <si>
    <t>http://www.moisturemanagementllc.com</t>
  </si>
  <si>
    <t>Mold Diagnostics, LL</t>
  </si>
  <si>
    <t>Mold Testing and Remediation</t>
  </si>
  <si>
    <t>http://www.americanmoldexperts.com</t>
  </si>
  <si>
    <t>mailto:info@americanmoldexperts.com</t>
  </si>
  <si>
    <t>Molina Concrete Construction</t>
  </si>
  <si>
    <t>Molina Healthcare of Indiana, Inc.</t>
  </si>
  <si>
    <t>http://molinahealthcare.com</t>
  </si>
  <si>
    <t>Momentum</t>
  </si>
  <si>
    <t>http://www.momentumsolutions.biz</t>
  </si>
  <si>
    <t>mailto:nikkigordy@momentumsolutions.biz</t>
  </si>
  <si>
    <t>Momentum Dvlp Conslt</t>
  </si>
  <si>
    <t>="A consulting firm specializing in offering an array of services directed towards the small to mid-size retailer and/or home construction and real estate businesses. Areas of expertise include: Design, purchasing, negotiations, process development, training, project management."</t>
  </si>
  <si>
    <t>mailto:margomoss@momentumdevelopmentconsult.com</t>
  </si>
  <si>
    <t>Momentum Products, LLC</t>
  </si>
  <si>
    <t>http://www.momentumproducts.net</t>
  </si>
  <si>
    <t>mailto:service@momentumproducts.net</t>
  </si>
  <si>
    <t>Electronic Shopping and Mail-Order Houses</t>
  </si>
  <si>
    <t>Mona Wirth Interiors Inc.</t>
  </si>
  <si>
    <t>="We are a full service interior design and furnishings company founded in 1983. Based out of a 3000 Sq. ft. furnishings showroom and design center we feature: distinctive furniture, custom upholstery, lamps and accessories, carpet, tile, wood, bamboo, granite counters, custom cabinetry, faux finishes and wallpapers. We offer you the largest selection of fabric in Southern Indiana. We can provide you with stylish window treatments, custom blinds, shades, bedding, pillows and cushions. Mona Wirth is a kitchen and bath specialist offering exceptional design services and product procurement. We also offer interior floor planning and consultation. Residential, commercial, non-secular, hospitality, heath care and government assignments will be considered. Designers Mona and Monica Wirth welcome your next project."</t>
  </si>
  <si>
    <t>mailto:mwi@highstream.net</t>
  </si>
  <si>
    <t>Monarch Destinations LLC</t>
  </si>
  <si>
    <t>="Indy Property Preservation Company is a full service based real estate preservation company that has been hands on with extraordinary properties for more than two decades. We specialize in property location, financial analysis, preservation, management, and resale properties. We are currently located in downtown Indianapolis, Indiana. Our mission is to be an integral part of rebuilding our beautiful city that is rich in history. Our staff has more than 30 years of experience in Residential Communities, Commercial Management and Sales. 5% of our proceeds is dedicated to Indiana Landmarks for Marion County Historical Preservation. www.IndianaLandmarks.org We manage all stages of each project."</t>
  </si>
  <si>
    <t>http://www.IndyPropertyPreservation.com</t>
  </si>
  <si>
    <t>mailto:robin@IndyPropertyPreservation.com</t>
  </si>
  <si>
    <t>Monarch Management &amp; Realty, Inc.</t>
  </si>
  <si>
    <t>Monarch Textile Rental Services, Inc</t>
  </si>
  <si>
    <t>http://www.monarchlinen.com</t>
  </si>
  <si>
    <t>mailto:rburt@monarchlinen.com</t>
  </si>
  <si>
    <t>Linen Supply</t>
  </si>
  <si>
    <t>Monarch Trucking Svc</t>
  </si>
  <si>
    <t>Money Matrix, Inc.</t>
  </si>
  <si>
    <t>mailto:moneymatrix@verizon.net</t>
  </si>
  <si>
    <t>Monica Prizevoits</t>
  </si>
  <si>
    <t>mailto:mprizevoits@gmail.com</t>
  </si>
  <si>
    <t>Monroe &amp; Associates</t>
  </si>
  <si>
    <t>mailto:realcash@verizon.net</t>
  </si>
  <si>
    <t>Monroe Carpet &amp; Air Duct Cleaning</t>
  </si>
  <si>
    <t>http://www.monroecarpetcare.com</t>
  </si>
  <si>
    <t>mailto:sales@monroecarpetcare.com</t>
  </si>
  <si>
    <t>Monroe County Community School Corp</t>
  </si>
  <si>
    <t>Monroe Manufacturing Technology, Inc.</t>
  </si>
  <si>
    <t>mailto:mfgtech@sbcglobal.net</t>
  </si>
  <si>
    <t>Monroe/Owen Appraisal, Inc.</t>
  </si>
  <si>
    <t>http://www.monroeowenappraisal.com</t>
  </si>
  <si>
    <t>mailto:Smpatter@monroeowenappraisal.com</t>
  </si>
  <si>
    <t>Monteith Tire Company, Inc.</t>
  </si>
  <si>
    <t>mailto:monteithwar@kconline.com</t>
  </si>
  <si>
    <t>Montgomery County</t>
  </si>
  <si>
    <t>http://www.montgomeryco.net</t>
  </si>
  <si>
    <t>mailto:auditor@montgomeryco.net</t>
  </si>
  <si>
    <t>Executive, Legislative, Public Finance and General Government</t>
  </si>
  <si>
    <t>Montgomery Group Realtors LLC</t>
  </si>
  <si>
    <t>mailto:montgroupllc@comcast.net</t>
  </si>
  <si>
    <t>Montgomery Trucking Inc., of Indiana</t>
  </si>
  <si>
    <t>mailto:karenmontgomery56@hotmail.com</t>
  </si>
  <si>
    <t>Montgomery Zukerman Davis Advertising LL</t>
  </si>
  <si>
    <t>http://mzd.com</t>
  </si>
  <si>
    <t>mailto:hdavis@mzd.com</t>
  </si>
  <si>
    <t>Montgomery's Lawn &amp; Landscape</t>
  </si>
  <si>
    <t>mailto:EnergyUnlimited@aol.com</t>
  </si>
  <si>
    <t>Montrell Partnerships LLC</t>
  </si>
  <si>
    <t>="Montrell Partnerships, LLC is an Indiana state certified Women Business Enterprise (WBE) and Minority Business Enterprise (MBE) formed in 2008. Montrell Partnerships is dedicated to collaborating with the community in the areas of social development, social justice, legislative service, adoption services, youth movements, and cultural services. Our ultimate goal is to aid and facilitate opportunities for youth in and out of the foster care system. In addition, we are also committed to economic and housing opportunities for the residents of Indiana. Montrell Partnerships can provide you with consultation and project management, program development, research and development, leadership development, and facilitation"</t>
  </si>
  <si>
    <t>mailto:jkeglar@yahoo.com</t>
  </si>
  <si>
    <t>Moon Accounting &amp; Consulting LLC</t>
  </si>
  <si>
    <t>mailto:MoonAccounting@hotmail.com</t>
  </si>
  <si>
    <t>Moonshine Leather Company</t>
  </si>
  <si>
    <t>Leather and Allied Product Manufacturing</t>
  </si>
  <si>
    <t>Moore Accounting</t>
  </si>
  <si>
    <t>="Moore Accounting provides accounting and tax services to small businesses and individuals. Moore Accounting will come to your place of business to provide you with the accounting (bookkeeping) and tax services your company needs so you can focus on running your business. We have experience with several accounting software packages including Quickbooks, Peachtree, and Sage Fas 50 (Fixed Asset Software)."</t>
  </si>
  <si>
    <t>http://www.mooreacctg.com</t>
  </si>
  <si>
    <t>mailto:afreeman@mooreacctg.com</t>
  </si>
  <si>
    <t>Moore Langen Printing Company, Inc.</t>
  </si>
  <si>
    <t>http://www.moorelangen.com</t>
  </si>
  <si>
    <t>mailto:ewerling@moorelangen.com</t>
  </si>
  <si>
    <t>Moore Paper Products LLC</t>
  </si>
  <si>
    <t>="Moore Paper Products LLC specializes in the printing of business cards, stationary, envelopes, invitations, business greeting cards, thank you cards, labels and many other related office supplies and pre-printed material including writing utencils and novelty items."</t>
  </si>
  <si>
    <t>http://moorepaper.cceasy.com</t>
  </si>
  <si>
    <t>mailto:moorepaperproducts@msn.com</t>
  </si>
  <si>
    <t>Stationery, Tablet, and Related Product Manufacturing</t>
  </si>
  <si>
    <t>Moore Surety Bonds Agency</t>
  </si>
  <si>
    <t>="Moore Surety Bonds Agency provides Surety Bonds of all sort. Moore Surety Bonds Agency is a licensed Security Guard Firm that provide armed and unarmed security services. Moore Surety Bonds Agency is a licensee Private Investigator Firm that provide investigative services for it's clients."</t>
  </si>
  <si>
    <t>http://www.moorebonds.com</t>
  </si>
  <si>
    <t>mailto:msba@moorebonds.com</t>
  </si>
  <si>
    <t>Mooresville Welding, Inc.</t>
  </si>
  <si>
    <t>="We are a Certified Veteran Owened Business. Our employees have an average of 24 years experience in repair and fabrication. We specialize in manufacturing flatbed truck bodies and bridge expansion joints. We also offer a variety of products and services such as: Truck and Trailer Equipment Bridge Building and Bridge Repair Supplies and Materials Metal Sales Metal Fabrication Metal and Equipment Repair Truck and Trailer Equipment Sales and Service Our ""In-House"" Capebilities and Equipment Include: MIG, TIG, Arc and Gas Welders, Portable Welding, Plasma Cutter, Shear, Press Brake, Drills, Milling Machine, Iron Worker, Band Saw, Cold Saw, Fork Lift, Jib Crane, Bridge Crane and More."</t>
  </si>
  <si>
    <t>http://www.mooresvillewelding.com</t>
  </si>
  <si>
    <t>mailto:mvillewelding@sbcglobal.net</t>
  </si>
  <si>
    <t>Morales Group Inc.</t>
  </si>
  <si>
    <t>http://www.moralesgroup.net</t>
  </si>
  <si>
    <t>mailto:mgonzalez@moralesgroup.net</t>
  </si>
  <si>
    <t>Morgan Clark Associates, LLC</t>
  </si>
  <si>
    <t>http://www.mcenv.com</t>
  </si>
  <si>
    <t>mailto:bmcnamara@mcenv.com</t>
  </si>
  <si>
    <t>Morgan Technology Partners, Inc.</t>
  </si>
  <si>
    <t>http://www.morgantechpartners.com</t>
  </si>
  <si>
    <t>mailto:contact@morgantechpartners.com</t>
  </si>
  <si>
    <t>Morgan's Striping Service, Inc.</t>
  </si>
  <si>
    <t>http://www.morganstriping.com</t>
  </si>
  <si>
    <t>mailto:morganstripe@att.net</t>
  </si>
  <si>
    <t>Morley and Associates, Inc</t>
  </si>
  <si>
    <t>="Consulting firm provides architectural, construction management, survey and civil engineering and design services to both public and private organizations. Services include site permitting and planning, subdivision design, grading plans, and utility plans. Firm has experience working with economic development organizations, municipal and state government agencies, industrial companies, utilities, railroads and energy companies."</t>
  </si>
  <si>
    <t>http://morleyandassociates.com</t>
  </si>
  <si>
    <t>mailto:info@morleyandassociates.com</t>
  </si>
  <si>
    <t>Morning Star Records Management Company</t>
  </si>
  <si>
    <t>="Full Service Document Management Solution Provider. Including Imaging/Scanning, Full Text Search, OCR, ICR, Forms Processing, BarCode Tracking, Data Capture, Workflow, Distribution, COLD, Paper and Electronically Based Records Management Solutions designed around the clients needs and wants. Open N-Tier Architecture, with non proprietary data formats with version control built into a relational database enviroment with SQL, ACCESS AND ORACLE as the 3 major database platforms. Thick or Thin Client access to repositories and consultation that helps solve problems as well as provide soltuions and not just sell product."</t>
  </si>
  <si>
    <t>mailto:morning_star@direcway.com</t>
  </si>
  <si>
    <t>Morningside Group LLC</t>
  </si>
  <si>
    <t>mailto:morningsidegroup1@gmail.com</t>
  </si>
  <si>
    <t>Morrell Floor Coveri</t>
  </si>
  <si>
    <t>http://www.morrellfloorcovering.com</t>
  </si>
  <si>
    <t>mailto:brndm123@aol.com</t>
  </si>
  <si>
    <t>Morris Images LLC</t>
  </si>
  <si>
    <t>http://morrisimages.com</t>
  </si>
  <si>
    <t>mailto:images@morrisimages.com</t>
  </si>
  <si>
    <t>Morris Logistics, in</t>
  </si>
  <si>
    <t>mailto:lisathomas@morristrucking.com</t>
  </si>
  <si>
    <t>Morris Sheet Metal</t>
  </si>
  <si>
    <t>Morris, Inc</t>
  </si>
  <si>
    <t>http://www.morrisinc.net</t>
  </si>
  <si>
    <t>mailto:www.alan@morrisinc.net</t>
  </si>
  <si>
    <t>Morrison Constructio</t>
  </si>
  <si>
    <t>http://www.Morrisonconst.com</t>
  </si>
  <si>
    <t>mailto:tsullivan@morrisonconst.com</t>
  </si>
  <si>
    <t>Morsches Lumber Co. Inc.</t>
  </si>
  <si>
    <t>http://www.morschesbuildersmart.com</t>
  </si>
  <si>
    <t>mailto:jmorris@morschesbuildersmart.com</t>
  </si>
  <si>
    <t>Morse &amp; Company Advertising, Inc.</t>
  </si>
  <si>
    <t>http://www.morseandcompany.com</t>
  </si>
  <si>
    <t>mailto:stacey@morseandcompany.com</t>
  </si>
  <si>
    <t>Morse Administratrive Consulting Group</t>
  </si>
  <si>
    <t>="We specialize in connecting your employees with your company priorities and overall business strategy by providing you with superior HR products and services. In addition to HR consulting, we also offer an array of Adiministrative services including process improvement and waste reduction auditing."</t>
  </si>
  <si>
    <t>http://www.maconsultinggroup.org</t>
  </si>
  <si>
    <t>mailto:info@maconsultinggroup.org</t>
  </si>
  <si>
    <t>Mortgage Centre, Inc.</t>
  </si>
  <si>
    <t>mailto:alwalker4001@sbcglobal.net</t>
  </si>
  <si>
    <t>Mortgage and Nonmortgage Loan Brokers</t>
  </si>
  <si>
    <t>Mosaic Events, LLC</t>
  </si>
  <si>
    <t>http://www.MosaicEvents-Indy.com</t>
  </si>
  <si>
    <t>mailto:info@MosaicEvents-Indy.com</t>
  </si>
  <si>
    <t>Mosby Lawn Service, LLC</t>
  </si>
  <si>
    <t>mailto:aaronwilliammosby@gmail.com</t>
  </si>
  <si>
    <t>Moser Consulting, Inc.</t>
  </si>
  <si>
    <t>="Moser Consulting is a business and data management consulting firm focused on five core disciplines: 1. Data Management and Database Analytics 2. Disaster Recovery and Business Continuity Planning (Risk Mitigation, Business Impact Analysis and Return-To-Operation) 3. Business Intelligence 4. Data Security (Governance, Compliance, Information Assurance and Cyber Security) 5. Infrastructure Design and Architecture"</t>
  </si>
  <si>
    <t>http://www.moser-inc.com</t>
  </si>
  <si>
    <t>mailto:sales@moser-inc.com</t>
  </si>
  <si>
    <t>Mosier Fluid Power</t>
  </si>
  <si>
    <t>http://mosierfluidpower.com</t>
  </si>
  <si>
    <t>mailto:mosier@mosierfluidpower.com</t>
  </si>
  <si>
    <t>Mosier Painting</t>
  </si>
  <si>
    <t>mailto:rmosier9@comcast.net</t>
  </si>
  <si>
    <t>Moss Construction Cost Management, Inc.</t>
  </si>
  <si>
    <t>="Moss Construction Cost Management (MossCost) is a women-owned, small business with offices in Auburn, IN &amp; Bethesda, MD. A full service construction consulting firm specializing in cost estimating and consulting on sustainable or LEED™ projects, MossCost also provides client representation, cost management, claims mitigation and value engineering. The majority of MossCost experience is in federal government, education, healthcare, laboratory, and civic markets, with construction values up to $1.4 billion. MossCost has a history of regularly working with a variety of government agencies including federal, state and local entities and their consultants, on projects all over the US and the world. We provide conceptual estimates, as well as stage estimates and specialize in estimating for sustainable projects. We can manage LEED certification. We provide value analysis throughout the design process and can arrange formal value engineering workshops structured to meet our clients needs."</t>
  </si>
  <si>
    <t>http://www.mosscost.com</t>
  </si>
  <si>
    <t>mailto:info@mosscost.com</t>
  </si>
  <si>
    <t>Moss Engineering Corp.</t>
  </si>
  <si>
    <t>="We supply and/or install commerical building products such as metal buildings, metal deck, steel, joists, siding, doors, frames, hardware, coiling doors, folding doors, accordion doors, fire doors, access panels, toilet partitions, toilet accessories, fire extinguishers and cabinets, flag poles, marker and tack boards, lockers, roof hatches, coat racks, mats, projection screens, wire mesh partitions, and more."</t>
  </si>
  <si>
    <t>http://www.moss-engineering.com</t>
  </si>
  <si>
    <t>mailto:mhand@moss-engineering.com</t>
  </si>
  <si>
    <t>Most Associates, Inc</t>
  </si>
  <si>
    <t>="plastic and fiberglass storage tanks; fiberglass and plastic grating; special coatings; acidproof materials; polycarbonate double and triple wall panels; waterproofing materials James E. Most, P.E. Most Associates, Inc. P.O. Box 47591 Indianapolis, IN 46227 317-632-6222 317-782-1371 fax"</t>
  </si>
  <si>
    <t>mailto:pe202@aol.com</t>
  </si>
  <si>
    <t>Moster Turf, Inc.</t>
  </si>
  <si>
    <t>http://mosterturf.com</t>
  </si>
  <si>
    <t>mailto:mosterturf@gmail.com</t>
  </si>
  <si>
    <t>Motels of Fishers dba Comfort Suites</t>
  </si>
  <si>
    <t>http://www.comfortsuites.com/hotel-india</t>
  </si>
  <si>
    <t>mailto:gm.in114@choicehotels.com</t>
  </si>
  <si>
    <t>Mother Truckers Tri-Axle Trucking LLC</t>
  </si>
  <si>
    <t>mailto:ineedabreak77@comcast.net</t>
  </si>
  <si>
    <t>Mother's Little Helper</t>
  </si>
  <si>
    <t>mailto:cam81762@aol.com or deannalepper@comcast.net</t>
  </si>
  <si>
    <t>Motion Enterprises</t>
  </si>
  <si>
    <t>mailto:jimkulaga@indy.rr.com</t>
  </si>
  <si>
    <t>Motivated Moms, Inc</t>
  </si>
  <si>
    <t>="Motivated Moms, Inc. is a business that is dedicated to the physical, mental, and social health of Mothers. We are also striving to become a resource to women planning to have a baby, expecting, or currently taking care of a family. Our mission is to motivate the mom in you! The Motivated Moms, Inc. mission will be put into motion on September 6th, 2008 when we present the Bellies and Babies Maternity Expo at the Indianapolis Convention Center, presented by St. Vincent Women's Hospital. We are encouraging you to come out and get Inspired, get Informed, and get Motivated!"</t>
  </si>
  <si>
    <t>http://www.belliesandbabiesexpo.com</t>
  </si>
  <si>
    <t>mailto:info@belliesandbabiesexpo.com</t>
  </si>
  <si>
    <t>Motivation Media, Inc.</t>
  </si>
  <si>
    <t>="A full service television and video production company. Our goal is to provide a wide array of HD and SD production and post- production services. We also do website development for our clients. We work with the client from concept to completion of the project."</t>
  </si>
  <si>
    <t>http://www.motivationmedia.tv</t>
  </si>
  <si>
    <t>mailto:info@motivationmedia.tv</t>
  </si>
  <si>
    <t>Mount Vernon Auto Parts</t>
  </si>
  <si>
    <t>mailto:mvap@evansville.net</t>
  </si>
  <si>
    <t>Mount Vista Incorporated</t>
  </si>
  <si>
    <t>="MountVista Inc. is a new company offering production, consulting and evaluation services. We specializes in production of educational, informational and entertaining DVD’s which can enable your organization to educate, inform or train your employees and clients in an economical and efficient manner. With professional presenters we can offer trainings and/or technical assistance to assist you in identifying best practices, and encouraging positive data driven processes for agency and company growth. We ensure cultural competence by offering trainings in both English and Spanish, and partner with various cultures you interact with in your environment. We unite and devote our work to servicing your community with integrity and a pursuit of excellence."</t>
  </si>
  <si>
    <t>mailto:marciafrench@indyvisiontv.com</t>
  </si>
  <si>
    <t>Teleproduction and Other Post-Production Services</t>
  </si>
  <si>
    <t>Mounts Electric, Inc.</t>
  </si>
  <si>
    <t>http://www.mountselectric.com</t>
  </si>
  <si>
    <t>mailto:rickn@mountselectric.com</t>
  </si>
  <si>
    <t>Moura Quinn</t>
  </si>
  <si>
    <t>http://www.onqgraphicsolutions.com/</t>
  </si>
  <si>
    <t>mailto:onq_moura@mac.com</t>
  </si>
  <si>
    <t>Mower Zone Inc.</t>
  </si>
  <si>
    <t>mailto:mowerzone@sbcglobal.net</t>
  </si>
  <si>
    <t>Mr A'z Enterprise</t>
  </si>
  <si>
    <t>mailto:mrazlimo@hotmail.com</t>
  </si>
  <si>
    <t>Mr. Robinson's Cleaning Service LLC</t>
  </si>
  <si>
    <t>="We are a fully insured and bonded local cleaning company. We offer free estimates, green products (if possible), very resonable rates, and exceptional quality. We provide regular reoccuring cleaning services for your place of business as well as one time cleanings. We service Marion county and all surrounding counties"</t>
  </si>
  <si>
    <t>mailto:MrrobinsonsCleaingService@yahoo.com</t>
  </si>
  <si>
    <t>Ms B. Havin' Inc.</t>
  </si>
  <si>
    <t>http://www.msbhavin.net</t>
  </si>
  <si>
    <t>mailto:ms_bhavin@hotmail.com</t>
  </si>
  <si>
    <t>Mt. Carmel Marketing</t>
  </si>
  <si>
    <t>http://www.mtcarmelconstruction.com</t>
  </si>
  <si>
    <t>mailto:Info@mtcarmelconstruction.com</t>
  </si>
  <si>
    <t>Mudrack Tree Service</t>
  </si>
  <si>
    <t>http://www.mudracktreeservice.com</t>
  </si>
  <si>
    <t>Mullen Towing and Recovery Inc.</t>
  </si>
  <si>
    <t>http://www.mullentowing.com</t>
  </si>
  <si>
    <t>mailto:justlindad@aol.com</t>
  </si>
  <si>
    <t>Muller Welding Company, Inc</t>
  </si>
  <si>
    <t>="Muller Welding Co. Inc. is a quality provider of solid and liquid waste products and services since 1971. We can help you in purchasing the best equipment for your specific needs, or reconditioning your existing equipment to prolong the useful life. We offer a full service shop as well as mobile field service."</t>
  </si>
  <si>
    <t>http://www.mullerwelding.com</t>
  </si>
  <si>
    <t>Multi Products Inc.</t>
  </si>
  <si>
    <t>http://www.multiproductsinc.com</t>
  </si>
  <si>
    <t>mailto:info@multiproductsinc.com</t>
  </si>
  <si>
    <t>MultiCraft Electric, LLC</t>
  </si>
  <si>
    <t>="SPECIALIZiING IN COMMERCIAL, INDUSTRIAL AND INSTITUTIONAL ELECTRICAL CONTRACTING AND INSTRUMENTATION; WE ALSO OFFER EXPERTISE IN THE FOLLOWING AREAS: •DESIGN AND BUILD •MOTOR CONTROL •FIRE ALARM SYSTEM •TELECOMMUNICATIONS WIRING •TEMPERATURE CONTROL WIRING •COMPUTER POWER SYSTEMS •HIGH VOLTAGE SPLICING AND TESTING •ANALOG AND DIGITAL CONTROLS"</t>
  </si>
  <si>
    <t>mailto:bthompson@multicraftelectric.com</t>
  </si>
  <si>
    <t>Multiguard Corporati</t>
  </si>
  <si>
    <t>Multiple Resource So</t>
  </si>
  <si>
    <t>http://www.occ-mrsi-usa.com</t>
  </si>
  <si>
    <t>mailto:davemrsi1@direcway.com</t>
  </si>
  <si>
    <t>Mumma Brothers Drilling, Inc.</t>
  </si>
  <si>
    <t>mailto:mumma@wispaninternet.com</t>
  </si>
  <si>
    <t>Muncie Novelty Company Inc.</t>
  </si>
  <si>
    <t>http://www.muncienovelty.com</t>
  </si>
  <si>
    <t>Muncie Office Supply</t>
  </si>
  <si>
    <t>="The marketplace for office supplies, furniture and equipment is overcrowded, and the choices sometimes appear confusing with many closings, consolidations and changes in personnel. Muncie Office Supply since 1907 and Weber Office Equipment since 1957 continue to be rock solid choices for all your office needs. This year, Muncie Office Supply will celebrate 100 years of service, and Weber Office Equipment 50 years, making them two of the oldest, independent dealerships in the country. How have these companies survived when the number of independents dealers in the United States has decreased from over 14,000 in 1987 to less than 2000 today? People, Products, and Performance! Our staff has an average of nearly 15 years experience. We know your needs and have the solutions to make your company operate efficiently and cost effectively. In an era of superstores, warehouse clubs and mail order choices, Muncie Office Supply and Weber continue to thrive by offering the old fashion, va"</t>
  </si>
  <si>
    <t>http://www.muncieofficesupply.com</t>
  </si>
  <si>
    <t>mailto:shelleyhall@muncieofficesupply.com</t>
  </si>
  <si>
    <t>Mundo Beat Entertainment LLC</t>
  </si>
  <si>
    <t>http://www.mundobeat.com</t>
  </si>
  <si>
    <t>mailto:stacie@mundobeat.com</t>
  </si>
  <si>
    <t>Mundy-Konerding Inc.</t>
  </si>
  <si>
    <t>http://www.m-kinc.com</t>
  </si>
  <si>
    <t>mailto:info@m-kinc.com</t>
  </si>
  <si>
    <t>Municipal Asset Maintenance Company, LLC</t>
  </si>
  <si>
    <t>mailto:mam_co@hotmail.com</t>
  </si>
  <si>
    <t>Municipal Consulting &amp; Actuarial Service</t>
  </si>
  <si>
    <t>mailto:info@mcasinc.com</t>
  </si>
  <si>
    <t>Munster Oral Surgery, Inc.</t>
  </si>
  <si>
    <t>Offices of Dentists</t>
  </si>
  <si>
    <t>Munster Steel Company, Inc.</t>
  </si>
  <si>
    <t>http://www.munstersteel.com</t>
  </si>
  <si>
    <t>mailto:sbransky@munstersteel.com</t>
  </si>
  <si>
    <t>Murphy &amp; Associates</t>
  </si>
  <si>
    <t>mailto:murphyassc@eigfw.com</t>
  </si>
  <si>
    <t>Murphy CPA Group, P.C.</t>
  </si>
  <si>
    <t>="Valuation, Accounting, Tax and Consultation Service for privately held business in Central Indiana. Robert Murphy, CPA, CVA, is a certified valuation analyst with over 30 years of professional experience. We assist the business owner in all financial related matters. We provide Business Valuation Services for private companies of any size."</t>
  </si>
  <si>
    <t>mailto:murphycpagroup@insightbb.com</t>
  </si>
  <si>
    <t>Murphy Elevator</t>
  </si>
  <si>
    <t>="The Murphy Elevator Company - Family owned and operated since 1932, we deliver quality elevator service and repair. As the largest union independent elevator company in the region, Murphy Elevator can design a custom maintenance program to fit your needs. We are a full service elevator company: We perform 24 hour elevator service, repair, modernization, and new installation of commercial and residential elevators. We service and repair all brands, any age equipment.Our employees are extensively trained in a US Federal Government approved 4 year apprentice program for elevator constructors, ensuring they get the job done the first time, safely.We provide a fully equipped machine shop. With over 80 years experience in the elevator industry, we understand how important your elevator equipment is for your productivity. As a family owned independent firm, you speak directly to the decision makers. We judge our success by customer satisfaction, not the bottom line."</t>
  </si>
  <si>
    <t>http://www.murphyelevator.com</t>
  </si>
  <si>
    <t>mailto:sales@murphyelevator.com</t>
  </si>
  <si>
    <t>Murphy Law Firm</t>
  </si>
  <si>
    <t>Murphy's Lock &amp; Key</t>
  </si>
  <si>
    <t>="Murphys Lock and Key www.murphyslockandkey.com (317) 979-5397 Serving Central Indiana Bonded Insured Certified Insitutional Locksmith Certified Registered Locksmith Member of The Associated Locksmiths of America, Inc. (ALOA) Member of The Institutional Locksmiths' Association Member of the Greater Greenwood Chamber of Commerce Hours Monday - 8:00 AM till 10:00 PM Tuesday - 8:00 AM till 10:00 PM Wednesday - 8:00 AM till 10:00 PM Thursday - 8:00 AM till 10:00 PM Friday - 8:00 AM till 10:00 PM Saturday - 8:00 AM till 10:00 PM Sunday - 2:00 PM till 10:00 PM Emergency Service Available Churches / Commercial Businesses / Homes / Vehicles Keys made by code Lost key generation and lockout services Locks repaired or replaced Locks keyed alike Master Key systems Interchangeable Core products Restricted keys Door closers / Exit devices Safe combination changes GM VATS keys Transponder keys Remote Keyless Entry FOBS"</t>
  </si>
  <si>
    <t>http://www.murphyslockandkey.com</t>
  </si>
  <si>
    <t>mailto:wmurphy@murphyslockandkey.com</t>
  </si>
  <si>
    <t>Mussett Nicholas &amp; Associates, Inc</t>
  </si>
  <si>
    <t>My COI, LLC</t>
  </si>
  <si>
    <t>http://www.mycoionline.com</t>
  </si>
  <si>
    <t>mailto:Kristen@mycoionline.com</t>
  </si>
  <si>
    <t>MySafeInfo, LLC</t>
  </si>
  <si>
    <t>="MySafeInfo is a Microsoft-centric consulting and custom development firm. We are certified Microsoft professional developers with many years of experience in both small and large enterprises. Our goal is to deploy innovative solutions that exceed the expectations of our clients."</t>
  </si>
  <si>
    <t>http://mysafeinfo.com</t>
  </si>
  <si>
    <t>mailto:david@mysafeinfo.com</t>
  </si>
  <si>
    <t>Myers Autoworld Inc.</t>
  </si>
  <si>
    <t>mailto:mjamerson@driveautoworld.com</t>
  </si>
  <si>
    <t>Myers Engineering, Inc.</t>
  </si>
  <si>
    <t>http://www.myersengineering.com</t>
  </si>
  <si>
    <t>mailto:jdm@myersengineering.com</t>
  </si>
  <si>
    <t>Myers Properties and Development</t>
  </si>
  <si>
    <t>="Myers Properties and Development provides professional services in all site development needs. Services ranging from but not limited to; Underground Utilities, Demolition, Construction layout and Excavation. We are currently expanding our business to include Property Maintenance; painting vacant apartments, minor repairs and maintenance, as well as cleaning vacancies."</t>
  </si>
  <si>
    <t>mailto:myersproperties@sprintpcs.com</t>
  </si>
  <si>
    <t>Myers Protection Svc</t>
  </si>
  <si>
    <t>http://www.alarmsystems.cc</t>
  </si>
  <si>
    <t>mailto:info@myerspi.com</t>
  </si>
  <si>
    <t>Myers Technology Group, Inc.</t>
  </si>
  <si>
    <t>="Kiva Networking is a Technology Service Provider primarily serving businesses and government throughout Indiana with computer, networking and Internet technical services. We design, implement, troubleshoot and maintain business computer networks from workstation level, through local and wide area networks. We are actively involved in Information Technology Options, providing services to business with little or no IT staff of their own in addition to assisting larger companies as a supplement to their IT staff with areas of expertise in Internet and Networking technologies. Kiva Networking is also an Internet Service Provider to businesses and residential consumers in Indiana. We provide Internet service including dial-up, DSL, DS1/T1, DS3, and Fiber Optic connections."</t>
  </si>
  <si>
    <t>http://www.kiva.net</t>
  </si>
  <si>
    <t>mailto:help@kiva.net</t>
  </si>
  <si>
    <t>Myers Tire Supply Distribution, Inc.</t>
  </si>
  <si>
    <t>http://www.myerstiresupply.com</t>
  </si>
  <si>
    <t>mailto:ahancock@myerstiresupply.com</t>
  </si>
  <si>
    <t>Myron Green Corporation</t>
  </si>
  <si>
    <t>="Treat America is a premier food service management, vending, office coffee service and catering provider. We manage more than 100 dining facilities, serving thousands of meals every day. We operate 150 vending routes, servicing approximately 15,000 machines. Our expertise is high quality food service. Family owned since 1987, we have grown from a small company with a few employees to an industry leader with over 1,000 employees and operations in 12 states."</t>
  </si>
  <si>
    <t>http://www.treatamerica.com</t>
  </si>
  <si>
    <t>N &amp; L Commercial Tire Service, LLC</t>
  </si>
  <si>
    <t>http://ramonabracey@sbcglobal.net</t>
  </si>
  <si>
    <t>N' Finity Consulting, LLC</t>
  </si>
  <si>
    <t>="We are a training and consultation organization designed to assist individuals who work with youth in non profit organizations, residential facilities, or in any capacity, to do their jobs better and provide quality care to our future leaders. We also provide parent education workshops, staff, management and youth development. N’finity Consulting is also dedicated to providing non profit management solutions, executive coaching, seminars, workshops, consultations and certifications to individuals, youth and organizations."</t>
  </si>
  <si>
    <t>http://www.nfinityconsultants.com</t>
  </si>
  <si>
    <t>mailto:nfinityconsulting@sbcglobal.net</t>
  </si>
  <si>
    <t>N. I. SPANOS</t>
  </si>
  <si>
    <t>mailto:daliaspanos@comcast.net</t>
  </si>
  <si>
    <t>N.A. Logan Inc.</t>
  </si>
  <si>
    <t>mailto:ksonaty@nalogan.com</t>
  </si>
  <si>
    <t>N.I.W., LLC</t>
  </si>
  <si>
    <t>NADING MECHANICAL INC</t>
  </si>
  <si>
    <t>http://www.nadingmechanicalinc.com</t>
  </si>
  <si>
    <t>mailto:pnading@sbcglobal.net</t>
  </si>
  <si>
    <t>NAJ OSMAN INC.</t>
  </si>
  <si>
    <t>NAPA Auto Parts</t>
  </si>
  <si>
    <t>NAPA Rochester</t>
  </si>
  <si>
    <t>="Parts and accessories for Automotive and Heavy Duty Vehicles. Including but not limited to paint, engines, transmissions, batteries, belts, hoses, oil, equipment, tools, lifts, compressors, power washers, and anything for your vehicles. Car, Heavy Duty Trucks, &amp; Farm Vehicles."</t>
  </si>
  <si>
    <t>mailto:naparoch@earthlink.net</t>
  </si>
  <si>
    <t>NAPA Winamac</t>
  </si>
  <si>
    <t>="Automotive and Heavy Duty Parts Retail and Wholesale including but not limited to engines, transmissions, oil, equipment tools lifts, compressors, power washers, and anything for your vehicles. Car, Heavy Duty Trucks &amp; Farm Vehicles. We specialize in getting you whatever you need. We will find it!"</t>
  </si>
  <si>
    <t>mailto:napawina@earthlink.net</t>
  </si>
  <si>
    <t>NAPA/Community Auto</t>
  </si>
  <si>
    <t>NASCO Industries</t>
  </si>
  <si>
    <t>="NASCO Industries, Inc. is a protective outerwear manufacturer featuring flash fire resistant (NFPA 2112), chemical splash resistant, electric arc resistant (NFPA 70E, ASTM F1981) and high visibility (ANSI 107-1999) foul weather systems. NASCO is committed to innovating products that improve worker safety and are comfortable to wear."</t>
  </si>
  <si>
    <t>http://www.nascoinc.com</t>
  </si>
  <si>
    <t>mailto:sales@nascoinc.com</t>
  </si>
  <si>
    <t>All Other Cut and Sew Apparel Manufacturing</t>
  </si>
  <si>
    <t>NAT Trucking Co.,Inc</t>
  </si>
  <si>
    <t>NATIONAL CREDIT SVC</t>
  </si>
  <si>
    <t>http://www.fixyourscore.com</t>
  </si>
  <si>
    <t>mailto:monfomo@yahoo.com</t>
  </si>
  <si>
    <t>Credit Intermediation and Related Activities</t>
  </si>
  <si>
    <t>NATIONWIDE OFFICE MACHINES CORP</t>
  </si>
  <si>
    <t>="We are a full service Fort Wayne, INDIANA based company proudly servicing Fort Wayne, Indianapolis and surrounding areas, and nationwide. Our staff is comprised of ONLY experienced technicians who are very professional, mature intelligent and polite people."</t>
  </si>
  <si>
    <t>mailto:nationwideofficemachines@yahoo.com</t>
  </si>
  <si>
    <t>NAVANT LLC</t>
  </si>
  <si>
    <t>="NAVANT is a start-up engineering consulting firm specialized in environmental consulting services and the Military Munitions Response Program (MMRP). NAVANT was established in 2012 and we are building our team of engineering consultants to ensure that we provide our Private and Federal clients excellent services in a cost effective manner. NAVANT offers a list of services for our clients to choose from, depending on their particular engineering needs. This includes; full MMRP Services (investigations, remedial design, implementation), environmental consulting services to include Phase I and II Site Investigations, Site Preliminary Assessments, Site Inspections, Remedial Investigations, Feasibility Studies, Proposed Plans, Decision Documents/Records of Decision, Remedial Design, Removal Actions, and Site Closures."</t>
  </si>
  <si>
    <t>http://www.navantgroup.com</t>
  </si>
  <si>
    <t>mailto:roger.azar@navantgroup.com</t>
  </si>
  <si>
    <t>NBA Robin Run Retirement Village</t>
  </si>
  <si>
    <t>Homes for the Elderly</t>
  </si>
  <si>
    <t>NETPC-PRO</t>
  </si>
  <si>
    <t>mailto:rhondap@furniture-pro.com</t>
  </si>
  <si>
    <t>NETWORK SERVICES GROUP INC</t>
  </si>
  <si>
    <t>http://www.Network.Services.Group.com</t>
  </si>
  <si>
    <t>mailto:tschultz@networkservicesgroup.com</t>
  </si>
  <si>
    <t>NEW ALBANY TRACTOR RENTAL, INC</t>
  </si>
  <si>
    <t>mailto:dbutz@newalbanytractor.com</t>
  </si>
  <si>
    <t>NEW ALBANY TRACTOR, INC</t>
  </si>
  <si>
    <t>http://NEWALBANYTRACTOR.COM</t>
  </si>
  <si>
    <t>mailto:HOMEOFTHEBEST@NEWALBANYTRACTOR.COM</t>
  </si>
  <si>
    <t>NEW DAY</t>
  </si>
  <si>
    <t>http://www.newdayrealty.com</t>
  </si>
  <si>
    <t>mailto:deeayoung@aol.com</t>
  </si>
  <si>
    <t>NEWJAC Inc</t>
  </si>
  <si>
    <t>http://www.newjac.com</t>
  </si>
  <si>
    <t>mailto:newjac@newjac.com</t>
  </si>
  <si>
    <t>NEWLIN JOHNSON CO, INC</t>
  </si>
  <si>
    <t>http://www.newlinjohnson.com</t>
  </si>
  <si>
    <t>mailto:jsnewlin@newlinjohnson.com</t>
  </si>
  <si>
    <t>NEXTGN, LLC</t>
  </si>
  <si>
    <t>http://www.thenextgn.com</t>
  </si>
  <si>
    <t>mailto:anushree@thenextgn.com</t>
  </si>
  <si>
    <t>NHI Corp</t>
  </si>
  <si>
    <t>NI Solutions Inc</t>
  </si>
  <si>
    <t>="As Telecommunication consultants, we help develop and design infrastructures (Fiber Optics, Wireless, Hybrid) for the delivery of VOICE, VIDEO, DATA, and SECURITY services. With over 100 years of combined experience, we develop solutions tailored specifically for Municipals, Utilities (Electric, Gas, etc), Cities, Counties, Industries, Hospitals, Schools, as well as Private Enterprise Clients."</t>
  </si>
  <si>
    <t>http://www.nisolution.com</t>
  </si>
  <si>
    <t>mailto:iansari@nisolution.com</t>
  </si>
  <si>
    <t>NIBCO INC.</t>
  </si>
  <si>
    <t>="We are a manufacturer of plastic and metal valves and fittings for the plumbing industry. Our company was founded in Elhart Indiana in 1904. We service both the residential and commercial plumbing markets. Please visit our website or request a catalogue of our products."</t>
  </si>
  <si>
    <t>http://www.nibco.com</t>
  </si>
  <si>
    <t>NIBLOCK MACHINERY INC</t>
  </si>
  <si>
    <t>http://www.niblockmachinery.com</t>
  </si>
  <si>
    <t>mailto:www.niblockmachinery@michiana.net</t>
  </si>
  <si>
    <t>NIES Engineering, Inc</t>
  </si>
  <si>
    <t>="NIES Engineering, Inc. has a broad range of experience in municipal engineering projects. Whether your needs include transportation, water and wastewater treatment or utility design. We provide Surveying, Design, Drafting, Bidding, Construction Services. For more information visit our website at: www.niesengineering.com"</t>
  </si>
  <si>
    <t>http://www.niesengineering.com</t>
  </si>
  <si>
    <t>mailto:indot@niesengineering.com</t>
  </si>
  <si>
    <t>NIGH GROUP OF COMPNA</t>
  </si>
  <si>
    <t>http://tech8324@indy.net</t>
  </si>
  <si>
    <t>mailto:tech8324@indy.net</t>
  </si>
  <si>
    <t>Tire and Tube Wholesalers</t>
  </si>
  <si>
    <t>NIHC</t>
  </si>
  <si>
    <t>mailto:benjamin.atkinson@nex-med.com</t>
  </si>
  <si>
    <t>NLDM Enterprises, LLC</t>
  </si>
  <si>
    <t>http://nldmindy.org</t>
  </si>
  <si>
    <t>mailto:nldm2819@aol.com</t>
  </si>
  <si>
    <t>NLG Enterprises, LLC</t>
  </si>
  <si>
    <t>NO. IN. WORKFORCE BR</t>
  </si>
  <si>
    <t>http://www.gotoworkone.com</t>
  </si>
  <si>
    <t>mailto:lynettek@niwib.com</t>
  </si>
  <si>
    <t>NOEL-SMYSER ENGINEER</t>
  </si>
  <si>
    <t>http://WWW.NOEL-SMYSER.COM</t>
  </si>
  <si>
    <t>mailto:JEFF@NOEL-SMYSER.COM</t>
  </si>
  <si>
    <t>NORESCO</t>
  </si>
  <si>
    <t>http://www.noresco.com</t>
  </si>
  <si>
    <t>NORTHERN INDIANA WOR</t>
  </si>
  <si>
    <t>mailto:jam200@niwib.com</t>
  </si>
  <si>
    <t>NOVA STEEL INC.</t>
  </si>
  <si>
    <t>NOW Courier, Inc.</t>
  </si>
  <si>
    <t>="Now Courier provides 24/7/365 expedited and scheduled delivery servics, logistics/warehousing, bar code scanning, signature capture, tracking and on line order entry. Offices are located in Indianapoils, South Bend, Ft Wayne, Evansville, Merrillville, IN and Chicago, IL and Louisville, KY."</t>
  </si>
  <si>
    <t>http://nowcourier.com</t>
  </si>
  <si>
    <t>mailto:sschwalbach@nowcourier.com</t>
  </si>
  <si>
    <t>NRK, INC.</t>
  </si>
  <si>
    <t>="We do Electrical Contracting of all types from the Pole to the outlet in Commercial, Industrial, Institutional and Residential environment. We also sell, service and install low voltage systems, including Energy Management, Access Control, Video Security, Intrusion Security, Commercial Sound, Fire Alarm, Networking Datacom and Telephone. We also do Industrial Control Systems and Service on site. We cover West Central Indiana and East Central Illinois for all Electrical and Systems."</t>
  </si>
  <si>
    <t>http://WWW.NRKINC.COM</t>
  </si>
  <si>
    <t>mailto:morris@nrkinc.com</t>
  </si>
  <si>
    <t>NRS Consultants, LLC</t>
  </si>
  <si>
    <t>http://NRSConsultants.com</t>
  </si>
  <si>
    <t>mailto:penny@NRSConsultants.com</t>
  </si>
  <si>
    <t>NS SERVICES</t>
  </si>
  <si>
    <t>="Environmental Consulting/Cleanup &amp; Infrastructure Services - Underground Storage Tank management, assessments, investigations and closures. Groundwater Investigations and Remediation. Environmental Permitting &amp; Compliance. Stormwater Management, NPDES Permitting, Solid &amp; Hazardous Waste Management. InfraStructure Engineering &amp; construction Sewer &amp; Drainage"</t>
  </si>
  <si>
    <t>mailto:n.siddiki@nsenvservices.com</t>
  </si>
  <si>
    <t>NSP Consultants, LLC</t>
  </si>
  <si>
    <t>="NSP Consultants, LLC, is a group of public administrators, Architects, and construction managers, that assist public jurisdictions and private sector customers in construction management and development of housing both market rate and affordable. In addition NSP-C has developed and will assist clients in the development of Rental Housing Tax Credit and New Markets Tax Credit projects."</t>
  </si>
  <si>
    <t>mailto:joe@nspconsulting.com</t>
  </si>
  <si>
    <t>NTA Testing Laboratories, Inc.</t>
  </si>
  <si>
    <t>="NTA Testing Laboratories, Inc. is an independent materials testing agency capable of providing a wide range of testing services. NTA Testing Laboratories, Inc. has the equipment and expertise to measure the structural performance of building materials and components using industry-standard methods of evaluation."</t>
  </si>
  <si>
    <t>http://www.ntainc.com</t>
  </si>
  <si>
    <t>mailto:testlab@ntainc.com</t>
  </si>
  <si>
    <t>NTA, Inc.</t>
  </si>
  <si>
    <t>mailto:tompos@ntainc.com</t>
  </si>
  <si>
    <t>NTSI, Corp.</t>
  </si>
  <si>
    <t>="The National Traffic Safety Institute (NTSI) offers both online and live class training. Our behavioral-based curriculum is proven to reduce recidivism amongst offenders in a variety of programs. Our courses and our program facilities meet or exceed state requirements for traffic and other court diversion programs all around the nation."</t>
  </si>
  <si>
    <t>http://WWW.NTSI.COM</t>
  </si>
  <si>
    <t>mailto:corporate@ntsi.com</t>
  </si>
  <si>
    <t>NURSE FINDERS OF INDIANAPOLIS, INC.</t>
  </si>
  <si>
    <t>http://www.nfindy.com</t>
  </si>
  <si>
    <t>mailto:rhillman@nfindy.com</t>
  </si>
  <si>
    <t>NUTRIPLEDGE, LLC</t>
  </si>
  <si>
    <t>="NutriPledge is a diet, health, and nutrition consulting company dedicated to health and wellness. Our services include medical nutrition therapy to manage, obesity, diabetes, heart disease, eating disorder and much more. We offer personalized diet planning, menu planning, group health and wellness nutrition classes and seminars/webinars, and recipe analysis and modifications."</t>
  </si>
  <si>
    <t>http://www.nutripledge.com</t>
  </si>
  <si>
    <t>mailto:contact@nutripledge.com</t>
  </si>
  <si>
    <t>="NutriPledge is a diet, health, and nutrition consulting company dedicated to health and wellness. We pledge to provide science and evidence-based Medical Nutrition Therapy (MNT) proven to improve health and wellness. Our MNT includes a personalized diet plan targeted to meet an individual's specific nutrient needs based on age, gender, ethnicity and health conditions. Example services include (but not limited to): nutrition consulting to manage diabetes, heart disease, obesity, weight loss/maintenance, disease prevention, and many more. Our diet plans are simple, easy to follow, and are customized to fit effortlessly with personal eating habits and lifestyle. Furthermore, our personalized diet plans are also complimented with therapeutic recipes, grocery list and additional reports and tips to help stay healthy whether you eat at home or out. For your convenience our services are available online, by phone, or in person."</t>
  </si>
  <si>
    <t>NVB Playgrounds, Inc.</t>
  </si>
  <si>
    <t>http://www.aaastateofplay.com</t>
  </si>
  <si>
    <t>mailto:sales@aaastateofplay.com</t>
  </si>
  <si>
    <t>NWR Imaging Solutions, LLC</t>
  </si>
  <si>
    <t>http://www.nwris.com</t>
  </si>
  <si>
    <t>mailto:customerservice@nwris.com</t>
  </si>
  <si>
    <t>NXT Company, LLC</t>
  </si>
  <si>
    <t>="NXT Company, LLC is an environmental consulting firm with experience in a wide variety of environmental issues. NXT prides itself on providing a personal approach to each and every environmental concern, from the evaluation of environmental liabilities associated with potential property transactions, to compliance issues, to facility remediation."</t>
  </si>
  <si>
    <t>mailto:nxtcompany@sbcglobal.net</t>
  </si>
  <si>
    <t>NYC Photo Studio LLC</t>
  </si>
  <si>
    <t>http://www.nycphotostudio.com</t>
  </si>
  <si>
    <t>mailto:info@nycphotostudio.com</t>
  </si>
  <si>
    <t>Name Brands Inc</t>
  </si>
  <si>
    <t>="We specialize in a wide variety of top of the line law enforcement safety products like Gas Masks, Gas Mask Filters, Gas Mask accessories, Stun Guns, Pepper Sprays, Ballistic Helmets, Bomb &amp; Ballistic Blankets, Combat &amp; Tactical Knives, Survival Gear, Surveillance Equipment, Bullet Proof Vests, Batons, Face &amp; Body Shields, Armored Vehicles, Metal Detectors, Combat Boots, Fire Safety products, and relevant accessories. Some of the products mentioned above are not mentioned on our website but we supply them. Contact us to know if we supply a particular safety product line you are interested."</t>
  </si>
  <si>
    <t>http://www.bestsafetyapparel.com</t>
  </si>
  <si>
    <t>mailto:sales@bestsafetyapparel.com</t>
  </si>
  <si>
    <t>Name Brands LLC</t>
  </si>
  <si>
    <t>="We specialize in a wide variety of top of the line law enforcement safety products like Gas Masks, Gas Mask Filters, Gas Mask accessories, Stun Guns, Pepper Sprays, Ballistic Helmets, Bomb &amp; Ballistic Blankets, Combat &amp; Tactical Knives, Survival Gear, Hydration Systems, Surveillance Equipment, Bullet Proof Vests, Batons, Face &amp; Body Shields, Armored Vehicles, Metal Detectors, Combat Boots, Fire Safety products, Safety Tents and relevant accessories. Some of the products mentioned above are not mentioned on our website but we supply them. Contact us to know if we supply a particular safety product line you are interested."</t>
  </si>
  <si>
    <t>Nance Inc.</t>
  </si>
  <si>
    <t>="Specializing in art curatorial and display services. Art &amp; antique collection acquisitions, management and dispersal for corporations and individuals. Corporate employee cultural and leisure programming. Display design and fabrication. Domestic and international art and fine art crafts dealers. Full service art gallery featuring many Indiana artists and craftsmen. Full range of museum-grade framing services. A family owned business since 1947."</t>
  </si>
  <si>
    <t>http://www.nancegalleries.com</t>
  </si>
  <si>
    <t>mailto:info@nancegalleries.com</t>
  </si>
  <si>
    <t>Nancy Kolovrat</t>
  </si>
  <si>
    <t>mailto:NancyK@kbsindy.com</t>
  </si>
  <si>
    <t>Napier &amp; Napier</t>
  </si>
  <si>
    <t>mailto:rnapier@uconline.com</t>
  </si>
  <si>
    <t>Naptown Etching</t>
  </si>
  <si>
    <t>http://www.naptownetching.com</t>
  </si>
  <si>
    <t>mailto:bcoyne@naptownetching.com</t>
  </si>
  <si>
    <t>Naqua Tech LLC</t>
  </si>
  <si>
    <t>http://www.naquatech.com</t>
  </si>
  <si>
    <t>Nardi Art LLC</t>
  </si>
  <si>
    <t>="Coordinate, organize and design multiple quality graphics projects utilizing industry-standard graphics software as well as traditional art media. Graphic services include: 3D modeling, caricatures, all types of advertising publications, calligraphy, illustrations, PowerPoint presentations, newsletters, web page design and much more. Also specialize in organizing offices, filing systems, libraries, databases, &amp; management of information, using color in organizing strategies."</t>
  </si>
  <si>
    <t>http://nardiart.home.comcast.net</t>
  </si>
  <si>
    <t>mailto:nardiart@comcast.net</t>
  </si>
  <si>
    <t>Nash &amp; Sons Trucking</t>
  </si>
  <si>
    <t>mailto:momprayed@comcast.net</t>
  </si>
  <si>
    <t>Natasha Click</t>
  </si>
  <si>
    <t>Nation One Security</t>
  </si>
  <si>
    <t>mailto:securenation@yahoo.com</t>
  </si>
  <si>
    <t>Nation Wide Security</t>
  </si>
  <si>
    <t>http://www.nwsecurity.us</t>
  </si>
  <si>
    <t>mailto:www.nwsecurity.us</t>
  </si>
  <si>
    <t>National BioFuels Distribution LLC.</t>
  </si>
  <si>
    <t>="To serve the needs of fleet customers, National BioFuels Distribution (NBD) supplies E-85 ethanol, as well as the infrastructure to transition to this truly American fuel source. NBD also provides consulting services to help clients realize and understand the product such that the integration and utilization of E-85 is seamless and cost efficient. NBD helps clients save money on the front end and realize significant annual savings throughout the business relationship."</t>
  </si>
  <si>
    <t>http://www.nationalbiofuel.net</t>
  </si>
  <si>
    <t>mailto:david.davis@nationalbiofuel.net</t>
  </si>
  <si>
    <t>Other Fuel Dealers</t>
  </si>
  <si>
    <t>National Cabinet Factory Outlet, LLC</t>
  </si>
  <si>
    <t>="National Cabinet provides cabinetry and countertops to the multifamily, commercial and residential community. We offer over 50 years of combined experience working in cabinet manufacturing, the construction industry and kitchen design. Let National Cabinet take care of your cabinetry and countertop needs and leave your worries behind."</t>
  </si>
  <si>
    <t>http://www.nationalcabinetoutlet.com</t>
  </si>
  <si>
    <t>mailto:jponder@nationalcabinetoutlet.com</t>
  </si>
  <si>
    <t>National Communications Company, LLC</t>
  </si>
  <si>
    <t>="Telecommunication Services: ""Structured Cabling"", including installation, demo, and repair of wire and cable in commericial environments. Security Cameras and Systems; Provider of IP Telephony, phones, systems, and service; Fiber and Copper; FTTH and FTTN."</t>
  </si>
  <si>
    <t>http://www.natcomco.com</t>
  </si>
  <si>
    <t>mailto:ascaife@natcomco.com</t>
  </si>
  <si>
    <t>National Domestic Violence Registry,Inc.</t>
  </si>
  <si>
    <t>mailto:nationaldvregistry@gmail.com</t>
  </si>
  <si>
    <t>National Energy Control Services, Inc.</t>
  </si>
  <si>
    <t>="NECS is a premier provider of professional fleet and equipment support services. We offer a wide variety of fleet support services including sales &amp; use tax recoveries, fuel and mileage tax reporting, DOT compliance services, title &amp; registration services, driver profile management, permitting &amp; operational authorities, background screening, etc."</t>
  </si>
  <si>
    <t>http://www.NECSsolutions.com</t>
  </si>
  <si>
    <t>National Illiana, Inc.</t>
  </si>
  <si>
    <t>mailto:nationalilliana@sbcglobal.net</t>
  </si>
  <si>
    <t>National Industrial Lumber Company</t>
  </si>
  <si>
    <t>="INDUSTRIAL LUMBER COMPANY; (Hard Wood Crating &amp; Blocking Materials), Plywood And Concrete Forming Product Supplier. Serving Chicago, Illinois And Northwest Indian Biggest And Best, Steel/Metal Industry, Industrial Contractors And Road Building Industries For 97 Years."</t>
  </si>
  <si>
    <t>http://nilco.net</t>
  </si>
  <si>
    <t>mailto:nilcogary@nilco.com</t>
  </si>
  <si>
    <t>Lumber, Plywood, Millwork, and Wood Panel Merchant Wholesalers</t>
  </si>
  <si>
    <t>National Industrial Maintenance, Inc.</t>
  </si>
  <si>
    <t>="National Industrial Maintenance, Inc. is a full-service industrial and environmental maintenance company that has been providing services for over 58 years. Whether the job calls for a quick hydro-excavation job or a major tank cleaning operation, National Industrial is your one-stop shop for your maintenance needs."</t>
  </si>
  <si>
    <t>http://www.nimin.com</t>
  </si>
  <si>
    <t>mailto:wdennison@nimin.com</t>
  </si>
  <si>
    <t>National Office Furniture, Inc</t>
  </si>
  <si>
    <t>http://www.nationalofficefurniture.com</t>
  </si>
  <si>
    <t>mailto:insidesales@NationalOfficeFurniture.com</t>
  </si>
  <si>
    <t>National Printing Converters</t>
  </si>
  <si>
    <t>http://www.npclabels.com</t>
  </si>
  <si>
    <t>mailto:terriea@npclabels.com</t>
  </si>
  <si>
    <t>National Sales And Services Company</t>
  </si>
  <si>
    <t>="Our company supplies a very wide range of products. However, our main emphasis is in the areas of computer hardware, computer software, office furniture, and office supplies. We are a participating dealer on a number of gsa contracts with the Federal government. We are a minority owned firm, and are HUB Zone certified by the United States Small Business Administration. General office supplies, equipment, and furniture can be delivered the same day as ordered. For computer products the delivery time is usually within 3 business days. Substantial discounts are offered, as is free statewide delivery."</t>
  </si>
  <si>
    <t>http://nationalsalesandservices.com/</t>
  </si>
  <si>
    <t>mailto:gov@nationalsalesandservices.com</t>
  </si>
  <si>
    <t>National Salvage &amp; Service Corporation</t>
  </si>
  <si>
    <t>http://www.nssccorp.com</t>
  </si>
  <si>
    <t>mailto:national.services@nssx.biz</t>
  </si>
  <si>
    <t>National Youth Advocate Program, Inc.</t>
  </si>
  <si>
    <t>http://www.nyap.org</t>
  </si>
  <si>
    <t>mailto:gbiggs@nyap.org</t>
  </si>
  <si>
    <t>Nationwide Parking Services, Inc.</t>
  </si>
  <si>
    <t>http://www.nationwideparkinginc.com</t>
  </si>
  <si>
    <t>mailto:nationwidepark@comcast.net</t>
  </si>
  <si>
    <t>Nationwide const. &amp; Traffic Safety LLC</t>
  </si>
  <si>
    <t>="A traffic control and safety enterprise. Providing services in Northwest Indiana, and the south suburban Illinois.Primary objective is to provide prime contractors with an experienced, qualified, certified MBE/DBE option in the completion of traffic and road projects."</t>
  </si>
  <si>
    <t>mailto:rroblww@comcast.net</t>
  </si>
  <si>
    <t>Natl Janitorial Serv. &amp; Maintenance, Inc</t>
  </si>
  <si>
    <t>="We offer over 30 years of expertise in janitorial cleanup services. It is our business to enable you to run your business free from the concerns ofday-to-day clean up. You will step into an office that sparkles once our ex-pert associates care for your facilities. It’s our goal to ensure that in every area we serve, our work is done to the level of excellence and consistency you will come to count on. As a result, we know you will become one of our many satisfied customers. Some Of the Expert Services We Offer Are: ? Window Washing ? Floor Care ? Stripping &amp; Waxing Floors ? Green cleaning ? Paper recycling ? Debris removal ? Mold cleanup &amp; abatement Lawn &amp; Landscape Care ? Winter snow plowing ? Residential cleaning ? Window washing ? Tile, grout and wood floor care"</t>
  </si>
  <si>
    <t>http://www.nationaljanitorialservice.com</t>
  </si>
  <si>
    <t>mailto:herman.loyd@nationaljanitorialservice.com</t>
  </si>
  <si>
    <t>Natural Construction, Inc.</t>
  </si>
  <si>
    <t>mailto:Naturalsherrie@aol.com</t>
  </si>
  <si>
    <t>Natural Land Solutions LLC</t>
  </si>
  <si>
    <t>="Natural Land Solutions provides right of way clearing and deforestation services. Brush and land clearing with low environmental impact by means of low ground pressure and mulch as a byproduct. No waste hauled to landfills because of clearing that results in mulch and is returned to biodegrade naturally in the soil. Roots and stumps left intact (unless stump grinding is necessary) to preserve erosion control."</t>
  </si>
  <si>
    <t>mailto:naturalandsolution@att.net</t>
  </si>
  <si>
    <t>Nature's Way</t>
  </si>
  <si>
    <t>="Organic Fertilizer. We produce an all Indiana product. We buy from local beat moss dealers, grain elevators and bag manufacturers. Our product is an approved organic supplier as our product is made indoors and all aspects are controlled. Product is available in 1lb bags, 30lb bags, 1 cubic and 2 cubic yard bags. We can be reached at 812-405-2669 or by cell 708-975-9110."</t>
  </si>
  <si>
    <t>http://Nature's Way home page</t>
  </si>
  <si>
    <t>mailto:1naturesway@gmail.com</t>
  </si>
  <si>
    <t>Nature's Wood Products, LLC</t>
  </si>
  <si>
    <t>http://natureswoodproducts.net</t>
  </si>
  <si>
    <t>mailto:cfifer@natureswoodproducts.net</t>
  </si>
  <si>
    <t>Naturopathic Center for Women, LLC</t>
  </si>
  <si>
    <t>="Naturopathic Center for Women, LLC offers medical care to women for arthritis, diabetes, fibromyalgia, gynecological exams, hypertension, menopause, osteoporosis, premenstrual symptoms, and general medical care. Our diagnostic and therapeutic modalities include clinical and laboratory diagnostic testing, nutritional medicine, botanical medicine, naturopathic physical medicine, including therapeutic massage, public health measures, hydrotherapy, light therapy, hygiene, and counseling. We also conduct vegetarian cooking classes and health seminars. Seminar topics include: depression recovery, living well, women's health topics, Taste &amp; Learn series (one, six, or 20 hour cooking class and health education presentations). Our office hours are Sunday through Thursday from 10:00a.m. to 7:00p.m. by appointment."</t>
  </si>
  <si>
    <t>http://NaturopathicCenter4Women.com</t>
  </si>
  <si>
    <t>mailto:bonnielove46120@yahoo.com</t>
  </si>
  <si>
    <t>Navarro Construction, Inc.</t>
  </si>
  <si>
    <t>mailto:navarro.construction@earthlink.net</t>
  </si>
  <si>
    <t>Neal Medical Consulting, LLC</t>
  </si>
  <si>
    <t>="Neal Medical Consulting, LLC provides the leadership and expertise necessary to help develop and maintain medical management programs and services. Our philosophy is to provide reliable and quality medical consultation services to our customer's satisfaction."</t>
  </si>
  <si>
    <t>http://www.nealmedical.com</t>
  </si>
  <si>
    <t>mailto:djnealmd@nealmedical.com</t>
  </si>
  <si>
    <t>Nechanna One Productions Corp</t>
  </si>
  <si>
    <t>="We are a digital literacy advocate promoting entrepreneurship by utilizing digital media. We provide education and training to community residents and businesses whom lack equity. Our goal is to drive ambition and opportunities through the enhancement of computer application and digital technology."</t>
  </si>
  <si>
    <t>mailto:nene23.dh@gmail.com</t>
  </si>
  <si>
    <t>Administration of General Economic Programs</t>
  </si>
  <si>
    <t>Needful Things Inc.</t>
  </si>
  <si>
    <t>mailto:calumetsupplyco@hotmail.com</t>
  </si>
  <si>
    <t>Needful Things, Inc.</t>
  </si>
  <si>
    <t>="Calumet Supply Company is a local, WBE certified small business that has been in operation since 1988. The walk in location is at 6337 Indianapolis Blvd., Hammond, IN. We maintain a large inventory of standard and typically hard to find items. For in-stock items, we provide same-day or next day delivery. We carry a full range of restaurant equipment, bar supplies, small wares, table top, concession equipment and supplies, cleaning and maintenance supplies and disposable personal paper products and are pleased to provide you with our catalogs upon request. All products are sold as individual items as well as in case quantity."</t>
  </si>
  <si>
    <t>http://calumetsupplyco.com</t>
  </si>
  <si>
    <t>Needles &amp; Stitches LLC</t>
  </si>
  <si>
    <t>Neff Realty LLC</t>
  </si>
  <si>
    <t>="We have offices for lease available from 200 to 6000 square feet. Our prices are competitive and we can customize an office just for you. Located just 7 minutes from downtown Indianapolis and just 5 minutes from the Indianapolis International Airport, our immediate access to I-70 &amp; 465 will save you time. Also, we have both an onsite manager and an onsite maintenance person. Your requests get handled promptly. * Airport Office Center * International Office Center"</t>
  </si>
  <si>
    <t>http://www.airport-offices.com</t>
  </si>
  <si>
    <t>mailto:leasing@airport-offices.com</t>
  </si>
  <si>
    <t>Neighborhood Email Incorporated</t>
  </si>
  <si>
    <t>="Delivra helps organizations communicate by providing email marketing software and services. The company empowers marketers of all sizes by providing them with the user-friendly tools and support systems they need to create, send, and track email programs. In addition to on-demand email Software-as-a-Service (SaaS), the company also provides ancillary services necessary to make email campaigns successful. These include software training, deliverability tools, database management and integration, production services, and technical support."</t>
  </si>
  <si>
    <t>http://www.delivra.com</t>
  </si>
  <si>
    <t>Neighborhood Health Clinics, Inc</t>
  </si>
  <si>
    <t>http://www.nhci.org</t>
  </si>
  <si>
    <t>Neighborhood Mentoring Academy</t>
  </si>
  <si>
    <t>="The Neighborhood Mentoring Academy is a non-profit, community based program, providing independent living services to young men between the ages of 15 - 21 who are in need of assistance with improving the skills necessary for them to become self-directed, independent, and productive citizens."</t>
  </si>
  <si>
    <t>mailto:fletcherupshaw88@comcast.net</t>
  </si>
  <si>
    <t>="The Neighborhood Mentoring Academy is a non-profit agency working with young men between the ages of 13 - 21, providing positive mentoring, rolemodeling, and guidance. Our efforts are to assit these young men in their efforts to improve the skill's that are necessary for them to become fully independent, productive citizens."</t>
  </si>
  <si>
    <t>Neighbors Educational Opportunities, Inc</t>
  </si>
  <si>
    <t>http://www.neoadulted.org</t>
  </si>
  <si>
    <t>mailto:info@neoadulted.org</t>
  </si>
  <si>
    <t>Nel Main Int., Inc.</t>
  </si>
  <si>
    <t>mailto:nmain47@earthlink.net</t>
  </si>
  <si>
    <t>Nellis Landscape Inc</t>
  </si>
  <si>
    <t>Nelson Oil Company, Inc.</t>
  </si>
  <si>
    <t>http://www.nelsonoil.com</t>
  </si>
  <si>
    <t>mailto:Rnelson@nelsonoil.com</t>
  </si>
  <si>
    <t>Neptune Construction, Inc.</t>
  </si>
  <si>
    <t>http://www.NeptuneConstructionInc.com</t>
  </si>
  <si>
    <t>mailto:info@NeptuneConstructionInc.com</t>
  </si>
  <si>
    <t>NerdWerks Labs Consulting, LLC</t>
  </si>
  <si>
    <t>="Dear Sir or Madam, My business is mainly a small IT consulting and services with other growing revenue streams. We are proudly located in Richmond, Indiana focusing on growing our business focused on reasonable prices, honestly, 24 turn around service, and treating customers as important people. We currently complete with two much larger IT service companies, but we expect our business to continue grow and prosper despite the difficult economy. We are hoping through our established contacts combined with the State of Indiana to become the successful provider for the new computers and servers for the Richmond School District. We hope our low cost and overhead will be given a serious chance at this great opportunity. Sincerely, Steven Riley, President NerdWerks Labs Consulting"</t>
  </si>
  <si>
    <t>http://www.NerdWerksLabsConsulting.com</t>
  </si>
  <si>
    <t>mailto:SRiley@NerdWerksLabsConsulting.com</t>
  </si>
  <si>
    <t>Net Partners IN, LL</t>
  </si>
  <si>
    <t>="NPI provides e-commerce and web based marketing services to schools, churches and non profits for fundraising. NPI can assist with web development, mass emails, shopping carts, order/donation collection, credit card processing, fulfillment, warehousing and shipping of products. Although NPI is not affiliated with any promotional companies directly, we can assist in identifying cost effective and profitable fundraising campaigns for your organization."</t>
  </si>
  <si>
    <t>http://www.netpartnersin.com</t>
  </si>
  <si>
    <t>mailto:lrichardson@netpartnersin.com</t>
  </si>
  <si>
    <t>NetComm Group, Inc.</t>
  </si>
  <si>
    <t>="The NetComm Group We help our clients implement money-savings and strategic business technologies. With decades of experience in technology consulting, program development, document management systems, check processing, WAN/LANs, and telecommunications, our team integrates systems and network technologies with the highest level of skills. Our skills alone could set us apart form most ""integrators,"" but the real difference is our business focus. The key to a solid technology foundation for your organization -- and for any organization -- is a business understanding. The NetComm team is made up of not only good business people, but we strive to maintain an awareness of the industry and of the service requirements that both you and your customers expect. That is why we are more than a systems or a network integrator; we are a business/technology integrator. The NetComm Group Mission Statement We will help our clients achieve success through a focus on strategic business/"</t>
  </si>
  <si>
    <t>http://www.netcg.com</t>
  </si>
  <si>
    <t>mailto:ncgoffice@netcg.com</t>
  </si>
  <si>
    <t>Netfor Inc.</t>
  </si>
  <si>
    <t>http://www.netfor.com</t>
  </si>
  <si>
    <t>mailto:sales@netfor.com</t>
  </si>
  <si>
    <t>Network Cables Online, LLC</t>
  </si>
  <si>
    <t>http://www.networkcablesonline.com</t>
  </si>
  <si>
    <t>mailto:customerservice@networkcablesonline.com</t>
  </si>
  <si>
    <t>Network Engineering</t>
  </si>
  <si>
    <t>http://www.ne-inc.com</t>
  </si>
  <si>
    <t>mailto:sales@ne-inc.com</t>
  </si>
  <si>
    <t>Network Indiana</t>
  </si>
  <si>
    <t>="Network Indiana allows small businesses to be able to differentiate themselves from the other companies in that same directory. Here they can use pictures, statements, prices, and anything else to promote their business on a webpage. Now everyone can come to a central location to find all their business needs in Indiana. There are many small businesses that already have a website, but yet they still have a hard time getting recognition. Network Indiana provides an opportunity for those businesses to be made known throughout Indiana. Businesses that join Network Indiana get their own customized page and also a business email account. For example, if a businesses named Basic Electronics joined Network Indiana, potential customers could contact them through email at Basic_Electronics@networkindiana.net!"</t>
  </si>
  <si>
    <t>http://www.networkindiana.net</t>
  </si>
  <si>
    <t>mailto:info@networkindiana.net</t>
  </si>
  <si>
    <t>Network Information Services, Inc.</t>
  </si>
  <si>
    <t>="NIS helps companies increase profits, while improving customer satisfaction and employee morale through effective use of computer technology. Our custom software solutions automate processes that are labor or paperwork intensive. Tablet computers and signature capture turn paper processes into electronic processes. For telecommunications we are the Indianapolis authorized dealer for Artisoft TeleVantage Software PBX. Use more effective phone call handling to improve your call retention and customer service. TeleVantage allows staff to receive calls in the office or in the field through the same ext #. Many productivity features included make even a small company seem bigger and a big company work more efficiently. Don't buy any other phone system until you have seen TeleVantage! NIS brings you advanced network solutions like Expresso high-speed internet for hotels. 1MB bandwidth to guest rooms without running new wiring! Simple operation keep guests happy and front desk quiet!"</t>
  </si>
  <si>
    <t>http://www.nisinc.com</t>
  </si>
  <si>
    <t>mailto:allen@nisinc.com</t>
  </si>
  <si>
    <t>Network Solutions, Inc.</t>
  </si>
  <si>
    <t>="Network Solutions provides secure and converged communication solutions encompassing IP Telephony, Call Centers and Secure Networking. NSI is a Cisco Systems Silver Partner with specializations in Voice and Security. Since 1989 NSI's committment to Indiana companies has earned a reputation for excellent customer service and engineering that is second to none. Offices in Granger (South Bend) and Indianapolis."</t>
  </si>
  <si>
    <t>http://www.nsi1.com</t>
  </si>
  <si>
    <t>mailto:sales@nsi1.com</t>
  </si>
  <si>
    <t>Network Storage, Inc.</t>
  </si>
  <si>
    <t>="Network Storage provides a full-service approach to solving clients’ data storage and infrastructure challenges, based on each client’s specific business environment, technology challenges and business and data storage goals. Our team has broad and extensive experience designing, installing and configuring best-of-breed information management and virtualization solutions from the industry’s top vendors. Our areas of focus are the design and implementation of Information Storage Solutions; Backup and Recovery Systems; Information Archive Solutions; Server Virtualization; Desktop Virtualization; e-Discovery Systems; and Business Continuity Solutions."</t>
  </si>
  <si>
    <t>http://www.networkstorageinc.com</t>
  </si>
  <si>
    <t>mailto:sales@networkstorageinc.com</t>
  </si>
  <si>
    <t>NeuSys, Inc.</t>
  </si>
  <si>
    <t>http://www.neusysinc.com</t>
  </si>
  <si>
    <t>mailto:dwn@neusysinc.com</t>
  </si>
  <si>
    <t>Neupath, LLC</t>
  </si>
  <si>
    <t>="Neupath is an Engineering and Technology Contract house. We put people into jobs on short, intermediate and long term contracts. For some of those people, that leads to permanent employment. We also do considerable creation of training classes/modules, including audio, video, and voice over for delivery via e-learning, ipads, or simply via live classes."</t>
  </si>
  <si>
    <t>http://www.neupth.net</t>
  </si>
  <si>
    <t>mailto:dmccreary@neupath.net</t>
  </si>
  <si>
    <t>Neurohealth Ltd LLC</t>
  </si>
  <si>
    <t>mailto:alivioclinic@yahoo.com</t>
  </si>
  <si>
    <t>New Aqua LLC</t>
  </si>
  <si>
    <t>="Manufacturing, Sales, Installation, and Service of both residential and commercial water softeners,drinking water and purification systems. This includes many forms of industrial water treatment, filtration, and deionozation. Also, Bottling and distribution of premium bottled water."</t>
  </si>
  <si>
    <t>http://aquasystemsonline.com</t>
  </si>
  <si>
    <t>="WATER SOFTENING, FILTRATION, REVERSE OSMOSIS, DEIONIZATION, HIGH PURITY SYSTEMS Since 1959, Aqua Systems has been providing high quality water treatment products. Our broad range of experience allows us to support and tailor various commercial and industrial water treatment applications to fit customer specific needs. Aqua Systems maintains a total commitment to the water quality treatment industry featuring quality products and a staff of experienced professionals."</t>
  </si>
  <si>
    <t>http://aquasystemsci.com</t>
  </si>
  <si>
    <t>mailto:commercialindustrial@aquasystems.com</t>
  </si>
  <si>
    <t>New Atlantic Field Services</t>
  </si>
  <si>
    <t>New Beginnings Life Center</t>
  </si>
  <si>
    <t>="New Beginnings Life Center's mission is to enhance the quality of life and impact the lives of community residents in a substantial way. A significant way to achieve this goal is to provide resources to assist the community. It is our goal to reach every individual who is in need of support services such as substance abuse prevention/educations, alcohol/drug testing, outpatient mental health treatment, and much more!"</t>
  </si>
  <si>
    <t>mailto:wagg357@sbcglobal.net</t>
  </si>
  <si>
    <t>New Beginnings NEMS,LLC</t>
  </si>
  <si>
    <t>New Business Corporation</t>
  </si>
  <si>
    <t>="Manufacturer of gourmet sauces, ie., naturally processed BBQ Sauce, Steak Sauce, Ketchup, all of which can be produced sugar free instead of the usual honey as used in our original sauces. Moreover, there are absolutely no chemical or artificial ingredients ever used in our products. To aid in our quality control is Silliker Laboratories. Account Code: NEWB-WB-AD-1."</t>
  </si>
  <si>
    <t>http://www.gourmetsupreme.com</t>
  </si>
  <si>
    <t>mailto:gourmetsupreme@sbcglobal.net</t>
  </si>
  <si>
    <t>New Concept, Inc</t>
  </si>
  <si>
    <t>mailto:jpstyle@frontier.com</t>
  </si>
  <si>
    <t>New Dawn Photo</t>
  </si>
  <si>
    <t>http://www.newdawnphoto.net</t>
  </si>
  <si>
    <t>mailto:andre.arnold@comcast.net</t>
  </si>
  <si>
    <t>New Dyamic Cleaning Services, Inc.</t>
  </si>
  <si>
    <t>="New Dynamic Cleaning Services, Inc. is a reliable, flexible and detailed janitorial company providing services to businesses, office and residential customers. Our one stop services included commercial, office, residential, upholstery and carpet cleaning . Also floor care for wood, tile and mable floors."</t>
  </si>
  <si>
    <t>mailto:dquick1@indy.rr.com</t>
  </si>
  <si>
    <t>New Equipment Company Inc.</t>
  </si>
  <si>
    <t>http://www.weberofficeequipment.com</t>
  </si>
  <si>
    <t>mailto:whitesemail@comcast.net</t>
  </si>
  <si>
    <t>New Focus HR, LLC</t>
  </si>
  <si>
    <t>http://www.newfocushr.com</t>
  </si>
  <si>
    <t>New Gary CDC</t>
  </si>
  <si>
    <t>mailto:laj1908@sbcglobal.net</t>
  </si>
  <si>
    <t>New Genesis Facility Management, LLC</t>
  </si>
  <si>
    <t>mailto:new_genesis_clean@sbcglobal.net</t>
  </si>
  <si>
    <t>New Holland Greentown Inc</t>
  </si>
  <si>
    <t>New Holland Logansport Inc</t>
  </si>
  <si>
    <t>http://newhollandrochester.com</t>
  </si>
  <si>
    <t>mailto:dealer@newhollandrochester.com</t>
  </si>
  <si>
    <t>New Hope Services, Inc.</t>
  </si>
  <si>
    <t>="New Hope Services provides several program designed for the purpose of supporting developmentally disabled adults of moderate to mild level of functioning for whom ""typical work"" activities are no longer a major priority or appropriate consideration. They also provide day care services and numerous community based programs to assist families and children."</t>
  </si>
  <si>
    <t>http://www.newhopeservices.org</t>
  </si>
  <si>
    <t>mailto:info@newhopeservices.org</t>
  </si>
  <si>
    <t>New Horizon Drilling Solutions, Inc.</t>
  </si>
  <si>
    <t>http://www.newhorizoninc.com</t>
  </si>
  <si>
    <t>mailto:newhorizondrilling@yahoo.com</t>
  </si>
  <si>
    <t>New Horizons CLC</t>
  </si>
  <si>
    <t>="We hold computer training classes, both application and technical type classes. Classes are offered in 4 different methods, Instructor Led, Online Live, Online Anytime and Mentored Learning. The instructor led schedule is found on the website, Online Live classes are held via the internet and can be taken from any location with internet access at a scheduled time with the instructor and other class attendees. The Online Anytime classes we offer are self-paced class that also is taken from any location with an internet connection. Mentored Learning class room is our newest addition to our offerings and give us the ability to offer classes when the student needs them or when it fits best into the students schedule. The Mentored Learning room is set up so each station has 2 computers, one is for the student to get the course content and the other is used to perform any labs or exercise required in the class. We are located at 11611 N Meridian Suite 200,Carmel IN 46032"</t>
  </si>
  <si>
    <t>mailto:aridgway@nhindy.com</t>
  </si>
  <si>
    <t>New Horizons Computer Learning Center</t>
  </si>
  <si>
    <t>http://www.nhindy.com</t>
  </si>
  <si>
    <t>mailto:sales@nhindy.com</t>
  </si>
  <si>
    <t>New Horizons Development, LLC</t>
  </si>
  <si>
    <t>mailto:tcottongim@cottongimenterprises.com</t>
  </si>
  <si>
    <t>New Life Properties LLC</t>
  </si>
  <si>
    <t>http://www.newlifellc.net</t>
  </si>
  <si>
    <t>mailto:newlifellc@gmail.net</t>
  </si>
  <si>
    <t>New Light Church</t>
  </si>
  <si>
    <t>mailto:mebscaife@comcast.net</t>
  </si>
  <si>
    <t>New Lisbon Comm. Vol. Fire Dept.</t>
  </si>
  <si>
    <t>New Lisbon Telephone Co., Inc.</t>
  </si>
  <si>
    <t>mailto:dohoov@nltc.net</t>
  </si>
  <si>
    <t>New Paradigm for Education, Inc.</t>
  </si>
  <si>
    <t>="New Paradigm for Education (NPFE) was created to expand, replicate, develop, grow and manage high quality, high performing schools, one school at a time. NPFE is a 501 (c) (3) comprised of educational practitioners, community advocates, and business leaders who have dedicated years of service to children. New Paradigm for Education prides itself on having absolute determination in maximizing student learning potential through proven education practices, operating in all phases of school design, planning and program implementation. At its core; NPFE acts as a portal to educational reform in high need areas and challenges a new paradigm of educational systems evident by increased student achievement, fiscal responsibility and strong business and community engagement."</t>
  </si>
  <si>
    <t>http://www.npfenow.org</t>
  </si>
  <si>
    <t>mailto:info@npfenow.org</t>
  </si>
  <si>
    <t>New Point Stone Co., Inc.</t>
  </si>
  <si>
    <t>New Start Enterprises LLC.</t>
  </si>
  <si>
    <t>mailto:wenstart345@gmail.com</t>
  </si>
  <si>
    <t>New Tech Construction</t>
  </si>
  <si>
    <t>mailto:dhiggs1@speedex.net</t>
  </si>
  <si>
    <t>New Unity Investments Group LLC</t>
  </si>
  <si>
    <t>New View Graphic Design</t>
  </si>
  <si>
    <t>="Creative Graphic Design and Printing Services specializing in lithographic and flexographic packaging design and printing resources. Our Services include: Graphic Design, Printing, Packaging and Order Fulfillment, Manuals and Catalogs and Trade Show Coordination and Design."</t>
  </si>
  <si>
    <t>mailto:newview@hughes.net</t>
  </si>
  <si>
    <t>NewLink, LLC</t>
  </si>
  <si>
    <t>="Newlink is a general contractor in the wireless /telecommunications industry. Our work scope includes building, maintenance, and upgrades of wireless sites. We are capable of preparing/building raw land sites, erection and maintenance of cellular towers, technical upgrades, including data cabling for IT . We are capable of technical work on radio, tv, fiber optics, satellite plus many more systems.Our construction includes excavation, drainage work, concrete and concrete repair, driveways, steel erection, foundations, and grade work. We also maintain a tower division which is capable of 3rd party inspections, tower mapping, antenna changeouts, tower service upgrades and tower service maintenance."</t>
  </si>
  <si>
    <t>http://www.newlinks.biz</t>
  </si>
  <si>
    <t>mailto:hr@newlinks.biz</t>
  </si>
  <si>
    <t>Newburgh Volunteer Firefighters Assocati</t>
  </si>
  <si>
    <t>http://www.newburghfire.com</t>
  </si>
  <si>
    <t>mailto:nvfd@newburghfire.com</t>
  </si>
  <si>
    <t>Newell Enterprises,</t>
  </si>
  <si>
    <t>All Other Crop Farming</t>
  </si>
  <si>
    <t>Newhouse &amp; Associates</t>
  </si>
  <si>
    <t>="Newhouse and Associates, LLC is a woman-owned Airport Consulting firm with offices in Indianapolis, New Orleans and the Dallas/Fort Worth Metroplex area. Our services include a wide range of expertise and experience in airport planning, environmental planning and capital programming and management. Our team is able to bring to the table more than 90 years of combined experience in the aviation industry and an unique understanding from working both with private consulting firms and managing airports from the local and federal levels."</t>
  </si>
  <si>
    <t>http://newhouse.associates</t>
  </si>
  <si>
    <t>mailto:monica@newhouse.associates</t>
  </si>
  <si>
    <t>Newman Construction Inc.</t>
  </si>
  <si>
    <t>mailto:TNEWMANINC@YAHOO.COM</t>
  </si>
  <si>
    <t>Newman Equipment, Inc</t>
  </si>
  <si>
    <t>http://www.newmanequip.com</t>
  </si>
  <si>
    <t>mailto:info@newmanequip.com</t>
  </si>
  <si>
    <t>Newpoint Services d.b.a.Newpoint Parking</t>
  </si>
  <si>
    <t>http://www.newpointparking.com</t>
  </si>
  <si>
    <t>mailto:info@newpointparking.com</t>
  </si>
  <si>
    <t>NexGen Mold &amp; Tool, Inc.</t>
  </si>
  <si>
    <t>http://www.nexgenmoldandtool.com</t>
  </si>
  <si>
    <t>mailto:jimb@nexgenmoldandtool.com</t>
  </si>
  <si>
    <t>Next Generation Recr</t>
  </si>
  <si>
    <t>Next Generation Solutions, Ltd.</t>
  </si>
  <si>
    <t>http://www.ngsltd.com</t>
  </si>
  <si>
    <t>mailto:info@ngsltd.com</t>
  </si>
  <si>
    <t>Next Great Architects, LLC</t>
  </si>
  <si>
    <t>http://www.nextgreatarchitects.com</t>
  </si>
  <si>
    <t>mailto:info@nextgreatarchitects.com</t>
  </si>
  <si>
    <t>Next Step Computer Training</t>
  </si>
  <si>
    <t>="Next Step Computer Training programs provides a solid foundation in building and maintaining personal computers, and computer networks. Introductory courses cover CompTIA certifications, while advanced courses cover Microsoft and Cisco certifications. Courses are instructor-led and provide focused, hands-on training equipping students with the technical skills necessary for employment in the IT workforce."</t>
  </si>
  <si>
    <t>http://www.nextstepcomputertraining</t>
  </si>
  <si>
    <t>mailto:info@nextstepcomputertraining.com</t>
  </si>
  <si>
    <t>Next Wave Systems, LLC</t>
  </si>
  <si>
    <t>="Next Wave Systems, LLC is a HUBZone-certified full service engineering and technology company specializing in expeditionary warfare and security systems. Our mission is to deliver high quality military and security systems and related services to our customers in the most expedient and cost effective manner possible. Our products and expertise include “sensor-to-shooter” systems and subsystems, infrared (IR) sensors and sources, wireless communications, missile launch platforms, fire control systems, command operations centers, and integrated security systems. Our key employees possess over 100 combined years of experience in development and acquisition of Navy and Marine Corps systems. We also bring expertise in the life cycle support areas of strategic planning, program management, engineering, logistics, system analysis, technology management, and budget development and justification. We are focused on fostering economic growth and development within Indiana by teaming with Ind"</t>
  </si>
  <si>
    <t>http://www.nextwavesys.com</t>
  </si>
  <si>
    <t>mailto:kevin.crady@nextwavesys.com</t>
  </si>
  <si>
    <t>Nextech Corporation</t>
  </si>
  <si>
    <t>="Nextech Corp. operates in 60,000 square feet of manufacturing space located in Elkhart, IN utilizing computerized equipment, laminating &amp; wood veneering technology and custom stain and finishing. Nextech supplies product to an international market. Nextech Corp. is a leader in the Trading Desk and Technical Desk market sold mainly to Stockbrokers, Banks, 911 centers and the Military. Nextach provides custom furniture and casegoods as well. Nextech Corp. manufactures several lines of minibar cabinets for a local reseller and also finishes and paints several other local manufacturers products as a subcontractor."</t>
  </si>
  <si>
    <t>http://www.nextechcorp.net</t>
  </si>
  <si>
    <t>mailto:dmgruber1@nextechcorp.net</t>
  </si>
  <si>
    <t>Nexus Group, Inc</t>
  </si>
  <si>
    <t>http://www.nexustax.com</t>
  </si>
  <si>
    <t>mailto:frank@nexustax.com</t>
  </si>
  <si>
    <t>Nice n Neat</t>
  </si>
  <si>
    <t>="Nice n Neat is a janitorial cleaning company. We have serviced the Northwest Indiana area for over three years. The company offers detailed cleaning including office cleaning, pre and post new construction clean up, as well as window washing. Our service is professional and client satisfaction is a priority. Our well trained staff is dependable and complete."</t>
  </si>
  <si>
    <t>mailto:lindabarrera03@yahoo.com</t>
  </si>
  <si>
    <t>Nicholas Machine, LLC</t>
  </si>
  <si>
    <t>http://www.nimac.biz</t>
  </si>
  <si>
    <t>mailto:nimac@embarqmail.com</t>
  </si>
  <si>
    <t>Nichols Business Equipment</t>
  </si>
  <si>
    <t>Nick's Copy Service</t>
  </si>
  <si>
    <t>="Nick's Copy Service is a speciality service that cater to the busy. Our unique systeme allows you to email your order straight from your office, laptop or PC, just click and send with isntructions and Nick's will prepare your order. Delivery Service available in the Evansville area , fee for shipping and handling can be included. Nick's specializes in preparing newsletters for mailing, copy and collating presentation packets and much more."</t>
  </si>
  <si>
    <t>mailto:nickscopyservice@bridgesofindiana.com</t>
  </si>
  <si>
    <t>Business Service Centers</t>
  </si>
  <si>
    <t>Nicki Lee, LLC</t>
  </si>
  <si>
    <t>mailto:nickilaycoax@gmail.com</t>
  </si>
  <si>
    <t>Nickloy &amp; Higdon</t>
  </si>
  <si>
    <t>http://www.nickloyhigdon.com</t>
  </si>
  <si>
    <t>mailto:admin@nickloylaw.com</t>
  </si>
  <si>
    <t>NicoElements Corp</t>
  </si>
  <si>
    <t>mailto:del.rogers99@yahoo.com</t>
  </si>
  <si>
    <t>Nicolas M. Quintana</t>
  </si>
  <si>
    <t>="QBS As-Builts provides Owners, Developers, Architects and General Contracts the ability to have minority participation without the concern that the MBE business dose not have the experience or resources to team on their projects. The Owner has 27 years in the Architectural design field and is a Registered Architect in the state of Wisconsin. Our As-Built electronic floor plan drawings are created using measurements taken on-site or from existing blueprints. Original plans are not needed. Data collectors take digital photos and gather detailed information regarding the physical building including walls, doors, windows, stairwells, elevators, plumbing fixtures and ceiling heights. Our pricing of 0.15 cents per square foot and $65.00 per hour travel time from our Avon Indiana office allows our Clients to plug of fee into their bids without spending additional time for quotes."</t>
  </si>
  <si>
    <t>http://www.qbsasbuilts.com</t>
  </si>
  <si>
    <t>mailto:nic@qbsasbuilts.com</t>
  </si>
  <si>
    <t>Nicon, Inc.</t>
  </si>
  <si>
    <t>mailto:lisa@proaxisinc.com</t>
  </si>
  <si>
    <t>Niehaus Lumber Co</t>
  </si>
  <si>
    <t>http://www.niehauslumber.com</t>
  </si>
  <si>
    <t>Niehoff Construction L.L.C.</t>
  </si>
  <si>
    <t>="At Niehoff Construction we stand by our reputation for delivering high quality work while making great success on our delivery time and budget. We are comitted to deliver the best services and we stand behind our services 100%. We strive for excelence in this industry threw hard work, comitment and dedication. Our comitment to detail, proper planing, comunication and customer service has earned us a solid relationship with our clients. After working with us you will view other firms and general contractors differently in the future."</t>
  </si>
  <si>
    <t>mailto:Niehoff73@yahoo.com</t>
  </si>
  <si>
    <t>Nielsen Transdrive</t>
  </si>
  <si>
    <t>http://www.nielsendodgecity.com</t>
  </si>
  <si>
    <t>Nimet Industries Inc</t>
  </si>
  <si>
    <t>http://www.Nimet.com</t>
  </si>
  <si>
    <t>mailto:mail.nimet.com</t>
  </si>
  <si>
    <t>Nishida Services, Inc.</t>
  </si>
  <si>
    <t>="Nishida Services Inc. (NSI) is a full service janitorial company that for over 20 years has served in the areas of commerical cleaning, window washing, carpet cleaning, floor work, janitorial supplies, and construction cleaning. We currently serve property management companies, industrial facilities and single tenant buildings.... IT'S YOUR IMAGE KEEP IT CLEAN!"</t>
  </si>
  <si>
    <t>http://www.nishidaservices.com</t>
  </si>
  <si>
    <t>mailto:hank@nishidaservices.com</t>
  </si>
  <si>
    <t>Nita Regich</t>
  </si>
  <si>
    <t>mailto:regich@sbcglobal.net</t>
  </si>
  <si>
    <t>Nix Motor Sales Inc</t>
  </si>
  <si>
    <t>http://broermanchevrolet.com</t>
  </si>
  <si>
    <t>mailto:broermanchevy@tds.net</t>
  </si>
  <si>
    <t>Nix Sanitary Service</t>
  </si>
  <si>
    <t>http://nixsanitary.com</t>
  </si>
  <si>
    <t>mailto:nixsanitaryserv@aol.com</t>
  </si>
  <si>
    <t>NnorSoft, Inc.</t>
  </si>
  <si>
    <t>="NnorSoft, Inc. is a software application development and information technology consulting firm that help businesses like yours become more efficient and profitable. Our expertise is in software development, database and data warehouse design, data analysis, and business intelligence."</t>
  </si>
  <si>
    <t>http://www.nnorsoft.com</t>
  </si>
  <si>
    <t>mailto:customercare@nnorsoft.com</t>
  </si>
  <si>
    <t>No longer in use</t>
  </si>
  <si>
    <t>mailto:mn-b@sbcglobal.net</t>
  </si>
  <si>
    <t>NoBi Corporation</t>
  </si>
  <si>
    <t>http://www.nobicorp.com</t>
  </si>
  <si>
    <t>mailto:admin@nobicorp.com</t>
  </si>
  <si>
    <t>Noble County Disposal Inc</t>
  </si>
  <si>
    <t>="Noble County Disposal Inc is a trash hauling company. The main area serviced is Noble County and surrounding counties. NCD is family owned and operated since 1972. We haul residential and commercial non-hazardous solid waste. We offer 10, 15, 20 yd roll-offs and 3,4,6 yd containers for clean up jobs."</t>
  </si>
  <si>
    <t>http://www.NCDisposal.com</t>
  </si>
  <si>
    <t>mailto:ncd@ligtel.com</t>
  </si>
  <si>
    <t>Noble Machinery Co.</t>
  </si>
  <si>
    <t>http://www.noblemachine.com</t>
  </si>
  <si>
    <t>mailto:noblemachinery@aol.com</t>
  </si>
  <si>
    <t>NobleVision Human Capital, Inc.</t>
  </si>
  <si>
    <t>http://www.nvhumancapital.com</t>
  </si>
  <si>
    <t>mailto:ellen@nvhumancapital.com</t>
  </si>
  <si>
    <t>Nolan Security and Investigations LLC</t>
  </si>
  <si>
    <t>="Utilizing the skill and experience acquired over many collective years in Law Enforcement, NSI has been serving the security needs of clients in Indiana and Ohio since 2006. Locally owned and operated, we take pride in our ability to give a level of personal service to our clients that they find unavailable from many of our competitors. Our desire is to be the last security company that you ever hire, and we believe that with our high quality agents, competitive pricing, and responsive management, we can be exactly that. We want to work with our clients to create custom security solutions that meet their specifically expressed needs."</t>
  </si>
  <si>
    <t>http://www.nolansecurity.net</t>
  </si>
  <si>
    <t>mailto:info@nolansecurity.net</t>
  </si>
  <si>
    <t>Noland Excavating, Inc.</t>
  </si>
  <si>
    <t>mailto:WNN1@juno.com</t>
  </si>
  <si>
    <t>NonProfit Team, Inc.</t>
  </si>
  <si>
    <t>http://www.npteam.org</t>
  </si>
  <si>
    <t>mailto:sellis@npteam.org</t>
  </si>
  <si>
    <t>Norine Kennedy</t>
  </si>
  <si>
    <t>mailto:nkennedy@geiger.com</t>
  </si>
  <si>
    <t>Norlight</t>
  </si>
  <si>
    <t>="Local, long distance, voice and data services. Feature rich local telephone service at one price. Scalable internet access. Voice over IP hosted VoIP service using either leased or purchased Cisco IP phones. Norlight primary business involves provisioning T1's, DS3s, MetroE fiber, OCx, PRIs, and other fiber builds for access to broadband internet and MPLS over Norlight's privately owned fiber network covering 30 states: http://www.norlighttelecom.com/network.asp Another part of Norlight's business includes service for managed remote servers, virtual servers, and video/audio conferencing."</t>
  </si>
  <si>
    <t>http://www.norlight.com</t>
  </si>
  <si>
    <t>mailto:mark.pinto@norlight.com</t>
  </si>
  <si>
    <t>Norma S. Holsapple</t>
  </si>
  <si>
    <t>mailto:gramshoe@aol.com</t>
  </si>
  <si>
    <t>Norman Noe Co. Inc</t>
  </si>
  <si>
    <t>http://www.normannoewatertankinspection.</t>
  </si>
  <si>
    <t>mailto:norman@normannoewatertankinspection.com</t>
  </si>
  <si>
    <t>International Affairs</t>
  </si>
  <si>
    <t>Norman Painting, Inc.</t>
  </si>
  <si>
    <t>mailto:normanpainting@att.net</t>
  </si>
  <si>
    <t>Norman Tower Service, Inc.</t>
  </si>
  <si>
    <t>="We have been in the telecommunications business for thirteen years. We are a 2nd generation tower company. The founder of this company worked for the Illinois State Police and did maintenance for quite some time for them before retiring. We eat in your restaurants, sleep in your motels and shop your malls."</t>
  </si>
  <si>
    <t>http://www.normantowerservice.com</t>
  </si>
  <si>
    <t>mailto:mnorman@normantowerservice.com</t>
  </si>
  <si>
    <t>Norris Ergonomics, Inc</t>
  </si>
  <si>
    <t>="We provide Work-Site Injury Prevention Services for the reduction of work related musculoskeletal disorders and return to work issues. Primary focus is Ergonomic Services to include Ergonomic/Injury Prevention Training, Ergonomic Job Site Analysis, Office Ergonomic Evaluations, Physical Abilities Testing, ADA Compliant Functional Job Descriptions, Stretching and Exercise Programs, and On-Site Trainer Programs."</t>
  </si>
  <si>
    <t>http://www.norrisergonomics.com</t>
  </si>
  <si>
    <t>mailto:mnorris@norrisergonomics.com</t>
  </si>
  <si>
    <t>Norrite</t>
  </si>
  <si>
    <t>http://www.norrite.com</t>
  </si>
  <si>
    <t>mailto:richard.hanna@norrite.com</t>
  </si>
  <si>
    <t>North Adams Community Schools</t>
  </si>
  <si>
    <t>http://www.nadams.k12.in.us</t>
  </si>
  <si>
    <t>North American Green</t>
  </si>
  <si>
    <t>="North American Green offers the most advanced line of erosion control blankets and turf reinforcement matting available for alleviating tough erosion and vegetation establishment problems. Our temporary degradable erosion control blankets, ideal for protecting and revegetating slopes and drainage swales, are available with both photodegradable and 100% biodegradable netting options. North American Green's C350 permanent erosion control turf reinforcement matting can extend the erosion resistance of vegetation up to that of 24” rock riprap...allowing you to employ vegetation for critical high velocity channel and shoreline protection. All of our products are proven through comprehensive testing, and, when selected with North American Green's Erosion Control Materials Design Software are backed by a100% performance guarantee."</t>
  </si>
  <si>
    <t>http://www.nagreen.com</t>
  </si>
  <si>
    <t>mailto:customerservice@nagreen.com</t>
  </si>
  <si>
    <t>North American Limestone Corporation</t>
  </si>
  <si>
    <t>http://www.243quarry.com</t>
  </si>
  <si>
    <t>mailto:thingst@ohiorivertc.com</t>
  </si>
  <si>
    <t>Stone Mining and Quarrying</t>
  </si>
  <si>
    <t>North Central CAA</t>
  </si>
  <si>
    <t>http://www.nccomact.org</t>
  </si>
  <si>
    <t>mailto:sonjal@nccomact.org</t>
  </si>
  <si>
    <t>North Central Dixie Chopper</t>
  </si>
  <si>
    <t>http://www.northcentraloutdoorpower.com</t>
  </si>
  <si>
    <t>mailto:info@northcentraldixiechopper.com</t>
  </si>
  <si>
    <t>North Central Indiana Equipment</t>
  </si>
  <si>
    <t>http://www.yardngard.com</t>
  </si>
  <si>
    <t>mailto:k.campbell@yard-n-gard.com</t>
  </si>
  <si>
    <t>North Central Mechanical, Inc.</t>
  </si>
  <si>
    <t>http://NCMIINDIANA.COM</t>
  </si>
  <si>
    <t>mailto:NCMI2000@AOL.COM</t>
  </si>
  <si>
    <t>North Coast Lighting, LLC</t>
  </si>
  <si>
    <t>mailto:deanna@northcoastlighting.net</t>
  </si>
  <si>
    <t>North Main Systems</t>
  </si>
  <si>
    <t>http://www.northmainsystems.com</t>
  </si>
  <si>
    <t>mailto:info@northmainsystems.com</t>
  </si>
  <si>
    <t>North Star Electric, Inc</t>
  </si>
  <si>
    <t>="We handle security systems, temperature controls, sound systems, and alarm systems installation for light industrial and commercial customers. We handle lighting and electrical installation, renovation, and inspection along with equipment relocation services for commercial and light industrial customers. We provide design and build to customize any systems to meet our customers needs."</t>
  </si>
  <si>
    <t>mailto:mbakernse@sbcglobal.net</t>
  </si>
  <si>
    <t>Northcutt Enterprises, Inc.</t>
  </si>
  <si>
    <t>Northeast Indiana Cleaning Inc.</t>
  </si>
  <si>
    <t>Northeastern Center Inc</t>
  </si>
  <si>
    <t>="The Northeastern Center provides quality, affordable mental health and substance abuse services for the residents of Northeastern Indiana. There are four outpatient offices located within Dekalb, Lagrange, Noble and Steuben Counties. The Northeastern Center also operates two adult residential group homes, a child and adolescent group home, a Clubhouse program and an inpatient hospital."</t>
  </si>
  <si>
    <t>http://NEC.org</t>
  </si>
  <si>
    <t>Northern Apex Corp.</t>
  </si>
  <si>
    <t>="Northern Apex Corp. has two divisions. The first one is a custom contract manufacturer specializing in circuit boards. The second is Radio Frequency Identification (RFID). We have 13.56 and 900 MHz hand-held or stationary readers and can provide tags and software solutions. We have supplied the State of Indiana with it's readers for the Amusement Park rides."</t>
  </si>
  <si>
    <t>http://www.northernapex-rfid.com</t>
  </si>
  <si>
    <t>mailto:sales@northernapex-rfid.com</t>
  </si>
  <si>
    <t>Northern Equipment C</t>
  </si>
  <si>
    <t>http://www.northern-equipment.com</t>
  </si>
  <si>
    <t>mailto:tammy@northern-equipment.com</t>
  </si>
  <si>
    <t>Northern Gases &amp; Supplies, Inc</t>
  </si>
  <si>
    <t>http://www.northerngases.com</t>
  </si>
  <si>
    <t>mailto:info@northerngases.com</t>
  </si>
  <si>
    <t>Northern Indiana Batterys, Inc.</t>
  </si>
  <si>
    <t>http://batteriesplus.com</t>
  </si>
  <si>
    <t>mailto:bp009@batteriesplus.com</t>
  </si>
  <si>
    <t>Northern Indiana Construction Company In</t>
  </si>
  <si>
    <t>Northern Indiana Industrial Coatings</t>
  </si>
  <si>
    <t>="Here at Northern Indiana Industrial Coatings we paint anything that requires painting. We can meet Mil-spec requirements, specific drawing requirements. We will work with you for the best solution in your painting / coating needs. NII Coatings is located in a 40,000+Sq foot building so we can handle big in-house jobs and mass production painting. We are a HUB-Zone Certified business that has been family owned since 1982. Give Andy a call today for a quote!"</t>
  </si>
  <si>
    <t>mailto:niicoatings@hotmail.com</t>
  </si>
  <si>
    <t>Northern Indiana Mechanical</t>
  </si>
  <si>
    <t>="Northern Indiana Mechanical is licensed and bonded as a Petroleum Contractor. We specialize in tank removal and istallation, complete construction services, as well as having certified personel on piping systems, tank manufacturing and dispensing equipment."</t>
  </si>
  <si>
    <t>mailto:nimco653@hotmail.com</t>
  </si>
  <si>
    <t>Northern Indiana Supply Company, Inc.</t>
  </si>
  <si>
    <t>Northern Indiana Workforce Board Inc.</t>
  </si>
  <si>
    <t>http://www.workindiana.com</t>
  </si>
  <si>
    <t>mailto:jbalogh@gotoworkone.com</t>
  </si>
  <si>
    <t>Northshore Health Ce</t>
  </si>
  <si>
    <t>http://www.northshorehealth.org</t>
  </si>
  <si>
    <t>mailto:contactus@northshorehealth.org</t>
  </si>
  <si>
    <t>Northside Graphics</t>
  </si>
  <si>
    <t>mailto:nsg88@comcast.net</t>
  </si>
  <si>
    <t>Northside Services of Indianapolis, LLC</t>
  </si>
  <si>
    <t>mailto:daniellefranklin@sbcglobal.net</t>
  </si>
  <si>
    <t>Northwest Indiana Community Action Corp.</t>
  </si>
  <si>
    <t>http://www.nwi-ca.com</t>
  </si>
  <si>
    <t>mailto:director@nwi-ca.org</t>
  </si>
  <si>
    <t>Northwest Indiana Home Services, Inc.</t>
  </si>
  <si>
    <t>http://www.glassdoctor.com/valparaiso</t>
  </si>
  <si>
    <t>mailto:Ron.Maxey@mail.glassdoctor.com</t>
  </si>
  <si>
    <t>Northwest Sports Management, L.L.C.</t>
  </si>
  <si>
    <t>="Indianapolis’ Ultimate Sports Experience, Our Goal at SportZone is to provide one place where the community can go for all of their sports and fitness activities. With three acres of indoor sports and fitness facilities, the SportZone provides a place of recreation and sport for individuals of all ages, families and businesses. We have state of the art Indoor Field Turf for Baseball, Softball, Soccer, Ultimate Frisbee, Lacrosse, Flag Football, in addition we offer a Fitness Center, Basketball, Futsal and Volleyball. The SportZone has it all! Whether you are interested in joining one of the many leagues, participating in tournaments, renting the facility for a special event, training on our fitness equipment, or you just want to play a lunchtime game of basketball…The SportZone is your dream come true! You can count on our facilities to be clean, safe, comfortable and fun for everyone!"</t>
  </si>
  <si>
    <t>http://www.SZindy.com</t>
  </si>
  <si>
    <t>mailto:dl.general@szindy.com</t>
  </si>
  <si>
    <t>Promoters of Performing Arts, Sports, and Similar Events with Facilities</t>
  </si>
  <si>
    <t>Northwest Technology Incorporated</t>
  </si>
  <si>
    <t>mailto:northwest@northwesttechnologyinc.com</t>
  </si>
  <si>
    <t>Notary Public Underwriters, Inc</t>
  </si>
  <si>
    <t>https://indiana.notarypublicunderwriters</t>
  </si>
  <si>
    <t>mailto:info.in@npuonline.com</t>
  </si>
  <si>
    <t>Nova Graphics, Inc.</t>
  </si>
  <si>
    <t>http://www.noaprints.com</t>
  </si>
  <si>
    <t>mailto:julie@novaprints.biz</t>
  </si>
  <si>
    <t>NovaStar Securities</t>
  </si>
  <si>
    <t>mailto:novastar@gte.net</t>
  </si>
  <si>
    <t>Novitex Enterprise Solutions</t>
  </si>
  <si>
    <t>="Provision of personnel and equipment to provide onsite office services including mail; copier/printer fleets; document services including imaging, workflow integration, secure document destruction; print/copy centers; customer communications solutions; records management and others."</t>
  </si>
  <si>
    <t>http://novitex.com</t>
  </si>
  <si>
    <t>mailto:roger.nondorf@novitex.com</t>
  </si>
  <si>
    <t>Nu Creation Fitness, LLC</t>
  </si>
  <si>
    <t>http://www.NuCreationFitness.com</t>
  </si>
  <si>
    <t>mailto:nucreationfitness@yahoo.com</t>
  </si>
  <si>
    <t>Nu Direction Technologies</t>
  </si>
  <si>
    <t>="We provide end user solutions for computers and networks to residential and commercial entities. We provide services for computer repair, network implementation, and optimization, preventative maintainance, professional consultation, and project management"</t>
  </si>
  <si>
    <t>mailto:nudirectek@gmail.com</t>
  </si>
  <si>
    <t>Nu Tech Wireless</t>
  </si>
  <si>
    <t>http://www.wirelesstoyz.com</t>
  </si>
  <si>
    <t>Nu-Tec Roofing Contractors, LLC</t>
  </si>
  <si>
    <t>mailto:jcraig@nutecroofing.com</t>
  </si>
  <si>
    <t>NuFocus</t>
  </si>
  <si>
    <t>http://www.nufocus.com</t>
  </si>
  <si>
    <t>mailto:nufocus@nufocus.com</t>
  </si>
  <si>
    <t>NuOrbit Media Inc.</t>
  </si>
  <si>
    <t>http://www.nuorbit.com</t>
  </si>
  <si>
    <t>mailto:rob@nuorbit.com</t>
  </si>
  <si>
    <t>Nuance, Inc.</t>
  </si>
  <si>
    <t>http://www.nuanceinc.biz</t>
  </si>
  <si>
    <t>mailto:scottdecoursey@nuanceinc.biz</t>
  </si>
  <si>
    <t>Nugent,Inc. dba Utility Supply Company</t>
  </si>
  <si>
    <t>="Utility Supply Company is a Distributor of underground water and sewer supplies. We service all of Indiana through branches located around the State. Products include, but not limited to the following. Water pipe, Sewer pipe, fire hydrants, Gate valves, and ancillary fittings."</t>
  </si>
  <si>
    <t>http://www.utilitysupply.com</t>
  </si>
  <si>
    <t>mailto:info@utilitysupply.com</t>
  </si>
  <si>
    <t>Numerical Concepts, Inc.</t>
  </si>
  <si>
    <t>="Special Machinery Manufacturing (Parts, Sub-Assemblies), Complete Machines, including CNC OXY-Acetylene or Waterjet cutting, Welding, Blanchard ID or OD grinding, CNC milling, CNC turning, mechanical &amp; electrical asssembly, control &amp; machine design (Autocad2000 &amp; Cosmos Geostar FEA), Integration, 76,000 square feet"</t>
  </si>
  <si>
    <t>http://www.numericalconcepts.com</t>
  </si>
  <si>
    <t>mailto:sales@numericalconcepts.com</t>
  </si>
  <si>
    <t>Nunning Heating, A/C &amp; Refrigeration, In</t>
  </si>
  <si>
    <t>="Nunning Heating, Air Conditioning and Refrigeration, Inc. is the premier heating and air conditioning service and supply company in southwestern Indiana. We provide the best products and superior service to both commercial and residential customers. Every customer is provided quality brand-name climate control solutions, reliable and professional Technical Support and unparallel customer service. We will, at all times employ sound, ethical business practices."</t>
  </si>
  <si>
    <t>http://Nunningheatingair.com</t>
  </si>
  <si>
    <t>mailto:ar1nunningheatingair.com</t>
  </si>
  <si>
    <t>Nursing Management, Inc.</t>
  </si>
  <si>
    <t>mailto:sperkins19@att.gov</t>
  </si>
  <si>
    <t>Nusoft Data technology, Inc</t>
  </si>
  <si>
    <t>="--Consulting and Staffing company specializing in PeopleSoft project management, functional and technical guidance with significant project management and methodology implementation experience including project plan development, integrated change control, project scope management task assignment, cost estimating, budgeting and tracking, change management, configuration management, risk management, resource planning and staff management. -- Exposure to QA, testing, test plan management, training and UPK scripting -- Significant experience in three large projects involving upgrades to PeopleSoft 9.0 (Financials and HCM) -- Extensive exposure to following PeopleSoft Financial modules: Grants, Time and Expenses, Mobile Time and Expense (T&amp;E), Contracts, AR and Billing, Order management, Inventory, AM, Project costing, GL (Specifically GL allocations), Procurment (PO), Strategic Sourcing, Services Procurement, Procurement Contract, EPro, SCM (Supplier Contract Management)"</t>
  </si>
  <si>
    <t>mailto:nusoftinc@yahoo.com</t>
  </si>
  <si>
    <t>Nutrition Services, Inc</t>
  </si>
  <si>
    <t>="Dietitian and Food Service Consulting to: Hospital, Group Homes, Psychiatric Facilties/Hospital, Nursing Homes, Assited Living, Dialysis, Health and Wellness. Survey Compliance, Diabetes Education, Certified in Weight Loss Managment, Serv-Safe Training, Interim RD services avail"</t>
  </si>
  <si>
    <t>http://www.nutritionservicesinconline.co</t>
  </si>
  <si>
    <t>mailto:mkoontz@kconline.com</t>
  </si>
  <si>
    <t>Nutritional Choices, Inc</t>
  </si>
  <si>
    <t>mailto:mjwann@bloomingdaletel.com</t>
  </si>
  <si>
    <t>Nye's Wrecker Servic</t>
  </si>
  <si>
    <t>="Towing and Recovery of all motor vehicles, including cars and all size trucks. Light-duty, medium-duty and heavy-duty wreckers are available. We also move equipment moving such as small excavtors and forklifts. Nye's Wrecker Service, Inc. has been in business since 1977."</t>
  </si>
  <si>
    <t>O K SAFETY SUPPLY INC</t>
  </si>
  <si>
    <t>http://www.oksafetysupply.com</t>
  </si>
  <si>
    <t>O&amp;M Consulting Services Inc</t>
  </si>
  <si>
    <t>http://www.omcsi.com</t>
  </si>
  <si>
    <t>mailto:omcsi@aol.com</t>
  </si>
  <si>
    <t>O'B Mfg/MobilityProd</t>
  </si>
  <si>
    <t>http://www.obrienmfg.com</t>
  </si>
  <si>
    <t>mailto:sales@obrienmfg.com</t>
  </si>
  <si>
    <t>O'BRIEN MOTORS INC OBRIEN TOYOTA</t>
  </si>
  <si>
    <t>http://WWW.OBRIENTOYOTA.COM</t>
  </si>
  <si>
    <t>mailto:MRAMON@OBRIENAUTO.COM</t>
  </si>
  <si>
    <t>O'Daniel Ford Inc</t>
  </si>
  <si>
    <t>http://www.odanford.com</t>
  </si>
  <si>
    <t>O'Neill Research LLC</t>
  </si>
  <si>
    <t>="O'Neill Research facilitates strategic plans and conducts research for a broad range of organizations. We can help your organization identify its strengths, weaknesses, opportunities, and threats. We can let you know where you stand in regard to key metrics through statistical and demographic trend analysis. We can help you determine the perceptions and attitudes of your customers, clients and stakeholders through interviews, focus groups, and surveys. We can provide key leaders with the right information to make the right decision. We can help your organization or community take charge of its future. Services include: needs assessments; three and five year strategic plans; statistically valid surveys; tax referendum surveys and campaign management; project management and evaluation; grant writing and oversight; and feasibility studies. We have a thorough knowledge of both quantitative and qualitative research methodologies."</t>
  </si>
  <si>
    <t>http://www.oneillresearch.com</t>
  </si>
  <si>
    <t>mailto:brian@oneillresearch.com</t>
  </si>
  <si>
    <t>O-Clean Services</t>
  </si>
  <si>
    <t>mailto:O-clean@hotmail.com</t>
  </si>
  <si>
    <t>OAP I, LLC DBA C&amp;B OPTICAL ONE</t>
  </si>
  <si>
    <t>http://C &amp; B Optical One</t>
  </si>
  <si>
    <t>OAS INC.</t>
  </si>
  <si>
    <t>http://oasinc.net</t>
  </si>
  <si>
    <t>mailto:oasinc@oasinc.net</t>
  </si>
  <si>
    <t>OBjex, Inc.</t>
  </si>
  <si>
    <t>http://www.objexinc.com</t>
  </si>
  <si>
    <t>mailto:info@objexinc.com</t>
  </si>
  <si>
    <t>OCF Environmental Consulting, LLC</t>
  </si>
  <si>
    <t>="OCF Environmental Consulting, LLC (OCF) is an environmental engineering, science, and management services firm. OCF offers comprehensive environmental consulting services to businesses, industries, and governments in support of various environmental programs and mandates, research, training, and outsourcing services. OCF is a SBA-certified Small Disadvantaged Business (SDB), DOT-certified Minority/Disadvantaged Business Enterprise (MBE/DBE), and a Small Business Enterprise (SBE)."</t>
  </si>
  <si>
    <t>http://www.ocfconsulting.com</t>
  </si>
  <si>
    <t>mailto:info@ocfconsulting.com</t>
  </si>
  <si>
    <t>OCP Business Interiors ETC Corp</t>
  </si>
  <si>
    <t>mailto:ocpetc@live.com</t>
  </si>
  <si>
    <t>OCTAVIA PARAMORE</t>
  </si>
  <si>
    <t>="Real Time Transportation provides services to anyone who needs a means of transport to and from medical facilities, private residences, nursing homes and retirement centers. Real Time Transportation is not an emergency ambulance service. For this reason, our vehicles are not outfitted for emergency involvement we instead put emphasis on patient experience and safe transport."</t>
  </si>
  <si>
    <t>mailto:realtimetrans1@hotmail.com</t>
  </si>
  <si>
    <t>ODA Enterprises Inc</t>
  </si>
  <si>
    <t>="ODA Enterprises,is centered on a mission to: Assist organizations in securing their desired opportunity for growth, while providing sound professional direction guaranteeing our commitment and determination to a successful partnership, consistently operating with a team approach and attitude ODA Enterprises began its operations in 1996 and develop seven core competences. 1. Project Management 2. Fund Development (Grant Writing) 3. Program Development (after school programs) 4. Evaluation 5. Board and Staff Training 6. Program Design 7. Curriculum Development ODA Enterprises, provides excellent service to companies and non-for profit organizations to better serve our communities. In 2000 ODA Enterprise develop a youth division that provides direct services that focuses on prevention of at-risk behaviors."</t>
  </si>
  <si>
    <t>mailto:odaenterprises@aol.com</t>
  </si>
  <si>
    <t>ODA Enterprises, LLC</t>
  </si>
  <si>
    <t>="Assist organizations in securing their desired opportunity for growth, while providing sound professional direction guaranteering our commitment and determination to a successful partnership, consistently operating with a team apporach and attitude.Providing services such as: Grant development, technial assistance, strategic planning, training, evaluation, program design/development, Project Management, Board development and training."</t>
  </si>
  <si>
    <t>http://www.odaenterprises.org</t>
  </si>
  <si>
    <t>mailto:renea714@aol.com</t>
  </si>
  <si>
    <t>OES Imaging</t>
  </si>
  <si>
    <t>http://oesimaging.com</t>
  </si>
  <si>
    <t>mailto:davea@oesimaging.com</t>
  </si>
  <si>
    <t>OFFICE CLEANING PLUS LLC</t>
  </si>
  <si>
    <t>mailto:NAP99AZ@GMAIL.COM</t>
  </si>
  <si>
    <t>OFFICE DEPOT</t>
  </si>
  <si>
    <t>http://WWW.OFFICEDEPOT.COM</t>
  </si>
  <si>
    <t>mailto:greg.etzler@officedepot.com</t>
  </si>
  <si>
    <t>OFFSET HOUSE INC</t>
  </si>
  <si>
    <t>http://www.offsethouseinc.com</t>
  </si>
  <si>
    <t>mailto:sales@offsethouseinc.com</t>
  </si>
  <si>
    <t>OFS Sales Corp</t>
  </si>
  <si>
    <t>="We are the largest independently owned wood casegood manufacturer in the United States. OFS/First Office offers a variety of wood and laminate casegoods and conferencing solutions, as well as an extensive seating line. We have as well the custom capabilities for just about any furniture solution such as teller lines, call centers and custom built in wall units"</t>
  </si>
  <si>
    <t>http://www.styline.com</t>
  </si>
  <si>
    <t>mailto:sales@ofs.com</t>
  </si>
  <si>
    <t>OKI Water Conditioning, Inc.</t>
  </si>
  <si>
    <t>OM Solutions LLC</t>
  </si>
  <si>
    <t>="Online Marketing (OM) Solutions is an independent internet advertising company based out of Indianapolis, IN. We provide services such as Website Design, Search Engine Marketing, and Search Engine Optimization (SEO). Our internet advertising agency will help plan the right marketing strategy for your company’s unique needs. Whether you wish to build, replace, or revamp a website or want to learn more about how to increase your revenue through search engines, Online Marketing Solutions has experience and know how to help satisfy all your internet advertising needs."</t>
  </si>
  <si>
    <t>http://www.OnlineMarketingIndy.com</t>
  </si>
  <si>
    <t>mailto:info@onlinemarketingindy.com</t>
  </si>
  <si>
    <t>OMD Holdings, LLC</t>
  </si>
  <si>
    <t>OMNI LOOSELEAF INC</t>
  </si>
  <si>
    <t>="One stop solution for all your custom projects. Looseleaf Binders, Index Tabs, Paper Folders, Media Packaging, Writing Instruments, Flash drives, USB Hubs, Bluetooth, Custom Apparel, Caps, T-Shirts, Totes, Lapel Pins, Flexible Magnets, Pocket Planners, Calendars, Coffee Mugs, Lanyards, Desk Clocks, Golf Accessories, Zippy's, Calculators, Antenna Toppers, Awards, Sticky Notes, Bottled Water, Popcorn, Incredible Edibles and Personalized Custom Specials....."</t>
  </si>
  <si>
    <t>http://www.geocities.com/omnill</t>
  </si>
  <si>
    <t>mailto:peach47@urhere.net</t>
  </si>
  <si>
    <t>ON SITE MANUFACTURING, INC.</t>
  </si>
  <si>
    <t>="DESIGN AND MANUFACTURE OF PORTABLE 20 TON + AIR HANDLERS, PORTABLE 480V ELECTRIC HEATERS FROM 75 TO 150 KW &amp; PACKAGED ELECTRIC AIR CONDITIONING &amp; HEAT (PEACH(tm)) FOR FIRST RESPONDERS &amp; EMERGENCY RESPONSE. RENTAL OF GENERATOR SETS AND PORTABLE HEATERS AND AIR CONDITIONING EQUIPMENT."</t>
  </si>
  <si>
    <t>http://WWW.ONISTEMFG.COM</t>
  </si>
  <si>
    <t>mailto:SALES@ONSITEMFG.COM</t>
  </si>
  <si>
    <t>Motor and Generator Manufacturing</t>
  </si>
  <si>
    <t>ONB Benefits Administration, LLC</t>
  </si>
  <si>
    <t>http://www.jwfspecialty.com</t>
  </si>
  <si>
    <t>mailto:tom.dickman@oldnationalins.com</t>
  </si>
  <si>
    <t>ONE SOURCE EQUIPMENT RENTALS</t>
  </si>
  <si>
    <t>="We rent and sell the following types of equipment including: Aerial Work Platforms- Articulating Boom Lifts, Atrium Lifts, Telescopic Boom Lifts, Scissor Lifts, Personnel Lifts Material Handling- Telescopic &amp; Industrial Forklifts, Carry Deck &amp; Spyder Cranes Excavating- Skid-steer Loaders, Backhoes, Mini Excavators, Trench Shields &amp; Shoring Compaction- Plate Compactors, Rammers, Double Drum Rollers, Trench Rollers Utility Vehicles Air Compressors from 185-1600 CFM, Oil Free &amp; High Pressure, Paving Breakers, Rock Drills, Chipping Hammers, Sandblasting Equipment Generators- Towable Diesel Generators from 20-250kW, Portable Gas Generators from 2200-10,000W Welding &amp; Cutting- Engine Driven Welders, Electric Stick Welders, Multi-Arc Welders, Suitcase MIG Welders, Plasma Cutters Lighting- Light Towers, Balloon Lights Concrete Equipment - Mortar &amp; Concrete Mixers, Concrete Buckets, Georgia Buggies, Power Trowels, Floor Grinders, Concrete Saws, Core Drills, Hammer Drills"</t>
  </si>
  <si>
    <t>http://www.onesourcerental.com/</t>
  </si>
  <si>
    <t>mailto:bbonesteel@onesourcerental.com</t>
  </si>
  <si>
    <t>ONE STOP MARKETING</t>
  </si>
  <si>
    <t>http://www.1stopmktg.com</t>
  </si>
  <si>
    <t>mailto:info@1stopmktg.com</t>
  </si>
  <si>
    <t>OPEN DOOR REALTY,INC</t>
  </si>
  <si>
    <t>http://WWW.OPENDOORS4U.COM</t>
  </si>
  <si>
    <t>mailto:OPENDOORREALTY@SBCGLOBAL.NET</t>
  </si>
  <si>
    <t>OPTIFORM IMAGING SYSTEMS, INC.</t>
  </si>
  <si>
    <t>="Optiform Imaging Systems, Inc., a systems integrator and value added reseller, provides products and services that automate critical business systems. Expertise includes design, testing, installation and configuration of automated data/image capture applications. Optiform’s primary focus is concentrated on forms processing, document capture, and workflow processes. Systems that are provided by Optiform are generally “best-of-breed” components unified into a complete solution, offering total flexibility to end-users."</t>
  </si>
  <si>
    <t>http://www.optiform.com</t>
  </si>
  <si>
    <t>mailto:sales@optiform.com</t>
  </si>
  <si>
    <t>OPTIMUM ILLUSIONS</t>
  </si>
  <si>
    <t>mailto:optillusions2004@sbcglobal.net</t>
  </si>
  <si>
    <t>ORA Enterprises, Inc.</t>
  </si>
  <si>
    <t>mailto:allshredllc@yahoo.com</t>
  </si>
  <si>
    <t>ORGAN BATTERY AND ELECTRIC CO. INC.</t>
  </si>
  <si>
    <t>http://organbattery.com</t>
  </si>
  <si>
    <t>mailto:obeco47591@hotmail.com</t>
  </si>
  <si>
    <t>ORLEANS CONSTRUCTION, INC.</t>
  </si>
  <si>
    <t>http://WWW.OCIBUILT.COM</t>
  </si>
  <si>
    <t>mailto:KELLYK@OCIBUILT.COM</t>
  </si>
  <si>
    <t>OSPS</t>
  </si>
  <si>
    <t>mailto:ospsinfo@sbcglobal.net</t>
  </si>
  <si>
    <t>OTT EQUIPMENT SERVICE INC</t>
  </si>
  <si>
    <t>http://www.ottequipment.com</t>
  </si>
  <si>
    <t>mailto:ottequipment@insightbb.com</t>
  </si>
  <si>
    <t>OVERVIEW INC</t>
  </si>
  <si>
    <t>="Hello Our mission this year is to focus on supplying small &amp; individual facilities with, hard to procure flooring. We specialize in all types of Commercial &amp; Industrial floor covering., from Carpet, Forbo Inlaid Linoleum, to Epoxy &amp; Decorative coating systems. Rehabiltation projects are our main stay. We have been operating in &amp; serving Indiana for over 13 years."</t>
  </si>
  <si>
    <t>http://webfloors.com</t>
  </si>
  <si>
    <t>mailto:sales@webfloors.com</t>
  </si>
  <si>
    <t>Oak Creek Hardwoods, Inc.</t>
  </si>
  <si>
    <t>="Oak Creek Hardwoods is a lumber broker that buys directly form sawmills and sell to contractors. Our primary product is tunnel lagging, sometimes called rib boards and/or sewer lagging. The purpose of this product is to shore up tunnels that are being bored deep underground. These jobs are primarily government sewer projects. We also sell crane mats and other related lumber products."</t>
  </si>
  <si>
    <t>http://www.TunnelLagging.com</t>
  </si>
  <si>
    <t>mailto:och@TunnelLagging.com</t>
  </si>
  <si>
    <t>Oak Security Group,L</t>
  </si>
  <si>
    <t>http://www.oaksecurity.com</t>
  </si>
  <si>
    <t>mailto:welcome@oaksecurity.com</t>
  </si>
  <si>
    <t>Oakland City Univ</t>
  </si>
  <si>
    <t>http://www.oak.edu</t>
  </si>
  <si>
    <t>mailto:www.ocuexec@oak.edu</t>
  </si>
  <si>
    <t>Oaklawn Psychiatric Center, Inc.</t>
  </si>
  <si>
    <t>http://www.oaklawn.org</t>
  </si>
  <si>
    <t>mailto:info@oaklawn.org</t>
  </si>
  <si>
    <t>Oasis Events, Inc.</t>
  </si>
  <si>
    <t>Oberle &amp; Associates, Inc</t>
  </si>
  <si>
    <t>http://oberleinc@aol.com</t>
  </si>
  <si>
    <t>Odyssey Air</t>
  </si>
  <si>
    <t>="Odyssey Air, a locally-owned Heating Ventilation, Air Conditioning, and Refrigeration company (HVACR), proudly offers competitive prices, coupled with a superlative, mechanical acuity our customers repeatedly remark as “outstanding.” Odyssey Air specializes in commercial and residential equipment repair and installation, with 24-hour emergency service. Our excellent services extend throughout Indianapolis and the contiguous counties. At Odyssey Air, we do not simply think outside the box. We think out of this world."</t>
  </si>
  <si>
    <t>http://www.odyssey-air.com</t>
  </si>
  <si>
    <t>mailto:admin@odyssey-air.com</t>
  </si>
  <si>
    <t>Odyssey Map Store</t>
  </si>
  <si>
    <t>Odyssian Technology LLC</t>
  </si>
  <si>
    <t>="Odyssian Technology is a high technology company focused on technology innovation and creative product development related to advanced lightweight composites, multifunctional structure, smart structure, and integrated systems. Odyssian is involved in developing technology and products for both the military and consumer market place. Exciting work is underway in the development of: hand launched aircraft with structurally integrated systems for use in surveillance, communications support, and aerial mapping; advanced liquid/gas containment systems with integrated leak detection sensors for use in preventing the leakage of toxic and environmentally damaging chemicals; thin film igniters for use in improving the reliability of missile batteries, parachute deployment, and airbag safety systems; and various other products involving the integration of electronic/electrical systems into structure, housing, and devices."</t>
  </si>
  <si>
    <t>http://www.odyssian.com</t>
  </si>
  <si>
    <t>Offerle Apothecary, Inc.</t>
  </si>
  <si>
    <t>="Medical Dental Home Health Care is a over 25 year old Durable Medical Equipment/Medical Supply Company. We specialize in Ostomy/Urological Supplies, Specialty Wound Care, Incontinence Supplies, Lymphedema Supplies, Glucose Supplies, Nebulizers, Tens Units and Covalescent Aids. We also specialize in the professional fittings of Breast Prosthesis, Compression Garments and Orthotics."</t>
  </si>
  <si>
    <t>mailto:offerle@choiceonemail.com</t>
  </si>
  <si>
    <t>OffiSelect, Inc.</t>
  </si>
  <si>
    <t>http://www.greenfieldofficesupply.biz</t>
  </si>
  <si>
    <t>mailto:gos46140@yahoo.com</t>
  </si>
  <si>
    <t>OffiSource Inc.</t>
  </si>
  <si>
    <t>mailto:offisource@sbcglobal.net</t>
  </si>
  <si>
    <t>Office Concepts, Inc.</t>
  </si>
  <si>
    <t>Office Machinery Manufacturing</t>
  </si>
  <si>
    <t>Office Linx, LLC</t>
  </si>
  <si>
    <t>http://WWW.OFFICELINX.NET</t>
  </si>
  <si>
    <t>mailto:MARK@OFFICELINX.NET</t>
  </si>
  <si>
    <t>Office Network Supplies &amp; Services, Inc.</t>
  </si>
  <si>
    <t>http://www.onsspro.com</t>
  </si>
  <si>
    <t>mailto:sales@onsspro.com</t>
  </si>
  <si>
    <t>Paper and Paper Product Merchant Wholesalers</t>
  </si>
  <si>
    <t>Office Three Sixty, Inc</t>
  </si>
  <si>
    <t>="Office360 is one of the largest and fastest growing independently owned office products suppliers in the Midwest. Because Office360 is an independent and LOCALLY owned company we are able to consistently deliver superior service at lower total cost than the products and services offered by our large corporate competitors."</t>
  </si>
  <si>
    <t>http://www.office3sixty.com</t>
  </si>
  <si>
    <t>mailto:bidgroup@office3sixty.com</t>
  </si>
  <si>
    <t>Office Ventures, Inc.</t>
  </si>
  <si>
    <t>http://www.rosasop.com</t>
  </si>
  <si>
    <t>mailto:johnh@rosasop.com</t>
  </si>
  <si>
    <t>Die-Cut Paper and Paperboard Office Supplies Manufacturing</t>
  </si>
  <si>
    <t>Offices Gutierrez</t>
  </si>
  <si>
    <t>mailto:loriegutierrez@hotmail.com</t>
  </si>
  <si>
    <t>Officeworks Services</t>
  </si>
  <si>
    <t>http://WWW.OFFICEWORKS.NET</t>
  </si>
  <si>
    <t>Official Investigations, Inc.</t>
  </si>
  <si>
    <t>="We are a licensed private investigation and security agency firm in the States of Indiana, Ohio and Kentucky. We provide armed and unarmed security patrol/officer services. We have been licensed in Indiana since September 1999. Our license number is PD19900070."</t>
  </si>
  <si>
    <t>http://www.officialinvestigations.com</t>
  </si>
  <si>
    <t>mailto:pi@officialinvestigations.com</t>
  </si>
  <si>
    <t>Oh Snap</t>
  </si>
  <si>
    <t>="Certified and Trained in communicating with Parents of children with disabilities, interviewing them, helping with communication in order to photograph special needs children, creating tactile murals for special needs children, work with school in school portraits in photographing children with special needs."</t>
  </si>
  <si>
    <t>mailto:ohsnap@netfor.com</t>
  </si>
  <si>
    <t>Ohio Valley Insulation Co., Inc.</t>
  </si>
  <si>
    <t>="Ohio Valley Insulation Co., Inc. has provided quality mechanical and industrial insulation materials and services since 1990. We take great pride in our workmanship, and only use the highest quality materials suitable for each specific insulation application. We have performed work at numerous schools, hospitals, manufacturing facilities, and government buildings."</t>
  </si>
  <si>
    <t>mailto:ovi@evansville.net</t>
  </si>
  <si>
    <t>Ohio Valley Pipeline Construction, Inc.</t>
  </si>
  <si>
    <t>Oil and Gas Pipeline and Related Structures Construction</t>
  </si>
  <si>
    <t>Ohio Valley SAR</t>
  </si>
  <si>
    <t>http://www.ovsar.org</t>
  </si>
  <si>
    <t>Ohm Enterprise, LLC</t>
  </si>
  <si>
    <t>http://www.custommfgsolutions.com</t>
  </si>
  <si>
    <t>mailto:custommfgsolutions@gmail.com</t>
  </si>
  <si>
    <t>Old Skool Landscaping</t>
  </si>
  <si>
    <t>mailto:OSL13@aol.com</t>
  </si>
  <si>
    <t>Olde Tyme Country Oak</t>
  </si>
  <si>
    <t>http://www.pureoak.com</t>
  </si>
  <si>
    <t>mailto:contactus@pureoak.com</t>
  </si>
  <si>
    <t>Oler's Fencing &amp; Construction</t>
  </si>
  <si>
    <t>="Oler Fencing and Construction is a Fencing Contractor. We furnish and install multiple different types of fencing. The major types of fencing that we specialize in include all styles of Chain Link Fencing, Wood Fencing, Ornamental Iron Fencing, and Ornamental Aluminum Fencing."</t>
  </si>
  <si>
    <t>http://www,oler.us</t>
  </si>
  <si>
    <t>mailto:marlin@oler.us</t>
  </si>
  <si>
    <t>Olive Creative Services</t>
  </si>
  <si>
    <t>http://www.loraolive.com</t>
  </si>
  <si>
    <t>mailto:olive@iquest.net</t>
  </si>
  <si>
    <t>Olive Leaf Landscaping, Inc.</t>
  </si>
  <si>
    <t>mailto:oliveleafinc@hotmail.com</t>
  </si>
  <si>
    <t>Olsen Communications Consultants</t>
  </si>
  <si>
    <t>="Olsen Communications Consultants specializes in helping non-for-profits develop a sustainable communication plan, raise their visibility and provide staff media training services. OCC also provides media training for corporations, individuals and school districts."</t>
  </si>
  <si>
    <t>http://www.olsencc.net</t>
  </si>
  <si>
    <t>mailto:leslie@olsencc.net</t>
  </si>
  <si>
    <t>Olympia Partners Ltd</t>
  </si>
  <si>
    <t>http://www.naiolympia.com</t>
  </si>
  <si>
    <t>mailto:info@naiolympia.com</t>
  </si>
  <si>
    <t>Olympic Products, In</t>
  </si>
  <si>
    <t>mailto:wfollstad@olympicproductsinc.com</t>
  </si>
  <si>
    <t>Olympus Media/Indiana, LLC</t>
  </si>
  <si>
    <t>http://www.olympusmediallc.com</t>
  </si>
  <si>
    <t>mailto:griley@olympusmediallc.com</t>
  </si>
  <si>
    <t>Ombudsman Educational Svcs of IN, Inc.</t>
  </si>
  <si>
    <t>="Ombudsman Educational Services (""Ombudsman"") is a leading provider of alternative schools, partnering with public schools to provide accredited programs that help students stay in school. Through diagnosing and treating academic paths on the decline, potential drop-outs get the individualized, high-quality instruction they need to get back on track. A strong emphasis on technology allows all students to be fully engaged in their individual programs. Using computers and a wide variety of software frees teachers to spend more time helping each student individually. Students receive immediate feedback and can progress at their own pace without fear of embarrassment over a wrong answer. Currently, Ombudsman offers programs at more than 80 sites nationwide, serving students from over 100 school districts. Ombudsman has a proven educational and business model, serving students and school districts since 1975."</t>
  </si>
  <si>
    <t>http://www.ombudsman.com</t>
  </si>
  <si>
    <t>mailto:oes-info@esa-education.com</t>
  </si>
  <si>
    <t>Omega Professional Coatings, LLC</t>
  </si>
  <si>
    <t>http://www.omegaindy.com</t>
  </si>
  <si>
    <t>mailto:info@omegaindy.com</t>
  </si>
  <si>
    <t>Omni Packaging LLC</t>
  </si>
  <si>
    <t>http://omni-packaging.com</t>
  </si>
  <si>
    <t>mailto:info@omni-packaging.com</t>
  </si>
  <si>
    <t>Paperboard Container Manufacturing</t>
  </si>
  <si>
    <t>Omnia International LLC</t>
  </si>
  <si>
    <t>http://www.omniadrugscreening.com</t>
  </si>
  <si>
    <t>mailto:info@omniadrugscreening.com</t>
  </si>
  <si>
    <t>Omnisource Marketing</t>
  </si>
  <si>
    <t>http://www.omnisourcemarketing.com</t>
  </si>
  <si>
    <t>mailto:jgoldberg@omnisourcemarketing.com</t>
  </si>
  <si>
    <t>On 3 Photography</t>
  </si>
  <si>
    <t>http://www.on3photography.com</t>
  </si>
  <si>
    <t>mailto:anthony@on3photography.com</t>
  </si>
  <si>
    <t>On Demand Staffing, Inc.</t>
  </si>
  <si>
    <t>http://www.ondemandstaffing.jobs</t>
  </si>
  <si>
    <t>On Location Studios</t>
  </si>
  <si>
    <t>="General Photographer - Specialties in Digital Imaging, Commercial, Corporate Events and Business Photography. With over 20 years In the business of photographic excellence, owner Mark Edwards Specializes in On-site lighting, for Architechure, Product, and Portrait Imaging . This includes digital images in just minutes of capture. Events include Golf outings, Business conferences, Large group photography and Sporting Events. Experience with Ad agencies and quick turn around times."</t>
  </si>
  <si>
    <t>mailto:onlocationstudios@sbcglobal.net</t>
  </si>
  <si>
    <t>On Point Promotions &amp; Embroidery</t>
  </si>
  <si>
    <t>http://www.getonpointpromos.com</t>
  </si>
  <si>
    <t>mailto:shelley@getonpointpromos.com</t>
  </si>
  <si>
    <t>On The Scene LLC</t>
  </si>
  <si>
    <t>http://www.onthescenecleanup.com</t>
  </si>
  <si>
    <t>mailto:ots@onthescenecleanup.com</t>
  </si>
  <si>
    <t>On The Spot Service Plus of Michiana</t>
  </si>
  <si>
    <t>http://www.midwaytruckequip.com</t>
  </si>
  <si>
    <t>mailto:brian66@midwaytruckequip.com</t>
  </si>
  <si>
    <t>On Track Coatings, LLC</t>
  </si>
  <si>
    <t>="On Track Coatings, LLC is a full service company that supplies, as well as distributes all fleet,oem,automotive, and industrial coatings. We carry a full line of automotive aftermarket refinishing products. Some of these products are: 3M, NorthStar Paints, Gentec , Gen Star, Norton abrasives, Adhesives and Sealers, American Tapes and Masking, Bondo, Evercoat, Mar- Hyde, Devil Bliss, Klean Strip Products, Specialty and Performance products, and many more other products."</t>
  </si>
  <si>
    <t>mailto:camilles@ontrackcoatings.com</t>
  </si>
  <si>
    <t>On the Market Real Estate LLC</t>
  </si>
  <si>
    <t>http://www.ltfoundations.com</t>
  </si>
  <si>
    <t>mailto:tina@ltfoundations.com</t>
  </si>
  <si>
    <t>On-A-Shoestring, Inc</t>
  </si>
  <si>
    <t>http://www.shoestringinteriors.com, www.</t>
  </si>
  <si>
    <t>mailto:Denise@ShoestringInteriors.com</t>
  </si>
  <si>
    <t>On-Duty Depot of Indiana</t>
  </si>
  <si>
    <t>http://www.ondutydepot.com</t>
  </si>
  <si>
    <t>mailto:dhartman@ondutydepot.com</t>
  </si>
  <si>
    <t>On-Ramp Indiana, Inc</t>
  </si>
  <si>
    <t>="We are a full service Internet Solutions Provider with our world-wide headquarters in Noblesville Indiana. On-Ramp Indiana Inc. (ORI.NET) has been in the computer business since 1989. Our customer base extends to the entire United Sates. Access Services Include: DSL Broadband, Nationwide Dial-up, ISDN, T1 and Wireless. Managed Services include: Domain Name Registration, Website Hosting, E-Mail, List Management, Server Colocation, Virus &amp; Spam Filtering and Server Administration. Professional Services Include: Computer Repair, Installation, Consulting, Networks, Wiring, Web Design and Custom Programming."</t>
  </si>
  <si>
    <t>http://www.ori.net</t>
  </si>
  <si>
    <t>mailto:sales@ori.net</t>
  </si>
  <si>
    <t>On-Site Health &amp; Safety Services. LLC</t>
  </si>
  <si>
    <t>="OnSite Health &amp; Safety Services provides Confined Space/High Angle Rescue Standby Services &amp; Training, OSHA Training, EMT-B, Emergency Medical Responder, First Aid, CPR, AED, &amp; Universcal Precautions Training, Medical Standby Services, Drug Tests, MICCS cards, TB Tests, FIT Tests, Safety Consulting, Fire Extinguisher Training, &amp; Safety Presentations."</t>
  </si>
  <si>
    <t>http://www.onsistehss.com</t>
  </si>
  <si>
    <t>mailto:jwerner@onsitehss.com</t>
  </si>
  <si>
    <t>On-Site Health Solutions LLC</t>
  </si>
  <si>
    <t>="OnSite Health, headquartered in South Bend Indiana, provides customized on-site health care services both locally and nationally to businesses in all major industry sectors. Connie M. Bryan, RN started OnSite Health, LLC in early 2005 as one of the area’s first companies dedicated to employee wellness and disease prevention. Our on-site, high-quality, compassionate workplace health care services include worksite clinics, on-site screening and flu vaccination services, and on-site educational services such as CPR &amp; First Training and Tobacco Cessation. The services are provided by board-certified physicians, nurse practitioners, registered nurses, and other professionals specializing in on-site, high-quality, compassionate workplace health care programs. We utilize a unique “relationship” approach with a focus on prevention, education, and motivation to help your employees reach and maintain their optimum health."</t>
  </si>
  <si>
    <t>http://www.onsitehealthllc.com</t>
  </si>
  <si>
    <t>mailto:info@onsitehealthllc.com</t>
  </si>
  <si>
    <t>On-Site Supply</t>
  </si>
  <si>
    <t>="ON-SITE SUPPLY IS A FULL-SERVICE DISTRIBUTOR OF JANITORIAL PRODUCTS, SAFETY SUPPLIES, FIRST AID PRODUCTS AND SERVICE, OFFICE SUPPLIES AND MATERIAL HANDLING EQUIPMENT. WE OFFER FREE NEXT-DAY DELIVERY ON OUR TRUCKS ON OVER 55,000 IN-STOCK ITEMS. ON-SITE SUPPLY PROVIDES THE LOWEST TOTAL COST OF PRODUCT PROCUREMENT THROUGH THE MOST EFFICIENT SUPPLY-CHAIN IN THE INDUSTRY. WE OFFER FREE EXPERT DEMONSTRATIONS AND TRAINING ON ALL PRODUCTS AVAILABLE THROUGH ON-SITE SUPPLY."</t>
  </si>
  <si>
    <t>http://www.OnSiteOnTime.com</t>
  </si>
  <si>
    <t>mailto:orders@on-sitesupply.com</t>
  </si>
  <si>
    <t>On-Site Welding &amp; Millwright Services</t>
  </si>
  <si>
    <t>mailto:onsitewelding09@yahoo.com</t>
  </si>
  <si>
    <t>On-Target Consulting, Inc</t>
  </si>
  <si>
    <t>mailto:hdavis35@excite.com</t>
  </si>
  <si>
    <t>OnLine Packaging, Inc.</t>
  </si>
  <si>
    <t>mailto:online@coredcs.com</t>
  </si>
  <si>
    <t>OnRamp Communications</t>
  </si>
  <si>
    <t>="We provide 24 hour live answering service to medical offices as well as commercial companies who require after hours service. We answer for a majority of the physicians in Marion county. We also provide call center activities to large corporations who outsource their call center functions."</t>
  </si>
  <si>
    <t>http://www.on-ramp.com</t>
  </si>
  <si>
    <t>Telephone Call Centers</t>
  </si>
  <si>
    <t>One Number Corporation</t>
  </si>
  <si>
    <t>="Provide hosted and premise based Voice over IP phone systems Provide a mass notification system that notifies people in the case of an emergency or disaster, by Voice, e-Mail and text and allows your the person being notified to provide a response to the notification. Provide a 1 number solution that allows an individual or group to have a number that rings up to 5 different phone numbers simultaneously. Give out a single number, protect your privacy and be found when you need to get the call. Call screening allows you to choose to accept the call. A single number creates a single voice mailbox. Use the same number to recieve faxes."</t>
  </si>
  <si>
    <t>http://www.1num.com</t>
  </si>
  <si>
    <t>mailto:sales@1num.com</t>
  </si>
  <si>
    <t>One Planet Solar and Wind, Inc.</t>
  </si>
  <si>
    <t>http://www.oneplanetsolar.com</t>
  </si>
  <si>
    <t>mailto:Betsy@oneplanetsolar-in.net</t>
  </si>
  <si>
    <t>One Source Distribution, Inc.</t>
  </si>
  <si>
    <t>http://www.onesourcedistribution.com</t>
  </si>
  <si>
    <t>mailto:sales@onesourcedistribution.com</t>
  </si>
  <si>
    <t>Sporting Goods, Hobby, Book and Music Stores</t>
  </si>
  <si>
    <t>One Source Solutions, LLC</t>
  </si>
  <si>
    <t>="Professional business services featuring: unique promotional products, high quality apparel including uniforms, headwear, and footwear, safety oriented products, distinctive gifts including gourmet baskets, incentive program awards and ideas, and full color printing services!"</t>
  </si>
  <si>
    <t>http://www.onesourcesolutions.biz</t>
  </si>
  <si>
    <t>mailto:info@onesourcesolutions.biz</t>
  </si>
  <si>
    <t>One Stop Laundry, INC</t>
  </si>
  <si>
    <t>="One Stop Laundry is a state of the art laundromat which offers residential and commercial drop off service, card operated washers/dryers, customer service representative at all times, system operates in English/Spanish/French and offers a peaceful gospel music environment. Pick up service is available for commercial accounts."</t>
  </si>
  <si>
    <t>mailto:coxmaryml@sbcglobal.net</t>
  </si>
  <si>
    <t>Commercial Laundry, Drycleaning and Pressing Machine Manufacturing</t>
  </si>
  <si>
    <t>One Stop Property Management</t>
  </si>
  <si>
    <t>http://www.ospropertymanage.com</t>
  </si>
  <si>
    <t>mailto:contractor@ospropertymanage.com</t>
  </si>
  <si>
    <t>One Touch Commercial Cleaning Inc.</t>
  </si>
  <si>
    <t>="I provide commercial cleaning services to companies in and around Indianapolis, Indiana. These services include weekly scheduled cleaning and other services such as stripping and waxing floors and carpet cleaning. I also do upholstery cleaning. These extra services can be included in the contract or done upon request by the client."</t>
  </si>
  <si>
    <t>mailto:pickenspd@yahoo.com</t>
  </si>
  <si>
    <t>One-Stop Travel Shop The</t>
  </si>
  <si>
    <t>http://www.1ststoptravelstore.com</t>
  </si>
  <si>
    <t>mailto:traveler@1ststoptravelstore.com</t>
  </si>
  <si>
    <t>OneSource Transfer L</t>
  </si>
  <si>
    <t>mailto:onesource@etczone.com</t>
  </si>
  <si>
    <t>OneTouch Security Plus, LLC</t>
  </si>
  <si>
    <t>="OneTouch Security Plus, LLC main office is located in Lafayette IN. We offer burglar, fire, access control and video cameras installations and service for both residential and business customers in the Lafayette and Terre Haute areas. Customers interested in security services may call or email the offices of OneTouch Security. A representative of OneTouch will assist you in designing a system for your home or business. Our estimates and security evaluations are always free. We offer a two year warranty on all Fire, Security and Medical systems we install."</t>
  </si>
  <si>
    <t>http://www.onetouchsecurity.com</t>
  </si>
  <si>
    <t>mailto:sales@onetouchsecurity.com</t>
  </si>
  <si>
    <t>Oneida Solutions Group</t>
  </si>
  <si>
    <t>="Oneida Solutions Group (OSG) Provides Office Furniture Installation &amp; Relocation Services, Design, Project Management, All Moving &amp; Storage Services,, Household Goods, Complete Employee Relocation Services Domestic &amp; Globally. OSG is a Native American Owned &amp; Operated Company Certified by the MMSDC, NMBC, NABA, IMSDC &amp; WCAA. OSG Developed a Move Management Software Program Second to None in the Moving Industry. OSG Can Customize the Program to care for your company’s specific needs and concerns to provide a seamless move from start to finish."</t>
  </si>
  <si>
    <t>http://www.oneidasoltuions.com</t>
  </si>
  <si>
    <t>mailto:jgreen@oneidasolutions.com</t>
  </si>
  <si>
    <t>Online Architecture,</t>
  </si>
  <si>
    <t>mailto:oamail@onlinearc.com</t>
  </si>
  <si>
    <t>OnlyInternet.Net Professional Scvs, Inc.</t>
  </si>
  <si>
    <t>http://www.oibw.net</t>
  </si>
  <si>
    <t>mailto:tlmiller@onlyinternet.net</t>
  </si>
  <si>
    <t>Onsite Occupational Health &amp; Safety Inc.</t>
  </si>
  <si>
    <t>http://www.onsiteohs.com</t>
  </si>
  <si>
    <t>mailto:sales@onsiteohs.com</t>
  </si>
  <si>
    <t>Ontrac, INC</t>
  </si>
  <si>
    <t>http://www.blitzbuilders.com</t>
  </si>
  <si>
    <t>mailto:leads@blitzbuilders.com</t>
  </si>
  <si>
    <t>Engineered Wood Member (except Truss) Manufacturing</t>
  </si>
  <si>
    <t>Onward &amp; Upward Strategies</t>
  </si>
  <si>
    <t>http://onwardupwardstrategies.com</t>
  </si>
  <si>
    <t>mailto:lindsay@onwardupwardstrategies.com</t>
  </si>
  <si>
    <t>Ooley Transport Inc.</t>
  </si>
  <si>
    <t>mailto:jooley@insightbb.com</t>
  </si>
  <si>
    <t>Oongawa Design, Inc.</t>
  </si>
  <si>
    <t>="Oongawa Design provides website design, website development, website maintenance, database design, custom programming, search engine optimization, social media marketing, geographic information systems (GIS) and mapping, spatial analysis, demographic research, domain registration and website hosting services."</t>
  </si>
  <si>
    <t>http://www.oongawa.com</t>
  </si>
  <si>
    <t>mailto:information@oongawa.com</t>
  </si>
  <si>
    <t>Open Arms Christian Ministries</t>
  </si>
  <si>
    <t>http://www.openarmschristian.com</t>
  </si>
  <si>
    <t>mailto:openarms@openarmschristian.com</t>
  </si>
  <si>
    <t>Open Control Systems</t>
  </si>
  <si>
    <t>Opportunity Buys Inc</t>
  </si>
  <si>
    <t>="Opportunity Buys Inc. is a general merchandise wholesale dealer. We are a family owned business started in 1994 and located in Indianapolis Indiana. Our customers trust our experience to get them the best products at the best prices. We can supply your business with a large variety of general merchandise. Our products include home decorations, our own candles, polyresin figurines, porcelain / vinyl dolls, gift items, carded toys, tools and many more. As an importer of our own OBI brand products and wholesale distributor we can offer you the best prices on thousands of products."</t>
  </si>
  <si>
    <t>http://www.obiwholesale.com</t>
  </si>
  <si>
    <t>mailto:sales@obiwholesale.com</t>
  </si>
  <si>
    <t>Opportunity Enterpri</t>
  </si>
  <si>
    <t>="Outsource Solutions: Make no mistake about it, we understand that you're in business to make a profit. Our goal, quite simply, is to help you get there. We do it by offering a broad array of products and services which can reduce your overhead and employee costs while still meeting your company's high standards of productivity, performance and quality. Staffed by highly trained, well-managed individuals, our team brings a level of enthusiasm and commitment to excellence which you simply will not find with more ""traditional"" vendors. Frankly, we work harder and, yes, smarter to meet or exceed your expectations. To learn more about our Confidential Paper Recycling program, paper shredding you can visit the CPR page. Our Services include : Packaging, Designed for our customers with highly specialized packaging needs -- many of which must be completed by hand -- our packaging services offer the ultimate in quality, flexibility and economy. Our team can handle projects from unique, "</t>
  </si>
  <si>
    <t>http://www.oppent.org</t>
  </si>
  <si>
    <t>mailto:oppent@oppent.org</t>
  </si>
  <si>
    <t>Opportunity Mgmt LLC</t>
  </si>
  <si>
    <t>mailto:opportunity.management@comcast.net</t>
  </si>
  <si>
    <t>Optic Defense Inc</t>
  </si>
  <si>
    <t>mailto:jay_opsec@yahoo.com</t>
  </si>
  <si>
    <t>Optical Dispensing Company, P.C.</t>
  </si>
  <si>
    <t>http://www.downtowneyecare.com</t>
  </si>
  <si>
    <t>mailto:jfrank@downtowneyecare.com</t>
  </si>
  <si>
    <t>Options Charter Schools</t>
  </si>
  <si>
    <t>Options Treatment Center Acqu Corp</t>
  </si>
  <si>
    <t>http://WWW.OPTIONSTREATMENTCENTER.COM</t>
  </si>
  <si>
    <t>mailto:JEFF.CATLETT@YFCS.COM</t>
  </si>
  <si>
    <t>Optivel, Inc.</t>
  </si>
  <si>
    <t>="Optivel's purpose is to reduce risk and Total Cost of Ownership (TCO) for our clients by applying leading edge management and security techniques to the Information Technology Infrastructure. By listening carefully to You, we will design a solution appropriate for your business. Whether you're looking to outsource your Technology Management entirely or only to supplement the expertise of your existing staff, Optivel will be there to help. Optivel can extend your current staff by providing remote expertise in Security Management, Help Desk, Database Design &amp; Adminstration, Intrastructure Status Monitoring, and various other specialties. Of course a complete outsourcing relationship can include all of the above and more."</t>
  </si>
  <si>
    <t>http://www.optivel.com</t>
  </si>
  <si>
    <t>Oral Medical Innovations LLC</t>
  </si>
  <si>
    <t>="We provided Items (wallet cards and keychains) that contain information on safe driving and the effects of drinking and driving. This way the pulic is informed on how much each drink effects their blood alcohol levels on an easy to read items that they can take with them any where."</t>
  </si>
  <si>
    <t>mailto:andreyhorton@msn.com</t>
  </si>
  <si>
    <t>Orange County Plumbing, LLC</t>
  </si>
  <si>
    <t>="We do all types of plumbing related work from residential, to commercial to new construction. We do not however do septic tank cleaning. We have over 30 years combined experience. We are also backflow certified. Our prices are reasonable and we stand behind our work."</t>
  </si>
  <si>
    <t>mailto:ocp@hughes.net</t>
  </si>
  <si>
    <t>Orange County Rehabilitative &amp; Developme</t>
  </si>
  <si>
    <t>mailto:bjsmith@firstchancecenter.com</t>
  </si>
  <si>
    <t>Orbital Customs Inc.</t>
  </si>
  <si>
    <t>http://www.xtremevehicledesigns.com</t>
  </si>
  <si>
    <t>mailto:sales@orbitalcustoms.com</t>
  </si>
  <si>
    <t>Order Fulfillment Gr</t>
  </si>
  <si>
    <t>http://www.tofg.com</t>
  </si>
  <si>
    <t>mailto:thughes@tofg.com</t>
  </si>
  <si>
    <t>Data Processing Services</t>
  </si>
  <si>
    <t>Organizational Development Solutions Inc</t>
  </si>
  <si>
    <t>="Located in northwest Indiana, just 60 minutes from downtown Chicago, our principals work with top companies to help them achieve peak business performance in the following areas: project management, human resources, strategic planning, management and leadership development, needs assessment and analysis, quality and customer service skills. With over 20 years of training and consulting experience, our team of professionals are recognized leaders across a wide range of business disciplines and bring a wealth of experience in helping companies address their most pressing challenges. Organizations that prefer a customized approach can look forward to collaborating with our team to tailor any project to meet their needs. Customization of programs and follow-up are what set us apart from similar organizations. We work closely with our clients to find the true issues, identify the root cause of the problem and come up with reasonable, affordable business solutions."</t>
  </si>
  <si>
    <t>http://SuccesswithODS.com</t>
  </si>
  <si>
    <t>mailto:drosetti@successwithods.com</t>
  </si>
  <si>
    <t>Organize to Optimize dba VisionBridge</t>
  </si>
  <si>
    <t>="VisionBridge helps business owners build a business that runs without them by building, documenting, and improving company systems through our unique, step-by-step process. Business system implementation Process mapping Process improvement Strategy and implementation planning Operations manuals Streamlining organization Staffing strategies/descriptions"</t>
  </si>
  <si>
    <t>http://www.visionbridgeinc.com</t>
  </si>
  <si>
    <t>mailto:nicole@visionbridgeinc.com</t>
  </si>
  <si>
    <t>Oriental MedTran</t>
  </si>
  <si>
    <t>Orion Arms Corp</t>
  </si>
  <si>
    <t>http://www.orionarmscorp.com/</t>
  </si>
  <si>
    <t>Orion Group Software Engineers</t>
  </si>
  <si>
    <t>http://www.ogse.com</t>
  </si>
  <si>
    <t>mailto:info@ogse.com</t>
  </si>
  <si>
    <t>Orison Business Group</t>
  </si>
  <si>
    <t>mailto:bridgett.mclaurin@sbcglobal.net</t>
  </si>
  <si>
    <t>Osby Water Conditioning</t>
  </si>
  <si>
    <t>http://www.osbywater.com</t>
  </si>
  <si>
    <t>mailto:dave@osbywater.com</t>
  </si>
  <si>
    <t>Otis R. Bowen Center</t>
  </si>
  <si>
    <t>http://www.bowencenter.org</t>
  </si>
  <si>
    <t>mailto:www.bowencenter.org</t>
  </si>
  <si>
    <t>Otto-Meyer Inc.</t>
  </si>
  <si>
    <t>http://www.ottospm.com</t>
  </si>
  <si>
    <t>Our Family Vending LLC</t>
  </si>
  <si>
    <t>mailto:ourfamilyvending@ymail.com</t>
  </si>
  <si>
    <t>Automatic Vending Machine Manufacturing</t>
  </si>
  <si>
    <t>Our House Property Development</t>
  </si>
  <si>
    <t>mailto:Our.House.Property.Development@gmail.com</t>
  </si>
  <si>
    <t>Our Place, Inc</t>
  </si>
  <si>
    <t>http://www.ourplaceinc.org</t>
  </si>
  <si>
    <t>mailto:ourplace@ourplaceinc.org</t>
  </si>
  <si>
    <t>OurHealth LLC</t>
  </si>
  <si>
    <t>http://ourhealth.org</t>
  </si>
  <si>
    <t>mailto:info@ourhealth.org</t>
  </si>
  <si>
    <t>OutSourcing Networx Enterprises, Corp.</t>
  </si>
  <si>
    <t>="OutSourcing Networx Enterprises, Corp is a minority owned Janitorial- Commercial Property Preservation and Restoration business. We provide a cleaning service that consist of trash and debris of properties after and before tenant moves in or out, perform inspections on properties. We offer jobs to homeless, and displaced workers."</t>
  </si>
  <si>
    <t>mailto:outsourcingnetworx@att.net</t>
  </si>
  <si>
    <t>Outback Pools Inc.</t>
  </si>
  <si>
    <t>="We are designers and installers of in ground swimming pools. We have the capacity to build any size project and any type of swimming pool, commercial or residential. We also specialize in stamped /decorative concrete for use in a swimming pool environment as well as any where decorative concrete surfaces are required. We are also the midwest distributor for the Watermaid salt water purification system. A system which eliminates the need for chlorine, bromine and other sanitisers. This remarkable device eliminates chlorine gas from any swimming pool environment, which is critical when one considers the long term maintenance nightmares associated with the powerful corrosive nature of chlorine as either a liquid or in a gaseous state. This is a must for any indoor pool. visit www.watermaid-midwest.com for more info."</t>
  </si>
  <si>
    <t>http://www.outbackpoolsinc.com</t>
  </si>
  <si>
    <t>mailto:sales@outbackpoolsinc.com</t>
  </si>
  <si>
    <t>Outdoor Power Unlimited, Inc.</t>
  </si>
  <si>
    <t>="Industrial, commerical &amp; residential lawn &amp; garden equipment including zero-turn mowers, tractors, chain saws, generators, blowers, &amp; snow equipment including snowplows. Specialize in the following brands: Grasshopper, Cub Cadet, Husqvarna, Walker, Red Max, Honda, Boss Snowplows &amp; SnowEx. Also authorized engine dealer for: Honda, Briggs &amp; Stratton, Kohler &amp; Kubota."</t>
  </si>
  <si>
    <t>http://outdoorpowerunlimited.com</t>
  </si>
  <si>
    <t>mailto:outdoorpower@sbcglobal.net</t>
  </si>
  <si>
    <t>Outdoor Solutions, Inc.</t>
  </si>
  <si>
    <t>="In business since 1987. We offer Bare Ground Weed Control for gravel areas at commercial and industrial sites, Aquatic Weed &amp; Algae Control for ponds and lakes, Turf Weed &amp; Feed Applications (limited areas), and Tree Feeding (limited areas). Philip W. Fred (Phil), President and Founder"</t>
  </si>
  <si>
    <t>http://www.outdoorsolutionsinc.us</t>
  </si>
  <si>
    <t>mailto:info@outdoorsolutionsinc.us</t>
  </si>
  <si>
    <t>Outerlimits Technologies Incorporated</t>
  </si>
  <si>
    <t>http://www.outerlimitstech.com</t>
  </si>
  <si>
    <t>mailto:cstraw@outerlimitstech.com</t>
  </si>
  <si>
    <t>Outfox Consulting, Inc.</t>
  </si>
  <si>
    <t>http://www.outfoxconsulting.com</t>
  </si>
  <si>
    <t>mailto:tonyadick@outfoxconsulting.com</t>
  </si>
  <si>
    <t>Outside Services, Inc.</t>
  </si>
  <si>
    <t>="We provide complete lawn, landscape, &amp; irrigation maintenance and management including; mowing, mulching, trimming, design, install, turf and ornamental chemical programs. Design consulting and exterior property management. Flower programs, landscape construction, hardscape."</t>
  </si>
  <si>
    <t>http://www.osindy.com</t>
  </si>
  <si>
    <t>mailto:laura@osindy.com</t>
  </si>
  <si>
    <t>Overhead Door Co.</t>
  </si>
  <si>
    <t>http://overheaddoor.com</t>
  </si>
  <si>
    <t>mailto:jstolt@ohdth.com</t>
  </si>
  <si>
    <t>Overseas Advantage Inc.</t>
  </si>
  <si>
    <t>mailto:janis@overseas-advantage.com</t>
  </si>
  <si>
    <t>Overwatch Protection Solutions Int. LLC</t>
  </si>
  <si>
    <t>="Protection Services Company providing executive protection, anti-terrorism services, stalker threat management, etc. Company comprises of six main divisions: Government Services - Private Military Contractor (registered DoD contractor) Corporate Services - Executive Protection, Stalker Threat Management, etc. Special Projects - Bespoke projects including asset reclamation, anti-terrorist security services, etc. Investigative Services - currently under development. Fugitive Recovery Division - providing professional, insured, fugitive recovery and skip tracing services for bond agents. Training Division - providing specialty training courses in self defense training, executive protection certification training, fugitive recovery certification training, special weapons training (to military, law enforcement and bona fide protection agents and private military contractors), CCW training, etc."</t>
  </si>
  <si>
    <t>http://www.ops-int.com</t>
  </si>
  <si>
    <t>mailto:info@ops-int.com</t>
  </si>
  <si>
    <t>Owen Valley Flooring</t>
  </si>
  <si>
    <t>http://owenvalleyflooring.com</t>
  </si>
  <si>
    <t>Owens Communications, Inc.</t>
  </si>
  <si>
    <t>http://www.owenscommunication.com</t>
  </si>
  <si>
    <t>mailto:towens@owenscommunication.com</t>
  </si>
  <si>
    <t>Oxygen Education LLC</t>
  </si>
  <si>
    <t>="Founded in 2001, Oxygen Education is a privately owned distance learning company based in Indianapolis, Indiana, that provides digital training services that are focused upon complex proceses or complex devices. Our training content is rich in simulation and interaction and, it requires and ensures attainment of competency. The highly interactive nature of our courses engages the student in a game like manner. This high level of interaction leads to high levels of course success and completion. Our clients include DaimlerChrysler, Fuji, Johnson Controls and several other users of complex technology. Industry experience includes the automotive, medical device and aerospace industries. Our staff members experienced firsthand the cost, time and production issues related to employee training. Our solutions are based upon our collective experiences."</t>
  </si>
  <si>
    <t>http://www.o2ed.com</t>
  </si>
  <si>
    <t>mailto:o2ed@o2ed.com</t>
  </si>
  <si>
    <t>Oxygen Plus LLC</t>
  </si>
  <si>
    <t>mailto:daveallen@o2plusllc.com</t>
  </si>
  <si>
    <t>Ozinga Indiana RMC</t>
  </si>
  <si>
    <t>http://www.ozinga.com</t>
  </si>
  <si>
    <t>mailto:davehuitsing@ozinga.com</t>
  </si>
  <si>
    <t>P &amp; D Fabrication L.L.C.</t>
  </si>
  <si>
    <t>mailto:PandDFabrications@msn.com</t>
  </si>
  <si>
    <t>P &amp; D Global Resources LLC</t>
  </si>
  <si>
    <t>P &amp; F Hubbard, Inc DBA Hubbard, Inc</t>
  </si>
  <si>
    <t>="Hubbard, Inc provides electrical work for Industrial, Commercial and Residential. We manufacture and install cranes and hoists. We provide OSHA inspections for all crane and hoist types. We have a team of estimators for all remodel and new construction for the elctical work needed. We also provide 24 hour emergency service and a full line of electrical, crane &amp; hoist parts. We perform Programable control work, repair and installation of motors, industrial washers and dryers."</t>
  </si>
  <si>
    <t>http://www.hubbinc.com</t>
  </si>
  <si>
    <t>mailto:hubbelec@aol.com</t>
  </si>
  <si>
    <t>P &amp; L Supply LLC</t>
  </si>
  <si>
    <t>http://www.plsupplyllc.com</t>
  </si>
  <si>
    <t>mailto:sales@plsupplyllc.com</t>
  </si>
  <si>
    <t>P&amp;G Luxury Homes</t>
  </si>
  <si>
    <t>="P&amp;G is a construction company that specializes in framing, drywall, roofing, painting, tile work and finish carpentry. This company has the capability of accomplishing all of the services required in the construction process through its own trained crews and a network of qualified sub contractors. P&amp;G has a reputation for quality and efficiency. This conpany has a 5 year history in the residential home construction and remodeling industry and is currently branching into the commercial construction and remodeling industry."</t>
  </si>
  <si>
    <t>mailto:carlosposadas2006@yahoo.com</t>
  </si>
  <si>
    <t>P&amp;S Consulting Company Inc</t>
  </si>
  <si>
    <t>http://www.psconsultinginc.com</t>
  </si>
  <si>
    <t>mailto:psconsultinginc@yahoo.com</t>
  </si>
  <si>
    <t>P.J.Krueger-HR Solutions, LLC</t>
  </si>
  <si>
    <t>="Human resource consulting to small and mid-sized companies. Services include, HR audits, recruitment and hiring, management training, employee relations, HR policies/procedures/forms/handbooks, HR department startup or restructure, behavior assessments and special projects."</t>
  </si>
  <si>
    <t>http://www.pjkrueger.com</t>
  </si>
  <si>
    <t>mailto:pjksphr@comcast.net</t>
  </si>
  <si>
    <t>P.L. E. Enterprise</t>
  </si>
  <si>
    <t>mailto:casiphile11@aol.com</t>
  </si>
  <si>
    <t>PAINTING SOLUTIONS LLC</t>
  </si>
  <si>
    <t>="A paint company you can trust that provides a consistent quality service at an affordable price. An Interior Paint Specialist experienced with apartment, condo, residential and commercial projects in exterior paint, drywall repair, wallpaper removal, water damage, and basement sealing."</t>
  </si>
  <si>
    <t>mailto:dreamteamx3@netzero.net</t>
  </si>
  <si>
    <t>PAPER SERVICE &amp; OFFICE SUPPLIES</t>
  </si>
  <si>
    <t>http://www.iosofficesupply.com</t>
  </si>
  <si>
    <t>mailto:paperservice@iquest.net</t>
  </si>
  <si>
    <t>PARAGON SERVICES, LLC</t>
  </si>
  <si>
    <t>mailto:inparagon@aol.com</t>
  </si>
  <si>
    <t>PARDIECKS INC</t>
  </si>
  <si>
    <t>http://www.pardiecksinc.com</t>
  </si>
  <si>
    <t>mailto:pardiecksinc@tls.net</t>
  </si>
  <si>
    <t>PARISH MANUFACTURING INC</t>
  </si>
  <si>
    <t>mailto:parishmfg@earthlink.net</t>
  </si>
  <si>
    <t>PARK CENTER INC</t>
  </si>
  <si>
    <t>http://www.parkcenter.org</t>
  </si>
  <si>
    <t>PARKVIEW HOSPITAL, INC.</t>
  </si>
  <si>
    <t>PATHWAY PRODUCTIONS</t>
  </si>
  <si>
    <t>="Provider of video and audio production, post production, website development, animation, interactive media creation, graphic/web design and internet strategy development for corporate and broadcast. Emmy-award winning productions for ESPN, History Channel, etc. We maintain 4 Avid and 1 ProTools suites."</t>
  </si>
  <si>
    <t>http://www.pathwayproductions.com</t>
  </si>
  <si>
    <t>PAUL P MOLONEY</t>
  </si>
  <si>
    <t>PAUL'S TRAILER SERVICE</t>
  </si>
  <si>
    <t>http://PAULSTRAILER.COM</t>
  </si>
  <si>
    <t>mailto:PAULSTRAILERS@SBCGLOBAL.NET</t>
  </si>
  <si>
    <t>PBH Holdings, Inc.</t>
  </si>
  <si>
    <t>="The Red Eye Cafe, downtown Indianapolis' newest 24 hour diner, features breakfast all day, burgers, sandwiches, beer and more. Now featuring $4.99 lunch specials Monday - Friday starting at 11AM, such as BBQ pork, lasagne, fried chicken, Jambalaya, and chicken and dumplings. Also offering drink specials on Pacer and Colts game days. Five televisions and tons of board games make the Red Eye Cafe a great place for food and fun. We also offer limited lunchtime and late night delivery! The Red Eye Cafe is located at 250 S. Meridian St., just North of Union Station."</t>
  </si>
  <si>
    <t>http://www.redeyecafe.com</t>
  </si>
  <si>
    <t>mailto:info@redeyecafe.com</t>
  </si>
  <si>
    <t>PBS Enterprises LLC</t>
  </si>
  <si>
    <t>="I am in the process of registering as a woman and minority company who provides the following services with Tri- Axle Dump trucks: Commercial and Residential Construction with Tri-Axle dumps - Snow removal Delivery of gravel, sand, top soil, clay Construction site haul away work Removal and relocation of clay, black dirt, sand Removal of Hwy Demolition materials such as concrete, asphalt Delivery of asphalt and liquid concrete Commerial and Municpality Snow Removal Removal of snow from parking lots, alleyways, loading docks, sidewalks, airports, roadways. Hauling away of bulk snow and delivery of salt - along with spreading of salt"</t>
  </si>
  <si>
    <t>mailto:letitsnowpbs@aol.com</t>
  </si>
  <si>
    <t>PC Communication Inc</t>
  </si>
  <si>
    <t>mailto:pccommun@hotmail.com</t>
  </si>
  <si>
    <t>PC Quest, Inc.</t>
  </si>
  <si>
    <t>="The Technology Experts at PC Quest work primarily within a 100 mile radius of Evansville, IN. PC Quest is vastly certified in computer consulting and servicing. ** Network server installation, integration, and migration ** Network Cabling installation and certifying (Cat5e, Cat6, and fiber) ** Network infrastructure configuration (routers, layer 2 &amp; 3 switches, firewalls) ** Long-range point-to-point wireless vpn tunnels ** SIP &amp; VOIP telephone systems sales &amp; service ** On-Site and in-store repairs of all brands pc, MAC, and laptops ** Sales and Maintenance contracts for servers, HP Laser Printers, peripherals ** Surveillance system sales, installation, remote viewing configuration ** Data Recovery services for single drives, RAID 0,1,5,10, Unix, Linux. ** Hosted data services: MS Exchange, QuickBooks Enterprise, Offline Backups ** Web Design &amp; Web Hosting, graphic design ** Repair services for iPhones, smartphones, X-Box, Playstation PS3"</t>
  </si>
  <si>
    <t>http://www.pcquest.net</t>
  </si>
  <si>
    <t>mailto:mark.miller@pcquest.net</t>
  </si>
  <si>
    <t>PC Source, LLC</t>
  </si>
  <si>
    <t>="PC Source is a local company specializing in custom built computers and in-house and on-site computer and network services. Our commitment to service, quality, professionalism, and our customers sets us apart from our competition. PC Source offers a full range of services, software, and hardware. Software development, website design &amp; hosting, off site back up, network design &amp; set up, consulting, and computer repair are a brief list of services provided. Desktops, notebooks, and servers customized specifically for your needs, built &amp; supported locally; along with individual hardware components. PC Source also offers service contracts with reduced labor rates."</t>
  </si>
  <si>
    <t>http://www.pcsourcre.biz</t>
  </si>
  <si>
    <t>mailto:sales@pcsource.biz</t>
  </si>
  <si>
    <t>PC-COM, INC</t>
  </si>
  <si>
    <t>http://PC-COM.COM</t>
  </si>
  <si>
    <t>mailto:MIMI@PC-COM.COM</t>
  </si>
  <si>
    <t>PCA, LLC</t>
  </si>
  <si>
    <t>http://www.pcameds.com</t>
  </si>
  <si>
    <t>PCI Holdings, LLC</t>
  </si>
  <si>
    <t>mailto:pstroup@pciprint.com</t>
  </si>
  <si>
    <t>PCR Restoration</t>
  </si>
  <si>
    <t>="PCR Restoration is a licensed, bonded, and insured commerail and resdientail General Contractor. We specialize in Roofing, Siding, Gutters, Windows, interior build out and exterior construction and more. We are experianced in all types of insurance restoration including water, fire, hail, wind, mold and more."</t>
  </si>
  <si>
    <t>http://PCRRestore.com</t>
  </si>
  <si>
    <t>mailto:info@pcrrestore.com</t>
  </si>
  <si>
    <t>PCS Consulting, Inc.</t>
  </si>
  <si>
    <t>="PCS Consulting, Inc. is a leader in the implementation of performance and cost management systems. Our focus is to assist organizations improve decision making through application of Activity Based Cost Management, Performance Managemnt, and Business Intelligence tools and techniques. provides a full range of Activity Based Cost Management services designed to assist our clients to implement powerful and useful Activity Based decision support systems that provide significant value to the organization. These services include: - Activity Based Cost Management Education and Training - Activity Based Cost Management Requirements Definition - ABCM Software Assessment and Recommendations - Activity Based Cost Management Systems Implementation - Post Activity Based Cost Management Systems Support We have been providing ABCM services since 1982 and have in-depth experience with all of the top ABCM software solutions across multiple industry sectors."</t>
  </si>
  <si>
    <t>http://www.pcsconsulting.com</t>
  </si>
  <si>
    <t>mailto:info@pcsconsulting.com</t>
  </si>
  <si>
    <t>PDA Worldwide Inc.</t>
  </si>
  <si>
    <t>="PDA Worldwide Inc. although a new business has over 30 years combined experience in the promotional products industry. The corporate officers are 3 women with different areas of expertise that will find better creative solutions for your company. Our office is located at 7260 Georgetown Rd. Indianapolis, Indiana. We are a new Hispanic-women owned business. PDA Worldwide Inc. is dedicated in offering high quality, cost-effective products. Our services include screenprinting, embroidery, graphic design, promotional products and advertising. PDA Worldwide will seek to provide these services in the most efficeint manner for 100% customer satisfaction."</t>
  </si>
  <si>
    <t>http://www.pdaworldwide.com</t>
  </si>
  <si>
    <t>mailto:sylvia@pdaworldwide.com</t>
  </si>
  <si>
    <t>PDK Enterprises, LLC</t>
  </si>
  <si>
    <t>mailto:pdkenterprises@comcast.net</t>
  </si>
  <si>
    <t>PEANUT BUTTER &amp; JELLY DESIGN</t>
  </si>
  <si>
    <t>="At PB&amp;J our mission is to create poignant, influential and beautiful work for our clients. We do this by developing an understanding of our client’s needs, by maintaining high quality work yielding pride in the pieces produced, and by helping our clients discover possibilities to succeed in a competitive market place. Overcoming communication issues to evoke powerful pieces is no small task. Creating good design is an intricate connection between the designer, client and audience. With PB&amp;J all aspects of interaction between the final concept and the audience are considered. PB &amp;J Design is a firm packed full of creative solutions for your business. We are a thoughtful, talented, and well-rounded design team who works closely with each client. With our attention to details of the design process, clients have confidence in obtaining an effective communication piece. Our design services include Identity Systems, Marketing Collateral, Packaging, and Presentation Materials."</t>
  </si>
  <si>
    <t>http://www.pbandjgraphicdesign.com</t>
  </si>
  <si>
    <t>mailto:info@pbandjgraphicdesign.com</t>
  </si>
  <si>
    <t>PEERLESS-MIDWEST INC</t>
  </si>
  <si>
    <t>="Water Supply Contractor including water well drilling for municipalities, industrial and commercial, fire protection, hydrogeological services, water pump sales, repair and overhauls, water well rehabilitation and water treatment additions and removal of media."</t>
  </si>
  <si>
    <t>http://www.peerlessmidwest.com</t>
  </si>
  <si>
    <t>mailto:cathy.lance@peerlessmdiwest.com</t>
  </si>
  <si>
    <t>PEI Genesis</t>
  </si>
  <si>
    <t>http://www.peigenesis.com</t>
  </si>
  <si>
    <t>mailto:insales@peigenesis.com</t>
  </si>
  <si>
    <t>PEN PRODUCTS/Dept of Correction</t>
  </si>
  <si>
    <t>http://www.penproducts.com</t>
  </si>
  <si>
    <t>mailto:penwebsales@idoc.in.gov</t>
  </si>
  <si>
    <t>PENDLETON TRUE VALUE</t>
  </si>
  <si>
    <t>mailto:ptvl@msn.com</t>
  </si>
  <si>
    <t>PERFORMANCE PRODUCTS CO</t>
  </si>
  <si>
    <t>mailto:DHUFFY101@CS.COM</t>
  </si>
  <si>
    <t>PERKINS NICHOLS MEDIA, INC</t>
  </si>
  <si>
    <t>="PNM is a media buying firm specializing in the purchase of radio, tv, print, billboard and online advertising for our clients. We purchase media on a local, regional or national basis. No other buying firm has the experience of PNM when it comes to buying the state of Indiana, We have been in business since 1980 and was Indiana's first independent media buying agency."</t>
  </si>
  <si>
    <t>http://www.pnmedia.com</t>
  </si>
  <si>
    <t>mailto:dnichols@pnmedia.com</t>
  </si>
  <si>
    <t>Media Buying Agencies</t>
  </si>
  <si>
    <t>PERPETUAL TECHNOLOGIES INC</t>
  </si>
  <si>
    <t>="Perpetual Technologies, Inc. (PTI) provides essential database and information systems support to business and government enterprises worldwide. Dedicated to our clients’ needs and business demands, our experts specialize in Oracle and SQL Server databases and applications on UNIX and Windows platforms, utilizing practical knowledge and understanding to improve performance and lower costs. PTI’s team of experienced information technology professionals combines its vast experience to provide realistic and cost-effective solutions tailored for the individual client. These experts plan, design, develop, deploy, and manage database environments and applications to achieve the best combination of tools and services for each client situation. We have extensive experience integrating software into hybrid database environments that utilize SQL Server, Oracle, Sybase, DB2, and MySQL in open systems (UNIX/Linux), Windows and Web environments."</t>
  </si>
  <si>
    <t>http://www.perptech.com</t>
  </si>
  <si>
    <t>mailto:amy.reeves@pti.net</t>
  </si>
  <si>
    <t>PETERS BODY SHOP, INC</t>
  </si>
  <si>
    <t>PETROLEUM TRADERS CORP</t>
  </si>
  <si>
    <t>http://www.petroleumtraders.com</t>
  </si>
  <si>
    <t>mailto:gnewton@petroleumtraders.com</t>
  </si>
  <si>
    <t>PFC Cornerstone, LLC</t>
  </si>
  <si>
    <t>PGC Mulch, LLC</t>
  </si>
  <si>
    <t>="PGC Mulch, LLC is a mulch manufacture supplying six (6) premium mulch colors to choose from. Also available are pine fines and organic fertilizer. We are located at 1528 N. Fulton Av in Evansville, IN. We are a retail outlet but, contractors and large orders can contact us for wholesale pricing."</t>
  </si>
  <si>
    <t>http://www.PGCPros.com</t>
  </si>
  <si>
    <t>mailto:info@pgcpros.com</t>
  </si>
  <si>
    <t>PGF Carpet Care, Inc.</t>
  </si>
  <si>
    <t>PH Current Electric</t>
  </si>
  <si>
    <t>="P.H. Current Electric Co. was established in 1990 by Paul A. Hoopengarner with a vision and commitment to provide the highest level of customer service in the commercial and industrial field. P.H. Current Electric Co. is setting the bar for other companies in our industry due to our standard of excellence. This standard of excellence has not only prompted our customers to return to us for all of their electrical needs, but has also led to many referrals."</t>
  </si>
  <si>
    <t>http://www.phcurrent.com</t>
  </si>
  <si>
    <t>mailto:phoopengarner@phcurrent.com</t>
  </si>
  <si>
    <t>PH Underground</t>
  </si>
  <si>
    <t>="PH Underground is a full service civils contractor. We perform work from site preperation, sanitary, storm, water service, concrete placement, foundation excavation and installation, finish grade, erosion control, drive installation, tower foundation, site clearing, grouding system installation and many others."</t>
  </si>
  <si>
    <t>mailto:mscherer@phcurrent.com</t>
  </si>
  <si>
    <t>PH2T, Inc.</t>
  </si>
  <si>
    <t>http://www.ipsindy.com</t>
  </si>
  <si>
    <t>mailto:info@ipsindy.com</t>
  </si>
  <si>
    <t>Ventilation, Heating, Air-Conditioning and Commercial Refrigeration Equipment Manufacturing</t>
  </si>
  <si>
    <t>PHENIX TUBE, CORP.</t>
  </si>
  <si>
    <t>http://WWW.PHENIXTUBE.COM</t>
  </si>
  <si>
    <t>mailto:SALES@PHENIXTUBE.COM</t>
  </si>
  <si>
    <t>Fiber Can, Tube, Drum, and Similar Products Manufacturing</t>
  </si>
  <si>
    <t>PHOENIX SPECIALTIES LTD</t>
  </si>
  <si>
    <t>http://www.phoenixspecialtiesltdl.com</t>
  </si>
  <si>
    <t>mailto:phoenixyard@hotmail.com</t>
  </si>
  <si>
    <t>PHS of Indiana, LLC</t>
  </si>
  <si>
    <t>="Prison Health Services, Inc., (PHS) is the founder of the private managed correctional healthcare field. Since 1978, PHS has delivered value-driven healthcare to literally hundreds of jails, prisons and juvenile facilities across the United States. Employing more than 6,900 healthcare professionals and support staff across the country, we lead the correctional healthcare field in the application of proven managed care principles to ensure high quality, cost-effective healthcare at each of our client facilities."</t>
  </si>
  <si>
    <t>http://www.prisonhealth.com</t>
  </si>
  <si>
    <t>mailto:underwcu@asgr.com</t>
  </si>
  <si>
    <t>PIAT Construction Group, Inc</t>
  </si>
  <si>
    <t>="PIAT Construction Group, Inc is a licensed, bonded and insured construction, general contracting business, Taking pride in in the work and the opportunities to assist residential, commercial, and public owners in their project specs. PIAT's Services include: Electricity wiring-General Contracting-HVAC- Finishing -Plumbing-New Construction-Renovations-Project Management-Room Additions Turn Key-Garages-Flooring-Full Service Electronics"</t>
  </si>
  <si>
    <t>mailto:raplhparson@sbcglobal.net</t>
  </si>
  <si>
    <t>PICCFUSION, INC.</t>
  </si>
  <si>
    <t>http://www.piccfusion.com</t>
  </si>
  <si>
    <t>mailto:piccfusioncalls@comcast.net</t>
  </si>
  <si>
    <t>PINNACLE MAILING PRODUCTS LLC</t>
  </si>
  <si>
    <t>="We are a Small woman owned business in Yorktown Indiana that sells the following: MAIL ROOM &amp; SHIPPING OPERATION RELATED EQUIPMENT AND SUPPLIES: -DATA-PAC POSTAGE METERS &amp; MAILING MACHINES (INCL SUPPLIES) -INK JET ADDRESSING SYSTEMS -TABBING &amp; LABELING EQUIPMENT &amp; (TABS &amp; LABELS) -INSERTING EQUPMENT -SHREDDERS (COMMERCIAL, INCL. HIGH SECURITY ) -FOLDING EQUIPMENT -CHECK SIGNERS -PAPER CUTTERS -SEALERS -BOOKLET MAKERS -ENVELOPE OPENERS -DECOLLATORS -SUPPLIES FOR PITNEY BOWES, NEOPOST, POSTALIA AND VARIOUS OTHER -PRINTER INK, CARTRIDGES AND TONERS, OEM &amp; REFURBISHED -RUBBER BANDS, BANDING MATERIAL,TAPE, BOXES AND MOST SHIPPING SUPPLIES -SOFTWARE; USPS APPROVED FOR SENDING CERTIFIED MAIL WITH SUBSTANTIAL DISCOUNTS AND HOUR BY HOUR TRACKING."</t>
  </si>
  <si>
    <t>http://www.pinnaclemailing.com</t>
  </si>
  <si>
    <t>mailto:kimlaffoonpinnaclemailing@gmail.com</t>
  </si>
  <si>
    <t>PJS Environmental Co</t>
  </si>
  <si>
    <t>="Provide environmental consulting and training. Generally in the fields of hazardous materials, regulatory compliance, Phase I ESA (AAPI) and training. Training is generally focused on OSHA required training including HAZWOPER, CPR, First Aid, lockout/tagout, PPE, and others."</t>
  </si>
  <si>
    <t>mailto:pjsoule@earthlink.net</t>
  </si>
  <si>
    <t>PK Tile &amp; Stone Service, LLC.</t>
  </si>
  <si>
    <t>PKS Construction Inc</t>
  </si>
  <si>
    <t>mailto:pksconstruction@sbcglobal.net</t>
  </si>
  <si>
    <t>PLYMATE INC</t>
  </si>
  <si>
    <t>http://www.plymate.com</t>
  </si>
  <si>
    <t>mailto:tplymate@plymate.com</t>
  </si>
  <si>
    <t>PM Solutions, LLC</t>
  </si>
  <si>
    <t>http://PMsolutions101.com</t>
  </si>
  <si>
    <t>mailto:PMsolutions101@gmail.com</t>
  </si>
  <si>
    <t>PMB Consulting LLC</t>
  </si>
  <si>
    <t>="Provide consulting services in the business field (manage business program, analyze for process efficiency and cost effectiveness of departments/programs for businesses, write SOP manuals) and healthcare field (Health Information, Meaningful Use, HiTech Act, HIM Department development)"</t>
  </si>
  <si>
    <t>mailto:pmbconsulting@comcast.net</t>
  </si>
  <si>
    <t>PMG Tactical Equipme</t>
  </si>
  <si>
    <t>="PMG Tactical Equipment sells firearms and related equipment. Large stocking dealer of Surefire products We sell polymer targets and shooting systems that provide a safe non-metalic target to shoot at. These products are currently in uses by the U.S. Armed Forces and Law Enforcement."</t>
  </si>
  <si>
    <t>http://Ballistictec.com</t>
  </si>
  <si>
    <t>mailto:pmgkrc1@aol.com</t>
  </si>
  <si>
    <t>PMSIinc</t>
  </si>
  <si>
    <t>="A primary function of PMSI's Total Project Management (TPM) approach is to provide you with the Leadership, Management, and Control for your project. All three must be there in the correct proportions for your project to be successful: LEADERSHIP: To establish Direction and Vision, to Communicate your vision, and finally to Motivate and Inspire all team members to Excellence. MANAGEMENT: To establish Quality, Schedules and Budgets, to provide Structure for accomplishing your Plan, to Monitor the results of all team members, and to Resolve Problems as they arise. CONTROL: To insure that the Key Results anticipated by all the various team members are fulfilled, and most of all, to insure that your Expectations are met. PMSI has the Leadership, Management, and Control skills you need on your side, representing your interests. We will perform and represent you in the most professional manner possible. PMSI would very much like to be your Project Manager on this project. "</t>
  </si>
  <si>
    <t>PMSource Media Services, LLC</t>
  </si>
  <si>
    <t>="PMSource is a project management &amp; maintenance consulting company which specializes in project execution &amp; maintenance management. Providing comprehensive project &amp; maintenance solutions to corporations &amp; institutions. Our core business objective is to deliver first class services which meet &amp; exceed the needs of our client group."</t>
  </si>
  <si>
    <t>http://www.pmsource.us</t>
  </si>
  <si>
    <t>mailto:bryan.lalone@pmsource.us</t>
  </si>
  <si>
    <t>PMX Excavation,Inc</t>
  </si>
  <si>
    <t>="Our company has been in business since 2000. We have thousands of hours experience with new construction, existing homes, and commercial jobs. We are a professional contractor with a large field of specialities evolving around excavation, landscape, erosion control and burden management."</t>
  </si>
  <si>
    <t>mailto:michael@pmxexcavation.com</t>
  </si>
  <si>
    <t>PNC Medical</t>
  </si>
  <si>
    <t>mailto:phil.cazares@yahoo.com</t>
  </si>
  <si>
    <t>POLAROID HOLDING CO</t>
  </si>
  <si>
    <t>http://www.polaroid-id.com</t>
  </si>
  <si>
    <t>PONdurance LLC</t>
  </si>
  <si>
    <t>http://www.pondurance.com</t>
  </si>
  <si>
    <t>mailto:ron.pelletier@pondurance.com</t>
  </si>
  <si>
    <t>PORT-TO-PORT CONSULTING</t>
  </si>
  <si>
    <t>http://www.port-to-port.com</t>
  </si>
  <si>
    <t>mailto:info@port-to-port.com</t>
  </si>
  <si>
    <t>PORTER CO. FIRE ASSN</t>
  </si>
  <si>
    <t>mailto:jhbranham@yahoo.com</t>
  </si>
  <si>
    <t>POWER PLANT SERVICE,</t>
  </si>
  <si>
    <t>http://www.powerplantserviceinc.com</t>
  </si>
  <si>
    <t>mailto:sales@powerplantserviceinc.com</t>
  </si>
  <si>
    <t>PP USA, Inc.</t>
  </si>
  <si>
    <t>http://www.1patriot.com</t>
  </si>
  <si>
    <t>mailto:info@1patriot.com</t>
  </si>
  <si>
    <t>Motor Vehicle Parts Manufacturing</t>
  </si>
  <si>
    <t>PPHOMESERVICES</t>
  </si>
  <si>
    <t>mailto:PPHomeServices@gmail.com</t>
  </si>
  <si>
    <t>PR Squared INC</t>
  </si>
  <si>
    <t>="Design build landscape construction company for residential and commercial. Specializing in high end residential, and large scale commercial projects. Projects include hardscapes, landscape plantings, outdoor kitchen, entertaining areas, pools, and waterfalls. Focus is on exceeding customer expectations and providing all aspects of outdoor living and functionality."</t>
  </si>
  <si>
    <t>http://www.planscapeinc.com</t>
  </si>
  <si>
    <t>mailto:phil@planscapeinc.com</t>
  </si>
  <si>
    <t>PRECISION BUILDERS INC</t>
  </si>
  <si>
    <t>="Precision Builders, Inc. is a General Contractor specializing in Multi-family renovations &amp; construction and Public Works projects. Our work history includes the construction and renovation of space for the Lake County Morgue, exterior restoration work at the Gary City Hall, construction of single family homes for the Gary Housing Authority - Hope VI, General Trades contractor for the new Bethel Baptist Church, and numerous other HUD and public projects."</t>
  </si>
  <si>
    <t>mailto:prebuilders@sbcglobal.net</t>
  </si>
  <si>
    <t>PRECISION CARTRIDGE</t>
  </si>
  <si>
    <t>http://www.PrecisionCartridge.com</t>
  </si>
  <si>
    <t>mailto:admin@precisioncartridge.com</t>
  </si>
  <si>
    <t>Small Arms Ammunition Manufacturing</t>
  </si>
  <si>
    <t>PRECISION MECHANICAL CONTRACTORS INC</t>
  </si>
  <si>
    <t>="Plumbing: domestic water, drain, waste , vent, med. gas, RO water, backflow preventor testing. Piping: comp. air, condensate, process piping. HVAC: closed &amp; open loop system, chilled &amp; hot water piping system, hydronics, chillers, boilers &amp; air handlers. Industrial - Commercial - Institutional"</t>
  </si>
  <si>
    <t>mailto:njordan@precisionmechanical.com</t>
  </si>
  <si>
    <t>PREFERRED PAINTING OF INDIANA, INC</t>
  </si>
  <si>
    <t>mailto:NAMRITA@JAYANCEYHOMES.COM</t>
  </si>
  <si>
    <t>PREMIUM TRANSIT SERVICES</t>
  </si>
  <si>
    <t>PRESS TECH SERVICE</t>
  </si>
  <si>
    <t>PRESTO DOCUMENT SOLUTIONS,LLC.</t>
  </si>
  <si>
    <t>="PDS is the largest Kyocera Authorized Dealership in the state of Indiana. We are the largest Minority owned ( MBE) Copier, Printer, MFP, Managed Print Solutions, sales, leasing and service dealership in Indiana. please call us if you are looking for great price, and wonderful #1 custmoer service ."</t>
  </si>
  <si>
    <t>http://www,PDSKYOCERA.com</t>
  </si>
  <si>
    <t>mailto:pharrison@pdskyocera.com</t>
  </si>
  <si>
    <t>PRICE MOTORSPORT ENG,.INC.</t>
  </si>
  <si>
    <t>http://www.pricemotorsport.com</t>
  </si>
  <si>
    <t>PRIMARY CONSTRUCTION, INC.</t>
  </si>
  <si>
    <t>="Primary Construction is a Certified General Contractor/Construction Manager in NW Indiana. Some of our capabilities are: Institutional/Industrial/Commercial/Public Buildings, Facilities, Roads including Abatement, Landscaping, Continuing Services, etc. We are also construction/small business consultants"</t>
  </si>
  <si>
    <t>http://www.PrimaryConstructionInc.com</t>
  </si>
  <si>
    <t>mailto:AMoss@PrimaryConstructionInc.com</t>
  </si>
  <si>
    <t>PRIMCO INC</t>
  </si>
  <si>
    <t>PRINTING PARTNERS INC</t>
  </si>
  <si>
    <t>http://www.printingpartners.net</t>
  </si>
  <si>
    <t>mailto:sheila@printingpartners.net</t>
  </si>
  <si>
    <t>PRN Associates Inc.</t>
  </si>
  <si>
    <t>PRN Graphics LLC</t>
  </si>
  <si>
    <t>http://www.prngragphics.com</t>
  </si>
  <si>
    <t>mailto:shannan@prngraphics.com</t>
  </si>
  <si>
    <t>PRODUCT ACCEPTANCE &amp; RESEARCH</t>
  </si>
  <si>
    <t>http://www.par-research.com</t>
  </si>
  <si>
    <t>mailto:skip@par-research.com</t>
  </si>
  <si>
    <t>PROFESSIONAL CONVENTIONS AND MEETINGS IN</t>
  </si>
  <si>
    <t>http://www.procam-inc.com</t>
  </si>
  <si>
    <t>mailto:tvwiley@procam-inc.com</t>
  </si>
  <si>
    <t>PROFESSIONAL GOLFCAR CORPORATION</t>
  </si>
  <si>
    <t>http://PGCEZ.COM</t>
  </si>
  <si>
    <t>mailto:GCROHN@PGCEZ.COM</t>
  </si>
  <si>
    <t>PROFESSIONAL INTERPRETERS FOR THE DEAF</t>
  </si>
  <si>
    <t>http://www.professional-interpreters.com</t>
  </si>
  <si>
    <t>mailto:prointdeaf@yahoo.com</t>
  </si>
  <si>
    <t>mailto:joanne.snyder@professional-interpreters.com</t>
  </si>
  <si>
    <t>PROFESSIONALLY UNIQUE SERVICES,INC</t>
  </si>
  <si>
    <t>http://SERVICEFIRSTCLEANING.COM</t>
  </si>
  <si>
    <t>mailto:CUSTOMERSERVICE@SERVICEFIRSTCLEANING.COM</t>
  </si>
  <si>
    <t>PROMPT Ambulance Ser</t>
  </si>
  <si>
    <t>http://promptambulance.com</t>
  </si>
  <si>
    <t>PROSPER CONSTRUCTION</t>
  </si>
  <si>
    <t>http://www.prosperconstruction.com</t>
  </si>
  <si>
    <t>mailto:cpierre@prosperconstruction.com</t>
  </si>
  <si>
    <t>PROTECH MARINE INC.</t>
  </si>
  <si>
    <t>mailto:PROTECHMARINE@KCONLINE.COM</t>
  </si>
  <si>
    <t>PROTECTION PLUS INC</t>
  </si>
  <si>
    <t>http://www.protectionplus.net</t>
  </si>
  <si>
    <t>mailto:mstanley@protectionplus.net</t>
  </si>
  <si>
    <t>PROVISIONAGE LLC</t>
  </si>
  <si>
    <t>="Provisionage LLC provides services and hardware including Programming; Software implementation, integration and customization; Business Continuity Backup &amp; Disaster Recovery appliances, State of the Art Unified Threat Management Firewalls; proactive Monitoring services and problem remediation of computing devices and applications used to deliver business technology solutions. Provisionage LLC also procures, installs and maintains various Network Appliances, Servers, PCs, Laptops and Printers."</t>
  </si>
  <si>
    <t>http://www.provisionage.com</t>
  </si>
  <si>
    <t>mailto:dhursh@provisionage.com</t>
  </si>
  <si>
    <t>PS Metro Indianapolis LLC</t>
  </si>
  <si>
    <t>="ProSource is dedicated to giving our Members the absolute best selection of products at the absolute best prices in the marketplace. Through our “Members Only” private Showrooms, we provide our Members with the best service possible by offering an organized, professional environment in which they can conduct business with their clients. Our “Partnership Pledge” is to present our Members with the best flooring value in the industry. Working as partners, we can help our Members become even more successful by selling more flooring and earning more profit."</t>
  </si>
  <si>
    <t>http://www.prosourcefloors.com/indianapo</t>
  </si>
  <si>
    <t>mailto:dave.grande@psindy.com</t>
  </si>
  <si>
    <t>PSA Printing Solutions LLC</t>
  </si>
  <si>
    <t>="PSA Printing Solutions LLC. was started in 2001. Offering everything from Print Consultanting to Print Buying and Print Project Management. Printing Solutions is very committed to providing clients with everything from concept, design, film, pre-press, scans and color corrections through fulfillment and delivery. Printing Solutions can coordinate your project from start to finish"</t>
  </si>
  <si>
    <t>http://www.psaprinting.com</t>
  </si>
  <si>
    <t>mailto:sales@psaprinting.com</t>
  </si>
  <si>
    <t>PSARA Technologies, Inc.</t>
  </si>
  <si>
    <t>="PSARA is a comprehensive environmental, health and safety management consulting firm with offices in Bloomington, Indiana and Cincinnati, Ohio. We offer the following services: environmental investigation, site remediation, remediation management, mobile water treatment, environmental compliance, due diligence and safety and health consulting."</t>
  </si>
  <si>
    <t>http://www.psara.com</t>
  </si>
  <si>
    <t>mailto:mailbox@psara.com</t>
  </si>
  <si>
    <t>PSV Service &amp; Sales</t>
  </si>
  <si>
    <t>="Factory Authorized ""Kunkle Valve Assembler"". VR, V, UV, and NB Certified Facility. Repair all types and sizes of safety relief valves. We also offer computerized valve sizing, technical support and consultation. New valve replacement quotations will be offered for all valves not economically repairable."</t>
  </si>
  <si>
    <t>http://www.psvindy.com</t>
  </si>
  <si>
    <t>mailto:psvservicesales@juno.com</t>
  </si>
  <si>
    <t>PT &amp; BP, LLC</t>
  </si>
  <si>
    <t>http://www.phoenixtruckandbus.com</t>
  </si>
  <si>
    <t>mailto:msmith@phoenixtruckandbus.com</t>
  </si>
  <si>
    <t>PURCHASE THIS LLC</t>
  </si>
  <si>
    <t>PVC Plastics Co., Inc.</t>
  </si>
  <si>
    <t>http://www.e-pipeconnection.com</t>
  </si>
  <si>
    <t>mailto:sales @e-pipeconnection.com</t>
  </si>
  <si>
    <t>Pac-Van, Inc</t>
  </si>
  <si>
    <t>="Pac-Van, Inc. leases or sells new and used modular buildings, mobile offices, storage containers and ground level offices. We work with our customers to complete a space plan, order a building from a manufacturer, arrange for/or complete delivery to the site and arrange for/or complete set-up and installation of the building."</t>
  </si>
  <si>
    <t>http://www.pacvan.com</t>
  </si>
  <si>
    <t>mailto:info@pacvan.com</t>
  </si>
  <si>
    <t>Pac-Van, Inc.</t>
  </si>
  <si>
    <t>="Pac-Van, Inc. is a leading provider of modular buildings, mobile construction and sales offices, and storage solutions. Pac-Van is listed in ""Inc. 500"" as amoung the fastest companies in the USA, as well as the Indianapolis Business Journal's Fastest Growing companies (1998-1999-2000-2001)."</t>
  </si>
  <si>
    <t>Pace Community Action Agency, Inc.</t>
  </si>
  <si>
    <t>http://www.pacecaa.org</t>
  </si>
  <si>
    <t>mailto:pace@pacecaa.org</t>
  </si>
  <si>
    <t>Pacifico, LLC</t>
  </si>
  <si>
    <t>="Pacifico, L.L.C. (Pacifico) was founded in 2002 to provide it's client’s comprehensive environmental, safety and health services that are technically correct and cost effective. Pacifico consulting services assists i's clients in maintaining compliance with current Federal, State and Local Environmental, Safety and Health regulatory requirements while limiting the cost and liability to our clients. Overall, our company can be characterized as a client oriented organization dedicated to meeting the environmental emergency response and remediation services, and environmental, safety and health regulatory needs of the client. Pacifico provides the following services: 1. Health and Safety Consulting Services - Occupational Safety and Health Administration (OSHA) 2. Environmental Consulting Services - Environmental Protection Agency (EPA), Department of Transportation (DOT), and Occupational Safety and Health Administration (OSHA) 3. Training programs (OSHA, EPA, &amp; DOT) "</t>
  </si>
  <si>
    <t>http://Pacificollc.com</t>
  </si>
  <si>
    <t>mailto:info@pacificollc.com</t>
  </si>
  <si>
    <t>Packaging Logic, Inc</t>
  </si>
  <si>
    <t>http://www.packaginglogic.com</t>
  </si>
  <si>
    <t>mailto:ISales@packaginglogic.com</t>
  </si>
  <si>
    <t>Packaging Systems</t>
  </si>
  <si>
    <t>="Distributor of Packaging Materials and Packaging Equipment. We offer Contract packaging services. We recycle post-industrial plastic, paper and corrugated. We conduct recycle audits and design recycling systems. We design and fabricate custom interior product protection systems."</t>
  </si>
  <si>
    <t>http://www.packaging-systems.com</t>
  </si>
  <si>
    <t>mailto:gdownton@packaging-systems.com</t>
  </si>
  <si>
    <t>Packaging Machinery Manufacturing</t>
  </si>
  <si>
    <t>Packit Container Inc.</t>
  </si>
  <si>
    <t>="Packit Container Inc. began operations in 1996 in a new large manufacturing facility which is located in the Warrick Industrial Park in Boonville, IN. We specialize in on time delivery and custom size containers with no overruns. Corrugated Packaging Material Products Our facility is located at 3111 Warrick Drive and consists of 15,000 square feet of manufacturing area as well as 1,000 square feet of office space. In 1978 we added an additional 7500 Sq. feet of warehouse space. -------------------------------------------------------------------------------- Packit Container Inc. is thriving because of its dedication to the customer. We pride ourselves on our ability to deliver our products with the highest quality, on-time deliveries, and with no overruns. Our products ship on our own truck or by common carrier if necessary. No order or quantity is too small for us to manufacture. Corrugated Shipping Cartons Scored and Slit Scored Sheets Stock BoxesDie Cut Carto"</t>
  </si>
  <si>
    <t>http://packitcontainer.com</t>
  </si>
  <si>
    <t>mailto:packitjb@yahoo.com</t>
  </si>
  <si>
    <t>Paddock View Residential Center, Inc.</t>
  </si>
  <si>
    <t>http://www.paddockview.org</t>
  </si>
  <si>
    <t>mailto:cboyle@paddockview.org</t>
  </si>
  <si>
    <t>Paige &amp; Witherspoon</t>
  </si>
  <si>
    <t>mailto:anthonyp460@aol.com</t>
  </si>
  <si>
    <t>Pain Center of Southeastern Indiana</t>
  </si>
  <si>
    <t>Pain Medicine &amp; Rehabilitation Center</t>
  </si>
  <si>
    <t>="We are a physicians office that specializes in the diagnosis and treatment of chronic pain problems with oral medication therapy as well as the latest interventional pain therapies. We have establishd a comprehensive pain model thate will deliver the most advanced treatment possible."</t>
  </si>
  <si>
    <t>mailto:nbhawkins88@gmail.com</t>
  </si>
  <si>
    <t>Painting Pro, Inc.</t>
  </si>
  <si>
    <t>http://www.paintingpro.us</t>
  </si>
  <si>
    <t>mailto:roberthupp@paintingpro.us</t>
  </si>
  <si>
    <t>PalVery, Inc</t>
  </si>
  <si>
    <t>="Provide consulting and contract services in the following areas ... Information Technology Director of IT Business Analyst Project Manager IT Specialist E-Commerce Consulting-IT Call Center / Help Desk Computers Software / Hardware Systems Engineer / Programmer QA Tester and Test Lead Document Management (Documentum, FileNet) Content Management Specialist (Stellent, Ektron, ...) PeopleSoft / JDE / SAP / Oracle + more Web &amp; Application Development Web Designers/Developers Graphics, Flash, Animation Coders and Scripters Network Analyst Application, Program, Software Developers Business Analysis Project Management (PMP, MPM, PME, CIPM) HTML, PHP, Flash, Photoshop, ASP, VB.NET, C# .NET, JAVA IBM WebSphere Microsoft Certified Professionals (MCSE, MCSA, MCSD, MCAD) Microsoft Business Intelligence (BI) Microsoft SharePoint (MOSS, MCTS, MCM) Microsoft Team Foundation Server TFS SQL Services (SSIS, SSAS, SSRS, MCDBA, MCTS, MCITP, MCA) S"</t>
  </si>
  <si>
    <t>http://www.PalVery.com</t>
  </si>
  <si>
    <t>mailto:spalamara@palvery.com</t>
  </si>
  <si>
    <t>Palatine Hotel Corporation</t>
  </si>
  <si>
    <t>http://www.lafayettedaysinn.com</t>
  </si>
  <si>
    <t>Palermo Construction Services LLC</t>
  </si>
  <si>
    <t>mailto:palermoconstruction@gmail.com</t>
  </si>
  <si>
    <t>Paleteria Vallarta LLC</t>
  </si>
  <si>
    <t>http://www.paleteriavallarta.com</t>
  </si>
  <si>
    <t>mailto:mendjai@aol.com</t>
  </si>
  <si>
    <t>Palomino Ballroom</t>
  </si>
  <si>
    <t>="The Palomino Ballroom is a unique, multi-purpose venue located on the far northwest side of Indianapolis. The 15,000 square foot facility can host a variety of events and can accommodate up to 350 guests. Superb customer service, first-class cuisine and your visions are our priorities. We also offer carry-out and off-site catering."</t>
  </si>
  <si>
    <t>http://www.palominoballroom.com</t>
  </si>
  <si>
    <t>mailto:info@palominoballroom.com</t>
  </si>
  <si>
    <t>Pam C. Jones Ent., Inc.</t>
  </si>
  <si>
    <t>mailto:pamjonesgraphics@sbcglobal.net</t>
  </si>
  <si>
    <t>Panoptic Insight, LLC</t>
  </si>
  <si>
    <t>="Provides security and management consulting services to small, medium, and large organizations throughout the world. Panoptic Insight leverages a rich network of human capital expertise unique to the security and consulting landscape. Services include: security audits, risk management, assurance services, compliance auditing, vulnerability/threat assessment, business continuity planning, human capital consulting, leadership development, organizational surveys, benchmarking, trust and culture audits, privacy management, policy development and review, virtual workforce planning, design, and control."</t>
  </si>
  <si>
    <t>http://www.panopticinsight.com</t>
  </si>
  <si>
    <t>mailto:panoptic@panopticinsight.com</t>
  </si>
  <si>
    <t>Panther Industrial Painting, LLC</t>
  </si>
  <si>
    <t>mailto:mjtirikos@panther.comcastbiz.net</t>
  </si>
  <si>
    <t>Panzica Building Corporation</t>
  </si>
  <si>
    <t>="We are an architecture, general contracting, development and property managmenet firm, established in 1955, serving commercial, industrial and institutional clients with a full range of design/build and property services. Panzica's award-earning DesignBuild Solutions™ program reduces the building Owner's risk and delivers practical, affordable buildings of excellent quality with superior planning and design. Design/build, the process by which one source serves as both architect and general contractor, is quickly becoming the dominant delivery system for non-residential construction. While many builders offer this option, very few are able to provide these services with in-house registered architects as we do. This allows us to provide thoroughly planned, economical and faster-built projects for our clients, saving them both time an"</t>
  </si>
  <si>
    <t>http://www.panzica.net</t>
  </si>
  <si>
    <t>mailto:info@panzica.net</t>
  </si>
  <si>
    <t>Paoli Community School Corporation</t>
  </si>
  <si>
    <t>http://www.paoli.k12.in.us</t>
  </si>
  <si>
    <t>mailto:osbornj@paoli.k12.in.us</t>
  </si>
  <si>
    <t>Paoli, Inc.</t>
  </si>
  <si>
    <t>http://www.paoli.com</t>
  </si>
  <si>
    <t>mailto:deb-schmitz@paoli.com</t>
  </si>
  <si>
    <t>Paper Solutions Inc</t>
  </si>
  <si>
    <t>="Partek Solutions specializes in parking management and enforcement supplies such as parking tickets, traffic citation papers, remittance envelopes, and multi-space parking kiosk receipts (Pay &amp; Display, Pay Stations. With over two decades of experience, we provide unparalleled reliability, quality, and expertise with a 100% satisfaction guarantee."</t>
  </si>
  <si>
    <t>http://www.parteksolutions.com</t>
  </si>
  <si>
    <t>mailto:csr@parteksolutions.com</t>
  </si>
  <si>
    <t>Paperless Business Solutions, LLC</t>
  </si>
  <si>
    <t>http://www.pbssolutions.com</t>
  </si>
  <si>
    <t>mailto:support@pbssolutions.com</t>
  </si>
  <si>
    <t>Pappas Associates</t>
  </si>
  <si>
    <t>="Pappas Associates, LLC provides comprehensive security and safety related products - such as programs or SOPs and services - such as on site training. These products and services are tailored to the customer's needs and comply with state and federal regulatory requirements."</t>
  </si>
  <si>
    <t>mailto:steve.pappas@insightbb.com</t>
  </si>
  <si>
    <t>Parach Printer Repair Service</t>
  </si>
  <si>
    <t>mailto:parachtech1@yahoo.com.sg</t>
  </si>
  <si>
    <t>Paradise Electric</t>
  </si>
  <si>
    <t>mailto:complete.electric@sbcglobal.net</t>
  </si>
  <si>
    <t>Paradise Island Development, LLC</t>
  </si>
  <si>
    <t>http://paradiseislandmasonry.com/</t>
  </si>
  <si>
    <t>mailto:paradiseisland_masonry@yahoo.com</t>
  </si>
  <si>
    <t>Paradyme Marketing, LLC</t>
  </si>
  <si>
    <t>="Paradyme Marketing provides image building products and services to get and keep companies recognized. Over 900,000 promotional products available for imprint with your logo. PM also provides voice over services for radio, TV, messages on hold and many other audio applications. Former professional fire fighter."</t>
  </si>
  <si>
    <t>http://www.PMstuff.com</t>
  </si>
  <si>
    <t>mailto:info@ParadymeMarketing.com</t>
  </si>
  <si>
    <t>Paragon Fiberglass &amp; Composites, LLC</t>
  </si>
  <si>
    <t>http://Acoustitech.com</t>
  </si>
  <si>
    <t>mailto:acoustitech@fwi.com</t>
  </si>
  <si>
    <t>Paragon Painting Company LLC</t>
  </si>
  <si>
    <t>Parallax Communications Group, Inc.</t>
  </si>
  <si>
    <t>="Parallax Communications Group is an award-winning public relations agency, founded in 1989, specializing in the pharmaceutical and biotechnology industries. We offer strategic, creative, flawlessly executed communications services including publicity, advocacy, and issues management."</t>
  </si>
  <si>
    <t>http://www.parallaxgroup.net</t>
  </si>
  <si>
    <t>mailto:arogers@parallaxgroup.net</t>
  </si>
  <si>
    <t>Paramount Blinds &amp; Shutters, Inc</t>
  </si>
  <si>
    <t>mailto:paramountblinds@verizon.net</t>
  </si>
  <si>
    <t>Blind and Shade Manufacturing</t>
  </si>
  <si>
    <t>Paramount Packaging</t>
  </si>
  <si>
    <t>mailto:drewstone@sbcglobal.net</t>
  </si>
  <si>
    <t>Pardekooper Flooring LLC.</t>
  </si>
  <si>
    <t>http://pardekooperflooring.com</t>
  </si>
  <si>
    <t>Park International LLC</t>
  </si>
  <si>
    <t>mailto:joan.antokol@parkintl.com</t>
  </si>
  <si>
    <t>ParkSmart LLC</t>
  </si>
  <si>
    <t>mailto:parksmart@comcast.net</t>
  </si>
  <si>
    <t>Parke County Aggregates LLC</t>
  </si>
  <si>
    <t>mailto:parkecountyagg@att.net</t>
  </si>
  <si>
    <t>Parke Office Build.</t>
  </si>
  <si>
    <t>Parker Grant Solutions, LLC</t>
  </si>
  <si>
    <t>="Parker Grant Solutions is focused on providing comprehensive consulting, grant-writing, and post-award compliance services to grant applicants and recipients. Drawing upon extensive experience in assisting governments and non-profits with their grant funding needs, Parker Grant Solutions is dedicated to helping its clients achieve their program goals. Parker Grant Solutions is led by Catherine G. Parker, a certified grant professional (GPC). In addition to Catherine’s extensive experience in developing grant applications, she is well versed in all aspects of grant compliance and auditing. Catherine has also served as the manager of several grant-funded programs, so she knows first-hand what it means to relate program goals to funding needs. Her experience in the grant world includes working with the whole range of grant recipients and funders: local, state and federal government agencies; non-profits; educational institutions; foundations; and private-sector entities."</t>
  </si>
  <si>
    <t>http://www.parkergrantsolutions.com/</t>
  </si>
  <si>
    <t>mailto:catherine@parkergrantsolutions.com</t>
  </si>
  <si>
    <t>Parker Service, Inc.</t>
  </si>
  <si>
    <t>Parkers Custom Upholstery</t>
  </si>
  <si>
    <t>mailto:parkersupholstery@ndwave.com</t>
  </si>
  <si>
    <t>Parkmor Drug Inc</t>
  </si>
  <si>
    <t>http://www.goshenhealth.com</t>
  </si>
  <si>
    <t>mailto:kwolferm@goshenhealth.com</t>
  </si>
  <si>
    <t>Parmelee Writing</t>
  </si>
  <si>
    <t>="We specialize in Grant Prospect Research, Grant-Seeking Strategies,Grant Proposal Execution, Assessments and Case Statements, Report Writing, Workshops &amp; Group Facilitation, General Consulting Services, Best Practice Research &amp; SBIR/STTR Proposals, among others."</t>
  </si>
  <si>
    <t>http://www.parmeleeconsulting.com</t>
  </si>
  <si>
    <t>mailto:kris@parmeleeconsulting.com</t>
  </si>
  <si>
    <t>Parrot Press Inc.</t>
  </si>
  <si>
    <t>="Parrot Press is a full service commercial printing company producing sheet feed lithographic printing and digital printing. We specialize is producing catalogs, brochures, calendars, direct mail and posters. From disk to delivery we can handle every aspect of your printing project."</t>
  </si>
  <si>
    <t>http://parrotpress.com</t>
  </si>
  <si>
    <t>mailto:joe@parrotpress.com</t>
  </si>
  <si>
    <t>Parsons Custom Machining Inc.</t>
  </si>
  <si>
    <t>="Contract machining services in CNC turning &amp; milling. General Repair or modifications to construction equipment, agricultrual equipment and industrial equipment. Special parts or remanufactured structural components for aerospace, construction and utility equipment. Repairs to hydraulic and neumatic systems."</t>
  </si>
  <si>
    <t>http://www.parsonscustommachining.com</t>
  </si>
  <si>
    <t>mailto:julieparsons@hughes.net</t>
  </si>
  <si>
    <t>Parsons, Cunningham &amp; Shartle Engineers</t>
  </si>
  <si>
    <t>mailto:chet@pcsengineers.com</t>
  </si>
  <si>
    <t>Parthenon Commercial Corporation</t>
  </si>
  <si>
    <t>="Parthenon Commercial Corp. provides commercial building inspections and also construction services. Parthenon Commercial has a seasoned, professional team that will provide thorough information that equips you with the best information to make business decisions regarding a property. Parthenon Commercial also provides complete Construction Project Management Services. From a one-room addition to build-outs, Parthenon Commercial can handle your building construction needs."</t>
  </si>
  <si>
    <t>http://www.parthenoncommercial.com</t>
  </si>
  <si>
    <t>mailto:projects@parthenoncommercial.com</t>
  </si>
  <si>
    <t>Parts Plus, Inc.</t>
  </si>
  <si>
    <t>mailto:partsplusinc@aol.com</t>
  </si>
  <si>
    <t>Party Time Rental</t>
  </si>
  <si>
    <t>="Party Time Rental is a seventeen-year old event management company based in Carmel, Indiana. We have the largest inventory of special event rental equipment in the Midwest, including; tents, tables, chairs, linens, silverware, dishes, food service, inflatable games, carnival games, theme props, and much, much more. Our staff has the expertise to take your concept and turn it into the event of a lifetime. Party Time Rental is just as committed to your backyard birthday party as we are for community celebrations, race events, and corporate gatherings. Let us be your ""Special Events Central."" It is our commitment to quality products and quality service that allows us to ensure that your event is perfect."</t>
  </si>
  <si>
    <t>http://www.ptrinc.com/</t>
  </si>
  <si>
    <t>mailto:sales@ptrinc.com</t>
  </si>
  <si>
    <t>Consumer Goods Rental</t>
  </si>
  <si>
    <t>Pasco Painting, Inc.</t>
  </si>
  <si>
    <t>mailto:pascopaint03@aol.com</t>
  </si>
  <si>
    <t>Pasko-Wolf Excavating,Inc.</t>
  </si>
  <si>
    <t>mailto:bwolfb@yahoo.com</t>
  </si>
  <si>
    <t>PassWord Community Mentoring, Inc.</t>
  </si>
  <si>
    <t>="PassWord Community Mentoring, Inc. specializes in providing professional therapeutic mentoring services to children who are critically in need of help in multiple facets of their lives. These needs exceed available school resources and community-based treatment options, thus creating a crisis for youth who have significant behavioral, emotional, mental health, and educational needs. Since 2001, PassWord has provided school-based services in the Indianapolis Public Schools, as well as in eight other metropolitan Indianapolis school districts. PassWord is an approved provider through the Indiana Department of Education, Indiana Department of Child Services, and Choices, Inc., and is certified by the Indiana Department of Mental Health and Addiction to provide services in the Community Alternatives to Psychiatric Residential Treatment Facilities (CA-PRTF) program."</t>
  </si>
  <si>
    <t>http://passwordmentoring.org</t>
  </si>
  <si>
    <t>mailto:info@passwordmentoring.org</t>
  </si>
  <si>
    <t>Passages, Inc.</t>
  </si>
  <si>
    <t>http://passagesinc.org</t>
  </si>
  <si>
    <t>mailto:dlehman@passagesinc.org</t>
  </si>
  <si>
    <t>Passport Distribution &amp; Technology Svcs</t>
  </si>
  <si>
    <t>="Passport is a communication solutions company offering a comprehensive array of voice, data and Internet products and services including local and long distance telephone service; dedicated Internet access; data networking using ATM, Frame Relay, Private Line and Ethernet technologies; digital media; conferencing services - audio, web and video; and unified messaging."</t>
  </si>
  <si>
    <t>http://www.passporttechnologes.com</t>
  </si>
  <si>
    <t>mailto:info@passporttechnologies.com</t>
  </si>
  <si>
    <t>Paston Sales and Marketing, Inc.</t>
  </si>
  <si>
    <t>Pastore Bros. Lumber Inc.</t>
  </si>
  <si>
    <t>mailto:PASTORELUMBER@AOL.COM</t>
  </si>
  <si>
    <t>Patel Consulting</t>
  </si>
  <si>
    <t>http://patelconsulting.com</t>
  </si>
  <si>
    <t>mailto:info@patelconsulting.com</t>
  </si>
  <si>
    <t>Patel Industrial Marketing Co LLC</t>
  </si>
  <si>
    <t>="Supplier for Process Analytics, online, inline sensors for pressure, level, flow, temperature, analytical, combustion, consumables reagents and chemicals, expertise is in water treatment and instrumentation, calibration and maintenance. Front end project planning, NPV calculations for capital projects. Drafting instrument specifications based on the scope and objectives of projects. When expanding or optimizing your process system, we'll be ready to provide the same level of expertise to your new needs as we provided with the original project installation assistance, project development. Process and manufacturing controls, Calibration, on-going calibration for instruments, Process and manufacturing systems, boilers feed water analysis, water analytical instrumentation. Initial setup and tuning of your instrumentation Programming Logic start up assistance .Service: On-call and full Service Agreements for all your process control and instrumentation components and systems."</t>
  </si>
  <si>
    <t>http://www.pimcgroup.com</t>
  </si>
  <si>
    <t>mailto:bpatel@pimcgroup.com</t>
  </si>
  <si>
    <t>Pathfinder Corporation</t>
  </si>
  <si>
    <t>="Insurance pre-licensing education including Life &amp; Health and Property &amp; Casualty insurance. Insurance publishing in the same areas of expertise. High stakes professional test development and exam preparation. Continuing education courses for licensed insurance agents."</t>
  </si>
  <si>
    <t>http://www.pathfinderedu.com</t>
  </si>
  <si>
    <t>mailto:WHCSPNDFT@AOL.COM</t>
  </si>
  <si>
    <t>Pathologists Associa</t>
  </si>
  <si>
    <t>http://www.palab.com</t>
  </si>
  <si>
    <t>mailto:downingg@palab.com</t>
  </si>
  <si>
    <t>Pathway Information Solutions, Inc</t>
  </si>
  <si>
    <t>="At PathWay we work with our clients to radically improve the way they manage the flow of information throughout their organization. When an organization has successfully optimized the flow of information, they realize an dramatic improvement in productivity as well as an increased capacity for growth. At Pathway we focus on implementing MIFO© (Management Information Flow Optimization), which, when implemented, ensures our clients that the right information gets to the right people, quickly and securely."</t>
  </si>
  <si>
    <t>http://www.pathwayinfo.com</t>
  </si>
  <si>
    <t>mailto:info@pathwayinfo.com</t>
  </si>
  <si>
    <t>Pathways Photography LLC</t>
  </si>
  <si>
    <t>http://www.PathwaysPhoto.com</t>
  </si>
  <si>
    <t>mailto:pathwaysphotog@yahoo.com</t>
  </si>
  <si>
    <t>Patrice A. Freestone</t>
  </si>
  <si>
    <t>mailto:fstone@localnet.com</t>
  </si>
  <si>
    <t>Patricia Bawcum Consulting</t>
  </si>
  <si>
    <t>Other Legal Services</t>
  </si>
  <si>
    <t>Patricia E. Marschke</t>
  </si>
  <si>
    <t>http://www.pattyoneil.com</t>
  </si>
  <si>
    <t>mailto:patty@pattyoneil.com</t>
  </si>
  <si>
    <t>Patricia Garcia Ph.D.</t>
  </si>
  <si>
    <t>="Provide counseling and psychotherapy to individuals, couples and families. Provide psycho-education to individuals and groups on psychological and cultural issues. Provide services in Spanish to individuals, families and groups whose native language is Spanish. Specialization on multiculturalism, oppression and racism. Serve adolescents and adults."</t>
  </si>
  <si>
    <t>mailto:garcia.patricia@att.net</t>
  </si>
  <si>
    <t>Patricia Lovett, LLC</t>
  </si>
  <si>
    <t>="Trish Solutions is a staff augmentation and employee relations Minority Woman owned consulting company. We excel in rapid response customer service and we do not shy away from a challenge. With Trish Solutions, recruiting and consulting is not a profession, it's a lifestyle! The staff augmentation services include permanent placement in Administrative/Clerical, Information Technology, and Executive positions. Our professional staff augmentation services are designed to exceed our client expectations. We are dedicated to the recruitment and placement of high quality individuals in all levels of professional positions throughout Indiana and the United States. Trish Solutions employee relations consulting include: Employee Motivation, Management Evaluation, and Management training. We are practical, down-to-earth consultants who go straight to the heart of the problem and solve it, healing your business with your hand and ours. Whether you have a staff augmentation need "</t>
  </si>
  <si>
    <t>http://www.trishsolutions.com</t>
  </si>
  <si>
    <t>mailto:patricia@trishsolutions.com</t>
  </si>
  <si>
    <t>Patrick Constructors</t>
  </si>
  <si>
    <t>mailto:pconstructors@aol.com</t>
  </si>
  <si>
    <t>Patrick R. Gulley</t>
  </si>
  <si>
    <t>http://www.gulleystudio.com</t>
  </si>
  <si>
    <t>mailto:info@gulleystudio.com</t>
  </si>
  <si>
    <t>Patriot &amp; Associates</t>
  </si>
  <si>
    <t>="Private Investigations; Insurance, corporate or domestic. Skip tracing, business security evaluations/penetrations; Personal or business video equipment inventory for insurance purposes; Workers Compensation Investigations; Employee pilferage or dishonesty issues."</t>
  </si>
  <si>
    <t>http://patriotassoc.com</t>
  </si>
  <si>
    <t>mailto:patriotassoc@usa.net</t>
  </si>
  <si>
    <t>Patriot Engineering &amp; Environmental, Inc</t>
  </si>
  <si>
    <t>http://www.patrioteng.com</t>
  </si>
  <si>
    <t>mailto:rkraft@patrioteng.com</t>
  </si>
  <si>
    <t>Patriot Landscaping LLC</t>
  </si>
  <si>
    <t>http://www.patriotlandscapingllc.com</t>
  </si>
  <si>
    <t>mailto:info@patriotlandscapingllc.com</t>
  </si>
  <si>
    <t>Patriot Resource Systems LLC</t>
  </si>
  <si>
    <t>="Our firm is CVE certified by the Department of Veterans Affairs as a Service Disabled Veteran Owned Small Business (SDVOSB) enterprise. We are an OEM Authorized vocational truck supplier which specializes in customized vehicle design, engineering, and fabrication. Our company also offer competitive fleet management, municipal finance and leasing programs as well as alternative fuel vehicle (AFV) systems sales and service. We welcome your inquiries."</t>
  </si>
  <si>
    <t>http://www.patriotresourcesystems.com</t>
  </si>
  <si>
    <t>mailto:info@patriotresourcesystems.com</t>
  </si>
  <si>
    <t>Patriot Safety Products, LLC.</t>
  </si>
  <si>
    <t>="Patriot Safety Products is headquartered in Indiana and is a Service Disabled Veteran Owned business. We are committed to providing the best personal protective equipment and related supplies accompanied by the highest level of customer service. We are proud to announce that the gloves we distribute won The 2013 North American Cut Resistant Gloves Product Leadership Award. Our primary focus is providing cut resistant gloves and body protection for the following applications: •Sheet Metal Assembly •Metal Stamping / Strip Steel •Sheet Metal, Glass &amp; Shop Knives •Glass &amp; Paper •Paper, packaging, Plastic mold trimming •Construction •Mechanics •Food Service"</t>
  </si>
  <si>
    <t>http://www.patriotsafetyproducts.com</t>
  </si>
  <si>
    <t>mailto:bryan@patriotsafetyproducts.com</t>
  </si>
  <si>
    <t>Patriot Truck Leasing of Indiana, LLC</t>
  </si>
  <si>
    <t>="Patriot Truck Leasing of Indiana, the Midwest's premier leasing provider of trucks, tractors, trailers, roll-offs and hooklifts. Located in Fort Wayne, Indiana. We have a variety of truck types – tractors, American roll-offs, front end &amp; rear packer refuse, Palfinger hooklifts and dump trucks. Our trailer lineup covers almost any application as well. We offer Maurer grain trailers, Dragon roll-offs, Strick dry vans, Cheetah flat beds and Trail King equipment trailers. We offer a wide arrange of long-term leasing options to fit you needs. Many of our products are available for short-term leases including the roll-offs, refuse trucks, tractors and dump trucks. We have been in the trucking industry for over 40 years and look forward to helping you find the best fit for your lease. Visit patriotleasing.com for more info."</t>
  </si>
  <si>
    <t>http://www.patriotleasing.com</t>
  </si>
  <si>
    <t>mailto:rneff@patriotleasing.com</t>
  </si>
  <si>
    <t>Patriot Ventures LLC</t>
  </si>
  <si>
    <t>mailto:gnix@patriotirm.com</t>
  </si>
  <si>
    <t>Patterson Companies, Inc.</t>
  </si>
  <si>
    <t>http://pattersondental.com</t>
  </si>
  <si>
    <t>mailto:652.branch@pattersondental.com</t>
  </si>
  <si>
    <t>Dental Equipment and Supplies Manufacturing</t>
  </si>
  <si>
    <t>Patterson Horth, Inc.</t>
  </si>
  <si>
    <t>http://www.pattersonhorth.com</t>
  </si>
  <si>
    <t>mailto:info@pattersonhorth.com</t>
  </si>
  <si>
    <t>PattiMark Enterprises</t>
  </si>
  <si>
    <t>mailto:pakastenholz@comcast.net</t>
  </si>
  <si>
    <t>Patty Hamm</t>
  </si>
  <si>
    <t>Paul Akers, Inc.</t>
  </si>
  <si>
    <t>http://www.paulakers.com</t>
  </si>
  <si>
    <t>mailto:sales@paulakers.com</t>
  </si>
  <si>
    <t>Paul H Rohe Co Inc</t>
  </si>
  <si>
    <t>http://www.jrjnet.com</t>
  </si>
  <si>
    <t>mailto:gina.davidson@jrjnet.com</t>
  </si>
  <si>
    <t>Paul Harvey Ford</t>
  </si>
  <si>
    <t>http://www.harveyford.com</t>
  </si>
  <si>
    <t>mailto:cperdunn@hotmail.com</t>
  </si>
  <si>
    <t>Paul I. Cripe., Inc.</t>
  </si>
  <si>
    <t>http://www.cripe.biz</t>
  </si>
  <si>
    <t>Paul M. Spengler, Ph.D. HSPP, P.C.</t>
  </si>
  <si>
    <t>mailto:pspengle@bsu.edu</t>
  </si>
  <si>
    <t>Paul S. Ward, P.C.</t>
  </si>
  <si>
    <t>="Attorney-CPA services. Comprehensive tax services including tax return preparation, representation before Internal Revenue Service (IRS) and Indiana Department of Revenue (IDR), and representation in U.S. Tax Court and Indiana Tax Court. Certified Elder Law Attorney by National Elder Law Foundation. Legal services include estate planning, will and trust preparation, estate and trust administration, incorporation and formation of limited liability companies and limited partnerships, business law, and elder law (Medicaid and nursing home planning, guardianships, probate). Certified Public Accountant (CPA). Member, U.S. Tax Court Bar."</t>
  </si>
  <si>
    <t>http://www.indyelderlaw.com</t>
  </si>
  <si>
    <t>mailto:p.ward@mindspring.com</t>
  </si>
  <si>
    <t>Paul's Lift Truck Service</t>
  </si>
  <si>
    <t>Paula Moore</t>
  </si>
  <si>
    <t>mailto:psmoore1@sbcglobal.net</t>
  </si>
  <si>
    <t>Paveco, Inc.</t>
  </si>
  <si>
    <t>http://www.pavecoindiana.com</t>
  </si>
  <si>
    <t>mailto:kristen@pavecoindiana.com</t>
  </si>
  <si>
    <t>Pavey Excavating Co., Inc.</t>
  </si>
  <si>
    <t>mailto:vickie@paveyinc.com</t>
  </si>
  <si>
    <t>Pavilion Enterprises</t>
  </si>
  <si>
    <t>="Pavilion Enterprises is a knowledge development company serving both youth and adults with supplementary (K-12) education services, including academic tutoring, academic skills assessments, individual learning plans, on-line web based drill and practice tools and ISTEP/GED/SAT/ACT standardized test preparation clinics. Also offering on-site and off-site focus seminars on citizenship and voter education, owning and leasing real estate; budgeting, saving and banking, small business development, undertanding national and international news and information. Currently providing academic training and support services to several community organizations including communtiy centers, foster/adoption programs, group homes, behavioral counseling clients, job placement services, businesses and others. Now operating from two sites in Fort Wayne, Indiana. Also conducting off-site services on an individual contract basis."</t>
  </si>
  <si>
    <t>http://www.pavilionenterprises.com</t>
  </si>
  <si>
    <t>mailto:PavilionEnterprises@msn.com</t>
  </si>
  <si>
    <t>PayGOV LLC</t>
  </si>
  <si>
    <t>http://www.paytrustsolutions.com</t>
  </si>
  <si>
    <t>mailto:mhiatt@brofa.net</t>
  </si>
  <si>
    <t>Payne &amp; Associates Incorporated</t>
  </si>
  <si>
    <t>mailto:RPayne4@msn.com</t>
  </si>
  <si>
    <t>Payne Networking Inc</t>
  </si>
  <si>
    <t>="Payne Networking provides consistent, reliable and secure computer network solutions to the small business environment. We specialize in internet security, network intrusion prevention, server/workstation upgrades and overall network design and management. Let us show you how to spend the right money in the right places."</t>
  </si>
  <si>
    <t>http://www.payne-net.com</t>
  </si>
  <si>
    <t>mailto:sales@payne-net.com</t>
  </si>
  <si>
    <t>Payton Wells Chevrolet Inc</t>
  </si>
  <si>
    <t>http://www.paytonwells.com</t>
  </si>
  <si>
    <t>mailto:rhicks@paytonwells.com</t>
  </si>
  <si>
    <t>Pazol's Inc.</t>
  </si>
  <si>
    <t>="Retail jeweler, and associated services including watch &amp; jewelry repair, custom designed jewelry, remounting, restringing (as in pearls) appraisals (insurance, and estate) and inspections, corporate awards and plaques, clocks. Gemstones, and diamond jewelry of all kinds available. All services plus seasonal features and special orders provide a comprehensive jewelry specialty store. ""Memories that last a lifetime."""</t>
  </si>
  <si>
    <t>http://www.pazolsjewelers.com</t>
  </si>
  <si>
    <t>mailto:pazolsjewelers@gmail.com</t>
  </si>
  <si>
    <t>Peacetree, Inc.</t>
  </si>
  <si>
    <t>="We are fuel system specialists. Building and maintaining gasoline, diesel, E-85, bio-fuels, propane, and alternate fuel systems. Tanks installed and removed. Card reader systems. Outdoor lighting. Signage. Tank monitoring equipment. Pumps and Dispensers. Automotive Lifts and Lubrication equipment. Air compressors."</t>
  </si>
  <si>
    <t>http://www.pei-mc.com</t>
  </si>
  <si>
    <t>mailto:rarmes@peacetreeinc.com</t>
  </si>
  <si>
    <t>Peacock Cleaners, Inc.</t>
  </si>
  <si>
    <t>mailto:logan2640@yahoo.com</t>
  </si>
  <si>
    <t>Peak Community Servs</t>
  </si>
  <si>
    <t>http://www.peakcommunity.com</t>
  </si>
  <si>
    <t>mailto:tfoust@peakcommunity.com</t>
  </si>
  <si>
    <t>Peak Performance, LLC</t>
  </si>
  <si>
    <t>Pearl IRB, LLC</t>
  </si>
  <si>
    <t>="Pearl IRB is an independent Institutional Review Board that provides comprehensive IRB services for institutions, principal investigators and CROs. We deliver quality and timely reviews that balance the interests of human subjects, sponsors and institutions. Together we will drive enhanced efficiency and value in clinical research."</t>
  </si>
  <si>
    <t>http://www.pearlirb.com</t>
  </si>
  <si>
    <t>mailto:info@pearlirb.com</t>
  </si>
  <si>
    <t>Pearl and Chrome Home Interiors, LLC</t>
  </si>
  <si>
    <t>="We sell everything for the home. Anything from candles to couches, we have it all and we can make it look good in your house with our interior design services. We also cater to businesses through our services and great lines of commercial office furniture."</t>
  </si>
  <si>
    <t>mailto:pearlandchrome@sbcglobal.net</t>
  </si>
  <si>
    <t>Pearson Ford Inc.</t>
  </si>
  <si>
    <t>http://www.pearsonford.net</t>
  </si>
  <si>
    <t>mailto:gholmes@pearsonford.net</t>
  </si>
  <si>
    <t>Pearson Wholesale Parts LLC</t>
  </si>
  <si>
    <t>http://www.myindyford.com</t>
  </si>
  <si>
    <t>Pediatric Education Consulting, Inc</t>
  </si>
  <si>
    <t>="Pediatric Education Consulting provides educational services to organizations which deal with children's health issues. Specifically focused on infant health and survival issues, Barbara Himes brings 30 years experience in addressing SIDS and SUID risk reduction and prevention. She also consults on breastfeeding issues and is an international certified breast feeding consultant. Pediatric Education Consulting staff includes additional education professionals with skills and experience in epidemiology, social work practice, individual and family therapy."</t>
  </si>
  <si>
    <t>mailto:sidsbhimes@gmail.com</t>
  </si>
  <si>
    <t>Pediatric Physical Therapy Services, Inc</t>
  </si>
  <si>
    <t>="Pediatric PT Services provides PT.OT,ST and DT services for children from birth to 21. We are a State approved Agency for First Steps. We also have provided Quality Review services for the First Steps program. We contract with a Special Services Cooperative providing PT services for the children they serve."</t>
  </si>
  <si>
    <t>http://www.pediatricptservices.com</t>
  </si>
  <si>
    <t>mailto:info@pediatricptservices.com</t>
  </si>
  <si>
    <t>Peg's Embroidery, Inc.</t>
  </si>
  <si>
    <t>="Peg’s Embroidery is a company providing corporate identification and branding embroidery services. We supply and embroider a wide range of business shirts, sports shirts, polo shirts, jackets, hats, sportswear and accessories. We also provide retail embroidery service to consumers. We have a large selection of generic designs but can also digitize your custom logo. Embroidery offers endless possibilities for textures, colors, dimensions, and designs, allowing casual clothing to be integrated with each company’s identity. Our digitizing process will give you the professional look you desire. Our customers include schools, sporting organizations, beauty salons, K-9 organizations, religious organizations, individuals and other businesses. We value all our customers and your satisfaction is guaranteed. Peg's Embroidery is a family owned and operated business. All our embroidery is done in-house. We will work on any size order from 1 to 300+ items."</t>
  </si>
  <si>
    <t>http://www.pegsembroideryonline.com</t>
  </si>
  <si>
    <t>mailto:pegcastillo@pegsembroideryonline.com</t>
  </si>
  <si>
    <t>="Peg’s Embroidery is a company providing corporate identification and branding embroidery service. We also provide retail embroidery service to consumers. We have a large selection of generic designs but can also digitize your custom logo. Embroidery has become very popular for dress down corporate apparel as well as school/employee uniform and other retail lines. Embroidery offers endless possibilities for creative textures, colors, dimensions, and designs, allowing casual clothing to be integrated with each company’s identity. All our embroidery is done in-house. We will work on any size order from 1 to 300+ items. You can visit us at our shop in Fishers, Indiana, we can come to you, or we can communicate via email. Our customers include schools, sporting organizations, beauty salons, K-9 organizations, religious organizations, individuals and other businesses. We want to help advertise your company by placing your logo on a shirt-bag-towel-cap, etc. Here is a list of some o"</t>
  </si>
  <si>
    <t>mailto:pegsembroidery@yahoo.com</t>
  </si>
  <si>
    <t>Pell Roofing and Siding</t>
  </si>
  <si>
    <t>="We are a family based roofing and siding contractor that is now in its fourth generation. Pell Roofing and Siding is capable of any project that where your concerns are energy savings and quality workmanship. We are Elite contractors of the Duro-Last single ply roofing system and are certified to install GAF shingle products."</t>
  </si>
  <si>
    <t>http://pellroofing.com</t>
  </si>
  <si>
    <t>mailto:brad@pellroofing.com</t>
  </si>
  <si>
    <t>Pena's Mechanical Contractors Inc.</t>
  </si>
  <si>
    <t>http://www.penamechanical.com</t>
  </si>
  <si>
    <t>Other Heavy Construction</t>
  </si>
  <si>
    <t>Pendulum Resources LLC</t>
  </si>
  <si>
    <t>http://www.pendulumresources.com</t>
  </si>
  <si>
    <t>mailto:lfunk@pendulumsite.com</t>
  </si>
  <si>
    <t>Pendulum Services LLC</t>
  </si>
  <si>
    <t>http://www.pendulumsite.com</t>
  </si>
  <si>
    <t>Penn Township Fire Department</t>
  </si>
  <si>
    <t>http://www.PennFire.org</t>
  </si>
  <si>
    <t>mailto:bkazmierzak@pennfire.org</t>
  </si>
  <si>
    <t>Pennar Consulting LLP</t>
  </si>
  <si>
    <t>="Pennar Consulting provides services in Business Intelligence Architecture, Data modeling - Conceptual and Physical, Database Development and Administration, Data Integration and ETL, Business Intelligence Data Analysis, Custom Application Development and Support, Project / Program Management and Training on Technologies and Applications. Our value proposition is - -Consultants with experience at Fortune clients implementing business intelligence solutions -Good domain expertise of industries including pharmaceuticals, retail, financial services, travel services, transportation and manufacturing -We integrtae business, technology and people to provide customizable decision support services delivered with consistency and reliability. -Small minority business providing excellent quality professional services at competitively low prices"</t>
  </si>
  <si>
    <t>http://pennarconsulting.com</t>
  </si>
  <si>
    <t>mailto:ram@pennarconsulting.com</t>
  </si>
  <si>
    <t>Pennington Electric Inc.</t>
  </si>
  <si>
    <t>Pennington Electronic</t>
  </si>
  <si>
    <t>="We thank you for your interest in our products. Pennington Electronic was established with one goal in mind: to provide customers with the highest quality electronic products available at the lowest prices. Our goal continues to be upheld with the introduction and addition of new products and product lines in our catalog. SCW and other products distributed by Pennington Electronic are of the highest quality and value because we are continuously searching the market for new products and deal only with the most reputable manufacturers directly. By doing this we not only offer you the best prices and quality, but we can also offer you the latest Electronic Security Technology and remain ahead of our competition. We also strive to excel in customer sales, service and installation. Our service is courteous, fast, efficient and, above all, professional and personalized. We welcome any and all suggestions and comments from our customers with regard to our service and product line-up. If t"</t>
  </si>
  <si>
    <t>http://www.penningtonelectronic.com</t>
  </si>
  <si>
    <t>mailto:chris@penningtonelectronic.com</t>
  </si>
  <si>
    <t>Pennington Hardwoods</t>
  </si>
  <si>
    <t>="We are a family business dedicated to a tradition of providing the highest quality wood flooring possible to those who know and appreciated the difference. Beautiful hardwood flooring custom crafted to your specifications remains as always our trademark specialty. We offer as well an extensive selection of premium domestic and exotic wood flooring whether custom or standard consistently satifies the most discerning customers. We welcome you to visit our new showroom located in Southern Indiana or on our web site at www.PenningtonHardwoods.com."</t>
  </si>
  <si>
    <t>http://www.penningtonhardwoods.com</t>
  </si>
  <si>
    <t>mailto:kp@phi.ws</t>
  </si>
  <si>
    <t>Pennington Seed LLC</t>
  </si>
  <si>
    <t>http://penningtonseed.com</t>
  </si>
  <si>
    <t>mailto:toddphipps@penningtonseed.com</t>
  </si>
  <si>
    <t>Penrod Tax Service, Inc.</t>
  </si>
  <si>
    <t>="Penrod Tax Service, Inc. employees Enrolled Agents (E.A.s) that are licensed by the Internal Revenue Service to prepare both Individual and Business Income Tax Returns. Our licensed professionals' goal is to provide you with information that enables you to pay the least amount of tax allowed by law. Penrod Tax Service, Inc. offers complete bookkeeping service. We handle all bookkeeping entries, bank reconciliations, and quarterly estimate payments. This includes periodic financial statements such as your Balance Sheet and Income Statement. We also make sure that your quarterly estimates are accurate and timely. We are Quickbooks Certified. Penrod Tax Service, Inc. provides total payroll service. In addition to the periodic payrolls, we include all monthly, quarterly, and annual reports that are required by each governing authority. We also offer retirement plan implementation and administration with your payroll service."</t>
  </si>
  <si>
    <t>http://www.penrodtax.com</t>
  </si>
  <si>
    <t>mailto:pts@penrodtax.com</t>
  </si>
  <si>
    <t>Peoples Promotions, Inc.</t>
  </si>
  <si>
    <t>mailto:don@peoplespromotions.com</t>
  </si>
  <si>
    <t>Pep Boys</t>
  </si>
  <si>
    <t>http://www.pepboys.com</t>
  </si>
  <si>
    <t>Perceivant</t>
  </si>
  <si>
    <t>="About Perceivant: Turning Big Data into information that makes a big impact is why Perceivant exists. This opportunity should not be given just to the biggest companies with the most resources. Let’s empower companies, big and small, to access their data and use it in innovative ways that changes their businesses. We are living in a data-driven world. You don’t need more data, you need to be able to act on the answers to the “real questions” you have. We're an outsourced big data analytics platform that is hosted and managed in the cloud so customers don't have to reinvent one on their own. Perceivant is headquartered in Indianapolis. We are helping these companies by providing: -Query Speeds Up to 100X Faster than Hadoop at a Fraction of the Cost -Affordable Access to Your Data in Real Time, Data Cleansing, Data Discovery -Data Science service engagement for real-time predictive and prescriptive analytics -A full Business Intelligence Suite, Dashboards, Visualizations and much more!"</t>
  </si>
  <si>
    <t>http://perceivant.com/</t>
  </si>
  <si>
    <t>mailto:mhurley@perceivant.com</t>
  </si>
  <si>
    <t>Percy &amp; Beatriz Consigliri</t>
  </si>
  <si>
    <t>="Spanish Services offer: Teaching, Translations and Interpretation. Tailoring classes according with your needs, social and medical services Translations, Interpretation services in general, experienced in Social and Medical Terminology. More than 20 years in experience. References will be provided as requested."</t>
  </si>
  <si>
    <t>mailto:Recuerdo12@aol.com</t>
  </si>
  <si>
    <t>Perez Legal &amp; Forensic Services</t>
  </si>
  <si>
    <t>mailto:perezindylaw@yahoo.com</t>
  </si>
  <si>
    <t>Perfect Binding LLC</t>
  </si>
  <si>
    <t>mailto:catmor923@aol.com</t>
  </si>
  <si>
    <t>Perfect Impressions</t>
  </si>
  <si>
    <t>mailto:tsjsmith@ameritech.net</t>
  </si>
  <si>
    <t>Perfect Point Communications LLC</t>
  </si>
  <si>
    <t>http://www.PerfectPointCommunications.co</t>
  </si>
  <si>
    <t>mailto:info@PerfectPointCommunications.com</t>
  </si>
  <si>
    <t>Perfect Seating LLC</t>
  </si>
  <si>
    <t>="Perfect Seating is located in Carmel, IN. The company specializes in upholstering both new and used furniture. We have upholstered over 150,000 chairs since we opened three years ago. We also design and build custom furniture. We are a member of the Better Business Bureau."</t>
  </si>
  <si>
    <t>http://www.perfectseating.biz</t>
  </si>
  <si>
    <t>mailto:perfectseating@sbcglobal.net</t>
  </si>
  <si>
    <t>Perfected Cleaning Services</t>
  </si>
  <si>
    <t>Performance 3 LLC</t>
  </si>
  <si>
    <t>="Provides custom sustainable performance solutions for organizations experiencing challenge, or that want to proactively take their performance to the next level. We engage people, optimize processes, and measure productivity to help businesses achieve their goals."</t>
  </si>
  <si>
    <t>http://www.bestperformance3.com</t>
  </si>
  <si>
    <t>Performance Assessment Network</t>
  </si>
  <si>
    <t>http://www.panpowered.com</t>
  </si>
  <si>
    <t>mailto:dpfenninger@panpowered.com</t>
  </si>
  <si>
    <t>Performance CNC LLC</t>
  </si>
  <si>
    <t>http://www.performancecncllc.com</t>
  </si>
  <si>
    <t>mailto:sales@performancecncllc.com</t>
  </si>
  <si>
    <t>Performance Events Promotion, LLC</t>
  </si>
  <si>
    <t>http://www.imis-indy.com</t>
  </si>
  <si>
    <t>mailto:tammy@imis-indy.com</t>
  </si>
  <si>
    <t>Performance Project Management</t>
  </si>
  <si>
    <t>Performance Solutions Associates</t>
  </si>
  <si>
    <t>mailto:ewwitte@comcast.net</t>
  </si>
  <si>
    <t>Performance Truck &amp; Auto Service Inc.</t>
  </si>
  <si>
    <t>mailto:indotandy@gmail.com</t>
  </si>
  <si>
    <t>Performance Validation, LLC</t>
  </si>
  <si>
    <t>http://www.perfval.com</t>
  </si>
  <si>
    <t>mailto:brad.henry@perfval.com</t>
  </si>
  <si>
    <t>Perita Services, LLC</t>
  </si>
  <si>
    <t>mailto:CStockampPerita@aol.com</t>
  </si>
  <si>
    <t>Peritus Public Relations</t>
  </si>
  <si>
    <t>="We are a full-service communications firm widely recognized for our innovative solutions, fighting spirit and vast, influential networks. We offer layered expertise in Public Affairs, Public Relations, Marketing, and Creative Services to connect our clients to the right people at the right time bridging the gap between opportunity and success."</t>
  </si>
  <si>
    <t>http://www.perituspr.com/</t>
  </si>
  <si>
    <t>mailto:mike@perituspr.com</t>
  </si>
  <si>
    <t>Perk-A-Lawn, Inc</t>
  </si>
  <si>
    <t>="Retail nursery, landscape design , installation,and maintenance, irrigation design, installation and maintenance, lawn care fertilizer, herbicide applications, low-voltage landscape lighting design &amp; installation, new lawn installations, hydro-seeding and powerseeding"</t>
  </si>
  <si>
    <t>http://perkalawngardens.com</t>
  </si>
  <si>
    <t>mailto:pal@vincennes.net</t>
  </si>
  <si>
    <t>Perna Design &amp; Advertising</t>
  </si>
  <si>
    <t>http://www.pernadesign.com</t>
  </si>
  <si>
    <t>mailto:paula@pernadesign.com</t>
  </si>
  <si>
    <t>Perras &amp; Associates</t>
  </si>
  <si>
    <t>="Perras &amp; Associates offers communication solutions for the environment and public health. We can help you communicate complex, technical information to the public and policy-makers in easy-to-understand language. We guide you through difficult issues with your stakeholders. Expertise: - Problem-Solving Between Government and Citizens - Public Outreach and Education Programs for the Environment and Public Health - Utility Rate Increase Campaigns - Stormwater Utility Campaigns - Writing and Editing: Speeches, Trade Journal Articles, Reports, Brochures, Regulatory Documents, Grant Applications"</t>
  </si>
  <si>
    <t>http://www.perrasassociates.com</t>
  </si>
  <si>
    <t>mailto:jodiperras@gmail.com</t>
  </si>
  <si>
    <t>Perry &amp; Assoc. Appraisal Services, Inc</t>
  </si>
  <si>
    <t>http://www.appraiseindy.com</t>
  </si>
  <si>
    <t>mailto:appraiseindy@ameritech.net</t>
  </si>
  <si>
    <t>Perry Law Office, P.</t>
  </si>
  <si>
    <t>http://www.perryoffice.net</t>
  </si>
  <si>
    <t>mailto:scott@perryoffice.net</t>
  </si>
  <si>
    <t>Perry-Clear Creek Fire Protection Dist</t>
  </si>
  <si>
    <t>http://pccfd.org</t>
  </si>
  <si>
    <t>mailto:pccfpd@gmail.com</t>
  </si>
  <si>
    <t>Pershing Wheel Institute Incorporated</t>
  </si>
  <si>
    <t>http://www.pershingwheel.org</t>
  </si>
  <si>
    <t>mailto:Info@pershingwheel.org</t>
  </si>
  <si>
    <t>PersonBuildingServic</t>
  </si>
  <si>
    <t>http://walterwltrb@aol.com</t>
  </si>
  <si>
    <t>mailto:walterwltrb@aol.com</t>
  </si>
  <si>
    <t>Personal Incontinent Care Inc</t>
  </si>
  <si>
    <t>mailto:pic@choiceonemail.com</t>
  </si>
  <si>
    <t>Personal Touch Lawn</t>
  </si>
  <si>
    <t>Personal Touch Medical Transportation</t>
  </si>
  <si>
    <t>="Non-Emergency, wheelchair accesesible medical transportation and private excursion provider. We provide door-to door pickup and/or return to doctor appointments, out-patient medical procedures, regularly scheduled medical treaments, and hospital release. In addition we will provide private excursions."</t>
  </si>
  <si>
    <t>http://www.ptmedicaltransportation.com</t>
  </si>
  <si>
    <t>mailto:ptmedtransport@att.net</t>
  </si>
  <si>
    <t>Personal Tux LLC</t>
  </si>
  <si>
    <t>http://www.personaltux.com</t>
  </si>
  <si>
    <t>mailto:tuxrenea@gmail.com</t>
  </si>
  <si>
    <t>Personalized Corporate Services, Inc.</t>
  </si>
  <si>
    <t>http://www.perscorpserv.com</t>
  </si>
  <si>
    <t>mailto:sandy@perscorpserv.com</t>
  </si>
  <si>
    <t>Perspective, LLC</t>
  </si>
  <si>
    <t>="Business whose main focus is Professional and Organizational Development. Specialty areas of interest are healthcare, healthcare executive development, and professional development of healthcare related businesses. Also, professional development of early careerists in any area of business. Strong experience base in strategic planning, career planning, and general organizational development."</t>
  </si>
  <si>
    <t>http://www.getperspective.com</t>
  </si>
  <si>
    <t>mailto:sjohnson@getperspective.com</t>
  </si>
  <si>
    <t>Pest Experts inc</t>
  </si>
  <si>
    <t>="The Pest Experts Inc offers Exterminating and Pest control services in Indiana with a focus on the Southern Indiana, region. We are a woman owned minority business licensed with the Office of the Indiana State Chemist. The majority of our clients are in the commercial, industrial sector but we do provide residential service also. For more information on how we can assist you with your extermination and pest control needs please contact us directly."</t>
  </si>
  <si>
    <t>mailto:pestexpert44@hotmail.com</t>
  </si>
  <si>
    <t>Peterbilt of Indiana, Inc</t>
  </si>
  <si>
    <t>http://www.jxe.com</t>
  </si>
  <si>
    <t>Petoskey Plastics</t>
  </si>
  <si>
    <t>http://www.petoskeyplastics.com</t>
  </si>
  <si>
    <t>mailto:mbarto@petoskeyplastics.com</t>
  </si>
  <si>
    <t>Petry, Fitzgerald &amp; Less, P.C.</t>
  </si>
  <si>
    <t>http://www.Petryfitzgerald.com</t>
  </si>
  <si>
    <t>mailto:Petry@netnitco.net</t>
  </si>
  <si>
    <t>Pfister &amp; Company, Inc.</t>
  </si>
  <si>
    <t>="Pfister &amp; Co., Inc. is a full service real estate company offering real estate sales both for commercial and residential properties, property management for commercial properties, apartment communities and single family homes and development of commercial properties services."</t>
  </si>
  <si>
    <t>http://www.pfister-and-co.com</t>
  </si>
  <si>
    <t>mailto:pfister@abcs.com</t>
  </si>
  <si>
    <t>Pharmakon Long Term Care Pharmacy, Inc.</t>
  </si>
  <si>
    <t>="Pharmakon Long Term Care Pharmacy, Inc. is located in Carmel, Indiana. Pharmakon LTC provides service to institutional facilities located through Indiana and surrounding states. The goal of Pharmakon LTC is to provide low cost medications with high quality service."</t>
  </si>
  <si>
    <t>http://www.pharmakonrx.net</t>
  </si>
  <si>
    <t>mailto:pelmer@pharmakonrx.net</t>
  </si>
  <si>
    <t>Pharmatech Management Group, LLC</t>
  </si>
  <si>
    <t>Phase One, Inc</t>
  </si>
  <si>
    <t>http://www.phaseonetestingsollutions.com</t>
  </si>
  <si>
    <t>mailto:drugfree@phaseonetestingsolutions.com</t>
  </si>
  <si>
    <t>Phebe's Oil and Chemical Products</t>
  </si>
  <si>
    <t>http://www.pocpww.com</t>
  </si>
  <si>
    <t>mailto:contact@pocpww.com</t>
  </si>
  <si>
    <t>Phelco Technologies, Inc.</t>
  </si>
  <si>
    <t>="We provide comprehensive IT support with web development, disaster recovery, contingency planning, network infrastructure design &amp; implementation, digital asset management, database design / support and custom software. We provide IT security consultation, vulnerability scans and penetration testing to ensure the security of a client's infrastructure."</t>
  </si>
  <si>
    <t>http://www.phelco.com</t>
  </si>
  <si>
    <t>mailto:tasha@phelco.com</t>
  </si>
  <si>
    <t>Phend and Brown, Inc.</t>
  </si>
  <si>
    <t>mailto:hma@phend-brown.com</t>
  </si>
  <si>
    <t>Philip Birck &amp; Son, Inc.</t>
  </si>
  <si>
    <t>http://www.philipbirck.com</t>
  </si>
  <si>
    <t>mailto:sales@philipbirck.com</t>
  </si>
  <si>
    <t>Phillips Saw &amp; Tool</t>
  </si>
  <si>
    <t>="Saw Blade &amp; Tooling Manufacturer and Resharpening Services. Carbide Tipped and High Speed Steel circular saw blades resharpened and repaired. Band Saw Blades welded in house to any length. Distributor for Saw Blade &amp; Tooling Manufacturers. Cutting Consultants for special applications."</t>
  </si>
  <si>
    <t>http://www.psaws.com</t>
  </si>
  <si>
    <t>mailto:jeff@psaws.com</t>
  </si>
  <si>
    <t>Saw Blade and Handsaw Manufacturing</t>
  </si>
  <si>
    <t>Phoenix Advisory Group, Inc.</t>
  </si>
  <si>
    <t>="Phoenix Advisory Group is a relationship-oriented company. The firm provides tax preparation for individuals, Subchapter S and Limited Liability Companies. Business services include bookkeeping, retirement plans/401(k) and 403(b) plans, and business exit planning. Individual investment services include providing advise on mutual funds, annuities, IRAs, 401(k) and 403(b) rollover assistance, life insurance, long-term care insurance, Medicare Part D, and Medicare Supplements."</t>
  </si>
  <si>
    <t>All Other Financial Investment Activities</t>
  </si>
  <si>
    <t>Phoenix Companies</t>
  </si>
  <si>
    <t>http://www.sbcphoenix.com</t>
  </si>
  <si>
    <t>mailto:info@sbcphoenix.com</t>
  </si>
  <si>
    <t>Phoenix Data Corporation/Phoenix Health</t>
  </si>
  <si>
    <t>http://www.phoenixdatacorporation.com</t>
  </si>
  <si>
    <t>mailto:ccurran@phoenixdatacorporation.com</t>
  </si>
  <si>
    <t>Phoenix Fabricators and Erectors, Inc.</t>
  </si>
  <si>
    <t>http://www.phoenixtank.com</t>
  </si>
  <si>
    <t>mailto:casey.cornett@phoenixtank.com</t>
  </si>
  <si>
    <t>Phoenix Innovation, LLC</t>
  </si>
  <si>
    <t>mailto:PhoenixInnovationLLC@gmail.com</t>
  </si>
  <si>
    <t>Phoenix Lawn &amp; Garden inc</t>
  </si>
  <si>
    <t>="We've been a family owned business since 1980. We handle the Arctic Cat Atv's and snowmobiles, Triton Trailers, Dixon, Ferris, Exmark lawn mowers, Honda generators, Sno-way snow plows and spreaders,Shindaiwa and Red Max chain saws, blowers, sprayers and trimmers."</t>
  </si>
  <si>
    <t>http://phoenixlawnandgarden.com</t>
  </si>
  <si>
    <t>mailto:thomasphoenix1980@yahoo.com</t>
  </si>
  <si>
    <t>Phoenix Medical Equip &amp; Supplies, LLC</t>
  </si>
  <si>
    <t>http://www.phoenixmedical.comcastbiz.net</t>
  </si>
  <si>
    <t>mailto:tricia@phoenixmedical.comcastbiz.net</t>
  </si>
  <si>
    <t>Phoenix Truck and Bus</t>
  </si>
  <si>
    <t>Phoenyx Solutions</t>
  </si>
  <si>
    <t>="Phoenyx provides effective and creative software and hardware solutions for document management, imaging and customized software development needs. Our goal is to automate and streamline business processes to make our customers more profitable and efficient. Our products and services cover: packaged software, desktops, servers, notebooks, network equipment, PDAs, printers and supplies."</t>
  </si>
  <si>
    <t>http://www.phoenyx.biz</t>
  </si>
  <si>
    <t>mailto:sales@phoenyx.biz</t>
  </si>
  <si>
    <t>Photography by Dixon</t>
  </si>
  <si>
    <t>http://www.photographybydixon.com</t>
  </si>
  <si>
    <t>mailto:dwaynepictureman@aol.com</t>
  </si>
  <si>
    <t>Pic-A-Part LLC</t>
  </si>
  <si>
    <t>Pier Cove, Ltd.</t>
  </si>
  <si>
    <t>http://www.piercove.com</t>
  </si>
  <si>
    <t>mailto:web@piercove.com</t>
  </si>
  <si>
    <t>Piling Essentials LLC</t>
  </si>
  <si>
    <t>Pill Stat Rx, LLC</t>
  </si>
  <si>
    <t>="SafeDose is a trusted national institutional pharmacy that cultivates important relationships with healthcare professionals by offering accurate, efficient, easy-to-use medication management solutions. This dedicated service features customized medication delivery and reporting systems. SafeDose is committed to providing solutions that offer healthcare professionals and their patients enhanced comfort and care."</t>
  </si>
  <si>
    <t>http://www.safedose.com</t>
  </si>
  <si>
    <t>mailto:safedose@safedose.com</t>
  </si>
  <si>
    <t>Pillow Express Delivery, Inc.</t>
  </si>
  <si>
    <t>="24-hour, year round logistical service specializing in Immediate and Same Day deliveries throughout the Midwest Region. On-demand, Scheduled/Routed and just in time deliveries; logistical alliances; and Supplier Management with EDI capabilities for business-to-business needs."</t>
  </si>
  <si>
    <t>http://www.pillowex.com</t>
  </si>
  <si>
    <t>mailto:operations@pillowex.com</t>
  </si>
  <si>
    <t>PinPoint Holdings, Inc</t>
  </si>
  <si>
    <t>="PinPoint Resources is a leading provider of Human Capital, focusing on delivering specialized Staff, Solutions and Professional Services in the areas of Information Technology, Finance, Accounting, Life Sciences and Healthcare. Established in 1994 and headquartered in Indianapolis, Indiana, PinPoint has distinguished itself as a ""Best of Class"" Professional Services firm serving clients throughout the United States. Through our ""Service First"" approach, we have been privileged to serve a wide variety of clients, ranging from Fortune 100 corporations to entrepreneurial start-up organizations. PinPoint has rich industry expertise in manufacturing, insurance, banking, life sciences, distribution, state government, and utilities. PinPoint Services: Providing Specialized Talent: Information Technology Finance Accounting Life Sciences Healthcare Professional Services: Project Management Project - Rescue and Recovery VMS to Mid-Tier organizations"</t>
  </si>
  <si>
    <t>http://www.pinpointresources.com</t>
  </si>
  <si>
    <t>mailto:info@pinpointresources.com</t>
  </si>
  <si>
    <t>Pinebrook Landscaping, Inc.</t>
  </si>
  <si>
    <t>http://www.pinebrooklogcabins.com</t>
  </si>
  <si>
    <t>mailto:info@pinebrooklogcabins.com</t>
  </si>
  <si>
    <t>Pinisetti &amp; Somerville LLC</t>
  </si>
  <si>
    <t>Pinkerton &amp; Friedman, PC</t>
  </si>
  <si>
    <t>mailto:bnugent@paflaw.com</t>
  </si>
  <si>
    <t>Pinkerton Consulting &amp; Investigations</t>
  </si>
  <si>
    <t>http://www.ci-pinkerton.com</t>
  </si>
  <si>
    <t>mailto:daryn.rollins@ci-pinkerton.com</t>
  </si>
  <si>
    <t>Pinnacle Actuarial Resources of Indiana</t>
  </si>
  <si>
    <t>http://www.pinnacleactuaries.com</t>
  </si>
  <si>
    <t>Pinnacle Computer Services, Inc.</t>
  </si>
  <si>
    <t>="Pinnacle Computer Services was organized in April 1988, to provide Tri-state businesses with a full-line of PCs, peripherals, software, and related services. Our objective has always been to develop long-term partnerships with our customers by furnishing not only turnkey solutions but the education and other services they need. Over time, our emphasis has shifted from hardware/software sales to installation and maintenance of networks, and now to providing internet access and training. Our thorough knowledge of the products and services we provide, ease of accessibility, expert training capabilities, and continuous support positions us as a valuable asset to any organization."</t>
  </si>
  <si>
    <t>http://www.pinncomp.com</t>
  </si>
  <si>
    <t>mailto:info@pinncomp.com</t>
  </si>
  <si>
    <t>Pinnacle Group International, LLC</t>
  </si>
  <si>
    <t>mailto:d_g_i@msn.com</t>
  </si>
  <si>
    <t>Pinnacle Mapping Technologies, Inc.</t>
  </si>
  <si>
    <t>="Pinnacle Mapping Technologies, Inc., is a certified woman-owned, veteran-owned small business. Formed in 2002, Pinnacle’s best resource is its people. Our staff comes from larger mapping companies and has on average 15 years in the photogrammetric mapping industry. At Pinnacle, we bring together our large company technical base within a smaller organization to provide creative solutions to technical and budgetary problems and instant communication to our customers. Put simply, we can provide the excellent service and quality customers have come to expect from larger companies at a price those companies could only afford by using a total off-shore labor structure. We provide the following services: Aerial Photography, Topographic/Planimetric Mapping, CAD mapping, Digital Orthophotography and GIS development."</t>
  </si>
  <si>
    <t>http://www.pinnaclemapping.com</t>
  </si>
  <si>
    <t>mailto:rmking@pinnaclemapping.com</t>
  </si>
  <si>
    <t>Pinnacle Painting, Inc.</t>
  </si>
  <si>
    <t>mailto:jgmichel@sbcglobal.net</t>
  </si>
  <si>
    <t>Pinnacle Partners, Inc</t>
  </si>
  <si>
    <t>http://www.PartnersInStaffing.com</t>
  </si>
  <si>
    <t>Pinnacle Systems Co.</t>
  </si>
  <si>
    <t>="Company Overview Summary Pinnacle Systems Consultants is a Project Management Office. Pinnacle Systems Consultants specializes in project management. Pinnacle Systems Consultants is staffed with certified Project Management Professionals. Pinnacle Systems Consultants uses the PMI-ANSI standard as the methodology for project management. This methodology can be used across all industry sectors. Core Competencies Hard Skills Pinnacle Systems Consultants is proficient in the five process groups 1) Initiating, 2) Planning, 3) Executing, 4) Controlling, and 5) Closing; and all 39 process management areas. The emphasis is to maintain scope, time, and cost without sacrificing quality or control of the process. Soft Skills In addition to Project Management expertise Pinnacle Systems Consultants offers General Management skills. These skill will help in your strategic business development."</t>
  </si>
  <si>
    <t>http://www.pinnaclesystemsconsultants.co</t>
  </si>
  <si>
    <t>mailto:rodney.turner@pinnaclesystemsconsultants.com</t>
  </si>
  <si>
    <t>Pioneer Consulting Services, Inc</t>
  </si>
  <si>
    <t>mailto:mgentis@gmail.com</t>
  </si>
  <si>
    <t>Pioneer Mechanical</t>
  </si>
  <si>
    <t>http://www.pioneermechanical.com</t>
  </si>
  <si>
    <t>mailto:dgavrilos@pioneermechanical.com</t>
  </si>
  <si>
    <t>Pioneer Systems Inc.</t>
  </si>
  <si>
    <t>="Pioneer Systems Supply is a full line janitorial supply house located at Highway 37 and 146th Street in Noblesville, IN. Founded in 1981, the corporation was dedicated to selling the Pioneer Eclipse Floor Care line consisting of waxes, strippers and propane buffers. As the business expanded, so did the wants and needs of our customers. Eventually, Pioneer Systems took on many other nationally branded product lines to become a major full line janitorial supply company with an extensive service department staffed by factory trained technicians. Hundreds of items ranging from mop buckets to large (even ride on) automatic floor scrubbers are in stock in our local warehouse. PSS Philosophy At PSS, we define customers as everyone with whom we have contact. We believe that what we do as individuals within PSS is a reflection on us all. Our goal is to understand and exceed customer expectations, thus building long-term relationships. Our Reputation is Your Guarantee!!"</t>
  </si>
  <si>
    <t>http://pioneersystemssupply.com</t>
  </si>
  <si>
    <t>mailto:customerservice@pioneersystemssupply.com</t>
  </si>
  <si>
    <t>Pipe-View LLC</t>
  </si>
  <si>
    <t>http://www.pipe-view.com</t>
  </si>
  <si>
    <t>mailto:info@pipe-view.com</t>
  </si>
  <si>
    <t>Piranha Mobile Shredding</t>
  </si>
  <si>
    <t>http://www.piranhashred.com</t>
  </si>
  <si>
    <t>mailto:shredmen@msn.com</t>
  </si>
  <si>
    <t>Pitney Bowes</t>
  </si>
  <si>
    <t>Pitney Bowes Software, Inc.</t>
  </si>
  <si>
    <t>http://www.pbinsight.com/solutions/by-in</t>
  </si>
  <si>
    <t>mailto:chris.umland@pb.com</t>
  </si>
  <si>
    <t>Plan B Marketing, Inc.</t>
  </si>
  <si>
    <t>="Fat Atom is a veteran owned and run business that has operated out of Carmel, Indiana, since 2005. We are a creative marketing agency that works with our clients to generate leads and/or create sales. We have 17 full time employees and according to the 2013 IBJ book of lists, are the 9th largest agency in Indiana. Fat Atom provides the following services: Strategy Creation and Marketing Consulting, Lead Generation, In-Bound Marketing, Email Marketing, SEM (Search Engine Marketing), Social Media Marketing, Graphic Design, Content Writing, Photography, Videography, Print and Traditional Marketing Related Services."</t>
  </si>
  <si>
    <t>http://www.fatatom.com</t>
  </si>
  <si>
    <t>mailto:todd@fatatom.com</t>
  </si>
  <si>
    <t>Planes Moving &amp; Storage of Indy, Inc.</t>
  </si>
  <si>
    <t>="Planes Commercial Services, a division of Planes Companies (United Van Lines), is a recognized leader in the relocation management and transportation industry offering a comprehensive one source solution for facility management. We specialize in a wide array of services from project management to commercial moving services, office furniture installation, CAD layout/design and warehousing. We have been exceeding our customer’s expectations since 1921."</t>
  </si>
  <si>
    <t>http://www.planescompanies.com</t>
  </si>
  <si>
    <t>mailto:jlondon@planescompanies.com</t>
  </si>
  <si>
    <t>Planet Auto group, LLC.</t>
  </si>
  <si>
    <t>http://www.perrisplanetautogroup.com</t>
  </si>
  <si>
    <t>mailto:randy@perrisplanetautogroup.com</t>
  </si>
  <si>
    <t>Planned Environment Associates, Inc.</t>
  </si>
  <si>
    <t>http://www.planviron.com</t>
  </si>
  <si>
    <t>mailto:sfranz01@comcast.net</t>
  </si>
  <si>
    <t>Plas-Tech Molding</t>
  </si>
  <si>
    <t>mailto:plastech@ligtel.com</t>
  </si>
  <si>
    <t>Platinum Grants &amp; Proposals, LLC</t>
  </si>
  <si>
    <t>http://www.plattgrants.com</t>
  </si>
  <si>
    <t>mailto:heidi@plattgrants.com</t>
  </si>
  <si>
    <t>Platolene 500 Inc</t>
  </si>
  <si>
    <t>http://rjoil.com</t>
  </si>
  <si>
    <t>Plexis Group, LLC</t>
  </si>
  <si>
    <t>="Plexis Group, L.L.C., an information technology company with a rich heritage serving local governmental agencies, is headquartered in Indianapolis, Indiana. The parent company of Plexis Group (Beam, Longest, and Neff - Consulting Engineers) was founded in the year 1945 and since that time has been recognized as one of the premiere-engineering firms in the State of Indiana. The staff of Plexis Group was formed in mid 1980’s as the Technology Division of BLN in response to existing governmental clients’ need for technology related implementations. In January of 2000 a corporate decision was made to split the Technology Division from BLN and form Plexis Group. This split allows Plexis Group to focus solely on the use of information technology to increase our governmental clients’ productivity and efficiency. Plexis Group is comprised of three distinct departments: - Data Conversion - Consulting - Application Development Plexis Group employs full time Application"</t>
  </si>
  <si>
    <t>http://www.plexisgroup.com</t>
  </si>
  <si>
    <t>mailto:tlongest@plexisgroup.com</t>
  </si>
  <si>
    <t>Plumbing Pros, Inc</t>
  </si>
  <si>
    <t>="We are woman owned plumbing company specializing in commercial, design build, medical, hotels, and service to include residential services. I personally have grown up in the plumbing business with 25 years of actual experience in the plumbing business. My company can handle any project as small as $100.00 up to $750,000. I am can easily provide many references for our quality workmanship. We are completely licensed, bonded and insured."</t>
  </si>
  <si>
    <t>http://www.plumbingprosinc.com</t>
  </si>
  <si>
    <t>mailto:pasty@plumbingprosinc.com</t>
  </si>
  <si>
    <t>Plymouth Farm Center Inc</t>
  </si>
  <si>
    <t>mailto:kaygramm@hotmail.com</t>
  </si>
  <si>
    <t>Poindexter Excavating, Inc.</t>
  </si>
  <si>
    <t>http://www.poindexterexcavating.com</t>
  </si>
  <si>
    <t>mailto:jplummer@poindexterexcavating.com</t>
  </si>
  <si>
    <t>Point Twp. Vol. Fire Dept.</t>
  </si>
  <si>
    <t>="We are a 100% Volunteer Fire Department. We provide Fire protection, Medical treatment, Rescue, and Basic Haz-mat. We respond to all varities of incidents. I.E. Wmd, Natural disasters, Fires both home and industrial, Medical calls, MVA's, and Brush fires. We recieve all our funding from taxes."</t>
  </si>
  <si>
    <t>mailto:PTVFD10Tch1@aol.com</t>
  </si>
  <si>
    <t>Pointe North Properties, LLC</t>
  </si>
  <si>
    <t>mailto:rcharbison@insightbb.com</t>
  </si>
  <si>
    <t>Polar Clean, LLC</t>
  </si>
  <si>
    <t>http://www.PolarClean.com</t>
  </si>
  <si>
    <t>mailto:JPSergio@PolarClean.com</t>
  </si>
  <si>
    <t>Polar Leasing Company, Inc</t>
  </si>
  <si>
    <t>http://www.polarleasing.com</t>
  </si>
  <si>
    <t>mailto:info@polarleasing.com</t>
  </si>
  <si>
    <t>Policy Resource Group, LLC</t>
  </si>
  <si>
    <t>http://www.policyresourcegroup.com</t>
  </si>
  <si>
    <t>mailto:info@policyresourcegroup.com</t>
  </si>
  <si>
    <t>Pollack Law Firm, P.C.</t>
  </si>
  <si>
    <t>="Pollack Law Firm is a woman-owned law firm which concentrates its practice in the area of civil litigation. We focus our practice on civil rights, school liability, personal injury and employment claims. The firm is certified by the Women's Business Enterprise National Council (WBENC)."</t>
  </si>
  <si>
    <t>http://www.pollacklawpc.com</t>
  </si>
  <si>
    <t>mailto:info@pollacklawpc.com</t>
  </si>
  <si>
    <t>Pollution Control Industries</t>
  </si>
  <si>
    <t>="Pollution Control Industries, Inc. (PCI) is a privately help, diversified waste management company engaged in the collection, treatment, recycling and disposal of hazardous and non-hazardous industrial wastes. PCI is one of the nation's leading environmental management firms. PCI owns and operates two fully permitted RCRA Part B treatment, storage adn disposal facilities in East Chicago, Indiana and Memphis, Tennessee and has branch offices with account representatives located across North America. PCI offers a variety of waste management services including fuel blending, recycling, stabilization and chemical fixation making wastes safe for landfill, technical field services, lab pack/depack consolidation, aerosol can recycling, gas cylinder disposal, hazardous/non-hazardous waste management options, transportation, high hazardous chemical mangement, on-site services and RCRA/DOT training."</t>
  </si>
  <si>
    <t>http://www.pollutioncontrol.com</t>
  </si>
  <si>
    <t>mailto:bids@pollutioncontrol.com</t>
  </si>
  <si>
    <t>Polston Builders</t>
  </si>
  <si>
    <t>mailto:mrpolston76@gmail.com</t>
  </si>
  <si>
    <t>Poly John Enterprise</t>
  </si>
  <si>
    <t>http://www.polyjohn.com</t>
  </si>
  <si>
    <t>mailto:info@polyjohn.com</t>
  </si>
  <si>
    <t>Ponce Publicidad</t>
  </si>
  <si>
    <t>="Ponce Publicidad is a minority-owned full-service advertising and integrated marketing communications agency located in Indianapolis, Indiana. The firm provides advertising, marketing, corporate communications, and consultation services for companies wanting to reach the U.S. Hispanic market. The agency is the only member of the Association of Hispanic Advertising Agencies in Indiana."</t>
  </si>
  <si>
    <t>http://www.poncepublicidad.com</t>
  </si>
  <si>
    <t>mailto:info@poncepublicidad.com</t>
  </si>
  <si>
    <t>Ponds, Pools &amp; Fountains Corporation</t>
  </si>
  <si>
    <t>="Ppfc (Ponds, Pools &amp; Fountains Corporation) is a complete resource center for all aquatic applications. Specializing in the sale of Pond Kits, Pond Liners, Filters, Pumps, Decorative Fountain Nozzles, Floating Aerators/Fountains &amp; full line of replacement parts. Also, we carry a complete line of Aquatic Algae &amp; Weed control chemicals. Ppfc is a authorized Distribution &amp; Service Center for Otterbine/Barebo, Oase/Rainjet, Aqua Control floating aerators &amp; fountains."</t>
  </si>
  <si>
    <t>http://www.ppfc.com</t>
  </si>
  <si>
    <t>mailto:Info@ppfc.com</t>
  </si>
  <si>
    <t>Pontis Compliance LLC</t>
  </si>
  <si>
    <t>="Sentinel Safety Group is a professional solution provider focused on the occupational safety &amp; industrial hygiene needs of clients. Our team of experienced health and safety consultants has the know-how to stand watch over our clients most important EHS needs. Sentinel Safety Group’s team is well-versed in the methods and approaches required to effectively engage the challenges presented by today’s health and safety hurdles. Whether you need to improve your safety culture, mitigate risk or reduce costs Sentinel Safety Group is here to watch out for your bottom line and your top priorities."</t>
  </si>
  <si>
    <t>http://www.sentinelsafetygroup.com</t>
  </si>
  <si>
    <t>mailto:cathie@sentinelsafetygroup.com</t>
  </si>
  <si>
    <t>Ponton &amp; Mohler</t>
  </si>
  <si>
    <t>mailto:pontonlaw@sbcglobal.net</t>
  </si>
  <si>
    <t>Poorman's Heating &amp; Air Conditioning Inc</t>
  </si>
  <si>
    <t>http://www.poormansheating.com</t>
  </si>
  <si>
    <t>mailto:brian@poormansheating.com</t>
  </si>
  <si>
    <t>Pope Management DBA</t>
  </si>
  <si>
    <t>="Brown's Oil Service is a petroleum distributor located on the east side of Indianapolis. We deliver to commercial and residential locations. We also offer a number of environmental saftey supplies ranging from pads, pillows and socks to complete spill kits and granular absorbents."</t>
  </si>
  <si>
    <t>http://www.brownsoilservice.com</t>
  </si>
  <si>
    <t>mailto:bigoilpope@aol.com</t>
  </si>
  <si>
    <t>Portage Electric Supply Corporation</t>
  </si>
  <si>
    <t>Porter Engineered Systems, Inc.</t>
  </si>
  <si>
    <t>http://www.porteres.com</t>
  </si>
  <si>
    <t>Porter Site Construction Specialists, In</t>
  </si>
  <si>
    <t>mailto:shaunaporter@verizon.net</t>
  </si>
  <si>
    <t>Porter-Starke Services, Inc.</t>
  </si>
  <si>
    <t>="Porter- Starke is a Community Mental Health Center providing outpatient counseling, chemical dependency and addiction services, children and family services ranging from group therapy to residential treatment. Employee Assistance Program provides businesses a full range of services designed to resolve problems and keep employees healthy and productive. Beyond Boundaries is our experientially based training and development program that help strengthen relationships within businesses and organizations."</t>
  </si>
  <si>
    <t>http://porterstarke.org</t>
  </si>
  <si>
    <t>mailto:thowe@porterstarke.org</t>
  </si>
  <si>
    <t>Portraiture Studios, Inc.</t>
  </si>
  <si>
    <t>="Our vision of Portraiture Studio is simple. We want to provide our customers with an establishment that prides itself on patience, quality, and beautiful portraits at affordable prices. So whether you are photographing your family, child, high school senior, bride, or pet, we pride ourselves as being knowledgeable and versatile. With every portrait we not only capture the subject's essence, but the portrait is appreciated by viewers for its artistic features. With our appreciation of individual style your portraits show originality and beauty. We are devoted to our customers and their satisfaction so that the moments captured at our studio will be forever cherished. Come enjoy our professional, yet warm atmosphere - you will feel right at ease. Please take a moment and visit our studio so you may experience first-hand the difference at Portraiture Studio."</t>
  </si>
  <si>
    <t>http://www.fishersphotography.com</t>
  </si>
  <si>
    <t>mailto:fishersphotography@sbcglobal.net</t>
  </si>
  <si>
    <t>Posh Petals, Inc.</t>
  </si>
  <si>
    <t>http://www.poshpetals.org</t>
  </si>
  <si>
    <t>mailto:meredith@poshpetals.org</t>
  </si>
  <si>
    <t>Positive Action</t>
  </si>
  <si>
    <t>="Positive Action Taking-control will provide a comprehensive training program, which will, through outreach, training, and technical assistance, promote opportunities for Northwest Indiana. The program will utilize an approach that individualizes services, promote informed choice: and advance strong enduring relationships among service providers, employers and participants."</t>
  </si>
  <si>
    <t>mailto:patfreel@msn.com</t>
  </si>
  <si>
    <t>Positive Energy, Inc.</t>
  </si>
  <si>
    <t>="We are an Event Planning TEAM - From sales conferences to awards ceremonies, product _x000B_launches, grand openings, client presentations, gala receptions, promotions, or national sales meetings, you and your clients are in excellent hands with Positive Energy. From full-service event planning and design to space location services, we can offer as much, or as little, help as you need. We have the experience of working across the United States as well as in the incredible city we call home, Indianapolis."</t>
  </si>
  <si>
    <t>http://www.positiveenergyevents.com</t>
  </si>
  <si>
    <t>mailto:annie@positiveenergyevents.com</t>
  </si>
  <si>
    <t>Positive Solutions, LLC</t>
  </si>
  <si>
    <t>mailto:treedpls@yahoo.com</t>
  </si>
  <si>
    <t>Potential Unlocked LLC</t>
  </si>
  <si>
    <t>="Potential Unlocked is a privately owned, comprehensive academic support hub for families of students in grades 3-12. We offer academic and social support designed to address the individual needs of a student. We believe that students strive for and move closer to their full potential when they are provided a fun, supportive, and engaging learning environment. Our professional staff is made up of academic strategists, school counselors, successful certified teachers, college students and school administrators."</t>
  </si>
  <si>
    <t>http://www.potentialunlocked.net</t>
  </si>
  <si>
    <t>mailto:zwardholloway@potentialunlocked.net</t>
  </si>
  <si>
    <t>Powder Pro Coating Service, Inc.</t>
  </si>
  <si>
    <t>http://powderprocoating.com</t>
  </si>
  <si>
    <t>mailto:marsha@powderprocoating.com</t>
  </si>
  <si>
    <t>Powell Asset Management LLC</t>
  </si>
  <si>
    <t>http://www.powellasset.net</t>
  </si>
  <si>
    <t>Powell Tool Supply, Inc.</t>
  </si>
  <si>
    <t>http://www.powelltool.com</t>
  </si>
  <si>
    <t>mailto:sales@powelltool.com</t>
  </si>
  <si>
    <t>Power Generation of Indiana; LLC</t>
  </si>
  <si>
    <t>mailto:powergenerationofindianallc@yahoo.com</t>
  </si>
  <si>
    <t>Power Hour</t>
  </si>
  <si>
    <t>http://powerhourpcs@yahoo.com</t>
  </si>
  <si>
    <t>mailto:powerhourpcs@yahoo.com</t>
  </si>
  <si>
    <t>Power Logic Electrical Services</t>
  </si>
  <si>
    <t>="We are a full service electrical contracting company serving commercial and industrial facilities. Safety comes first, so all our employees are educated in all safety manners and insured. We specialize in installing power quality and surge protection, specifically, the Vairday Power System."</t>
  </si>
  <si>
    <t>http://www.powerlogicelectric.com/</t>
  </si>
  <si>
    <t>mailto:info@powerlogicelectric.com</t>
  </si>
  <si>
    <t>Power Plant Industri</t>
  </si>
  <si>
    <t>="Power Plant Industrial, L.L.C. is a Minority owned Mechanical Contracting/Fabricating and Mechanical Rebuild firm located in Evansville, IN specializing in providing service to the Power Plant, Automotive, and Plastic Industries. P.P.I. has been in business for over 6 years, and has a strong history of customer satisfaction. Our supervision has over 100 years of combined experience in the Industrial Field. P.P.I. provides service throughout the United States. Our Mechanical Rebuild shop is well equipped to rebuild Pumps, Gear Boxes, and Drive Units of all types. Our Fabrication shop is equipped to provide service in all types of fabrication from Plate work, Structural Steel to Pipe spool fabrication, including all types of Stainless Steel."</t>
  </si>
  <si>
    <t>mailto:powerplantindust@aol.com</t>
  </si>
  <si>
    <t>Power Up, LLC</t>
  </si>
  <si>
    <t>http://www.power-upllc.com</t>
  </si>
  <si>
    <t>mailto:lkinnett@power-upllc.com</t>
  </si>
  <si>
    <t>PowerSys, LLC</t>
  </si>
  <si>
    <t>="PowerSys develops hybrid energy systems for ongrid and offgrid markets. The Utility In A Box(tm) incorporates power conditioning,energy storage, power generation and energy management controls with the ability to seamlessly connect with renewables, EVs, the grid and other systems."</t>
  </si>
  <si>
    <t>http://www.PowerSys.gs</t>
  </si>
  <si>
    <t>mailto:info@PowerSys.gs</t>
  </si>
  <si>
    <t>Powers &amp; Sons Construction LLC</t>
  </si>
  <si>
    <t>http://powersandsons.com</t>
  </si>
  <si>
    <t>Powers Engineering, Inc.</t>
  </si>
  <si>
    <t>="Powers Engineering, Inc. specializes in sanitary and storm sewer systems modeling and design. Powers Engineering, Inc. provides hydraulic and hydrological modeling for inflow and infiltration reduction programs, combined sewer separation projects, sanitary sewer relief projects as well as CSO and SSO elimination programs. Powers Engineering, Inc. provides solutions and alternatives from conceptual reports and recommendations to final design documents."</t>
  </si>
  <si>
    <t>mailto:powersengineering@insightbb.com</t>
  </si>
  <si>
    <t>Powers Realty, Inc. of Northwest Indiana</t>
  </si>
  <si>
    <t>="For almost 40 years, the Powers team has been helping people and businesses buy and sell homes, commercial properties, businesses, vacant land and churches in Northwest Indiana. Century 21 Powers Realty was founded in 1970 by Cynthia Powers. Today our team consists of full and part-time sales persons and brokers who specialize in residential and commercial sales as well as investment opportunities. We assist home buyers, investors and businesses in finding the perfect property to fit their needs. For sellers we represent, we formulate a marketing strategy for selling the property as quickly as possible. From performing an initial market analysis to attending the closing, our team works hard every step of the way."</t>
  </si>
  <si>
    <t>http://www.century21powers.com</t>
  </si>
  <si>
    <t>Powerscreen Indiana</t>
  </si>
  <si>
    <t>http://www.powerscreenindiana.com</t>
  </si>
  <si>
    <t>mailto:pwrscrnin@locl.net</t>
  </si>
  <si>
    <t>Poynter &amp; Bucheri, LLC</t>
  </si>
  <si>
    <t>http://www.pb-law.com</t>
  </si>
  <si>
    <t>mailto:info@pb-law.com</t>
  </si>
  <si>
    <t>Poynter Sheet Metal</t>
  </si>
  <si>
    <t>http://www.poyntersheetmetal.com/</t>
  </si>
  <si>
    <t>Prado COntracting Services</t>
  </si>
  <si>
    <t>mailto:mdprado_martin67@yahoo.com</t>
  </si>
  <si>
    <t>Prado Contracting</t>
  </si>
  <si>
    <t>="Prado Contracting Service offers the following services deck construction, design and drafting service, finish work, painting (interior and exterior), drywall, remodeling, roofing, and other miscellaneous jobs. No job is to small or to big. Free estimates available. We are insured. We have over 15 years of experience."</t>
  </si>
  <si>
    <t>mailto:mdmartin67@sbcglobal.net</t>
  </si>
  <si>
    <t>Pragji, Inc.</t>
  </si>
  <si>
    <t>Prairie Quest, Inc</t>
  </si>
  <si>
    <t>="We are a professional services organizations with a focus on providing business anlaysts, project managers, IT consultants, technical writers, trainers, and quality assurance specialists. We are a Certified Woman Owned Business Entity in the state of Indiana."</t>
  </si>
  <si>
    <t>http://www.PrairieQuest.com</t>
  </si>
  <si>
    <t>mailto:Stacey@PrairieQuest.com</t>
  </si>
  <si>
    <t>Prairie View Therapeutic Group Home, Inc</t>
  </si>
  <si>
    <t>="Prairie View Therapeutic Group Homes provide a safe environment in which adolescents and young adults can grow, develop their self-identity and self-esteem. Our group homes build healthy relationships, problem solve, learn to make good choices and grow individually. Prairie View will help individuals be successful in the present and plan for their future."</t>
  </si>
  <si>
    <t>http://prairieviewgrouphomes.com</t>
  </si>
  <si>
    <t>mailto:prairieview_mr.hayden@yahoo.com</t>
  </si>
  <si>
    <t>PrairieStone Pharmacy, LLC</t>
  </si>
  <si>
    <t>="About Arcadia: Arcadia is a healthcare company that provides healthcare, medical equipment, prescription drugs, and medical, professional and diversified staffing. Our comprehensive offering helps caregivers, whether in the home or in a medical facility, through a combination of our products and services."</t>
  </si>
  <si>
    <t>http://www.arcadiahealthcare.com</t>
  </si>
  <si>
    <t>mailto:info@arcadiaservices.com</t>
  </si>
  <si>
    <t>PrairieVision Design</t>
  </si>
  <si>
    <t>http://www.prairievisiondesign.com</t>
  </si>
  <si>
    <t>mailto:ann@prairievisiondesign.com</t>
  </si>
  <si>
    <t>Praxis Media Group</t>
  </si>
  <si>
    <t>http://www.praxismediagroup.com</t>
  </si>
  <si>
    <t>mailto:pmgproducer@yahoo.com</t>
  </si>
  <si>
    <t>Praxis Strategies &amp; Solutions, Inc</t>
  </si>
  <si>
    <t>="Praxis serves public organizations, private foundations, businesses, nonprofit organizations, and faith based organizations. We provide high quality research, strategies, and business solutions to help clients build the capacity to succeed in challenging and fluid environments. No two clients can be served by the same model; as such, Praxis works individually with clients in order to best serve their needs."</t>
  </si>
  <si>
    <t>http://www.praxisin.com</t>
  </si>
  <si>
    <t>mailto:praxis@praxisin.com</t>
  </si>
  <si>
    <t>Preachers Mobile Wash and Services</t>
  </si>
  <si>
    <t>mailto:preachersmobileservices@hotmail.com</t>
  </si>
  <si>
    <t>Car Washes</t>
  </si>
  <si>
    <t>Precious Angels Learning Ministry, INC</t>
  </si>
  <si>
    <t>mailto:blesspalm@yahoo.com</t>
  </si>
  <si>
    <t>Precious Nurses Health Care Agency, Inc</t>
  </si>
  <si>
    <t>http://www.preciousnurses.com</t>
  </si>
  <si>
    <t>mailto:pm_preciousnurses@yahoo.com</t>
  </si>
  <si>
    <t>Precious Technology Group LLC</t>
  </si>
  <si>
    <t>="Precious Technology Group LLC acquired Wellman Furnaces, Inc. on April 29, 2003. Under new ownership, Wellman Furnaces, Inc. continues to operate as a world-wide supplier of custom engineered heat treating furnaces, heat transfer systems, control systems, field service/start-up, engineering/consulting and the supply of renewal parts for the heat treating industry. Wellman Furnaces, Inc. is the successor of General Electric's Industrial Heating Group which sold the business to Wellman in 1979. Wellman Furnaces, Inc. has maintained the complete engineering and manufacturing database and all proprietary information related to the entire history of GE and Wellman Industrial Heating Equipment and Furnaces. Wellman Furnaces, Inc. has expanded its engineering capabilities into many uniquely designed heat processing systems that have further differentiated itself beyond that of a traditional industrial furnace company."</t>
  </si>
  <si>
    <t>http://www.wellmanfurnaces.com</t>
  </si>
  <si>
    <t>mailto:saleswfi@wellmanfurnaces.com</t>
  </si>
  <si>
    <t>Precise Material Services, INC.,</t>
  </si>
  <si>
    <t>Precisely Write, Inc.</t>
  </si>
  <si>
    <t>http://www.precisely.com</t>
  </si>
  <si>
    <t>mailto:info@precisely.com</t>
  </si>
  <si>
    <t>Precision Cadcam, Inc.</t>
  </si>
  <si>
    <t>mailto:precisioncadcam@sbcglobal.net</t>
  </si>
  <si>
    <t>Precision Compounding Pharmacy Inc</t>
  </si>
  <si>
    <t>http://www.precisioncompoundingpharmacy.</t>
  </si>
  <si>
    <t>mailto:info@precisioncompoundingpharmacy.com</t>
  </si>
  <si>
    <t>Precision Control System</t>
  </si>
  <si>
    <t>http://www.pcsoi.com</t>
  </si>
  <si>
    <t>mailto:lthompson@pcsoi.com</t>
  </si>
  <si>
    <t>Precision Industries Corp.</t>
  </si>
  <si>
    <t>="Designers and manufacturers of mechanical power presses from 22 to 300 ton capacity. Single point cap frame and welded steel frame OBI's and OBS; 2-point OBS; high speed cap, single and two-point straight sides. Manufacturer compatible /comparable service parts for Federal presses. Remanufacturer of most domestic brand presses."</t>
  </si>
  <si>
    <t>http://www.precisionindustriescorp.com</t>
  </si>
  <si>
    <t>Precision Lawn Care, Inc.</t>
  </si>
  <si>
    <t>mailto:precisionlawn@att.net</t>
  </si>
  <si>
    <t>Precision Millwork Inc</t>
  </si>
  <si>
    <t>mailto:precisionmillwork@yahoo.com</t>
  </si>
  <si>
    <t>Precision Products,</t>
  </si>
  <si>
    <t>http://www.prec-prod.com</t>
  </si>
  <si>
    <t>Precision Utilities Group, Inc.</t>
  </si>
  <si>
    <t>="Precision Utilities Group, Inc., is a telecommunication service provider offering a wide variety of services to our customers including outside plant, installation and repair, central office equipment installation, air pressure maintenance, as well as inspection, project management, and engineering services. The Precision Team enlists only highly skilled and experienced professional technicians to service our customers. Our technicians are I-9 certified and have successfully passed the drug screening process and an extensive background check. Our technicians perform duties ranging from the simplest of installs to the very technical test and turn up of switching and transmission equipment."</t>
  </si>
  <si>
    <t>http://www.precisionug.net</t>
  </si>
  <si>
    <t>mailto:kimherman@precisionug.net</t>
  </si>
  <si>
    <t>Precision Wall Systems, Inc.</t>
  </si>
  <si>
    <t>="We are a union glass and glazing subcontractor in Northern Indiana that specializes in aluminum wall systems. Products include aluminum windows, storefront, curtainwall, metal panel systems, skylights, and aluminum doors. We also have extensive experience with bullet resistant glass framing and doors. We are formerly the Harmon, Inc. South Bend office reorganized as Precision Wall Systems, Inc. in April 2008."</t>
  </si>
  <si>
    <t>mailto:jmroz@precisionwallinc.com</t>
  </si>
  <si>
    <t>Precision Wire Supply, LLC</t>
  </si>
  <si>
    <t>Other Motor Vehicle Electrical and Electronic Equipment Manufacturing</t>
  </si>
  <si>
    <t>Predictive Physiology and Medicine</t>
  </si>
  <si>
    <t>="Predictive Physiology and Medicine (PPM), is a health and life sciences company located in Bloomington. PPM develops personalized health products that help people understand and take control of their health. The company's products and services include Viveda Reports, Viveda Workplace and the Viveda Health Assessment."</t>
  </si>
  <si>
    <t>http://www.ppmwellness.com</t>
  </si>
  <si>
    <t>mailto:info@ppmwellness.com</t>
  </si>
  <si>
    <t>Prefab Solutions, Inc.</t>
  </si>
  <si>
    <t>http://www.prefabsolutions.com</t>
  </si>
  <si>
    <t>mailto:elizabeth@prefabsolutions.com</t>
  </si>
  <si>
    <t>Preferred Home Health Care, Inc</t>
  </si>
  <si>
    <t>http://www.apreferredhomecare.com</t>
  </si>
  <si>
    <t>mailto:info@apreferredhomecare.com</t>
  </si>
  <si>
    <t>Preferred Imaging Inc</t>
  </si>
  <si>
    <t>="Preferred Imaging provides document management and consulting services to the Banking/Financial, Commercial, Medical, Schools, Distribution and Legal fields. We are a leader for document management service bureaus in all areas of legal assistance. From litigation support to central client file management and deal closings. Preferred Imaging can provide technical assistance and training ranging from full-scale network implementations to small networks and standalone systems. Facilities Management Services are offered for imaging, coding, document research, database management, mailroom and systems support ."</t>
  </si>
  <si>
    <t>http://www.preferredimaging.com</t>
  </si>
  <si>
    <t>mailto:info@preferredimaging.com</t>
  </si>
  <si>
    <t>Preferred Title Corp</t>
  </si>
  <si>
    <t>mailto:jackie@preferredtitlecorp.com</t>
  </si>
  <si>
    <t>Preferred, Inc. - Fort Wayne</t>
  </si>
  <si>
    <t>http://www.preferredinc.com</t>
  </si>
  <si>
    <t>mailto:sreed@preferredinc.com</t>
  </si>
  <si>
    <t>Premier Carpets and More, Inc</t>
  </si>
  <si>
    <t>mailto:tom.premiercarpets@gmail.com</t>
  </si>
  <si>
    <t>Premier Commercial Rentals, LLC</t>
  </si>
  <si>
    <t>mailto:DanielFoley@gmail.com</t>
  </si>
  <si>
    <t>Premier Lignts</t>
  </si>
  <si>
    <t>="Premier Lights is a wholesale lighting distrbutor. We sell Residential Lighting, and Commerical Lighting. We also sell Lutron Controls, and Broan and Nutone Ventilation, and accessories. Emergency Lighting, and replacement batterys. Lamps and ballast of all types. Replacement plastic lens for fixtures."</t>
  </si>
  <si>
    <t>mailto:premierlights@earthlink.net</t>
  </si>
  <si>
    <t>Premier Medical Waste Services, Inc.</t>
  </si>
  <si>
    <t>Premier Outdoor Power Equipment Inc.</t>
  </si>
  <si>
    <t>http://www.premieroutdoorpowerequipment</t>
  </si>
  <si>
    <t>mailto:premieroutdoorpowerequipment@gmail.com</t>
  </si>
  <si>
    <t>Premier Parts, LLC</t>
  </si>
  <si>
    <t>mailto:bbenson@sharpofindy.com</t>
  </si>
  <si>
    <t>Premier Therapy Group, LLC</t>
  </si>
  <si>
    <t>="Premier Therapy Group, LLC is an Indiana Women’s business started in 2011 by a therapist with 7 years experience working in the long-term care rehabilitation setting. Our staff will be able to provide assessment and intervention of physical, occupational, and speech therapy services in long-term care and outpatient rehabilitation settings. These services include but not limited to wound care, splinting intervention for prevention and treatment of contractures, wheelchair seating and positioning, gait training with and without the use of assistive devices, activities of daily living retraining, transfer and balance training, dysphagia treatment and diet management/safety, speech treatment, augmentative and alternative communication therapy, language treatment, hearing screenings, cognitive-linguistic therapy, neuromuscular reeducation, resident/family and caregiver education, group therapy, and rehabilitation to home therapy."</t>
  </si>
  <si>
    <t>mailto:PremierTherapyGroup@gmail.com</t>
  </si>
  <si>
    <t>Premier Truck Rental</t>
  </si>
  <si>
    <t>="At Premier Truck Rental, we provide the 4x4 truck rentals you need to keep your crews working. Whether you work in the construction industry, oil &amp; gas industry, or you’re an electrical contractor, our simple rental process will equip you with truck rentals to meet your specific needs. Our custom add-ons set us apart from the competition. Front winches, ladder racks, and toolboxes are just a few of the additions that can be quickly mounted to your truck, before we deliver it directly to your jobsite."</t>
  </si>
  <si>
    <t>http://www.premiertruckrental.com</t>
  </si>
  <si>
    <t>mailto:sales@premiertruckrental.com</t>
  </si>
  <si>
    <t>Premier, Inc</t>
  </si>
  <si>
    <t>mailto:premierplumbing01@gmail.com</t>
  </si>
  <si>
    <t>Premiere Credit of North America, LLC</t>
  </si>
  <si>
    <t>http://www.premierecredit.com</t>
  </si>
  <si>
    <t>mailto:info@premierecredit.com</t>
  </si>
  <si>
    <t>Premiere Rehab, LLC</t>
  </si>
  <si>
    <t>="Using skilled, personalized rehabilitative therapy, Premiere Rehab, LLC focuses on the prevention and reduction of symptoms and impairments related to injury, disease, and other maladies. Offering Physical Therapy, Occupational Therapy, and Speech Therapy in both the Outpatient, School, and Home Care setting."</t>
  </si>
  <si>
    <t>http://www.premiererehab.org</t>
  </si>
  <si>
    <t>mailto:Premiererehab@aol.com</t>
  </si>
  <si>
    <t>Premium Concrete Services, Inc.</t>
  </si>
  <si>
    <t>mailto:becky@premiumconcreteonline.com</t>
  </si>
  <si>
    <t>Premium Supply, Inc.</t>
  </si>
  <si>
    <t>Premiums Plus, Inc.</t>
  </si>
  <si>
    <t>http://www.premiumsplus.net</t>
  </si>
  <si>
    <t>mailto:plus@evansville.net</t>
  </si>
  <si>
    <t>Prescient Information Systems, Inc.</t>
  </si>
  <si>
    <t>http://www.prescientinfo.com</t>
  </si>
  <si>
    <t>mailto:tclifford@prescientinfo.com</t>
  </si>
  <si>
    <t>Press Ganey Associates</t>
  </si>
  <si>
    <t>="For more than 25 years, Press Ganey has been the industry's recognized leader in health care performance improvement. We work with more than 10,000 health care organizations nationwide, including 50% of all U.S hospitals, to improve clinical and business outcomes. Based in South Bend, Ind., our company is comprised of professionals who are deeply rooted in all facets of health care and are committed to your organization's success. Whether it's in the hospital, medical practice or home care setting, we partner with you to create a high-performance environment that is experientially, clinically, operationally and financially strong. Our comprehensive portfolio of health care performance solutions helps you improve quality, increase market share, operate efficiently and optimize reimbursement."</t>
  </si>
  <si>
    <t>http://www.pressganey.com</t>
  </si>
  <si>
    <t>mailto:marketing@pressganey.com</t>
  </si>
  <si>
    <t>Presstime Graphics I</t>
  </si>
  <si>
    <t>http://www.presstime.com</t>
  </si>
  <si>
    <t>mailto:info@presstime.com</t>
  </si>
  <si>
    <t>Prestige Performance</t>
  </si>
  <si>
    <t>Presto Business Technologies</t>
  </si>
  <si>
    <t>http://www.prestobt.com</t>
  </si>
  <si>
    <t>mailto:info@prestobt.com</t>
  </si>
  <si>
    <t>Price Construction Group LLC</t>
  </si>
  <si>
    <t>mailto:nickmprice75@yahoo.com</t>
  </si>
  <si>
    <t>Price Write Services</t>
  </si>
  <si>
    <t>="Price Write Services, established in 1991, provides desktop publishing, graphic design and redesign, advertising and marketing which includes the following: typesetting, writing, consultation, scans, photographs, charts, graphics, transforming raw data to and from disks (PC/MAC) into professional, finished pieces using electronic pre-press. We produce printed Reports, Documents, Postcards, Presentation Handouts, Posters, Booklets, Brochures, Pamphlets, Direct Mass Mailings, Guidance Documents, Information Packets, Invitations, Manuals and Newsletters. We produce quick copy or printing, folding stitching, bindery of small and large volumes of materials."</t>
  </si>
  <si>
    <t>mailto:pwsaprice@sbcglobal.net</t>
  </si>
  <si>
    <t>Priller &amp; Associates, Inc</t>
  </si>
  <si>
    <t>mailto:lpriller@aol.com</t>
  </si>
  <si>
    <t>Primary Engineering, Inc.</t>
  </si>
  <si>
    <t>="Primary Engineering, Inc. is a consulting engineering firm offering professional mechanical and electrical engineering services. We are pleased to offer design services for systems that include HVAC, plumbing, fire protection, lighting, power distribution, communications, security and many others."</t>
  </si>
  <si>
    <t>http://www.primary-eng.com</t>
  </si>
  <si>
    <t>mailto:info@primary-eng.com</t>
  </si>
  <si>
    <t>Primary Pets, Inc.</t>
  </si>
  <si>
    <t>http://www.primarypets.com</t>
  </si>
  <si>
    <t>mailto:info@primarypets.com</t>
  </si>
  <si>
    <t>Pet and Pet Supplies Stores</t>
  </si>
  <si>
    <t>Prime PM Associates, Inc.</t>
  </si>
  <si>
    <t>mailto:primepm@primepma.com</t>
  </si>
  <si>
    <t>Prime Pumps, LLC</t>
  </si>
  <si>
    <t>="Dunville Pumps sells fluid system pumps of all types. Our Company is the Authorized Dealer for the following Pump Manufacturers: Berkeley Sta-Rite, Myers, Burks, Puslafeeder, Aquamaster, and many other brands. We also provide Engineer Services to service your Pumping/Fluid System needs and have an Engineering Specialist on Staff. Here at Dunville Pumps we also have a full-service Repair/Service Shop to help speed the time it takes to complete repairs. No diagnosis fee is charged if the repair is completed at our shop. We also have a full Sales &amp; Customer Service Staff to better meet the individual client's needs."</t>
  </si>
  <si>
    <t>http://dunvillepump.com</t>
  </si>
  <si>
    <t>mailto:sales@dunvillepump.com</t>
  </si>
  <si>
    <t>PrimeSource Office Products, Inc</t>
  </si>
  <si>
    <t>="PrimeSource is an experienced, woman-owned business supply resource. Founded in 1997, we are a locally owned and operated office supply company with a long history of businesses like yours. Unlike the “Big Box” chain stores, we offer you personalized service, product expertise and a commitment to helping you be successful in your business. With over 70,000 products available and growing every day, our offerings ensures you'll find what you need from a single, trusted source. We are big enough to have everything you need but small enough to remember when you need it. Please, don’t hesitate to get in touch with our friendly staff. Team PrimeSource stands ready with solutions for your office needs."</t>
  </si>
  <si>
    <t>http://www.primesourceop.com</t>
  </si>
  <si>
    <t>mailto:customercare@primesourceop.com</t>
  </si>
  <si>
    <t>PrimeSource, LLC</t>
  </si>
  <si>
    <t>Primo South LLC</t>
  </si>
  <si>
    <t>http://primobanquet.com</t>
  </si>
  <si>
    <t>mailto:primosouth@gmail.com</t>
  </si>
  <si>
    <t>Prince/Alexander Partners, Inc.</t>
  </si>
  <si>
    <t>="Prince/Alexander is an architectural firm providing services throughout Indiana, Missouri, Illinois and Florida. Established in 1984 by Stephen J. Alexander, AIA, President, we maintain a staff of less than 20 that includes: Architects, Interior Design, Draftsmen, Project Management and Business Administrative services. Initially we provided low income housing services. Over the years we have targeted the following areas: Historic Restoration, Design Development, Feasibility/Planning Studies, New construction/renovation and additions. We are proud members of the following: Historic Landmarks Foundation, Indianapolis Chamber of Commerce, Indiana Association of Cities and Towns (IACT), American Institute of Architects (AIA) and the Association of Indiana Counties (AIC)."</t>
  </si>
  <si>
    <t>http://www.princealexander.com</t>
  </si>
  <si>
    <t>mailto:info@princealexander.com</t>
  </si>
  <si>
    <t>Princeton Medical Solutions</t>
  </si>
  <si>
    <t>http://www.princetonmedicalsolutions.com</t>
  </si>
  <si>
    <t>mailto:sales@princetonmedicalsolutions.com</t>
  </si>
  <si>
    <t>Principal Tax Group</t>
  </si>
  <si>
    <t>mailto:principaltaxgroup@hotmail.com</t>
  </si>
  <si>
    <t>Taxi Service</t>
  </si>
  <si>
    <t>Principle Health Solutions, LLC.</t>
  </si>
  <si>
    <t>="Principle Health Solutions is a disease management and member communications company. By providing clinical and nonclinical services to private and public insurers, Principle Health assists individual members manage their chronic illnesses to improve overall health outcomes. Our customizable case management programs follow national guidelines to improve clinical outcomes and lower associated medical expenses. A physician-driven model is administered by RN's, LPNs, and Social Workers telephonically and through routine home visits."</t>
  </si>
  <si>
    <t>http://www.principlehealthsolutions.com</t>
  </si>
  <si>
    <t>mailto:kmatemachani@principlehealthsolutions.com</t>
  </si>
  <si>
    <t>Print Resources</t>
  </si>
  <si>
    <t>="Print Resources has been a go-to source for printing services and promotional products for more than a decade. Clients rely on our extensive industry knowledge and vendor resources to provide creative solutions and exceptional service. We simplify the purchasing process for print and promotional orders, and ensure you get high-quality finished products at a fair price."</t>
  </si>
  <si>
    <t>http://www.printindy.com</t>
  </si>
  <si>
    <t>mailto:info@printindy.com</t>
  </si>
  <si>
    <t>Print Tek</t>
  </si>
  <si>
    <t>="Print Tek focuses on supplying and servicing the medium and large business sector with toner, ink cartridges, postage stamp ink, and projector bulbs/tubes. We are a proud, hard working family owned business. We have been operating as a successful business for greater than 8 years. Our main focus is ink compatibles, which can save your business a substantial amount of money. One factor that puts is above our competition that our compatibles are NOT re-manufactured, but are built from scratch to provide you with a top quality product at a fraction of the cost. Print Tek also sells original, name brand products, and we carry over 6000 SKU’s. Most products will arrive in about 2 to 3 business days directly to your desk. We pride ourselves on our excellent customer service and would love to give you a quote today!"</t>
  </si>
  <si>
    <t>mailto:lyndea@print-tek.us</t>
  </si>
  <si>
    <t>Print and Converting Resources, LLC</t>
  </si>
  <si>
    <t>Paper and Paper Product Wholesalers</t>
  </si>
  <si>
    <t>PrintExchange Inc.</t>
  </si>
  <si>
    <t>http://www.printexchangeinc.com</t>
  </si>
  <si>
    <t>mailto:lori@printexchangeinc.com</t>
  </si>
  <si>
    <t>PrintSolutions of Indiana, Inc</t>
  </si>
  <si>
    <t>="PrintSolutions is a full service marketing company specializing in design, print and mail projects along with web-based advertising, design and social media applications. Our professional staff brings marketing expertise and attention to detail to the production of every project. Price and customer satisfaction are always our top priorities."</t>
  </si>
  <si>
    <t>http://www.printsolutions11.com</t>
  </si>
  <si>
    <t>mailto:sherrie@printsolutions11.com</t>
  </si>
  <si>
    <t>Printer Zink</t>
  </si>
  <si>
    <t>http://www.quality-printing.com</t>
  </si>
  <si>
    <t>mailto:johnthomas@quality-printing.com</t>
  </si>
  <si>
    <t>Printing Inc. of Louisville</t>
  </si>
  <si>
    <t>="Primary services include Printing, Bindery, Desktop Publishing, CD-R Printing &amp; Duplication and Fulfillment. Sheet-fed Offset – Single and multicolor printing on coated and un-coated stocks. Web Offset – Single, multicolor and perfecting printing on un-coated stocks. These presses also have the ability to perforate, score, 3-hole punch and spiral punch in-line as the job is printed. Digital Printing – Single, full-color and duplex printing of on-demand print jobs on coated or un-coated, light or heavy weight stocks. Electronic pre-press and digital, direct-to-plate capable. "</t>
  </si>
  <si>
    <t>http://pilouisville.com</t>
  </si>
  <si>
    <t>mailto:maureen.minogue@pilouisville.com</t>
  </si>
  <si>
    <t>Printing Inc. of Louisville Kentucky</t>
  </si>
  <si>
    <t>http://www.prettyincredible.com</t>
  </si>
  <si>
    <t>mailto:sales@prettyincrdible.com</t>
  </si>
  <si>
    <t>Priority Group Inc.</t>
  </si>
  <si>
    <t>="Commercial Printing Company ----------------------------------------------- Priority Press has been in business for over 25 years. We are a commercial sheet feed printing company with multiple press sizes ranging from small envelope to large format 40"" presses ranging from 1 color, 2 color, 4 color presses. We have state of the art computer to plate technology. www.prioritygroupinc.com Promotional Products Company ------------------------------------------------ We also offer over 4,000 different promotional products that range from pens, pencils, coffee mugs, magnets, trophies and awards, plus many many other items. www.prioritygroupinc.norwood.com Please submit questions or comments to Evan Llewellyn at 317-241-4234 or evanllewellyn@prioritygroupinc.com."</t>
  </si>
  <si>
    <t>http://www.prioritygroupinc.com</t>
  </si>
  <si>
    <t>mailto:evanllewelly@prioritygroupinc.com</t>
  </si>
  <si>
    <t>Priority One Fire &amp; Security</t>
  </si>
  <si>
    <t>mailto:p1_tmanlove@sigecom.net</t>
  </si>
  <si>
    <t>Pristine Image International LLC</t>
  </si>
  <si>
    <t>="Pristine Image: providing service for Indy, Hamilton Co., and surrounding area, will handle all your janitorial needs. ""We'll Get It"" so you don't have to. We clean with a Green Seal Cert. Product. Pristine Image is raising the bar for a healthier cleaner, work environment. We are WMBE cert, Sect 3 vendor"</t>
  </si>
  <si>
    <t>http://pristineimageintl.com</t>
  </si>
  <si>
    <t>mailto:ydavis@pristineimageintl.com</t>
  </si>
  <si>
    <t>Pritchett Photography</t>
  </si>
  <si>
    <t>http://www.indyphotogirl.com</t>
  </si>
  <si>
    <t>mailto:tpritchett1118@att.net</t>
  </si>
  <si>
    <t>Private Capital Management Group, Inc</t>
  </si>
  <si>
    <t>="Private Capital Management Group, Inc. is a full-service financial planning firm. The associates of PCMG, Inc. specialize in advisory services to small to mid-sized businesses, non-profit organizations, and individuals. Within these client groups, an emphasis is placed on retirement strategies, wealth accumulation and wealth preservation, as well as post-retirement income generation, tax strategies, and estate planning. PCMG, Inc. is focused on the future with its feet firmly in the past when it comes to old-fashioned values. Our mission is to provide elite advisory services with client value and flexibility in mind. In order to accomplish this, our regional partners have teamed with one of the nation's most respected independent broker dealers, Jefferson Pilot Securities Corporation. PCMG, Inc. is able to maintain its individualism while having access to the latest in investment strategies, trading tools, and research."</t>
  </si>
  <si>
    <t>http://www.pcmginc.com</t>
  </si>
  <si>
    <t>mailto:info@pcmginc.com</t>
  </si>
  <si>
    <t>Pro Biz Alliance, LLC</t>
  </si>
  <si>
    <t>="Consulting regarding Health and Wealth solutions. Our firm will review our clients existing employee benefit plan and make recommendations to improve the plan. We will review Medical Health insurance, Consumer driver health care, Health Savings Accounts supplemental insurance, employer sponsored retirement plans, ie. 401k Retirement Plans. We will implement the plan and educate all the employees."</t>
  </si>
  <si>
    <t>http://www.probizalliance.com</t>
  </si>
  <si>
    <t>mailto:info@probizalliance.com</t>
  </si>
  <si>
    <t>Pro Care Services, Inc</t>
  </si>
  <si>
    <t>mailto:Landmark.landmark@sbcglobal.net</t>
  </si>
  <si>
    <t>Pro Drive Asphalt</t>
  </si>
  <si>
    <t>mailto:prodrive1990@earthlink.net</t>
  </si>
  <si>
    <t>Pro Drywall, LLC</t>
  </si>
  <si>
    <t>mailto:prodrywall@seidata.com</t>
  </si>
  <si>
    <t>Pro Grass Cutters, LLC</t>
  </si>
  <si>
    <t>http://www.ProGrassCutters.com</t>
  </si>
  <si>
    <t>mailto:ProGrassCutters@aol.com</t>
  </si>
  <si>
    <t>Pro Paint &amp; Finish</t>
  </si>
  <si>
    <t>mailto:awkupty@msn.com</t>
  </si>
  <si>
    <t>Pro Products, LLC</t>
  </si>
  <si>
    <t>http://www.proproducts.com</t>
  </si>
  <si>
    <t>mailto:tcronk@proproducts.com</t>
  </si>
  <si>
    <t>Pro Resources, Inc.</t>
  </si>
  <si>
    <t>="Pro Resources provides total staffing services. We are locally owned and operated in Fort Wayne, IN. We has 17 offices all located in the state of Indiana with Fort Wayne being our corporate location. Pro Resources has been ISO 9000 certified since 2005 and also has acquired WRC certification. The offices specialize in short-term and long-term staffing, recruiting and consulting. We provide qualified workers to need your needs: light industrial, medical and professional/clerical fields. Innovative human resources' solutions are our strength."</t>
  </si>
  <si>
    <t>http://www.proresources.net</t>
  </si>
  <si>
    <t>mailto:sales@proresources.net</t>
  </si>
  <si>
    <t>Pro Tech Builders, LLC</t>
  </si>
  <si>
    <t>mailto:techbuildersllc@yahoo.com</t>
  </si>
  <si>
    <t>Pro Tech Monitoring, Inc.</t>
  </si>
  <si>
    <t>http://www.ptm.com</t>
  </si>
  <si>
    <t>Pro-Tex, LLC</t>
  </si>
  <si>
    <t>="Pro-Tex provides a locally owned and operated option for laundry services such as mats, towels, gloves, apparel, and related items for any size business. Pro-Tex also provides a complete line of uniforms for industry, medical, school, and personal use through our retail location(s) and our web-site. Pro-Tex represents some outstanding lines such as Dickies, Dickies Medical, Carhartt, Landau, Red Kap, Notrax, Anderson Company Mats, Adidas, Nike, Tiger Woods, Red House, etc."</t>
  </si>
  <si>
    <t>mailto:protexindiana@yahoo.com</t>
  </si>
  <si>
    <t>Pro-gard Products</t>
  </si>
  <si>
    <t>http://www.pro-gard.com</t>
  </si>
  <si>
    <t>mailto:sales@pro-gard.com</t>
  </si>
  <si>
    <t>ProAudio, Inc.</t>
  </si>
  <si>
    <t>="We are your home for all your audio production and multimedia needs. With our high speed CD, DVD, and Cassette duplication, Audiacom strives to have a turn-around time that smokes the competition. So, you’ll never miss a tight deadline again. Audiacom can handle every aspect of your duplication project, from production to fulfillment. Audiacom also provides Message On-Hold service. For over a decade, Audiacom has provided companies with the most cost-effective marketing tool available. Just think of all the customers your company puts on-hold every day. Why not tell them more about your company while they’re on-hold? Mention a new product or service they may not know about. Audiacom’s professional voices, digital equipment, and custom scripts for your business, maximize the effectiveness of your message."</t>
  </si>
  <si>
    <t>http://www.audiacom.net</t>
  </si>
  <si>
    <t>mailto:kate@audiacom.net</t>
  </si>
  <si>
    <t>Prerecorded Compact Disc (except Software), Tape, and Record Reproducing</t>
  </si>
  <si>
    <t>ProAxis, Inc.</t>
  </si>
  <si>
    <t>http://www.proaxisinc.com</t>
  </si>
  <si>
    <t>mailto:sales@proaxisinc.com</t>
  </si>
  <si>
    <t>ProCLAD, Incorporated</t>
  </si>
  <si>
    <t>http://www.procladin.com</t>
  </si>
  <si>
    <t>mailto:craigc@procladinc.com</t>
  </si>
  <si>
    <t>Siding Contractors</t>
  </si>
  <si>
    <t>ProCon Business</t>
  </si>
  <si>
    <t>http://lawrence.william@insightbb.com</t>
  </si>
  <si>
    <t>mailto:wlawrense@bellsouth.net</t>
  </si>
  <si>
    <t>ProMed Medical Management, Inc.</t>
  </si>
  <si>
    <t>="A medical case management company providing services in the area of workers compensation. We help contain the costs involved in workers compensation claims on behalf of employers, insurance carriers and TPA's while getting the injured employees back to work in a safe and timely manner."</t>
  </si>
  <si>
    <t>http://www.promedmedical.net</t>
  </si>
  <si>
    <t>mailto:dianamaxam@promedmedical.net</t>
  </si>
  <si>
    <t>ProPrint Forms, LLC</t>
  </si>
  <si>
    <t>="20+ years experience providing offset and digital printing; including but not limited to: business forms, checks, stationery, envelopes, business cards, padded forms, continuous and laser forms, multi-part unit sets, postcards with or without variable data printing, labels, presentation folders, magnets, door hangers and other specialty products. Design services and complete mailing services offered as well."</t>
  </si>
  <si>
    <t>http://www.proprintforms.com</t>
  </si>
  <si>
    <t>mailto:msmith@proprintforms.com</t>
  </si>
  <si>
    <t>="Business and Medical printing and supplies including checks and envelopes, forms, stationery and promotional printing; laser, continuous and multi-part forms; software compatible forms. Presentation folders &amp; binders. Manual book printing and bindery. Complete design services."</t>
  </si>
  <si>
    <t>ProSafe CDL LLC</t>
  </si>
  <si>
    <t>http://www.ProSafeCDL.com</t>
  </si>
  <si>
    <t>mailto:www.ProSafeCDL.com</t>
  </si>
  <si>
    <t>Proactive Medical Review&amp;Consultants LLC</t>
  </si>
  <si>
    <t>="Proactive medical review provides comprehensive clinical documentation auditing, medical review preparedness training, active ADR services, clinical program development and Medicare appeals management for long term care providers with a focus on proving skilled rehab provision to support reimbursement. Get paid for your good care"</t>
  </si>
  <si>
    <t>http://www.proactivemedicalreview.com</t>
  </si>
  <si>
    <t>Process Improvement Solutions Inc</t>
  </si>
  <si>
    <t>="The Managing Principal, Shaker Cherukuri, is bringing his fifteen years of private sector expertise in the process improvement, root cause analysis, program management and engineering arena at three fortune 500 companies (two of which are also DOW components - GE, CAT, CMI), a top Managemnt Consulting firm (Booz Allen) and two masters degrees (MBA/MSEE) to target the government sector on projects where he can provide value based on his unique combination of skills. NAICS codes are: 541611 541613 541614 541618 541330 541690"</t>
  </si>
  <si>
    <t>http://process-improvement-solutions.com</t>
  </si>
  <si>
    <t>mailto:SCherukuri@processisinc.com</t>
  </si>
  <si>
    <t>Processing Solutions</t>
  </si>
  <si>
    <t>mailto:processing_solution@yahoo.com</t>
  </si>
  <si>
    <t>Prodigy Staffing Solutions, LLC</t>
  </si>
  <si>
    <t>http://www.prodigystaffing.com</t>
  </si>
  <si>
    <t>mailto:info@prodigystaffing.com</t>
  </si>
  <si>
    <t>Producers Plus, Inc.</t>
  </si>
  <si>
    <t>mailto:peggy@producersplus.com</t>
  </si>
  <si>
    <t>Productive Concepts International LLC</t>
  </si>
  <si>
    <t>http://www.productiveconcepts.com</t>
  </si>
  <si>
    <t>mailto:bosborne@productiveconcepts.com</t>
  </si>
  <si>
    <t>Productive Concepts, Inc.</t>
  </si>
  <si>
    <t>="Productive Concepts, Inc. is an automotive manufacturing based compnany that has developed a new division of the company(PCI Tech) to help diversify and bring more work and business locally. PCI Technologies is an authorized distributor for Intellinet and Manhatten line of products. We offer high quality, at competitive pricing. We promise to provide 100% customer service and commitment before, during and after the sale. We offer a mix of quality manufactured and distributed products making PCI Technologies your one stop shop for all your computer accessories and networking needs. We offer 1 day shipping and our products have a LIFETIME WARRANTY, which will guarantee satisfaction. Please take a moment to check out our products at our Website http://www.pcitech.net/"</t>
  </si>
  <si>
    <t>mailto:scline@productiveconcepts.com</t>
  </si>
  <si>
    <t>Productivity Management, Inc.</t>
  </si>
  <si>
    <t>="Founded in 1987, and based in South Bend, IN, PMI's staff of nearly 30 information technology specialists is a leading reseller nationwide for the best-selling, most prominent names in Enterprise Resource Planning solutions, including Microsoft Business Solutions, Best Software, and many more. We are proud to have been named a recipient of the St. Joseph County Small Business of the Year... as well as having received many accolades from the national trade press for our I.T. skills (including a six-time winner of Accounting Today Magazine's 'Technology Pacesetter Award' (1998-2004), and the nation's only two-time recipient of Accounting Technology Magazine's 'Killer VAR' award. PMI focuses on several software-specific areas of expertise, namely: Complete discrete manufacturing control systems, including data collection, bar code and EDI... Fully customizable accounting systems, featuring Microsoft Business Solutions' Navision Financials... ACCPAC Accounting Systems, includi"</t>
  </si>
  <si>
    <t>http://www.pmisoft.com</t>
  </si>
  <si>
    <t>mailto:brian@pmisouthbend.com</t>
  </si>
  <si>
    <t>Productivity Resources, Inc.</t>
  </si>
  <si>
    <t>="For over 25 years, PRI has delivered personalized customer service to provide the most innovative Metal Stamping Equipment and Material Handling Solutions available on the market. Our professional staff is dedicated to partnering with you to provide solutions for your business - a connection that we value!"</t>
  </si>
  <si>
    <t>http://www.stampersstore.com/cart</t>
  </si>
  <si>
    <t>mailto:admin@productivityresources.com</t>
  </si>
  <si>
    <t>Professional Alliance of Counselors and</t>
  </si>
  <si>
    <t>Professional Assessment of Indiana, Inc</t>
  </si>
  <si>
    <t>mailto:PAI@ori.net</t>
  </si>
  <si>
    <t>Professional Blog Service</t>
  </si>
  <si>
    <t>="Professional Blog Service provides companies consulting and management services for Search Engine Optimization, Blogging Services, Online Content Development and Social Media Management. Professional Blog Service helps companies speak to their prospects, customers and search engines so they can be found."</t>
  </si>
  <si>
    <t>http://www.problogservice.com</t>
  </si>
  <si>
    <t>mailto:sales@problogservice.com</t>
  </si>
  <si>
    <t>Professional Career Academy, LLC</t>
  </si>
  <si>
    <t>http://www.profesionalcareeracademy.com</t>
  </si>
  <si>
    <t>Junior Colleges</t>
  </si>
  <si>
    <t>Professional Case Management Services, I</t>
  </si>
  <si>
    <t>mailto:mpopp@bluemarble.net</t>
  </si>
  <si>
    <t>Professional Computing, LLC</t>
  </si>
  <si>
    <t>="Professional Computing is a custom software development company located in Columbus, Indiana. We are a small, swift software firm that utilizes Microsoft technologies to rapidly develop complex embedded and Web application solutions. Our highly-skilled engineers embrace the challenge of complex system software design. Our engineers work closely to build a strong working relationship and achieve your project-based objectives . We can provide the expertise to ensure a smooth experience through the entire software development life cycle. Professional Computing thrives on complex projects. For more information, please visit www.prof-computing.com."</t>
  </si>
  <si>
    <t>http://www.prof-computing.com</t>
  </si>
  <si>
    <t>mailto:brian.rawlings@prof-computing.com</t>
  </si>
  <si>
    <t>Professional Contracting LLC</t>
  </si>
  <si>
    <t>mailto:steves@bluemarble.net</t>
  </si>
  <si>
    <t>Professional Data Dimensi</t>
  </si>
  <si>
    <t>http://www.pdd.com</t>
  </si>
  <si>
    <t>mailto:wpatrick@pdd.com</t>
  </si>
  <si>
    <t>Professional Development Group, II</t>
  </si>
  <si>
    <t>="Professional Development Group II, Inc. is a full service meeting planning and conference Management Company. We pride ourselves on helping your organization manage its expenses while providing you with the best service in the industry. PDG has over 15 years experience in conference management and meeting planning. This is a family business and we realize the only item that sets us apart from our competition is our exceptional service. We bring with us special attention to details, the ability to negotiate hotel contracts that are in the best interest of our clients and relationships with hotels, airlines and rental car agencies that we have developed over a period of fifteen years."</t>
  </si>
  <si>
    <t>http://www.prodevmeetings.com</t>
  </si>
  <si>
    <t>mailto:info@prodevmeetings.com</t>
  </si>
  <si>
    <t>Professional Education Solutions, Inc</t>
  </si>
  <si>
    <t>="Our vision is to provide high quality professional development to all audiences we encounter. Our goal is success for every learner. At the heart of our work are the services we provide. We offer effective and lasting solutions with our consulting and learning opportunities. Our workshops are helpful and customer focused. Our team of experienced, engaging instructors designs their workshops around the perfect balance of ""true-to-today"" experience and technical application drawn from perfectly facilitated programs and workshops they lead nationwide."</t>
  </si>
  <si>
    <t>http://www.proedsolutions.com</t>
  </si>
  <si>
    <t>mailto:info@proedsolutions.com</t>
  </si>
  <si>
    <t>Professional Engineers' Group, Inc.</t>
  </si>
  <si>
    <t>http://www.pegroup.us</t>
  </si>
  <si>
    <t>mailto:info@pegroup.us</t>
  </si>
  <si>
    <t>Professional Funeral Services, Inc</t>
  </si>
  <si>
    <t>http://www.ColemanHicks.com</t>
  </si>
  <si>
    <t>mailto:colemanhicksfh@yahoo.com</t>
  </si>
  <si>
    <t>Professional Gifting, Inc.</t>
  </si>
  <si>
    <t>="In short, we can put your logo or company name on anything and everything including promotional products and apparel. We can also created custom websites for your business which offer these items. Some other services include direct mail programs, Digital Rewards, Merchandise Incentive Programs, Eco-Friendly Ideas, etc."</t>
  </si>
  <si>
    <t>http://www.ProfessionalGifting.com</t>
  </si>
  <si>
    <t>mailto:Danielle@ProfessionalGifting.com</t>
  </si>
  <si>
    <t>Professional Glass Co., Inc.</t>
  </si>
  <si>
    <t>mailto:proglassco@aol.com</t>
  </si>
  <si>
    <t>Professional Grade Services LLC</t>
  </si>
  <si>
    <t>http://www.pgsindy.com</t>
  </si>
  <si>
    <t>mailto:info@pgsindy.com</t>
  </si>
  <si>
    <t>Professional Information Systems, Inc.</t>
  </si>
  <si>
    <t>="We are a computer consulting company that will design, build, setup, implement, and maintain network systems and individual workstations. We have solutions for backup/recovery, anti-viruses, wireless, wired, VPN, bio-metric solutions, network video camera solutions, mobile, LAN Management Solutions plus other product solutions. We are an Intel Channel Partner, Microsoft OEM SystemBuilders/Parnter, Novell Certified, Cisco Partner plus many other partner relationships with the major manufacturers. We provide a complete solution for our clients needs."</t>
  </si>
  <si>
    <t>http://www.proinfosys.com</t>
  </si>
  <si>
    <t>mailto:paulette@proinfosys.com</t>
  </si>
  <si>
    <t>Professional Lawn and Landscaping LLC</t>
  </si>
  <si>
    <t>http://professionallawnandlandscape.com</t>
  </si>
  <si>
    <t>mailto:prolawn.landscape@yahoo.com</t>
  </si>
  <si>
    <t>Professional Locomotive Services, Inc.</t>
  </si>
  <si>
    <t>http://www.e-pls.com/</t>
  </si>
  <si>
    <t>mailto:service@e-pls.com</t>
  </si>
  <si>
    <t>Support Activities for Rail Transportation</t>
  </si>
  <si>
    <t>Professional Part-Time Employment Soluti</t>
  </si>
  <si>
    <t>="10 til 2 is a placement service that focuses on placing college-educated professionals into long-term part-time positions. For employers, 10 til 2 provides dedicated and college-educated professionals without the added expense and hassle of hiring a new full-time employee. Additionally, 10 til 2 offers professionals the ability to be a dedicated employee in a challenging position while maintaining balance in their work and family life."</t>
  </si>
  <si>
    <t>http://www.tentiltwo.com</t>
  </si>
  <si>
    <t>mailto:bknoke@tentiltwo.com</t>
  </si>
  <si>
    <t>Professional Procurement Services Corp.</t>
  </si>
  <si>
    <t>="I provide services and products for various companies depending on their needs. For example if there is a company looking at going Green for a friendlier environment please give us a call. If you are looking at purchasing Gift Cards for a Corporate Wide event please call us. We provide a wide range of services to meet most of your purchasing needs."</t>
  </si>
  <si>
    <t>Professional Psychological Services LLC</t>
  </si>
  <si>
    <t>http://www.ppsin.com</t>
  </si>
  <si>
    <t>mailto:propsychserv@aol.com</t>
  </si>
  <si>
    <t>Professional Real Estate Services LLC</t>
  </si>
  <si>
    <t>="PRS, founded in 2000, is a real estate consulting firm specializing in land development issues ranging from market analysis and entitlement through project management, compliance inspections and project acceptance. Pat Shaurette is the sole member of this LLC. She holds an undergraduate business degree with a major in Finance, and a masters degree with a major in Real Estate and a minor in Urban Planning. She has over 30 years experience in the industry, 20 of which are in Indiana."</t>
  </si>
  <si>
    <t>mailto:pews@juno.com</t>
  </si>
  <si>
    <t>Professional Recovery, Inc.</t>
  </si>
  <si>
    <t>http://WWW.PROFESSIONALRECOVERYINC.COM</t>
  </si>
  <si>
    <t>mailto:JOHN@PROFESSIONALRECOVERYINC.COM</t>
  </si>
  <si>
    <t>Professional Resources International, In</t>
  </si>
  <si>
    <t>="PRI Audit &amp; Control is the nation's oldest independent internal auditing firm. We provide outsourced and projectint-based internal audit services to large and small companies throughout the world from our offices in the United States and Europe. We plan, staff, and perform financial, operational, dollar recovery, compliance, forensic, foreign language and information systems audits, and can help you comply with Sarbanes-Oxley, implement corporate governance, and complete quality assurance reviews. Since our inception in 1984, we have focused exclusively on delivering risk-based, value-added internal auditing and consulting services to our clients. PRI Audit &amp; Control is headquartered in South Bend, and has offices in Indianapolis, Chicago, Nashville, New Orleans, and Belgium."</t>
  </si>
  <si>
    <t>http://www.priaudit.com</t>
  </si>
  <si>
    <t>mailto:corphq@priauditandcontrol.com</t>
  </si>
  <si>
    <t>Professional Security Agency, LLC</t>
  </si>
  <si>
    <t>http://www.psasecurityllc.com</t>
  </si>
  <si>
    <t>mailto:psasp74@gmail.com</t>
  </si>
  <si>
    <t>Professional Selection Services LLC</t>
  </si>
  <si>
    <t>http://Professional Selection Services.c</t>
  </si>
  <si>
    <t>mailto:dmalone@professionalservices.com</t>
  </si>
  <si>
    <t>Professional Transcription Service, Inc</t>
  </si>
  <si>
    <t>="Professional Transcription Service has been specializing in the interpretation and documentation of medical information for more than 20 years. Professional Transcription Service is committed to professionalism in our work and willingness to please our clients. Learn more about PTS and how we can help your medical practice. Our medical transcription services are backed by a highly dedicated team of transcriptionists and a system that allows you to conduct business as usual and truly decreases cost. PTS is your partner in the interpretation, documentation, and communication of medical information. Our medical transcription service is personally committed to you!"</t>
  </si>
  <si>
    <t>http://www.ptsmanns.com</t>
  </si>
  <si>
    <t>mailto:pts@ptsmanns.com</t>
  </si>
  <si>
    <t>Professional Writing Solutions</t>
  </si>
  <si>
    <t>http://www.PWSwriting.com</t>
  </si>
  <si>
    <t>mailto:chaviland@indy.rr.com</t>
  </si>
  <si>
    <t>Professor Garfield Foundation, Inc.</t>
  </si>
  <si>
    <t>="The Professor Garfield Foundation is a not for profit 501c 3 educational collaboration between Paws, Inc., the global headquarters for Garfield the Cat, and Ball State University, a nationally recognized leader in teacher training and digital education. Our mission is to become a world leader in the direct free delivery of innovative digital learning content with a primary emphasis on children’s literacy and learning disabilities."</t>
  </si>
  <si>
    <t>http://www.professorgarfield.org</t>
  </si>
  <si>
    <t>mailto:bobl@pawsinc.com</t>
  </si>
  <si>
    <t>Profit Source Advisors, LLC</t>
  </si>
  <si>
    <t>="PSA’s main area of expertise is in utilities, including energy audits, conservation, utility cost management, and rate analysis. We are one of the leading utility management firms in the Midwest. Our team of electrical, mechanical, and waste engineers offers years of experience in utility audit, management and consulting. Many States have begun deregulating their utility tariff rates, creating even more opportunity to save money. Organizations now have choices when selecting their electric, gas, and water rates. With these changes, utility invoices have become more complicated. With the multitude of choices and decisions to make, you need a firm who can guide you through the utility options. When you choose PSA LLC as your partner in utility management, we offer a variety of services to help guide you through the utility environment. Every client is different, so we can customize a utility package to meet our individual clients’ needs. Includes electric, gas, water, sewer."</t>
  </si>
  <si>
    <t>http://www.profitsourceadvisors.com</t>
  </si>
  <si>
    <t>mailto:ryan@profitsourceadvisors.com</t>
  </si>
  <si>
    <t>Proforma</t>
  </si>
  <si>
    <t>http://WWW.PROFORMA.COM/BILLINGSVCS</t>
  </si>
  <si>
    <t>mailto:MWHL4@CS.COM</t>
  </si>
  <si>
    <t>Proforma Data &amp; Mktg</t>
  </si>
  <si>
    <t>mailto:mwhl44@aol.com</t>
  </si>
  <si>
    <t>Program Management Serices, Inc.</t>
  </si>
  <si>
    <t>http://www.downeyins.com</t>
  </si>
  <si>
    <t>mailto:sales@downeyins.com</t>
  </si>
  <si>
    <t>Progressive Design Apparel, Inc</t>
  </si>
  <si>
    <t>http://www.pdacoolstuff.com</t>
  </si>
  <si>
    <t>mailto:info@pdacoolstuff.com</t>
  </si>
  <si>
    <t>Progressive Development Company, LLC</t>
  </si>
  <si>
    <t>http://www.proinvestco.com</t>
  </si>
  <si>
    <t>Progressive Homecare Services, Inc.</t>
  </si>
  <si>
    <t>Project Associated Contractors, Inc.</t>
  </si>
  <si>
    <t>mailto:sharkwitt@hotmail.com</t>
  </si>
  <si>
    <t>Project Home Indy Corp</t>
  </si>
  <si>
    <t>http://www.projecthomeindy.org</t>
  </si>
  <si>
    <t>mailto:sarah@projecthomeindy.org</t>
  </si>
  <si>
    <t>Project Made Easy, INC</t>
  </si>
  <si>
    <t>http://projectmadeeasy.com</t>
  </si>
  <si>
    <t>mailto:info@projectmadeeasy.com</t>
  </si>
  <si>
    <t>Project Mgt. Service</t>
  </si>
  <si>
    <t>ProjectLEADER, inc</t>
  </si>
  <si>
    <t>http://www.projectleader.com</t>
  </si>
  <si>
    <t>mailto:lpeters@projectleader.com</t>
  </si>
  <si>
    <t>Proliant Accounting Solutions</t>
  </si>
  <si>
    <t>http://www.proliantllc.com</t>
  </si>
  <si>
    <t>mailto:info@proliantllc.com</t>
  </si>
  <si>
    <t>Prolific Cleaning Services</t>
  </si>
  <si>
    <t>http://prolificcleaningservices.com</t>
  </si>
  <si>
    <t>Promethius Consulting</t>
  </si>
  <si>
    <t>="We offer a full range of hardware and software support, including software training, pc rebuilds, tape backups, printer support, high-speed internet (e.g. T1, DSL, cable, … etc.), databases and much, much more. We are also a full service graphic design and marketing firm offering experitse in web design, maintenance, email, web hosting, brochures, posters, ads, corporate identity logos, and email marketing, just to name a few."</t>
  </si>
  <si>
    <t>http://www.promethiusconsulting.com</t>
  </si>
  <si>
    <t>mailto:support@promethius.com</t>
  </si>
  <si>
    <t>Promise Financial Group Inc.</t>
  </si>
  <si>
    <t>Promised Land Development Corp, Inc</t>
  </si>
  <si>
    <t>="Connecting manufacturers with sources of supply particularly weld wires, solid and metal core; and assisting businesses to attain savings in their utility purchases, both electric power and natural gas. Efficiencies in buying 'right' in both of these commodities will help your business run more efficiently by strategically keeping more of your money in your pocket adding directly to your bottom line."</t>
  </si>
  <si>
    <t>mailto:lnewberry.pldc@gmail.com</t>
  </si>
  <si>
    <t>Promising Futures, Inc.</t>
  </si>
  <si>
    <t>Promotional Avenues, LLC</t>
  </si>
  <si>
    <t>="We are able to provide any promotional products or advertising specialty products that you require. We provide for employee recognition programs, safety programs, brand awareness, give-aways, awards and much much more. Some of the products we provide are: t-shirts, sweatshirts, polo's, key chains, writing utensils, padfolios, backpacks, magnets and just about anything you can put a logo on."</t>
  </si>
  <si>
    <t>http://www.promotionalavenues.com</t>
  </si>
  <si>
    <t>mailto:customerservice@promotionalavenues.com</t>
  </si>
  <si>
    <t>Promotional Resources Unlimited</t>
  </si>
  <si>
    <t>http://www.promoresourceunlt.com</t>
  </si>
  <si>
    <t>mailto:jennifer@promoresoueceunlt.com</t>
  </si>
  <si>
    <t>Promotus Advertising</t>
  </si>
  <si>
    <t>="Promotus Advertising is committed to building a profitable relationship with each client by providing strategic planning, creative services, and account management. The agency offers uncompromising service, and makes available all of its resources to promote the well being of its clients. The objective is to represent each client with the utmost professionalism, offer wise counsel, provide good financial stewardship and always present the client's product or service in its best light. Promotus Advertising is a full service marketing and advertising company founded in 1983. Promotus is certified as a minority-owned firm. The agency is experienced and prepared to do business on a local, regional, or national basis."</t>
  </si>
  <si>
    <t>mailto:bbryant@promotusadv.com</t>
  </si>
  <si>
    <t>Prompt Ambulance Central, Inc.</t>
  </si>
  <si>
    <t>="Prompt Ambulance Central, Inc. is an Indiana State EMS Commission certified medical transportation service operating in a 12 county region of Northwest and Central Indiana, with headquarters in Lafayette, Indiana. Prompt Central serves as the primary ambulance and acute medical transport service for the hospitals and medical facilities in our area. Prompt Central also provides Emergency 911 service to the communities in Jasper and Cass Counties. Prompt has 159 employees, and operates 24 hours/day, 365 days/year, with one dozen advanced life support ambulances staffed with paramedics and EMTs, as well as a fleet of basic life support ambulances and wheelchair vans to provide comprehensive service to facilities in our area and throughout the state."</t>
  </si>
  <si>
    <t>https://www.promptambulance.com</t>
  </si>
  <si>
    <t>mailto:dsomerville@promptambulance.com</t>
  </si>
  <si>
    <t>Prompt Medical Transfer Inc.</t>
  </si>
  <si>
    <t>Propane One, Inc.</t>
  </si>
  <si>
    <t>mailto:propanejim@sigecom.net</t>
  </si>
  <si>
    <t>Propeller Marketing, LLC</t>
  </si>
  <si>
    <t>="Propeller Marketing is a full-service advertising agency that is certified as an Indiana Woman-owned Business Enterprise (WBE) and a Greater Indianapolis Chamber of Commerce “Green Business.” As a vibrant Indiana company, Propeller Marketing delivers the personal service that only a boutique agency can truly commit to, while offering the capacity and expertise of a large agency. We provide our clients with creative services, web site design/development, public relations, media planning/placement, strategy planning and research. We are dedicated to accelerating our client’s growth by providing strong and efficient marketing efforts. Propeller Marketing is different than other ad agencies because we are streamlined, prove value to our clients and focus on results."</t>
  </si>
  <si>
    <t>http://www.propellermktg.com</t>
  </si>
  <si>
    <t>mailto:info@propellermktg.com</t>
  </si>
  <si>
    <t>Proper Touch</t>
  </si>
  <si>
    <t>mailto:Papoose72@yahoo.com</t>
  </si>
  <si>
    <t>Property Point LLC</t>
  </si>
  <si>
    <t>="Property Point LLC offers solutions for commercial real estate including management, brokerage and marketing communications for single-and multi-tenant office, medical, retail and industrial space. For medical office to retail and all spaces in between, Property Point provides top notch facilities services, tenant relations, financial management and landlord/tenant representation. For more information contact us today via this posting, or visit us on the web at http://www.propertypointcre.com. Property Point is on point 24•7•365 serving Central Indiana’s commercial real estate needs. Licensed Real Estate Broker"</t>
  </si>
  <si>
    <t>http://www.propertypointcpm.com</t>
  </si>
  <si>
    <t>Property Sales &amp; Acq</t>
  </si>
  <si>
    <t>http://www.propertiesbanked.com</t>
  </si>
  <si>
    <t>mailto:info@propertiesbanked.com</t>
  </si>
  <si>
    <t>Prophet One Solutons</t>
  </si>
  <si>
    <t>="Based in Indianapolis, Prophet One is a management and technology consulting firm focused on continuous improvement (using tools such as lean and six sigma) projects. Additionally, Prophet One is an Oracle Certified Partner which implements Oracle Applications including JDEdwards (JDE), PeopleSoft; Oracle EBS, and Hyperion). Prophet One also develops applications using Microsoft Technologies such as Business Intelligence (SSAS,SSIS,SSRS) and MOSS/Sharepoint,"</t>
  </si>
  <si>
    <t>http://www.ProphetOne.com</t>
  </si>
  <si>
    <t>mailto:JMorrissey@ProphetOne.com</t>
  </si>
  <si>
    <t>Prosand Construction Group LLC</t>
  </si>
  <si>
    <t>http://prosandflooring.com</t>
  </si>
  <si>
    <t>mailto:carl@prosandflooring.com</t>
  </si>
  <si>
    <t>Proscien, Inc.</t>
  </si>
  <si>
    <t>="Proscien is life science technology and service company specializing in biochemical and organic chemical products and kits that are used in proteomic and genomic research, biotechnology, pharmaceutical development, the diagnosis of disease as a key components of pharmaceutical and other technology manufacturing. We market our products to life science companies, universities, hospitals, and government institutions."</t>
  </si>
  <si>
    <t>http://www.proscien.com</t>
  </si>
  <si>
    <t>mailto:kevin.hillsman@proscien.com</t>
  </si>
  <si>
    <t>Prosco, Inc.</t>
  </si>
  <si>
    <t>mailto:proscoinc@sbcglobal.net</t>
  </si>
  <si>
    <t>Protect Our Children, Inc.</t>
  </si>
  <si>
    <t>="Protect Our Children, Inc provides affordable, thorough Family Assessments for Domestic, Independent, International and Special Needs Adoptions. Protect Our Children, Inc provides post placement supervision and counseling. We also provide pre-placement counseling to birth mothers"</t>
  </si>
  <si>
    <t>http://www.protect-our-children.org</t>
  </si>
  <si>
    <t>mailto:ProtectOurChildren.org</t>
  </si>
  <si>
    <t>Protection One Security Solutions</t>
  </si>
  <si>
    <t>="Protection One is a full service Security and Access Control company. Our services include commercial fire and burglar alarm monitoring, Access Control services, Closed-circuit TV, employee badging and all other aspects of corporate security. We are fully certified for installation and service of these systems."</t>
  </si>
  <si>
    <t>http://www.protection1.com</t>
  </si>
  <si>
    <t>mailto:jeffreyautry@protection1.com</t>
  </si>
  <si>
    <t>Protege Staffing Network, Inc.</t>
  </si>
  <si>
    <t>="Protégé provides a broad range of range of staffing solutions for companies and candidates throughout the United States. We specialize in the placement of healthcare, sales, and management professionals. We offer temporary staffing solutions, contract to hire and permanent staffing solutions. We are in the business to help you maintain your competitive advantage by cost-effectively delivering highly skilled professional in the sales industry or health care industry when and how you need them most. The consultants at Protégé take pride in being some of the most experienced professional in their perspective industries. They understand the trends in your industry and how they impact your unique staffing challenges. We understand the level of talent and experience that a candidate should have to be successful. With our extensive experience in sales, healthcare, and management it has enabled us to build a vast network of contacts throughout the United States. Protégé is committed to cre"</t>
  </si>
  <si>
    <t>http://www.thinkprotege.com</t>
  </si>
  <si>
    <t>mailto:slocke@thinkprotege.com</t>
  </si>
  <si>
    <t>Protis Executive Innovations</t>
  </si>
  <si>
    <t>http://www.protisei.com</t>
  </si>
  <si>
    <t>mailto:lwebber@protisei.com</t>
  </si>
  <si>
    <t>Prototype Systems, Inc.</t>
  </si>
  <si>
    <t>mailto:john@ptsprintmail.com</t>
  </si>
  <si>
    <t>Providence Self Suff</t>
  </si>
  <si>
    <t>="PSSM in Georgetown, Indiana provides three programs. Family Preservation is a Family Self-Sufficiency program that serves parents and children in campus apartments. Families receive case management, GED services, medication access, linkage and therapy services for 12-18 months to allow them to reunify after placement of one or more children with DCF. Group Home services for boys and girls ages 6-21 are also part of our business. Children are in the custody of the State of Indiana and we provide residential care and treatment in order that they might return home or be placed in a foster home, if return home is not possible. Our last service is Independent Living services. We help young people that have been in foster care become independent and self-sufficient. Youth ages 17 1/2 and older receive assessment, planning and case management through this program as well as access to some financial assistance to help with transition and housing."</t>
  </si>
  <si>
    <t>http://www.PSSM.org</t>
  </si>
  <si>
    <t>mailto:sbarannz@insightbb.com</t>
  </si>
  <si>
    <t>Providity Consulting, LLC</t>
  </si>
  <si>
    <t>Provision Counseling Services, LLC</t>
  </si>
  <si>
    <t>http://www.provisioncounselingservices.c</t>
  </si>
  <si>
    <t>Pro~Creations Unlimited</t>
  </si>
  <si>
    <t>="Specializing in Custom Websites for Small Businesses - Pro~Creations Unlimited provides a full range of Web Development services, including website design, website maintenance, domain registration, web hosting set up, graphics design, digital photography for the web, search engine optimization and submission, domain based email set up, and opt-in email marketing set up."</t>
  </si>
  <si>
    <t>http://www.procreationsunlimited.com</t>
  </si>
  <si>
    <t>mailto:info@procreationsunlimited.com</t>
  </si>
  <si>
    <t>Public Health Information Solutions</t>
  </si>
  <si>
    <t>Public Risk Underwriters of Indiana, LLC</t>
  </si>
  <si>
    <t>Public Safety Academy of Northeast India</t>
  </si>
  <si>
    <t>="The Public Safety Foundation of Northeast Indiana, Inc. was created as a not-for-profit organization in 2002 to support the Public Safety Academy of Northeast Indiana by acting as an instrument to secure funding, assisting in building regional support, and identifying links between business, academia and First Responder training. The Public Safety Academy of Northeast Indiana, Inc. is located in South Fort Wayne."</t>
  </si>
  <si>
    <t>http://www.publicsafetyacademy.org</t>
  </si>
  <si>
    <t>mailto:rksturtz@msn.com</t>
  </si>
  <si>
    <t>Publicall Telecommunications Inc.</t>
  </si>
  <si>
    <t>http://www.publicall.com</t>
  </si>
  <si>
    <t>mailto:ricardo@publicall.com</t>
  </si>
  <si>
    <t>Publishers Consulting Corporation</t>
  </si>
  <si>
    <t>http://www.pubco-printing.com</t>
  </si>
  <si>
    <t>mailto:print@pubco-printing.com</t>
  </si>
  <si>
    <t>Pulaski County Press, Inc.</t>
  </si>
  <si>
    <t>="Full service sheet/web-fed offset printer, bindery, and finishing. Forms, stationery, letterheads, envelopes, tickets, booklets, pamphlets, self inking stamps, magnetic ink bank forms. Cut/cut-print vinyl sign production. Screen printing. Graphic design. Advertising campaign creation and implementation. Promotional product sales and design. Political campaign materials. U.S. Postal mailing available."</t>
  </si>
  <si>
    <t>http://www.pulaskijournal.com</t>
  </si>
  <si>
    <t>mailto:bids@pulaskijournal.com</t>
  </si>
  <si>
    <t>Pulley-Kellam Company Inc.</t>
  </si>
  <si>
    <t>="Pulley-Kellam Company, Inc., is a full service manufacturer offering design/development, fabrication and powder coated finishing of metal products for consumer and industrial use. Pulley-Kellam also provides labeling and packaging of the customer's products as well as inventory and shipping management."</t>
  </si>
  <si>
    <t>mailto:info@pulleykellam.com</t>
  </si>
  <si>
    <t>Pulver Asphalt Paving, Inc.</t>
  </si>
  <si>
    <t>="We are a construction company who specializes in Asphalt Parking Lot construction and City Street Construction. We also pave residetial drives. We install septic systems and perform various other excavation tasks. We also pour concrete for sidewalks, parking lots, driveways, etc."</t>
  </si>
  <si>
    <t>mailto:cpulver@ligtel.com</t>
  </si>
  <si>
    <t>Purdue University</t>
  </si>
  <si>
    <t>http://www.purdue.edu</t>
  </si>
  <si>
    <t>mailto:purdue@purdue.edu</t>
  </si>
  <si>
    <t>Pure Water Tech of Kentuckiana, LLC</t>
  </si>
  <si>
    <t>="Pure Water Tech is the exclusive PHSI PW1R dealer for central Indiana. The PW1R by PHSI Pure Water Technology® is the most effective way to provide fresh, pure, oxygenated drinking water to your employees. The PW1R vs. Bottled Water… You’ll never have to lift another 40 lb. bottle. Mop up another spill Find an empty cooler Never spend another penny in labor costs to change out empty bottles Free up those dollars tied up in bottle deposits. Think of how much time it takes to count the bottles and match those packing slips to the invoice. It never seems to match up. The PW1R vs. Other Point of Use Systems… Self sanitizing through activated oxygen Maintenance Free Cold and Hot Water Built in ice maker port for a direct line connection to the ice maker Built in coffee system port for a direct line connection to a “plumbed-in brewer” Sealed and controlled system Self contained microprocessor control Eliminates all bacteria, parasites and viruses"</t>
  </si>
  <si>
    <t>http://www.purewatertech.com</t>
  </si>
  <si>
    <t>mailto:mnelson@purewatertech-indiana.com</t>
  </si>
  <si>
    <t>Pure Water Tech, LLC</t>
  </si>
  <si>
    <t>mailto:rveach@purewatertech-indiana.com</t>
  </si>
  <si>
    <t>Pure Water Tech-Ft. Wayne</t>
  </si>
  <si>
    <t>Purple Ink llc</t>
  </si>
  <si>
    <t>http://www.purpleinkllc.com</t>
  </si>
  <si>
    <t>mailto:jodee@purpleinkllc.com</t>
  </si>
  <si>
    <t>Putnam County Auditor</t>
  </si>
  <si>
    <t>Putnam Industries Inc</t>
  </si>
  <si>
    <t>http://www.putnamindustriesinc.com</t>
  </si>
  <si>
    <t>mailto:jpickens@putnamindustriesinc.com</t>
  </si>
  <si>
    <t>Putnam Plastics, Inc</t>
  </si>
  <si>
    <t>http://putnamplasticsinc.com</t>
  </si>
  <si>
    <t>mailto:bquery@putnamplasticsinc.com</t>
  </si>
  <si>
    <t>Pygmalion's Art Supplies, Inc.</t>
  </si>
  <si>
    <t>http://www.pygmalions.com</t>
  </si>
  <si>
    <t>mailto:jane@pygmalions.com</t>
  </si>
  <si>
    <t>Pyramid Auction Services, Inc</t>
  </si>
  <si>
    <t>http://www.keyauctioneers.com</t>
  </si>
  <si>
    <t>mailto:info@keyauctioneers.com</t>
  </si>
  <si>
    <t>Pyramid Construction &amp; Supply Co.</t>
  </si>
  <si>
    <t>Pyramid Consulting, Inc</t>
  </si>
  <si>
    <t>http://www.pyramidinc.com</t>
  </si>
  <si>
    <t>mailto:dilip1@pyramidinc.com</t>
  </si>
  <si>
    <t>Pyramid Equipment inc</t>
  </si>
  <si>
    <t>http://www.pyramidequipmentinc.com</t>
  </si>
  <si>
    <t>mailto:jpsurma@pyramidequipmentinc.com</t>
  </si>
  <si>
    <t>Pyramid Services</t>
  </si>
  <si>
    <t>mailto:pyramid20@sbcglobal.net</t>
  </si>
  <si>
    <t>Pyramid Technology Solutions, Inc</t>
  </si>
  <si>
    <t>Pyro Industrial Services, Inc.</t>
  </si>
  <si>
    <t>http://www.pyroindustrial.com</t>
  </si>
  <si>
    <t>mailto:mwarnke@pyroindustrial.com</t>
  </si>
  <si>
    <t>Q &amp; A Enterprise</t>
  </si>
  <si>
    <t>mailto:jahochstedler@aol.com</t>
  </si>
  <si>
    <t>Q Benefits, LLC</t>
  </si>
  <si>
    <t>="Q Benefits LLC is a third party administrator (TPA) providing consulting and administration services for defined contribution retirement plans, Health Savings Accounts (HSAs), and preneed funeral contracts. We have extensive experience in the design, installation, and administration of defined contribution plans including 401(k) Safe Harbor, profit sharing, 403(b), and 457 plans while general or cross-tested (new comparability) plans are our specialty. With a group of strategic partners, we also offer a turnkey HSA solution for individuals or employer groups. Q Benefits LLC is a fee-for-service firm that does not profit from client investment choices and does not act as a fiduciary in the performance of any service. Q Benefits…the source for customized recordkeeping solutions."</t>
  </si>
  <si>
    <t>http://www.qbenefitsllc.com</t>
  </si>
  <si>
    <t>mailto:info@qbenefitsllc.com</t>
  </si>
  <si>
    <t>Q3 Realty Partners, LLC</t>
  </si>
  <si>
    <t>="Real Estate Property Management and Sales company specializing in property management of single family homes, apartments, and condos, residential and commercial sales, and leasing of vacant units for various owners and investors. We provide QUALITY service to all."</t>
  </si>
  <si>
    <t>http://www.q3realty.com</t>
  </si>
  <si>
    <t>mailto:info@q3realtypartners.com</t>
  </si>
  <si>
    <t>QEPI</t>
  </si>
  <si>
    <t>="QEPI is an environmental engineering consulting firm offering services that include environmental investigation, remediation, risk assessment, health &amp; safety audits and training, water quality, brownfields assessment, air permiting, public relations, mold assessment, asbestos assessment, and process engineering."</t>
  </si>
  <si>
    <t>http://www.qepi.com</t>
  </si>
  <si>
    <t>mailto:kmcdonald@qepi.com</t>
  </si>
  <si>
    <t>QIG, LLC</t>
  </si>
  <si>
    <t>http://www.qigage.com</t>
  </si>
  <si>
    <t>mailto:kgeiger@qigage.com</t>
  </si>
  <si>
    <t>QMAP Solutions LLC</t>
  </si>
  <si>
    <t>="51% Service Connection Disabled Managed Business. We provide program and project management, engineering services, quality systems design and implementation, compliance, validation and support services to provide lean operating systems and quality system registration complaint services."</t>
  </si>
  <si>
    <t>http://www.qmapsolutions.com</t>
  </si>
  <si>
    <t>mailto:dave.trindel@qmapsolutions.com</t>
  </si>
  <si>
    <t>QPS of South Bend, Inc.</t>
  </si>
  <si>
    <t>http://www.qpsconstruction.com</t>
  </si>
  <si>
    <t>mailto:qps@qpsconstruction.com</t>
  </si>
  <si>
    <t>QUALITY ACHIEVEMENT SOLUTIONS GROUP LLC</t>
  </si>
  <si>
    <t>="QAS Group, is a Quality Consulting / Quality Management Outsourcing firm. We have a wide variety of services including providing Quality System improvement and / or implementation expertise; Quality Training (eg. Internal Auditor, Problem Solving, Blueprint Reading, Statistical Techniques); Auditing, Supplier Development; Warranty Reduction; Product Inspection, Product Certification, Product Sorting. We also can supply quality resources to companies when needed such as engineers, technicians, inspectors. We differ from many Quality Consulting firms in that we also provide a complete Quality Management Outsourcing for firms that can not afford or do not want a full time resident quality manager. We take the trial and error out of Quality System development and help companies develop value added quality systems that work for them instead of having the companies work to maintain the appearance of a functioning system. Our goal is to assure companies see a Return On Investment. "</t>
  </si>
  <si>
    <t>http://www.QASGroup.com</t>
  </si>
  <si>
    <t>mailto:QASGroup@gmail.com</t>
  </si>
  <si>
    <t>QUALITY CUSTOMS, LLC</t>
  </si>
  <si>
    <t>="Quality Customs, LLC is a general contracting firm located in Indianapolis, Indiana. The firm has been in business since 2006. Our business specializes in painting, electrical, plumbing, carpentry, roofing, HVAC and water &amp; fire restoration for both residential and commercial customers."</t>
  </si>
  <si>
    <t>mailto:QUALITYCUSTOMSLLC@YAHOO.COM</t>
  </si>
  <si>
    <t>QUALITY PLUMBING &amp; H</t>
  </si>
  <si>
    <t>QUEEN BEE EXTERMINATING</t>
  </si>
  <si>
    <t>http://hoosiertermitepestcontrol.com/</t>
  </si>
  <si>
    <t>mailto:office@hoosiertermitepestcontrol.com</t>
  </si>
  <si>
    <t>QepiHIS, LLC</t>
  </si>
  <si>
    <t>="QEPIHIS, LLC is a Woman Owned business incorporated in the State of Indiana. QEPIHIS is a quality based full service engineering, environmental and a construction management consultant company that is focused on providing our clients with innovation and cost effective solutions in a turnkey approach. QEPIHIS is unique in that we have the Professional Environmental and Engineering Consulting division working with the General Contracting and Construction Management division. As a team we work in concert so that all projects are seamless resulting in saving our clients both time and financial resources. We are reliable, experienced and determined to exceed your expectations."</t>
  </si>
  <si>
    <t>mailto:dpeters@qepi.com</t>
  </si>
  <si>
    <t>Qsens Equipment Solutions, LLC</t>
  </si>
  <si>
    <t>mailto:qsens@att.net</t>
  </si>
  <si>
    <t>Quad D&amp;S Inc,</t>
  </si>
  <si>
    <t>="We provide the finest driver education and traffic safety.Our teen courses are state of the art and cutting edge in every aspect . We are meticulous about ensuring that each little detail of every facet of driver education and traffic safety is covered. We use every aural and visual tool in combination with the finest driving educators. We are dedicated to presenting the knowledge and skills of driving in a realistic professional manner. Class schedules are available to you any time of year. We teach each driving skill and maneuver patiently and professionally to ensure students learn them all. We know just how important each driving maneuver is and how they impact the learning process of all the skills necessary to make you a good, safe driver. Road Tests,We can schedule road test at any time of day."</t>
  </si>
  <si>
    <t>http://alwaysfirstdrivingacademy.com/</t>
  </si>
  <si>
    <t>mailto:afdabds@aol.com</t>
  </si>
  <si>
    <t>Quadrant Inc.</t>
  </si>
  <si>
    <t>="Quadrant is the largest independent photographic studio in the metropolitan Louisville, Ky. area. Quadrant specializes in corporate, advertising, industrial and architectural photography. Our studio is over 12,000 sq. ft. with two cyc walls, working kitchen, digital and film labs, construction capabilities and forklift. Visit our website: www.qphoto.com for further information."</t>
  </si>
  <si>
    <t>http://www.qphoto.com</t>
  </si>
  <si>
    <t>mailto:hower@qphoto.com</t>
  </si>
  <si>
    <t>QualStat Services Inc.</t>
  </si>
  <si>
    <t>="QualStat Services offers individualized consulting and training to help organizations improve. We specialize in long-term Six Sigma and TQM transformation guidance, emphasizing the use of statistical methods. QualStat has experience in helping many types of organizations: manufacturing, non-manufacturing, administrative, service, transactional, healthcare, printing, government, education, engineering, banking, insurance, accounting, research &amp; development, laboratory, testing, and others. QualStat Services also offers training and consulting to meet specific needs of our clients, including: Six Sigma support, mentoring Six Sigma black belts, process improvement, statistical data analysis, statistical process control (SPC), process capability, design of experiments (DOE), statistical modeling, gage R&amp;R studies, Deming management principles, strategic planning, system mapping, developing &amp; monitoring key business measures, statistical budgeting, and project team leadership."</t>
  </si>
  <si>
    <t>mailto:qualstat2@aol.com</t>
  </si>
  <si>
    <t>Quality Applied Systems, Inc.</t>
  </si>
  <si>
    <t>http://www.qasinc.net</t>
  </si>
  <si>
    <t>mailto:qas@qasinc.net</t>
  </si>
  <si>
    <t>Quality Cleaning Solutions, LLC</t>
  </si>
  <si>
    <t>mailto:Larry@LHDC.ORG</t>
  </si>
  <si>
    <t>Quality Controls&amp;Electrical Services Inc</t>
  </si>
  <si>
    <t>Quality Copiers of Lafayette, Inc</t>
  </si>
  <si>
    <t>mailto:quality@qualitycopyshop.com</t>
  </si>
  <si>
    <t>Quality Design &amp; Management</t>
  </si>
  <si>
    <t>mailto:jillsamons@hotmail.com</t>
  </si>
  <si>
    <t>Quality Dryclean &amp; Laundry, Inc</t>
  </si>
  <si>
    <t>mailto:qualitydrycleanlaundry@hotmail.com</t>
  </si>
  <si>
    <t>Drycleaning Plants</t>
  </si>
  <si>
    <t>Quality Environmental Professionals, Inc</t>
  </si>
  <si>
    <t>="QEPI is a full service environmental engineering consulting firm with experience in conducting investigations, remediation, risk assessment, redevelopment, industrial hygiene, mold, ISO certification, industrial permiting, water quality services, site design, asbestos, due diligence and construction inspection."</t>
  </si>
  <si>
    <t>mailto:aluther@qepi.com</t>
  </si>
  <si>
    <t>="Qepi's diverse group of professionals provide our clients with a wide array of expertise and experiences from which to draw upon when completing projects. Our professionals have backgrounds working in all sectors of the economy from regulatory and education, to industry and government. Qepi's service areas include Program Management, Engineering and Hydrogeology, quality and Process Engineering, Real Estate Environmental Management, Redevelopment and Decommissioning and Management Consulting and Public Relations."</t>
  </si>
  <si>
    <t>mailto:info@qepi.com</t>
  </si>
  <si>
    <t>Quality Fire Protection Inc.</t>
  </si>
  <si>
    <t>mailto:qualityfire@embarqmail.com</t>
  </si>
  <si>
    <t>Quality Hotel</t>
  </si>
  <si>
    <t>="255 spacious Overnight Guestrooms, well lighted work areas, Wireless internet available upon request, Conference Rooms and Boardrooms available to accommodate 350 guests. 24 hour business center, Irons and Ironing Boards, Coffee Makers, Hair Dryers in all guest rooms. 26,000 Square Foot FUNDOME Indoor heated pool and kiddie pool, whirlpool, Sauna, Fitness center, Large Arcade Area. Fun for the entire family."</t>
  </si>
  <si>
    <t>http://www.choicehotels.com/hotel/in175</t>
  </si>
  <si>
    <t>mailto:fundomfw@aol.com</t>
  </si>
  <si>
    <t>Quality Imagination Corporation</t>
  </si>
  <si>
    <t>http://www.qualityimagination.com</t>
  </si>
  <si>
    <t>mailto:jorge@qualityimagination.com</t>
  </si>
  <si>
    <t>Quality Innovation,LLC</t>
  </si>
  <si>
    <t>mailto:qillc23@yahoo.com</t>
  </si>
  <si>
    <t>Quality Language</t>
  </si>
  <si>
    <t>="Quality Language Consultants, LLC, is a 100% female and minority owned, Indiana business. We have translated a variety of documents from English to Spanish and Spanish to English in a high quality cost-effective manner for state and local governmental agencies since 1997. Luz Elena Schemmel, owner of Quality Language Consultants, LLC, is a native Spanish speaker and a member of the American Translators Association and the Midwest Association of Translators and Interpreters."</t>
  </si>
  <si>
    <t>http://www.qlc-indy.com</t>
  </si>
  <si>
    <t>mailto:luz_elena@qlc-indy.com</t>
  </si>
  <si>
    <t>Quality Laser Technologies, Inc.</t>
  </si>
  <si>
    <t>http://www.qualitylaser.biz</t>
  </si>
  <si>
    <t>mailto:mail@qualitylaser.biz</t>
  </si>
  <si>
    <t>Quality Machine Repair &amp; Engineering Inc</t>
  </si>
  <si>
    <t>="We offer new and used metal fabrication equipment as well as offer service to metal fabrication users, specializing in press brakes, shears, ironworkers back gauges, etc.. We also offer blade rotations, blade resharpening, and preventive maintenance programs"</t>
  </si>
  <si>
    <t>mailto:QMREINC@msn.com</t>
  </si>
  <si>
    <t>Quality Mill Supply Company, Inc.</t>
  </si>
  <si>
    <t>="We are a general line industrial distributor, the largest privately owned (Indiana Distributor) distributor in Indiana. Specializing in abrasives, cutting tools &amp; carbide. Quality Mill represents over 1200 vendors including but not limited to 3M, Loctite, Snap-On, Sandvik Coromant, Streamlight, Krylon, LS Starrett and many more. We have a variety of products to offer."</t>
  </si>
  <si>
    <t>http://www.qualitymill.com</t>
  </si>
  <si>
    <t>mailto:customerservice@qualitymill.com</t>
  </si>
  <si>
    <t>Quality Mold &amp; Engineering, Inc.</t>
  </si>
  <si>
    <t>Quality Outdoor Power</t>
  </si>
  <si>
    <t>http://qualityoutdoorpower.com</t>
  </si>
  <si>
    <t>mailto:qualityoutdoorpower@outlook.com</t>
  </si>
  <si>
    <t>Quality Performance Cleaning Service</t>
  </si>
  <si>
    <t>="Quality Performance a service you expect and deserve, Offers a full range of commercial cleaning, apartment and hall way cleaning, construction cleanup and also residential and private cleaning. We also specialize in floor care ""stripping, waxing, buffing, and carpet cleaning. Thank you for considering a Quality service."</t>
  </si>
  <si>
    <t>mailto:Bassman7998@yahoo.com</t>
  </si>
  <si>
    <t>Quality Repair Service, Inc.</t>
  </si>
  <si>
    <t>mailto:jqrs@aol.com</t>
  </si>
  <si>
    <t>Quality Roofing Serv</t>
  </si>
  <si>
    <t>http://www.qltyrfg.com</t>
  </si>
  <si>
    <t>mailto:rkyle@qltyrfg.com</t>
  </si>
  <si>
    <t>Quality Service Company, LLC</t>
  </si>
  <si>
    <t>http://www.qualityservicecompany.com</t>
  </si>
  <si>
    <t>mailto:info@qualityservicecompany.com</t>
  </si>
  <si>
    <t>Quality Services Inc</t>
  </si>
  <si>
    <t>="Quality Services is a certified Woman-owned Business Enterprise (WBE) We are a Painting Contractor. We offer a variety of Painting Services. Painting; Paper Hanging; Exterior Painting; Interior Painting. We specialize in many different painting techniques. We also offer Lawn Care Services,including unique patios."</t>
  </si>
  <si>
    <t>mailto:kejqualityservices@yahoo.com</t>
  </si>
  <si>
    <t>Quality Setters Inc</t>
  </si>
  <si>
    <t>http://www.qualitysetters.com</t>
  </si>
  <si>
    <t>Quality Site Services</t>
  </si>
  <si>
    <t>http://www.qssipm.com</t>
  </si>
  <si>
    <t>mailto:aperry@qssipm.com</t>
  </si>
  <si>
    <t>Quality Supply and Tool Co. Inc.</t>
  </si>
  <si>
    <t>http://qualitysupplyandtool.com</t>
  </si>
  <si>
    <t>mailto:tony@qualitysupplyandtool.com</t>
  </si>
  <si>
    <t>Quantigen Genomics</t>
  </si>
  <si>
    <t>="Quantigen was founded on the understanding that exceptional data quality, speed to results and comprehensive support are the defining needs of our customers. For this reason, Quantigen is your trusted partner for Gene expression and Genetic variation assay development and screening support."</t>
  </si>
  <si>
    <t>http://www.quantigen.com</t>
  </si>
  <si>
    <t>mailto:contact@quantigen.com</t>
  </si>
  <si>
    <t>Research and Development in the Physical Sciences and Engineering Sciences</t>
  </si>
  <si>
    <t>Quantum Design Group</t>
  </si>
  <si>
    <t>="Quantum Design Group is an engineering consulting firm which focuses on energy efficient design of electrical and fire protection systems for K12 schools, higher education universities, commercial buildings, places of worship, healthcare facilities, and industrial structures. It was conceived May, 2012. Quantum Design Group has access to engineers with over 30 years in experience and is well equipped to solve your problems, and design your building whether that is in new construction, renovation, or energy efficient updates. With a unique approach to lighting, Quantum Design Group has a lighting designer on staff. Utilizing a lighting designer allows Quantum to focus not only on the engineering aspect of light, but also on the aesthetic appeal. We use the latest practices in technology to offer the ideal solutions for solving your engineering problems. Revit, AutoCad and AGI 3D Modeling are all used to bring the project to life, preconstruction."</t>
  </si>
  <si>
    <t>mailto:kshuck@genesis-engineering.com</t>
  </si>
  <si>
    <t>Quantum Engineering</t>
  </si>
  <si>
    <t>="Quantum supplies its customers with contract engineering services, comprehensive process knowledge for improvements and upgrades, and product development in the industrial and commercial sectors. Our customers rely upon our expertise to add value to their projects through an organized, structured, and timely engineering-based format. It is this approach that permits Quantum to benefit its customers with minimized expenditures, thorough engineering, and timely completions. Quantum provides components, products, systems and engineering services to a wide range of industry sectors including: Automotive - Dairy - Food - Material Handling - Metals - Plastic - Paper - Rubber"</t>
  </si>
  <si>
    <t>http://www.quantum-engineering.com</t>
  </si>
  <si>
    <t>mailto:sales@quantum-engineering.com</t>
  </si>
  <si>
    <t>Quantum Leadership Development Group, LL</t>
  </si>
  <si>
    <t>="Organizational and human development consulting with specific processes for leadership, management, supervision, sales, customer service, strategic planning, and board and staff development for nonprofits. We also offer a specialized program for youth development on leadership skills and goal setting."</t>
  </si>
  <si>
    <t>mailto:jamconsult@seidata.com</t>
  </si>
  <si>
    <t>Queen Trucking</t>
  </si>
  <si>
    <t>Quench USA LLC</t>
  </si>
  <si>
    <t>http://www.quenchusa.com</t>
  </si>
  <si>
    <t>Quest Environmental &amp; Safety Products</t>
  </si>
  <si>
    <t>="Quest Environmental &amp; Safety Products is a manufacturer and distributor of products that keep workers safe in any environment. Nationally, Quest manufactures and distributes Quest Protective Apparel (QPA). QPA is a line of disposable protective clothing designed to be used in controlled environments where the main goal is to provide a high level of personal and product protection, while maintaining worker comfort and productivity. Regionally, Quest operates as a full line distributor of industrial safety, cleanroom, and environmental remediation supplies. Our focus is on our customers and to the quality service that we provide to them. We are committed to providing higher quality products and services to meet the ever changing needs of our clients."</t>
  </si>
  <si>
    <t>http://www.questsafety.com</t>
  </si>
  <si>
    <t>mailto:felixy@questsafety.com</t>
  </si>
  <si>
    <t>Quest Information Systems, Inc.</t>
  </si>
  <si>
    <t>http://www.questis.com</t>
  </si>
  <si>
    <t>mailto:sales@questis.com</t>
  </si>
  <si>
    <t>Quicksilver Metals, Inc</t>
  </si>
  <si>
    <t>="We are a full service machine shop specializing in short run precision components, welding and fabrication. Most of our jobs are automotive related parts, but we have done work for several other industries, such as security and plumbing. Visit our website, www.quicksilvermetals.com, to see some examples."</t>
  </si>
  <si>
    <t>http://www.quicksilvermetals.com</t>
  </si>
  <si>
    <t>mailto:info@quicksilvermetals.com</t>
  </si>
  <si>
    <t>Qumulus Solutions LLC</t>
  </si>
  <si>
    <t>http://www.qumulussolutions.com</t>
  </si>
  <si>
    <t>mailto:sales@qumulussolutions.com</t>
  </si>
  <si>
    <t>R &amp; B Farm Equipment, Inc.</t>
  </si>
  <si>
    <t>mailto:rbfarmlawn@sbcglobal.net</t>
  </si>
  <si>
    <t>R &amp; D Sod</t>
  </si>
  <si>
    <t>R &amp; J Trucking LLC</t>
  </si>
  <si>
    <t>R &amp; M Electric, Inc.</t>
  </si>
  <si>
    <t>mailto:randmelectric@gmail.com</t>
  </si>
  <si>
    <t>R &amp; S Drilling, Inc</t>
  </si>
  <si>
    <t>mailto:Drillmate@aol.com</t>
  </si>
  <si>
    <t>R &amp; W HEATING &amp; AIR CONDITIONING, INC.</t>
  </si>
  <si>
    <t>http://WWW.RAYWALTONHEAT.COM</t>
  </si>
  <si>
    <t>R A Chappell</t>
  </si>
  <si>
    <t>http://www.rachappell.com</t>
  </si>
  <si>
    <t>mailto:sales@rachappell.com</t>
  </si>
  <si>
    <t>R A S Enterprise, In</t>
  </si>
  <si>
    <t>R Brown &amp; Associates LLC</t>
  </si>
  <si>
    <t>="Information Technology Development Consortium Group with International Resources. We Provide Private Network and Security Services for Small to Enterprise Environments. We provide High Tech with Professional class services both in Development and Deployment."</t>
  </si>
  <si>
    <t>http://www.rbrownonline.com</t>
  </si>
  <si>
    <t>mailto:sales@rbrownonline.com</t>
  </si>
  <si>
    <t>R C Archdiocese of Indianapolis, Inc.</t>
  </si>
  <si>
    <t>http://www.archindy.org</t>
  </si>
  <si>
    <t>mailto:accountingservices@archindy.org</t>
  </si>
  <si>
    <t>R E DIMOND AND ASSOCIATES INC</t>
  </si>
  <si>
    <t>http://www.redimond.com</t>
  </si>
  <si>
    <t>mailto:info@redimond.com</t>
  </si>
  <si>
    <t>R E Ellis, Inc.</t>
  </si>
  <si>
    <t>="We are a husband and wife team serving the kitchen and bath needs of homeowners, subcontractors and new home builders of the Fort Wayne and surrounding areas. We supply new stock box cabinets, new custom cabinets, refacing of existing cabinets, countertops from laminate to solid surfaces and granite, cabinet hardware, sinks and installation as needed. We utilize and support other small businesses whenever possible, and our stock box cabinets are manufactured in Indiana as well. We design new cabinetry pieces as desired, or required. We have local subcontractors that supply plumbing hardware and service, electrical hardware and service, and large appliance sales and installationl. Our focus is customer service that meets and exceeds the customer's expectations, and rely on word-of-mouth advertising and referrals."</t>
  </si>
  <si>
    <t>http://doors-drawers.com</t>
  </si>
  <si>
    <t>mailto:cheryl@doors-drawers.com</t>
  </si>
  <si>
    <t>R Plus More, Inc.</t>
  </si>
  <si>
    <t>="Human Resource Consulting, Training and Development, Organizational Development, 360-Degree Feedback, Idea Management Systems. Helping organizations improve performance and productivity with Behavior-Based Solutions, creating an environment of motivated individuals who ""WANT TO"" do more than just ""HAVE TO""."</t>
  </si>
  <si>
    <t>http://www.rplusmore.com</t>
  </si>
  <si>
    <t>mailto:pbender@rplusmore.com</t>
  </si>
  <si>
    <t>R&amp;C Fence, Inc.</t>
  </si>
  <si>
    <t>http://www.randcfence.com</t>
  </si>
  <si>
    <t>mailto:general@randcfence.com</t>
  </si>
  <si>
    <t>R&amp;D Art Designs</t>
  </si>
  <si>
    <t>mailto:rdartdesigns@comcast.net</t>
  </si>
  <si>
    <t>R&amp;D Services4U</t>
  </si>
  <si>
    <t>R&amp;G Construction, In</t>
  </si>
  <si>
    <t>R&amp;K Concrete, Inc.</t>
  </si>
  <si>
    <t>mailto:rk_concrete@yahoo.com</t>
  </si>
  <si>
    <t>R&amp;R General Contracting Inc</t>
  </si>
  <si>
    <t>="R &amp; R General Contracting , Inc. is a general contracting company founded in 2003 by a select group of individuals with a high level of construction experience. The firm specializes in tenant improvements, residential restorations, retail market facilities, commercial properties, commercial domestic services, and demolition projects. We focus on meeting our clients' needs through quality work-man ship and superior efficiency."</t>
  </si>
  <si>
    <t>http://www.rrgeneralcontracting.com</t>
  </si>
  <si>
    <t>mailto:rrgeneralcontracting@att.net</t>
  </si>
  <si>
    <t>R&amp;R Visual, Inc.</t>
  </si>
  <si>
    <t>http://www.rapidview.com</t>
  </si>
  <si>
    <t>mailto:info@rapidview.com</t>
  </si>
  <si>
    <t>R&amp;S Cleaning and Painting LLC</t>
  </si>
  <si>
    <t>https://sites.google.com/site/rspainting</t>
  </si>
  <si>
    <t>mailto:rspainting05@gmail.com</t>
  </si>
  <si>
    <t>R&amp;Z Targets LLC</t>
  </si>
  <si>
    <t>http://www.rztargets.com</t>
  </si>
  <si>
    <t>mailto:rztargets@hotmail.com</t>
  </si>
  <si>
    <t>Other Aircraft Part and Auxiliary Equipment Manufacturing</t>
  </si>
  <si>
    <t>R's Communications LLC</t>
  </si>
  <si>
    <t>="Commercial and Residential Telecommunications and Multimedia Installation and Maintenace. Information Technology , Small Business Servers and Mainframes. Wireless Towers repair and paint, Hub site repair, Handy man assembly, Workstation assembly, remote site maint."</t>
  </si>
  <si>
    <t>http://TBA</t>
  </si>
  <si>
    <t>mailto:youfoundme@insightbb.com</t>
  </si>
  <si>
    <t>R-Tech Solutions, Inc.</t>
  </si>
  <si>
    <t>="We have been in the commercial, residential security and surveillance business for well over ten years. We offer wired as well as wireless systems that can monitor not only burglary but heat, smoke, water level and freezing as well. We also offer CCTV systems, Access Control and Public Address Systems. We are fully and completely insured and all of our technicians are certified through Honeywell and General Electric. We also have 19 years of combined experience in installation, de-installation, room moves, and transportation of new and used medical imaging equipment from Cath, R &amp; F and Rad rooms, CT scanners, Urology Suites, Lunar MRI, Dental and Mammo units. Additional services/products include: Police/Fire Thermal Imagers Emergency Vehicle Outfitting TASER Guardian Alert 911 tattletale"</t>
  </si>
  <si>
    <t>http://www.r-techsolutions.net</t>
  </si>
  <si>
    <t>mailto:rts@pwrtc.com</t>
  </si>
  <si>
    <t>R. E. McCloskey &amp; Associates, Inc.</t>
  </si>
  <si>
    <t>mailto:dick@aerovisionphoto.com</t>
  </si>
  <si>
    <t>R. J. Mycka, Inc.</t>
  </si>
  <si>
    <t>="R.J. Mycka, Inc., a leader in the fields of Construction, Engineering, and Maintenance Management, was established in April, 1994. Our company’s services are of the highest standards with ISO-9001 Certification based on “Best Practices”, as set forth by professional organizations such as, the PROJECT MANAGEMENT INSTITUTE (PMI) and the CONSTRUCTION INDUSTRY INSTITUTE (CII). We provide a full range of PROJECT MANAGEMENT SERVICES individually tailored according to our customer’s needs, with specific expertise in the following areas: Project Planning . . . Scope Management . . . Contract Administration . . . Scheduling . . . Cost Control . . . Quality Management . . . Construction Management . . . Engineering Management . . . Maintenance Management . . . Start-up &amp; Commissioning . . ."</t>
  </si>
  <si>
    <t>http://rjmycka.com</t>
  </si>
  <si>
    <t>R. L. Millies &amp; Associates, Inc.</t>
  </si>
  <si>
    <t>="A full service Mechanical/Electrical/Plumbing/Fire Protection consulting engineering firm. We provide design, construction observation and analysis for new and existing comercial, instituional and municipal facilities including schools, hospitals, medical facilities, offfices, recreational facilties,and public service facilities."</t>
  </si>
  <si>
    <t>http://www.milliesengineeringgroup.com</t>
  </si>
  <si>
    <t>mailto:lee@milliesengineeringgroup.com</t>
  </si>
  <si>
    <t>R. L. Rowley &amp; Associates, LLC</t>
  </si>
  <si>
    <t>mailto:rlrassocaites@att.net</t>
  </si>
  <si>
    <t>R. MILTO ENTERPRISES, INC.</t>
  </si>
  <si>
    <t>="Full service custom market research firm. Qualitative and quantitative research consultation, design, execution, and analysis: new product development, image / branding research, market trend identification, competitor, customer retention / satisfaction, product and concept testing, segmentation, attitude and awareness research."</t>
  </si>
  <si>
    <t>http://www.linkedin.com/profile/view?id=</t>
  </si>
  <si>
    <t>mailto:RMinsight@aol.com</t>
  </si>
  <si>
    <t>R. Wright Construction and Remodeling</t>
  </si>
  <si>
    <t>="R. Wright construction is a general contractor company with almost 40 years’ experience in the industry. R wright specializes in all residential, commercial remodeling and constructions, including but not limited to; ALSO LEAD CERTIFIED Drywall and all wall-covering, Carpentry, Painting - interior and exterior. Installation of all interior and exterior fixtures. Installation and repair of all flooring, wood, laminate, tiles, marble, PVC, vinyl, and carpet. Doors, windows, siding repair and installation."</t>
  </si>
  <si>
    <t>mailto:GWRIGHT2032@HOTMAIL.COM</t>
  </si>
  <si>
    <t>R.A. Fulton Construction, Inc.</t>
  </si>
  <si>
    <t>="We are a family owned and operated residential construction company with over 20 years of combined experience in home design, construction, sales and financing. We provide a variety of services including lot inspection, design and blueprinting, consulting, budget and financial assistance, and construction. Our homes are constructed with the highest quality materials and craftsmanship. One look inside one of our homes and you will easily see how we have set ourselves apart from the industry. We have established a lasting reputation for distinct quality. We would like to become your personal builder today."</t>
  </si>
  <si>
    <t>http://www.rafultonconstruction.com</t>
  </si>
  <si>
    <t>mailto:fulton@ccrtc.com</t>
  </si>
  <si>
    <t>R.B. Adams Construction Co., Inc.</t>
  </si>
  <si>
    <t>R.B.S. Inc</t>
  </si>
  <si>
    <t>mailto:dsmith@grahamfeed.com</t>
  </si>
  <si>
    <t>Grain and Oilseed Milling</t>
  </si>
  <si>
    <t>R.Bacon Enterprises, Inc.</t>
  </si>
  <si>
    <t>http://www.freedommedical.biz</t>
  </si>
  <si>
    <t>R.D. FILIP</t>
  </si>
  <si>
    <t>http://www.rdfilip.com</t>
  </si>
  <si>
    <t>mailto:karen@rdfilip.com</t>
  </si>
  <si>
    <t>R.E. Griesemer, Inc.</t>
  </si>
  <si>
    <t>http://www.regriesemer.com</t>
  </si>
  <si>
    <t>mailto:fireprotection@regriesemer.com</t>
  </si>
  <si>
    <t>R.E. PEARSON SALES</t>
  </si>
  <si>
    <t>mailto:kat.pearsons@live.com</t>
  </si>
  <si>
    <t>R.E.P. Enterprises LLC</t>
  </si>
  <si>
    <t>http://www.repenterprisesonline.com</t>
  </si>
  <si>
    <t>mailto:robert.pogue@gmail.com</t>
  </si>
  <si>
    <t>R.H. Electric</t>
  </si>
  <si>
    <t>mailto:rhelect@yahoo.com</t>
  </si>
  <si>
    <t>R.J. Bowen LLC</t>
  </si>
  <si>
    <t>="A1 is a Fully Insured contractor. Our work is Guaranteed. Saves 50-70% over the cost of replacement. Using our patented equipment, we can put your concrete and foundation back on the level. We can lift and level sidewalks, steps, driveways, patios, garages, pool decks, foundations, leaning chimneys and bowed basement walls just to name a few. Our process is used in the residential, commerical and industrial industries. If you want to save money, Don't replace it, Pump It Up."</t>
  </si>
  <si>
    <t>http://www.a1concrete.com</t>
  </si>
  <si>
    <t>mailto:thelevelers@yahoo.com</t>
  </si>
  <si>
    <t>R.J. Financial Solutions, LLC</t>
  </si>
  <si>
    <t>="At R.J. Financial Solutions, we provide comprehensive financial products tailored to the individual client's need. Included in our services are commercial and personal insurance. We also offer bid, payment, and performance bonding needed for contractors. Please contact us to arrange a comprehensive insurance review."</t>
  </si>
  <si>
    <t>http://www.solutionsbyrj.com</t>
  </si>
  <si>
    <t>mailto:insurance@solutionsbyrj.com</t>
  </si>
  <si>
    <t>R.J. Lewis Co., Inc.</t>
  </si>
  <si>
    <t>http://www.rjlewis.net</t>
  </si>
  <si>
    <t>mailto:slewis@seidata.com</t>
  </si>
  <si>
    <t>R.J. Products LLC</t>
  </si>
  <si>
    <t>http://www.lunarglo.com</t>
  </si>
  <si>
    <t>mailto:Sales@lunarglo.com</t>
  </si>
  <si>
    <t>Electric Lighting Equipment Manufacturing</t>
  </si>
  <si>
    <t>R.L. Vuckson Excavating, Inc.</t>
  </si>
  <si>
    <t>mailto:RLVX@aol.com</t>
  </si>
  <si>
    <t>R.W. Geeting Sls &amp;</t>
  </si>
  <si>
    <t>mailto:rwgeetings@aol.com</t>
  </si>
  <si>
    <t>R.W. Land &amp; Associates, Inc.</t>
  </si>
  <si>
    <t>mailto:rland44@sbcglobal.net</t>
  </si>
  <si>
    <t>R.W.Carter Corp</t>
  </si>
  <si>
    <t>="Industral &amp; Commercial Heating &amp; Cooling Contractor, Since 1940, Design &amp; Build, Sales, Service and Complete Installations, Specialties On All Brand &amp; Models Of Boilers, Burners, Chillers, Certified Welding and Emergency Portable Boilers. Dispatch Ready For Service 24/7"</t>
  </si>
  <si>
    <t>http://WWW.bakermechanical.com</t>
  </si>
  <si>
    <t>mailto:mhabibi@bakermechanical.com</t>
  </si>
  <si>
    <t>RA Electric, LLC</t>
  </si>
  <si>
    <t>mailto:mroth@raelectricllc.com</t>
  </si>
  <si>
    <t>RA Investment Group, LLC.</t>
  </si>
  <si>
    <t>http://www.randstowing.com</t>
  </si>
  <si>
    <t>RAD Trucking Inc.</t>
  </si>
  <si>
    <t>RAJ Advertising &amp; Design, LLC</t>
  </si>
  <si>
    <t>="Certified WBE. Advertising &amp; Marketing consulting, Graphic Design, Printing, Photography &amp; Web design. We offer a full spectrum of services from idea conception, artistic rendering, logo development, full layout and pagination, commercial printing options, and strategic marketing. We bring your projects to life with personal service on time and on budget."</t>
  </si>
  <si>
    <t>http://www.rajdesign.com</t>
  </si>
  <si>
    <t>mailto:rajdesign@insightbb.com</t>
  </si>
  <si>
    <t>RAN-J,LLC</t>
  </si>
  <si>
    <t>http://www.Medi-Beacon.com</t>
  </si>
  <si>
    <t>mailto:info@Medi-Beacon.com</t>
  </si>
  <si>
    <t>RANGER ENTERPRISES</t>
  </si>
  <si>
    <t>mailto:rangersales@bluemarble.net</t>
  </si>
  <si>
    <t>RAOAFS, Inc</t>
  </si>
  <si>
    <t>http://www.courtesyvaletcleaners.com</t>
  </si>
  <si>
    <t>mailto:www.courtesyvaletcleaners@yahoo.com</t>
  </si>
  <si>
    <t>RATIO Architects, Inc.</t>
  </si>
  <si>
    <t>="RATIO Architects, Inc. is an award-winning design and planning firm, based in the Midwest, offering services in Architecture, Interior Design, Historic Preservation, Urban Planning, and Landscape Architecture. Founded in 1982, its collaborative Studios combine experts from all disciplines to work on Higher Education, Community, Life Science, Workplace, Lifestyle and Cultural projects. RATIO is committed to creating innovative, customized solutions that are unique to their client’s organizations. Designing Spaces, Creating Places, Enhancing Community. RATIO"</t>
  </si>
  <si>
    <t>http://www.RATIOarchitects.com</t>
  </si>
  <si>
    <t>mailto:info@RATIOarchitects.com</t>
  </si>
  <si>
    <t>RAUCH, INC.</t>
  </si>
  <si>
    <t>http://Rauchindustries.net</t>
  </si>
  <si>
    <t>mailto:teuler@rauchinc.org</t>
  </si>
  <si>
    <t>RAY MARKETING</t>
  </si>
  <si>
    <t>http://www.ray-marketing.com</t>
  </si>
  <si>
    <t>mailto:jess@raymrkting.com</t>
  </si>
  <si>
    <t>RBD Consulting, LLC</t>
  </si>
  <si>
    <t>mailto:rbdconsultingllc@gmail.com</t>
  </si>
  <si>
    <t>RC Metal Worx LLC</t>
  </si>
  <si>
    <t>RCH INVESTMENTS INC</t>
  </si>
  <si>
    <t>http://www.rayenvelope.com</t>
  </si>
  <si>
    <t>mailto:sales@rayenvelope.com</t>
  </si>
  <si>
    <t>RCHL Industries LLC</t>
  </si>
  <si>
    <t>RCI Development LLC</t>
  </si>
  <si>
    <t>RCR Commercial Enterprises, Inc.</t>
  </si>
  <si>
    <t>http://members.aol.com/rcroffice/index.h</t>
  </si>
  <si>
    <t>mailto:rcroffice@aol.com</t>
  </si>
  <si>
    <t>RCR TECHNOLOGY CORPORATION</t>
  </si>
  <si>
    <t>="RCR Technology Corporation is an innovative information technology Consulting Company that focuses on system life cycle project management. RCR Technology has proven to be a leader in the field of project management. RCR Technology takes a personalized approach to assessing its client’s needs and only with individuals whose customer focus matches its own. RCR Technology has an excellent reputation with businesses in the State of Indiana and has developed business alliances to support the entire breadth of IT needs. RCR Tech. is a consulting firm providing a variety of consulting services to its clients. Its strengths are in the following disciplines: · Project management · Systems management · Database management · Technical and project management quality assurance · End user training, course development and delivery · Networking &amp; data communications, design, planning, and implementation · Network Security Certification · Operations management · Data Warehousing"</t>
  </si>
  <si>
    <t>http://www.rcrtechnology.com</t>
  </si>
  <si>
    <t>mailto:corp@rcrtechnology.com</t>
  </si>
  <si>
    <t>RCS MANAGMENT CORP</t>
  </si>
  <si>
    <t>="RCS Management Corporation is a leading provider of high quality respiratory Durable Medical Equipment [DME] and clinical support for skilled nursing facilities across the U.S. Passionate about patient care, we provide respiratory equipment, Oxygen delivery and respiratory therapy support to thousands of patients each day. Our value-driven programs follow national guidelines to improve clinical outcomes and regulatory compliance, while streamlining logistics and containing costs. At RCS, your patients well being always comes first. The Respiratory Therapy Team at RCS has long been able to distinguish our services from the majority of industry suppliers. As the professional armof our respiratory practice, the RT team offers indispensable expertise in clinical and ethical decision-making, pulmonary management and continual staff education. Armed with the experience of dealing with patients of all ages, acuity and healthcare settings, we strive to provide the best: • Patient evaluat"</t>
  </si>
  <si>
    <t>http://rcsoxygen.com</t>
  </si>
  <si>
    <t>RDG Consulting, Inc.</t>
  </si>
  <si>
    <t>="RDG Consulting, Inc., is a full-service Federal Supply Schedule consulting company that tailors a project to fit your requirements. The customer is king! We can assume full responsibility for proposal preparation and development, proposal submission and negotiation, and all post-award management functions — basically cradle-to-grave service — or anything in between. Most work is done electronically, which saves time and travel costs. We allow you to focus on your core business without diluting precious resources to hassle with the federal bureaucracy. In short, we ""cut the red tape"" for you! • Preparation, negotiation and management of federal supply contracts • Federal account and contract strategy development • Complete range of pre- and post-award contract management and administration services • Developing customized agreements such as Blanket Purchase Agreements (BPAs) aimed at product standardization, high compliance and increased market share • Sales force guidance, "</t>
  </si>
  <si>
    <t>http://www.RDGConsulting.com</t>
  </si>
  <si>
    <t>mailto:grimmbob73@aol.com</t>
  </si>
  <si>
    <t>RDP Enterprises, Inc. dba Sonitrol of An</t>
  </si>
  <si>
    <t>http://www.sonitrolanderson.com</t>
  </si>
  <si>
    <t>mailto:info@sonitrolanderson.com</t>
  </si>
  <si>
    <t>REAL IMAGES VIDEO PRODUCTIONS</t>
  </si>
  <si>
    <t>http://realimagesvideo.com</t>
  </si>
  <si>
    <t>mailto:wreliford@realimagesvideo.com</t>
  </si>
  <si>
    <t>Motion Picture and Video Industries</t>
  </si>
  <si>
    <t>REAL Services, Inc.</t>
  </si>
  <si>
    <t>http://www.realservicesinc.com</t>
  </si>
  <si>
    <t>mailto:infor@realservicesinc.com</t>
  </si>
  <si>
    <t>REAL TIME DETENTION LLC</t>
  </si>
  <si>
    <t>http://www.realtimedetention.com</t>
  </si>
  <si>
    <t>mailto:info@realtimedetention.com</t>
  </si>
  <si>
    <t>REALSTAR PROPERTY SOLUTIONS LLC</t>
  </si>
  <si>
    <t>http://www.realstarpropertysolutions.com</t>
  </si>
  <si>
    <t>mailto:dcoleman@realstarpropertysolutions.com</t>
  </si>
  <si>
    <t>REAP CONSTRUCTION GROUP</t>
  </si>
  <si>
    <t>mailto:reapgc@gmail.com</t>
  </si>
  <si>
    <t>REAP CONSTRUCTION GROUP LLC</t>
  </si>
  <si>
    <t>REEDS COLLISION</t>
  </si>
  <si>
    <t>REELVILLE WATER AUTHORITY</t>
  </si>
  <si>
    <t>mailto:reelh2o@ccrtc.com</t>
  </si>
  <si>
    <t>REGION SIGNS INC</t>
  </si>
  <si>
    <t>="Region Signs is a company specializing in the design and manufacture of custom signage and identification. We currently service many companies in the Chicagoland and Indiana. We have the capability to produce the following: signs, pipe identification and valve tags, decals, banners, plastic engraved plates, vehicle graphics, custom cut stencils &amp; accessories, labelizer tapes and ribbons, and promotional products."</t>
  </si>
  <si>
    <t>http://www.regionsigns.com</t>
  </si>
  <si>
    <t>mailto:regionsigns@aol.com</t>
  </si>
  <si>
    <t>REIT PRICE CO</t>
  </si>
  <si>
    <t>http://reitprice.com</t>
  </si>
  <si>
    <t>mailto:sales@reitprice.com</t>
  </si>
  <si>
    <t>Broom, Brush and Mop Manufacturing</t>
  </si>
  <si>
    <t>REM Indiana Community Services II, Inc.</t>
  </si>
  <si>
    <t>REM Indiana Community Services, Inc.</t>
  </si>
  <si>
    <t>REMETRIX, LLC</t>
  </si>
  <si>
    <t>http://www.remetrix.com</t>
  </si>
  <si>
    <t>mailto:doug@remetrix.com</t>
  </si>
  <si>
    <t>RENT-A-BIT,INC.</t>
  </si>
  <si>
    <t>http://rentabit.com</t>
  </si>
  <si>
    <t>mailto:bshaffer@rentabit.com</t>
  </si>
  <si>
    <t>REPUBLIC SERVICES OF INDIANA LIMITED PAR</t>
  </si>
  <si>
    <t>mailto:RSWI@repsrv.com</t>
  </si>
  <si>
    <t>REPUBLIC SERVICES OF INDIANA LP</t>
  </si>
  <si>
    <t>mailto:ingovbids@repsrv.com</t>
  </si>
  <si>
    <t>REPUCARE INC</t>
  </si>
  <si>
    <t>="RepuCare offers quality medical and customer service staffing, and comprehensive on-site healthcare solutions encompassing occupational health, primary care and wellness. Our excellent medical staff and commitment to quality and service has contributed to the growth of our healthcare services and staffing businesses. Our company was founded by Billie Dragoo, CEO, in 1995. We are a woman owned business with WBE and DBE certifications. RepuCare’s client list includes large employers and healthcare providers."</t>
  </si>
  <si>
    <t>http://www.repucare.com</t>
  </si>
  <si>
    <t>mailto:info@repucare.com</t>
  </si>
  <si>
    <t>RESFAL Property Services LLC</t>
  </si>
  <si>
    <t>http://resfalpropertyservices.com</t>
  </si>
  <si>
    <t>mailto:randy.treasury@hotmail.com</t>
  </si>
  <si>
    <t>RESIDENTIAL REFINEMENT</t>
  </si>
  <si>
    <t>http://WWW.ELLETTSVILLETRUEVALUE.COM</t>
  </si>
  <si>
    <t>RESOURCE Commercial Real Estate, LLC</t>
  </si>
  <si>
    <t>http://www.rcre.com</t>
  </si>
  <si>
    <t>mailto:tobrien@rcre.com</t>
  </si>
  <si>
    <t>mailto:rjrudolph@rcre.com</t>
  </si>
  <si>
    <t>RESOURCE Construction, Inc.</t>
  </si>
  <si>
    <t>http://www.resourceconst.com</t>
  </si>
  <si>
    <t>mailto:acammack@resourceconst.com</t>
  </si>
  <si>
    <t>RESSLER FARMS, LLC</t>
  </si>
  <si>
    <t>mailto:Tammie@bwesales.com</t>
  </si>
  <si>
    <t>RETIREMENTHOMETV CORPORATION</t>
  </si>
  <si>
    <t>http://www.retirementhometv.com</t>
  </si>
  <si>
    <t>mailto:info@retirementhometv.com</t>
  </si>
  <si>
    <t>REV-1 Solutions, LLC</t>
  </si>
  <si>
    <t>http://www.revonecompanies.com/</t>
  </si>
  <si>
    <t>mailto:revone@revonecompanies.com</t>
  </si>
  <si>
    <t>REYNOLDS FARM EQUIPMENT</t>
  </si>
  <si>
    <t>http://www.reynoldsfarmequipment.com</t>
  </si>
  <si>
    <t>mailto:trusk@rfemail.com</t>
  </si>
  <si>
    <t>Farm and Garden Machinery and Equipment Wholesalers</t>
  </si>
  <si>
    <t>RFD COMPONENTS, INC.</t>
  </si>
  <si>
    <t>mailto:rfdcomponents@earthlink.net</t>
  </si>
  <si>
    <t>RFS Group, LLC</t>
  </si>
  <si>
    <t>="RFS Group, LLC is a janitorial supply company that provides supplies and equipment that are necessary in operating all types of buildings and businesses. RFS Group, LLC has over 14 years of knowledge and experience in providing customers with the best product at a competitive price. We also provide training on the proper use of products and equipment which will allow you to receive maximum use of all products."</t>
  </si>
  <si>
    <t>mailto:rfsgroupllc@sbcglobal.net</t>
  </si>
  <si>
    <t>RG Collaborative, LLC</t>
  </si>
  <si>
    <t>="On March 7, 2014 I formed RG Collaborative, LLC. RGC is a firm that combines my passion for architecture and design, urban design, and preservation. Corporately, RGC is flexible and nimble; yet it has a corporate structure that advances our professionalism and our ability to provide exceptional customer services. RGC is steadily growing and serving a vibrant and exciting clientele wherein we are producing quality projects that will impact communities for years to come."</t>
  </si>
  <si>
    <t>http://www.rgcollaborative.com</t>
  </si>
  <si>
    <t>mailto:sanford@rgcollaborative.com</t>
  </si>
  <si>
    <t>RHCI LLC</t>
  </si>
  <si>
    <t>http://roberthainesco.com</t>
  </si>
  <si>
    <t>mailto:roberthainescoinc@ameritech.net</t>
  </si>
  <si>
    <t>RHR CORP</t>
  </si>
  <si>
    <t>http://www.directconnectprinting.net</t>
  </si>
  <si>
    <t>mailto:rh.directconnect@att.net</t>
  </si>
  <si>
    <t>RHR Corporation</t>
  </si>
  <si>
    <t>="Provide offset single up to four color process printing. High volume digital duplicating both black and white and color. Bindery/Finishing that includes folding, binding, mailing, numbering. Large format digital duplicating. We specialize in all types of printing: forms, letterhead,business cards, envelopes, carbonless forms. And specialize in high volume duplicating."</t>
  </si>
  <si>
    <t>http://www.indy.insty-prints.com</t>
  </si>
  <si>
    <t>mailto:rh.instyprints@sbcglobal.net</t>
  </si>
  <si>
    <t>RIBO, Inc</t>
  </si>
  <si>
    <t>mailto:WWW.BREX98@aol.com</t>
  </si>
  <si>
    <t>RIC Solutions LLC</t>
  </si>
  <si>
    <t>="RIC Solutions LLC is a roofing, insulation, and concrete contractor. The company provides environmenally friendly ""green"" solutions for new, rehab, refurb, and repair construction projects: Membrane roofing, spray foam insulation, and gunite or shotcrete concrete installs."</t>
  </si>
  <si>
    <t>RICHARD FRANKLIN ENTERPRISES INC.</t>
  </si>
  <si>
    <t>mailto:rfcwo289@insightbb.com</t>
  </si>
  <si>
    <t>RIEPEN LIMITED PARTNERSHIP</t>
  </si>
  <si>
    <t>mailto:Danco@kconline.com</t>
  </si>
  <si>
    <t>RIETH-RILEY CONSTRUCTION CO., INC.</t>
  </si>
  <si>
    <t>="Rieth-Riley Construction Co., Inc. is a heavy/highway construction contractor headquartered in Goshen, IN. We serve many customers from various aggregate mines and plants from convenient facilities located throughout Indiana and Michigan. Our capabilities include asphalt/concrete recycling and paving, curb, sidewalk, site preparation and underground services."</t>
  </si>
  <si>
    <t>http://www.riethriley.com</t>
  </si>
  <si>
    <t>mailto:info@rieth-riley.com</t>
  </si>
  <si>
    <t>RILEY TECHNOLOGIES</t>
  </si>
  <si>
    <t>http://www.rileytech.com</t>
  </si>
  <si>
    <t>RISCO Products Inc.</t>
  </si>
  <si>
    <t>="RISCO Products Incorporated is a leader in cash drawer, money tray, and Point-of-Sale hardware manufacturing. We offer a standard line of manual cash drawers, electronic cash drawers, plastic money trays, and steel money trays. Our products are engineered to provide outstanding performance and years of reliable, trouble-free service. RISCO’s years of experience in the point-of-sale, gaming, and money handling industries have resulted in a product line that has been tested and proven in the most demanding applications. Our creative people have consistently provided innovative and cost effective approaches to resolving many common, and not-so-common, problems. RISCO Products takes pride in delivering a quality product and providing premier customer service. We believe that customers deserve on-time delivery of products that will last. Our customers can expect RISCO to pay attention to the details and we believe this is what sets us apart from other manufactures and distributors."</t>
  </si>
  <si>
    <t>http://www.riscoproducts.com</t>
  </si>
  <si>
    <t>mailto:info@riscoproducts.com</t>
  </si>
  <si>
    <t>Other Metal Container Manufacturing</t>
  </si>
  <si>
    <t>RITE KLEEN PRODUCTS</t>
  </si>
  <si>
    <t>mailto:HORNINGSINC@AOL.COM</t>
  </si>
  <si>
    <t>RITE QUALITY OFFICE SUPPLIES, INC.</t>
  </si>
  <si>
    <t>="Rite Quality understands that convenience and reliability are important in today's fast paced society. Therefore, we excel in giving our customers exceptional information, sales support, and customer service. We also offer furniture layout and installation services where feasible. THAT’S NOT ALL! Here are a few more services we can offer you: • FREE NATIONWIDE SHIPPING / DELIVERY NATIONWIDE! • SAME DAY SHIPPING! • PROCUREMENT CARDS ACCEPTED! • COURTEOUS &amp; PROFESSIONAL SERVICE! • GSA &amp; JWOD FACILITATOR IS. GROUP CONTRACT HOLDER GS-14F-0043M"</t>
  </si>
  <si>
    <t>http://www.ritequality.com</t>
  </si>
  <si>
    <t>mailto:riteq@netusa1.com</t>
  </si>
  <si>
    <t>RIVER CITY AUTOMOTIVE</t>
  </si>
  <si>
    <t>mailto:RIVERCITY119@YAHOO.COM</t>
  </si>
  <si>
    <t>RJ Safety &amp; Supplies LLC</t>
  </si>
  <si>
    <t>mailto:rjsafety451@yahoo.com</t>
  </si>
  <si>
    <t>RJM Logistics Inc.</t>
  </si>
  <si>
    <t>http://www.rjmlogistics.com</t>
  </si>
  <si>
    <t>mailto:johnboone@rjmlogistics.com</t>
  </si>
  <si>
    <t>RK Sports Seating In</t>
  </si>
  <si>
    <t>http://dantclayton.com</t>
  </si>
  <si>
    <t>mailto:mary@rksportsseating.com</t>
  </si>
  <si>
    <t>RKB Solutions, Inc</t>
  </si>
  <si>
    <t>RKP ENTERPRISE LLC</t>
  </si>
  <si>
    <t>mailto:pershard@aol.com</t>
  </si>
  <si>
    <t>RL Janitorial Services LLC</t>
  </si>
  <si>
    <t>mailto:reyclair@gmail.com</t>
  </si>
  <si>
    <t>RLK Consulting, LLC</t>
  </si>
  <si>
    <t>="An Information Technology consulting firm that provides the following services: project management, quality assurance, software development, web development, web maintenance, database architecture, system analysis, and information system development. RLK Consulting, LLC goal is to provide IT services at an affordable price. We offer special programs for start-ups and small businesses."</t>
  </si>
  <si>
    <t>http://www.rlkconsultingservices.com/</t>
  </si>
  <si>
    <t>mailto:rlkery@gmail.com</t>
  </si>
  <si>
    <t>RLR Services Inc.</t>
  </si>
  <si>
    <t>mailto:rlrservices@comcast.net</t>
  </si>
  <si>
    <t>RLS Facilities Management Services, LLC</t>
  </si>
  <si>
    <t>="RLS provides the following services: 1. Design, build, land development and architectural support - industrial buildings 2. Complete janitorial services 3. Human resources and staffing services 4. Total customized programs 5. Full facility management and maintenance service 6. Total security services coverage 7. Procurement and Diversity Supply"</t>
  </si>
  <si>
    <t>RMC Products, Inc</t>
  </si>
  <si>
    <t>="We are a wholesaler of laundry chemical cleaning products. We are also a wholesaler of chemical cleaning products, primarily for the food industry. We sell commercial dishwasher soap and cleaning chemicals. We also provide restroom cleaning and general hygiene cleaning chemicals. We also provide maintenance and repair services on commercial dishwashers."</t>
  </si>
  <si>
    <t>http://www.rmcfirstchoice.com</t>
  </si>
  <si>
    <t>mailto:cfo@rmcfirstchoice.com</t>
  </si>
  <si>
    <t>RMC Specialties, Inc</t>
  </si>
  <si>
    <t>http://www.pickrmc.com</t>
  </si>
  <si>
    <t>mailto:sales@pickrmc.com</t>
  </si>
  <si>
    <t>RMH PARYOLL SERVICE LLC</t>
  </si>
  <si>
    <t>RMSG</t>
  </si>
  <si>
    <t>="Providing Risk Assessment and Threat Mitigation in the 21st Century RMSG is committed to providing professional transportation personnel and companies with threat vulnerability assessments, and comprehensive, customized protocols for terrorist/threat mitigation and security awareness training All RMSG personnel have extensive practitioner experience in developing security plans, conducting risk assessment evaluations, executing site penetration tests, providing training and advising clients within the transportation industry"</t>
  </si>
  <si>
    <t>http://www.rmsecgroup.com</t>
  </si>
  <si>
    <t>mailto:trsweet@rmsecgroup.com</t>
  </si>
  <si>
    <t>RN Legal Insights</t>
  </si>
  <si>
    <t>="Long Term Care Consultant - As A Registered Nurse and Licensed Nursing Home Administer with more than 20 years of nursing home experience, I am uniquely qualified to assist you with licensure issues, staff education, and compliance with state and federal regulations."</t>
  </si>
  <si>
    <t>mailto:weitkamp@dmrtc.net</t>
  </si>
  <si>
    <t>RNTC LLC</t>
  </si>
  <si>
    <t>http://www.theupsstorelocal.com/5811/</t>
  </si>
  <si>
    <t>mailto:store5811@theupsstore.com</t>
  </si>
  <si>
    <t>ROADMASTER DRIVERS SCHOOL OF INDIANA, IN</t>
  </si>
  <si>
    <t>http://www.roadmaster.com</t>
  </si>
  <si>
    <t>ROBERSON FIRE &amp; SAFETY INC</t>
  </si>
  <si>
    <t>http://www.robersonfire.com</t>
  </si>
  <si>
    <t>mailto:robersonfire@earthlink.net</t>
  </si>
  <si>
    <t>ROBERTS &amp; BISHOP</t>
  </si>
  <si>
    <t>ROCK INDUSTRIES INC</t>
  </si>
  <si>
    <t>http://www.rockindustriesinc.com</t>
  </si>
  <si>
    <t>mailto:holly@rockindustriesinc.com</t>
  </si>
  <si>
    <t>ROCKSEY, LLC</t>
  </si>
  <si>
    <t>http://CULLIGAN.COM</t>
  </si>
  <si>
    <t>mailto:CULLIGAN@BROADREACH.NET</t>
  </si>
  <si>
    <t>ROD OKELLEY INC</t>
  </si>
  <si>
    <t>http://www.bootcity.net</t>
  </si>
  <si>
    <t>mailto:customer@bootcity.net</t>
  </si>
  <si>
    <t>Department Stores (except Discount Department Stores)</t>
  </si>
  <si>
    <t>ROI MARKETING COMPANY</t>
  </si>
  <si>
    <t>="ROI Marketing Company specializes in: Branding / promotional products Corporate / uniformed / sports apparel –embroidery &amp; screenprinting Identification supply – card readers, badges, lanyards, badge holders, reels, etc Printing – promotional/marketing materials"</t>
  </si>
  <si>
    <t>http://www.roimarketingcompany.com</t>
  </si>
  <si>
    <t>mailto:adell@roimarketingcompany.com</t>
  </si>
  <si>
    <t>ROI Search Group, LLC</t>
  </si>
  <si>
    <t>http://www.roisearchgroup.com</t>
  </si>
  <si>
    <t>mailto:smccreery@roisearchgroup.com</t>
  </si>
  <si>
    <t>RONDEL ENTERPRISES INC</t>
  </si>
  <si>
    <t>http://WWW.MARKETSQUARELANES.COM</t>
  </si>
  <si>
    <t>mailto:jerilee768@aol.com</t>
  </si>
  <si>
    <t>Bowling Centers</t>
  </si>
  <si>
    <t>ROOF TECH INC.</t>
  </si>
  <si>
    <t>="Roof Tech Inc. is a roof consulting firm employing a RCI (Roof Consultants Institute - www.rci-online.org) Registered Roof Consultant, serving all of Indiana. We specialize in roof design, roof assessment, roof problem investigation and failure analysis, contract administration during roof construction, and quality assurance inspections during roof installations. We also help building owners prepare budgets and short and long term planning."</t>
  </si>
  <si>
    <t>http://www.roof-tech.com</t>
  </si>
  <si>
    <t>mailto:rooftech@att.net</t>
  </si>
  <si>
    <t>ROWLAND ASSOCIATES INC</t>
  </si>
  <si>
    <t>="Rowland Associates, Inc. has extensive experience in the field of civil engineering and surveying. Our areas of expertise include design of highways, streets, and bridges, water treatment and supply facilities, wastewater treatment plants and sewerage infrastructure. Our firm also performs construction inspection and project administration, land planning, commercial and residential subdivision layout, and surveying services including construction layout, preliminary highway surveys, land surveys and utility transmission line layout."</t>
  </si>
  <si>
    <t>mailto:klw@rowland-eng.com</t>
  </si>
  <si>
    <t>ROYAL OFFICE PRODUCTS INC</t>
  </si>
  <si>
    <t>http://royalofficeproducts.com</t>
  </si>
  <si>
    <t>mailto:webmaster@royalofficeproducts.com</t>
  </si>
  <si>
    <t>RPM Company Inc</t>
  </si>
  <si>
    <t>http://www.rpmcompanyinc.com</t>
  </si>
  <si>
    <t>mailto:rpmcompanyinc@att.net</t>
  </si>
  <si>
    <t>RPM Marketing</t>
  </si>
  <si>
    <t>="Excellent writer and strategist with well-developed creative, organizational and administrative skills. Experienced in both professional and project environments, including market development and strategic mission. Expertise includes: Total Communications Strategies, Issue/Crisis Management, Media Relations, Writing, Publications, Strategic Planning, Budget Preparation and Implementation and Project Management, Branding and Positioning, Advertising, Web Development and Desktop Publishing."</t>
  </si>
  <si>
    <t>http://www.rpmmarketing.biz</t>
  </si>
  <si>
    <t>mailto:rapmo@rpmmarketing.biz</t>
  </si>
  <si>
    <t>RPS Printing</t>
  </si>
  <si>
    <t>="RPS Printing Services will provide you with a wide range of design and printing services for your business. We have the resources to design and print business cards, envelopes and letterheads, labels, brochures, direct mailers, flyers, posters and more. We can create a job from scratch from your ideas, help you put the finishing touches on your designs, or use our prepress services to ensure your completed files are printed exactly as you designed them"</t>
  </si>
  <si>
    <t>http://www.rpsprinting.com</t>
  </si>
  <si>
    <t>mailto:derrick.smith@marketinginformatics.com</t>
  </si>
  <si>
    <t>RS Locker Specialties, Inc.</t>
  </si>
  <si>
    <t>http://rslocker.com</t>
  </si>
  <si>
    <t>mailto:rslocker@sbcglobal.net</t>
  </si>
  <si>
    <t>RSE ELECTRIC</t>
  </si>
  <si>
    <t>http://www.rse-electric.com</t>
  </si>
  <si>
    <t>mailto:dr.stewart@insightbb.com</t>
  </si>
  <si>
    <t>RSE ELECTRIC LLC</t>
  </si>
  <si>
    <t>http://www.rse-electric@gmail.com</t>
  </si>
  <si>
    <t>mailto:rse.electric@gmail.com</t>
  </si>
  <si>
    <t>RSI,Inc</t>
  </si>
  <si>
    <t>mailto:rsi@tctc.com</t>
  </si>
  <si>
    <t>RSN, Ltd.</t>
  </si>
  <si>
    <t>mailto:nswingley@earthlink.net</t>
  </si>
  <si>
    <t>RSR Demolition, LLC</t>
  </si>
  <si>
    <t>RST Custom Woodworking, LLC</t>
  </si>
  <si>
    <t>="RST Custom Woodworking, LLC employs 21 finish carpenters and cabinet makers serving central Indiana custom home builders, commercial contractors, and retail customers. Our woodworkers are highly trained in custom stairways, cabinet casework, mantels, furniture and general finish carpentry. Our woodwork is a part of some of central Indiana's largest and most elegant custom homes, such as the 2003 and 2004 Indianapolis Monthly Dream home."</t>
  </si>
  <si>
    <t>mailto:t_remster@yahoo.com</t>
  </si>
  <si>
    <t>RTC RESOURCE ACQUISITION CORPORATION</t>
  </si>
  <si>
    <t>http://WWW.RESOURCETREATMENTCENTER.COM</t>
  </si>
  <si>
    <t>RTS Computers LLC</t>
  </si>
  <si>
    <t>="RTS Computer Sales &amp; Service is a certified and professional computer repair center serving Northern Indiana &amp; Michigan with over 15 years of experience. RTS Computers where Customer Satisfaction is not only our primary goal but also our commitment and a necessity to all of our small to mid-size business and residential patrons."</t>
  </si>
  <si>
    <t>http://www.rosstechs.net</t>
  </si>
  <si>
    <t>RUDD EQUIPMENT CO</t>
  </si>
  <si>
    <t>="Rudd Equipment Company is a full service dealer for Volvo Construction Equipment, Hitachi Construction Machinery, Link-Belt Cranes and Sandvik Drills. We have multiple locations throughout Indiana. We can service your needs at our shops or on your work site."</t>
  </si>
  <si>
    <t>http://www.ruddequipment.com</t>
  </si>
  <si>
    <t>mailto:gharshberger@ruddequipment.com</t>
  </si>
  <si>
    <t>RW Armstrong &amp; Associates, Inc.</t>
  </si>
  <si>
    <t>="RW Armstrong is a full service, diversified consulting firm with three major teams: Airports, Environmental, and Transportation. Robert W. Armstrong founded R. W. Armstrong &amp; Associates in 1961. Gurdon Huntington and James Wade founded Huntington, Wade &amp; Associates (R. W. Armstrong’s former sister firm) in 1962. The two firms com-bined their personnel and equipment resources in the mid 60s but kept two corporate identities. RW Armstrong’s reputation was in airports, while Huntington, Wade’s reputation was in roads and bridges. The two firms merged corporately as one in 1986 under the name of R. W. Armstrong. We are a international firm headquartered in Indianapolis, Indiana. Our staff now numbers over 260 and we are continuing to grow."</t>
  </si>
  <si>
    <t>http://www.rwarmstrong.com</t>
  </si>
  <si>
    <t>RW LLC</t>
  </si>
  <si>
    <t>http://www.rwsecurity.webs.com/</t>
  </si>
  <si>
    <t>mailto:officerwright@comcast.net</t>
  </si>
  <si>
    <t>RYAN Consulting Group, Inc.</t>
  </si>
  <si>
    <t>="RYAN is a CMMI® Level 3 Company recognized for its capabilities in providing Help Desk/Desktop Support, Information Assurance, LAN Support, and Professional Services. We also provide expertise in the areas of Database and System Administration, Maintenance and Sustainment, Web Application Development, Business Intelligence (BI), Data Warehousing, Independent Verification and Validation (IV&amp;V), and BI Training. We have extensive experience integrating databases and applications into hybrid systems that utilize Oracle, SQL Server, Sybase, DB2, and MySQL in open systems (UNIX, Linux), Windows, and Web environments. We enable our clients to know their data by transforming the myriad of collected data into intelligence for planning and managing their business."</t>
  </si>
  <si>
    <t>http://www.consultrcg.com</t>
  </si>
  <si>
    <t>mailto:awashington@consultrcg.com</t>
  </si>
  <si>
    <t>Ra-Comm, Inc.</t>
  </si>
  <si>
    <t>http://www.ra-comm.com</t>
  </si>
  <si>
    <t>Raben Tire Co.,Inc</t>
  </si>
  <si>
    <t>http://rabentire.com</t>
  </si>
  <si>
    <t>Rachel R. Weathersby</t>
  </si>
  <si>
    <t>mailto:weathersby@aol.com</t>
  </si>
  <si>
    <t>Women's and Girls' Cut and Sew Suit, Coat, Tailored Jacket and Skirt Manufacturing</t>
  </si>
  <si>
    <t>Rackham Service Corp.</t>
  </si>
  <si>
    <t>http://www.rackhamservicecorp.com</t>
  </si>
  <si>
    <t>mailto:lherrold@rackhamservicecorp.com</t>
  </si>
  <si>
    <t>Petroleum Bulk Stations and Terminals</t>
  </si>
  <si>
    <t>Raco Steel Company</t>
  </si>
  <si>
    <t>http://www.racosteel.com</t>
  </si>
  <si>
    <t>Radecki Galleries, Inc.</t>
  </si>
  <si>
    <t>mailto:radeckigal@sbcglobal.net</t>
  </si>
  <si>
    <t>Radio Resources</t>
  </si>
  <si>
    <t>="Radio Communications Sales And Service (Portables, Mobiles, Bases, Consoles, Repeaters, Pagers, Towers, Antennas) FCC Radio License Processing (Application Preparations &amp; Filings, Frequency Searches, Engineering Studies) Service (Maintenance, Installation, and Repair of Above Products)"</t>
  </si>
  <si>
    <t>mailto:RadioResources@aol.com</t>
  </si>
  <si>
    <t>http://RadioResources@aol.com</t>
  </si>
  <si>
    <t>Raga Muffin Enterprises LLC</t>
  </si>
  <si>
    <t>http://www.4rmconstruction.com</t>
  </si>
  <si>
    <t>mailto:tiffany@4rmconstruction.com</t>
  </si>
  <si>
    <t>Ragland's Cleaning S</t>
  </si>
  <si>
    <t>http://www.rcsn.netfirms.com</t>
  </si>
  <si>
    <t>mailto:martha_bea_2000@yahoo.com, or mragland@insightbb.com</t>
  </si>
  <si>
    <t>Rahab Restoration Center, Inc.</t>
  </si>
  <si>
    <t>mailto:edwards.angie@yahoo.com</t>
  </si>
  <si>
    <t>Raider Consulting</t>
  </si>
  <si>
    <t>mailto:raider@insightbb.com</t>
  </si>
  <si>
    <t>RainBowS Stained Glass</t>
  </si>
  <si>
    <t>="Retail stained glass, tools, and supplies as well as working and teaching stained glass studio. Offer custom design stained glass panels for windows, doors and cabinets. Decorative stained glass creations, fused and slumped glassware, glass based jewelry. Handmade, unique art."</t>
  </si>
  <si>
    <t>http://www.rainbowsstainedglass.com</t>
  </si>
  <si>
    <t>mailto:rainbowssg@roadrunner.com</t>
  </si>
  <si>
    <t>Glass Product Manufacturing Made of Purchased Glass</t>
  </si>
  <si>
    <t>Rainbow's Ink, LLC</t>
  </si>
  <si>
    <t>http://www.rainbowsinkbooks.com</t>
  </si>
  <si>
    <t>mailto:beierj@rainbowsinkbooks.com</t>
  </si>
  <si>
    <t>Rainbowkits.com LLC</t>
  </si>
  <si>
    <t>http://www.rainbowkits.com</t>
  </si>
  <si>
    <t>mailto:info@rainbowkits.com</t>
  </si>
  <si>
    <t>Raindrops 'N' Roses Corporation</t>
  </si>
  <si>
    <t>http://www.raindropsnroses.com</t>
  </si>
  <si>
    <t>mailto:raindropsnrosesflorist@yahoo.com</t>
  </si>
  <si>
    <t>Rainey Construction Inc.</t>
  </si>
  <si>
    <t>="We are a 5th generation general contractor. We self perform excavation, concrete, carpentry and labor. Along with sub contractors we are capable of completing most scopes of work related to construction or excavation. We also perform maintenance work and are interested in maintenance contracts."</t>
  </si>
  <si>
    <t>mailto:brian@raineyconstruction.net</t>
  </si>
  <si>
    <t>Rainguard Roof Coatings</t>
  </si>
  <si>
    <t>mailto:tmcriswell@earthlinl.net</t>
  </si>
  <si>
    <t>Raitt Corporation</t>
  </si>
  <si>
    <t>mailto:raitt815@aol.com</t>
  </si>
  <si>
    <t>Ram Lawn Care</t>
  </si>
  <si>
    <t>="Ram Lawn Care provides proffessional lawn maintenance such as cutting, edging, mulching, and much more. Ram does residential as well as commercial jobs. Half acre yards and under starting at $35 for mowing and weed eating. Very competitive for commercial properties and we give free estimates."</t>
  </si>
  <si>
    <t>mailto:ram_lawn_care@hotmail.com</t>
  </si>
  <si>
    <t>Ramco Engineering, Inc.</t>
  </si>
  <si>
    <t>http://www.ramco-eng.com</t>
  </si>
  <si>
    <t>mailto:ramco1@ramco-eng.com</t>
  </si>
  <si>
    <t>Rampley Consulting</t>
  </si>
  <si>
    <t>="Rampley Consulting provides education and workforce development consulting services to businesses, state agencies, and community organizations in Indiana. We work with business and community leaders to develop training programs to meet the workforce needs of business and industry. We provide consultation, grant application preparation, grant management and project management services to our clients. We are committed to providing the highest level of professional services in identifying client capabilities, creating alternative strategies for improvement, guiding the training process, and educating personnel to sustain change after implementation."</t>
  </si>
  <si>
    <t>mailto:krampley@tds.net</t>
  </si>
  <si>
    <t>Ramsey Body Shop</t>
  </si>
  <si>
    <t>Ramsey Feed&amp;Seed,Inc</t>
  </si>
  <si>
    <t>http://aquariuswatergardens.com</t>
  </si>
  <si>
    <t>mailto:info@aquagardens.com</t>
  </si>
  <si>
    <t>Randall Industries</t>
  </si>
  <si>
    <t>="Randall Industries has been in business for thirty-two years with newer locations in Portage and Elkhart, IN. Randall provides a variety of construction equipment including aerial work platforms, material handling forklifts, uitlity vehicles, and scaffolding. In addition, Randall provides machinery such as skid steers, air compressors, chop saws, and many other necessary tools for any construction site. Equipment can be leased, rented, or sold according to customers' needs. Randall is committed to customer service by providing scheduled onsite or in shop service of all types of makes and models of customer-owned equipment."</t>
  </si>
  <si>
    <t>http://www.randallind.com</t>
  </si>
  <si>
    <t>Randall L. Frye Communications Inc</t>
  </si>
  <si>
    <t>http://www.bluerivertechnology.com</t>
  </si>
  <si>
    <t>mailto:randy@bluerivertele.com</t>
  </si>
  <si>
    <t>Randals Autostore Inc</t>
  </si>
  <si>
    <t>mailto:randalsautostore@verizon.net</t>
  </si>
  <si>
    <t>Randolph Farms, Inc.</t>
  </si>
  <si>
    <t>mailto:bear@globalsite.net</t>
  </si>
  <si>
    <t>Ranger Towing Co.</t>
  </si>
  <si>
    <t>="We perform all types of towing industry related services including light duty towing for cars, pickups and motorcycles, heavy-duty towing and recovery services (with full air cushion recovery system), equipment transfer, tractor swaps, winchouts, fuel delivery, tire changes, jumpstart and battery replacement services, and lockout and locksmith services. These services are offered throughout Southern Indiana, the greater Louisville Metro area and nationwide if needed. We are the largest tow company in southern Indiana. Ranger has in its fleet 11 tow trucks, 5 service vehicles and an air cushion recovery system. All units are available 24/7 and can handle any size tow or recovery job."</t>
  </si>
  <si>
    <t>http://www.rangertowing.com</t>
  </si>
  <si>
    <t>mailto:rangertow@aol.com</t>
  </si>
  <si>
    <t>Rapid Freight Solutions LLC</t>
  </si>
  <si>
    <t>="We are a female owned and operated freight trucking company providing cost-effective transportation solutions on a local, regional and national level including truckload, dedicated freight, less-than-truckload, tradeshows and exhibits, expedited freight, automobile transportation, and intermodal container drayage."</t>
  </si>
  <si>
    <t>http://rapidfreightsolutions.com</t>
  </si>
  <si>
    <t>mailto:info@rapidfreightsolutions.com</t>
  </si>
  <si>
    <t>Rapid Response Transportation Inc.</t>
  </si>
  <si>
    <t>Rariden Enterprises, Inc.</t>
  </si>
  <si>
    <t>="Rariden Excavating does site work, grading, underground utilities, mass excavation, and demolition. We are a family owned business and always will be. We do work in a timely manner and with care. Quality and your satisfaction are most important to us at Rariden. We hope to work with you soon."</t>
  </si>
  <si>
    <t>http://www.raridenexcavating.com</t>
  </si>
  <si>
    <t>mailto:rariden@raridenexcavating.com</t>
  </si>
  <si>
    <t>Rasure Floor Covering, Inc.</t>
  </si>
  <si>
    <t>Ratcliff Enterprises Inc.</t>
  </si>
  <si>
    <t>mailto:mgcliff@hpcisp.com</t>
  </si>
  <si>
    <t>Ray Hoskins and Associates</t>
  </si>
  <si>
    <t>http://www.rayhoskins.com</t>
  </si>
  <si>
    <t>mailto:ray&amp;@rayhoskins</t>
  </si>
  <si>
    <t>Ray Rapchak Holdings Inc</t>
  </si>
  <si>
    <t>mailto:operations@crreorehabs.com</t>
  </si>
  <si>
    <t>Ray Skillman Auto</t>
  </si>
  <si>
    <t>http://www.rayskillman.net</t>
  </si>
  <si>
    <t>mailto:scott_emmett@rayskillman.net</t>
  </si>
  <si>
    <t>Ray Skillman Ford</t>
  </si>
  <si>
    <t>http://www.rayskillmanperformanceford.co</t>
  </si>
  <si>
    <t>Ray Skillman GMC Truck Inc.</t>
  </si>
  <si>
    <t>http://rayskillman.com</t>
  </si>
  <si>
    <t>mailto:gm_parts@rayskillman.net</t>
  </si>
  <si>
    <t>Ray's Auto Sales</t>
  </si>
  <si>
    <t>http://Ray's Auto Parts</t>
  </si>
  <si>
    <t>mailto:raysautoparts.net</t>
  </si>
  <si>
    <t>Ray's Lawn &amp; Garden Center, Inc.</t>
  </si>
  <si>
    <t>http://www.rayslgc.com</t>
  </si>
  <si>
    <t>mailto:rayslgc@insightbb.com</t>
  </si>
  <si>
    <t>Ray's Marathon Automotive Center, Inc.</t>
  </si>
  <si>
    <t>Ray's Trash Service, Inc.</t>
  </si>
  <si>
    <t>http://WWW.RAYS TRASH.COM</t>
  </si>
  <si>
    <t>mailto:RAYS2026@IQUEST.NET</t>
  </si>
  <si>
    <t>Raydar &amp; Associates, Inc.</t>
  </si>
  <si>
    <t>="Raydar and Associates, Inc. is a service-disabled, veteran-owned, multi-faceted consulting corporation delivering the highest quality management, consulting, and product services. Raydar also offers painting, blasting, iridite, and powder coating services and maintains the SSPC-QP3 certification. Raydar commits to consistently deliver top-notch technical, logistical, and project management services for the defense, state and federal government, and industrial sectors by placing seasoned professionals where they are needed at a competitive price to the client that is unbeatable."</t>
  </si>
  <si>
    <t>http://www.raydarinc.us</t>
  </si>
  <si>
    <t>mailto:deanna.ford@raydarinc.us</t>
  </si>
  <si>
    <t>Raymond Smith</t>
  </si>
  <si>
    <t>mailto:jussray@sbcglobal.net</t>
  </si>
  <si>
    <t>Rayna Reinholt Traylor, Inc</t>
  </si>
  <si>
    <t>mailto:raynat@prodigy.net</t>
  </si>
  <si>
    <t>Re-Construction Services, Inc</t>
  </si>
  <si>
    <t>mailto:reconstructionservices@gmail.com</t>
  </si>
  <si>
    <t>ReStylin' Accessories</t>
  </si>
  <si>
    <t>="We are a truck and SUV accessories store with installation services available. We are a Boss Snow Plow Dealer, Century Truck Cap Dealer and we sell new Flatbed Trailers, Satellite Radio, Hitches, Tonneau Covers, Stepbars &amp; Running Boards, Bugshields, and we sell and install all types of Emergency Vehicle Lighting including strobes. We sell about every accessory you can think to put on a vehicle and we are very proud of our installation and customer service capabilities."</t>
  </si>
  <si>
    <t>mailto:restylin@hotmail.com</t>
  </si>
  <si>
    <t>React Technologies,</t>
  </si>
  <si>
    <t>http://www.reacttechnologies.biz</t>
  </si>
  <si>
    <t>mailto:b.shufflebarger@att.net</t>
  </si>
  <si>
    <t>Ready2Go Office Furniture. Inc</t>
  </si>
  <si>
    <t>http://www.Ready2GoOffice.com</t>
  </si>
  <si>
    <t>mailto:kriswoodward@sbcglobal.net</t>
  </si>
  <si>
    <t>Reagins Inc.</t>
  </si>
  <si>
    <t>="We provide demoliton and excavating services and capable of hauling dirt, sand and debris. We do site preparations for commercial and residential properties. We have flat bed and dump trailers. We also haul steel and steel products. We offer snow removal services and supply brick and various other materials."</t>
  </si>
  <si>
    <t>mailto:reaginc@megsinet.net</t>
  </si>
  <si>
    <t>Real Estate 1, Inc,</t>
  </si>
  <si>
    <t>Real Mechanical Inc.</t>
  </si>
  <si>
    <t>mailto:bfritsche@realmechanical.com</t>
  </si>
  <si>
    <t>Real Property Evaluation</t>
  </si>
  <si>
    <t>http://www.rpe-cobb.com</t>
  </si>
  <si>
    <t>mailto:info@rpe-cobb.com</t>
  </si>
  <si>
    <t>Real Property Evaluation Inc</t>
  </si>
  <si>
    <t>Real Results Consulting</t>
  </si>
  <si>
    <t>="Real Results Consulting, LLC provides supplemental information technology staffing focused on project management, IT planning, data integration strategies and web design. We are based in Indianapolis and serve the central Indiana area. We have experience in the travel industry, financial services and government."</t>
  </si>
  <si>
    <t>http://www.realresultsconsulting.net</t>
  </si>
  <si>
    <t>mailto:info@realresultsconsulting.net</t>
  </si>
  <si>
    <t>Real Results, Incorporated</t>
  </si>
  <si>
    <t>mailto:thillsos@yahoo.com</t>
  </si>
  <si>
    <t>Real State Services LLC</t>
  </si>
  <si>
    <t>mailto:rss@rssindiana.com</t>
  </si>
  <si>
    <t>Real Taste Catering, Inc.</t>
  </si>
  <si>
    <t>Real Ventures, LLC</t>
  </si>
  <si>
    <t>http://www.sportsmirrors.com</t>
  </si>
  <si>
    <t>mailto:info@sportsmirrors.com</t>
  </si>
  <si>
    <t>Reality Cleaning Service LLC</t>
  </si>
  <si>
    <t>="Reality Cleaning Service is a residential and commercial janitorial service that specializes in Housekeeping and Small Office Cleaning at very affordable rates. Our customer service is second to none and our company has over 19 years of experience and awards from the BBB for quality service. We are registered as a certified minortiy and woman owned busniess."</t>
  </si>
  <si>
    <t>http://www.realitycleaning.com</t>
  </si>
  <si>
    <t>mailto:RealityCleaningService@yahoo.com</t>
  </si>
  <si>
    <t>Reams Asset Management Company, LLC</t>
  </si>
  <si>
    <t>="Reams Asset Management Company is an independent, employee-owned investment management firm, based in Columbus, IN, serving the institutional marketplace. Established in 1981, Reams manages $10 billion in U.S. Fixed Income assets. Reams works with a diverse group of institutional clients, including Fortune 500 corporations, large public pension funds, Taft-Hartley plans and a variety of universities, foundations and endowments. Reams' mission is to provide the highest quality investment management services, consistently outstanding performance and unmatched client service."</t>
  </si>
  <si>
    <t>http://www.reamsasset.com</t>
  </si>
  <si>
    <t>mailto:dmckinney@reamsasset.com</t>
  </si>
  <si>
    <t>Rebar Corp of Indiana</t>
  </si>
  <si>
    <t>Rebecca Langford</t>
  </si>
  <si>
    <t>mailto:becklangford@insightbb.com</t>
  </si>
  <si>
    <t>Rebecca Wright Sampson</t>
  </si>
  <si>
    <t>mailto:beadsandbaskets@yahoo.com</t>
  </si>
  <si>
    <t>Reborn Software Solutions, Inc.</t>
  </si>
  <si>
    <t>http://www.reborncode.com</t>
  </si>
  <si>
    <t>mailto:info@reborncode.com</t>
  </si>
  <si>
    <t>Record / Play Tek In</t>
  </si>
  <si>
    <t>="Voice Logging Digital Recorders for recording telephone calls, telephone lines, telephone handsets, two-way radios, room microphones, audio systems, intercoms for review at a later date. ""Who said what to whom...and who made a mistake""...what did that legislator say??....""This call may be recorder""...etc. All recorded on a standard PC, 9 channels CONTINUOUS record for 175 days of history on an 80 GB hard Drive!! Download for saveing to a ""home"" 80 Cent DVD-R with 7 days of history per CDR!!! What did she (he) say????"</t>
  </si>
  <si>
    <t>http://recordplaytek.com</t>
  </si>
  <si>
    <t>mailto:stoll@recordplaytek.com</t>
  </si>
  <si>
    <t>Recovery Consulting, Inc.</t>
  </si>
  <si>
    <t>="Recovery Consulting, Inc. provides high-level consulting expertise in telecommunications cost management, information technology cost management and wireless service cost management. Services: Telecommunicatins Audits Wireless Helpdesk Services Telecom Inventory Management Telecom Certifications"</t>
  </si>
  <si>
    <t>http://www.recovery-consulting.com</t>
  </si>
  <si>
    <t>mailto:drichardson@recovery-consulting.com</t>
  </si>
  <si>
    <t>RecoveryTrek LLC</t>
  </si>
  <si>
    <t>Recreation Unlimited</t>
  </si>
  <si>
    <t>http://www.recreationunltd.com</t>
  </si>
  <si>
    <t>mailto:travisgoebel@recreationunltd.com</t>
  </si>
  <si>
    <t>Recreation inSites, LLC</t>
  </si>
  <si>
    <t>http://www.recreationinsites.com</t>
  </si>
  <si>
    <t>mailto:melissag@recreationinsites.com</t>
  </si>
  <si>
    <t>Recycle Logic LLC</t>
  </si>
  <si>
    <t>="Recycle Logic LLC does sustainability coaching and auditing as applied to manufacturing and industries. Waste management and land disposal diversion, source reduction, green and lean building and manufacturing, beneficial reuse and recycling. Assistance in ISO commitments as applied to waste stream management."</t>
  </si>
  <si>
    <t>http://www.recyclelogic.com</t>
  </si>
  <si>
    <t>mailto:office@recyclelogic.com</t>
  </si>
  <si>
    <t>Red Forge, Inc.</t>
  </si>
  <si>
    <t>="Welding &amp; Fabrication of any scale, including Mig, Tig, Stick, Plasma, Shear Work, Press Brake, Aluminum Welding, Cast Iron Welding, Stainless Steel Welding and repair work. Ornamental Iron Work. Metal Art Work. 24 Hour Mobile Units with hydraulic booms for onsite field construction."</t>
  </si>
  <si>
    <t>http://www.redforgeweld.com</t>
  </si>
  <si>
    <t>mailto:bmaple@redforgeweld.com</t>
  </si>
  <si>
    <t>Red Gold, Inc.</t>
  </si>
  <si>
    <t>http://www.redgold.com</t>
  </si>
  <si>
    <t>mailto:hr@redgold.com</t>
  </si>
  <si>
    <t>Red Leaf, Inc.</t>
  </si>
  <si>
    <t>http://www.maplemeadow.com</t>
  </si>
  <si>
    <t>mailto:sales@maplemeadow.com</t>
  </si>
  <si>
    <t>Red Oak Industries</t>
  </si>
  <si>
    <t>="Red Oak Industries is a social enterprise that exists to provide a normative work environment to all individuals who have a disability. Red Oak currently offers janitorial services to 14 Indiana counties and we have developed a new service line that offers our customers document management services which include document prep, scanning and indexing."</t>
  </si>
  <si>
    <t>http://www.redoakindustries.com</t>
  </si>
  <si>
    <t>mailto:shannon.castetter@redoakindustries.com</t>
  </si>
  <si>
    <t>Red Tempo Consulting, LLC</t>
  </si>
  <si>
    <t>http://www.redtempollc.com</t>
  </si>
  <si>
    <t>mailto:ngeller@redtempollc.com</t>
  </si>
  <si>
    <t>Redding Company, Inc.</t>
  </si>
  <si>
    <t>http://www.public.com</t>
  </si>
  <si>
    <t>Reddy Law Firm, LLC</t>
  </si>
  <si>
    <t>="The Reddy Law Firm, LLC provides legal services in Terre Haute, Indiana and throughout the State of Indiana. At Reddy Law Firm, LLC, our mission is to provide clients with principled advice to achieve practical solutions. Our clients expect and demand legal advice which they can understand and solutions which provide results, not creative possibilities. At Reddy Law Firm, your business and your problem are our priority and our challenge to meet. We pride ourselves on treating each client as our most important client by timely returning phone calls, providing a prompt response to inquiries and constantly keeping our clients updated."</t>
  </si>
  <si>
    <t>http://www.reddylawllc.com</t>
  </si>
  <si>
    <t>Redfred Property Managment LLC</t>
  </si>
  <si>
    <t>mailto:fredparis@officepride.com</t>
  </si>
  <si>
    <t>Redirections Inc.</t>
  </si>
  <si>
    <t>="Redirections Sign &amp; Design is a national sign company that specializes in custom signage, mill work and POP displays. The professionals at Redirections Sign &amp; Design have been producing signs since 1987. Our experts will assess your signage requirements and provide you with a total marketing package. Some examples: banners, flags, digital graphics including vehicle/window, sandblasted and routed signs, silk screen printed signs, and vinyl signs. The Redirections Sign &amp; Design woodworking and mill shop produces stunning furniture displays and custom cabinetry with the highest quality craftsmanship. In addition to the outstanding furniture displays for new home sales information centers such as site/plot tables and brochure shelving, our woodworking department can customize and create beautiful kitchen cabinets, home entertainment centers, commercial displays and retail fixtures."</t>
  </si>
  <si>
    <t>http://www.re-directions.com</t>
  </si>
  <si>
    <t>mailto:kmackey@re-directions.com</t>
  </si>
  <si>
    <t>Redmon Supply</t>
  </si>
  <si>
    <t>http://www.redmonsupply.com</t>
  </si>
  <si>
    <t>mailto:autumn@redmonsupply.com</t>
  </si>
  <si>
    <t>="Maintenance Fasterners, Hardware, &amp; Supplies. Anchors. Automotive - Body Shop, Electrical, Fasterners, Fuses. Fasteners grade 5 &amp; 8, Bolts, Electrical terminals. Cutting items- Drill Bits, Grinding Wheels, Abrasives, Bandsaw Blds. Fittings - Air, Brass, Grease, Hose, Pipe, Plumbing. and more."</t>
  </si>
  <si>
    <t>mailto:tlhay56@wmconnect.com</t>
  </si>
  <si>
    <t>Redmon Supply Inc</t>
  </si>
  <si>
    <t>http://www.redmonsupply.net</t>
  </si>
  <si>
    <t>mailto:sales@redmonsupply.net</t>
  </si>
  <si>
    <t>Reece Rebholz Co., Inc.</t>
  </si>
  <si>
    <t>http://www.rebholzinc.com</t>
  </si>
  <si>
    <t>mailto:julie@rebholzinc.com</t>
  </si>
  <si>
    <t>Reece Trucking LLC</t>
  </si>
  <si>
    <t>http://www.reece-trucking.com</t>
  </si>
  <si>
    <t>mailto:reecetruckingllc.gmail.com</t>
  </si>
  <si>
    <t>Reed Investment Management, LLC</t>
  </si>
  <si>
    <t>http://www.riminvestments.com</t>
  </si>
  <si>
    <t>mailto:leslie@riminvestments.com</t>
  </si>
  <si>
    <t>Reed's Collision Repair, Inc.</t>
  </si>
  <si>
    <t>mailto:travis@reedscollision.com</t>
  </si>
  <si>
    <t>Reese Central Wholesale, Inc.</t>
  </si>
  <si>
    <t>http://www.reesewholesale.com</t>
  </si>
  <si>
    <t>mailto:indycounter@reesewholesale.com</t>
  </si>
  <si>
    <t>Refined LLC</t>
  </si>
  <si>
    <t>mailto:refined@centurylink.net</t>
  </si>
  <si>
    <t>Used Merchandise Stores</t>
  </si>
  <si>
    <t>Reflection Window Company of Indiana LLC</t>
  </si>
  <si>
    <t>="Reflection Window Company of Indiana, LLC manufactures, supplies, and installs commercial, high-performance window systems, curtain walls, metal panels, sunshades, window guards, and storefront. Reflection also supplies security screens, total envelope solutions, metal stud back-up wall, engineering consulting and assistance, general contracting and related projects."</t>
  </si>
  <si>
    <t>Reflections Ink</t>
  </si>
  <si>
    <t>http://iamtashajones.com</t>
  </si>
  <si>
    <t>mailto:iamtashajones@yahoo.com</t>
  </si>
  <si>
    <t>Regal Industries, Inc.</t>
  </si>
  <si>
    <t>="Regal Industries, Inc. is a 40 yr. old family owned company, located in Crothersville, IN, that mfrs. Regal brand cellulose insulation. Cellulose insulation is a thermal insulation made of fire retardant recycled news print installed in newly constructed homes, for upgrading existing homes and has many commercial applications. Utilizing our own fleet of tractor trailer units we distribute our products to lumber &amp; building material suppliers, gov. weatherization agencies and professional insulation installers from MI to GA and MO to NY. Regal has only one production facility (IN) and it is the largest single plant production facitlity producing cellulose thermal insulation in the USA.. Regal employees upwards to 150 people year round. Regal is a member of Cellulose Insulation Mfrs. Association (CIMA) and is Energy Star and LEED certified ."</t>
  </si>
  <si>
    <t>http://wwwlregalind.com</t>
  </si>
  <si>
    <t>mailto:steveleighty@regalind.com</t>
  </si>
  <si>
    <t>Regarding Media and Marketing LLC</t>
  </si>
  <si>
    <t>http://www.regardingmedia.com</t>
  </si>
  <si>
    <t>mailto:info@regardingmedia.com</t>
  </si>
  <si>
    <t>Regester &amp; Blackwell, Inc.</t>
  </si>
  <si>
    <t>Reggie's Trucking LLC</t>
  </si>
  <si>
    <t>mailto:reggies_trucking@yahoo.com</t>
  </si>
  <si>
    <t>Region 5 Workforce Board, Inc.</t>
  </si>
  <si>
    <t>http://workonecentral.org</t>
  </si>
  <si>
    <t>Region IV Workforce</t>
  </si>
  <si>
    <t>Regional Maintenance Services</t>
  </si>
  <si>
    <t>="Regional Maintenance Services is a mechanical contractor who specializes in industrial, commercial, and manufacturing equipment rebuilds. Rms changes out dampers, louvers, pulverizers, soot blowers, pumps, conveyors, and fans. They are proficient at working on equipment within fossil fuel power plants to keep them running efficiently, and also help them follow EPA guidlines. Within manufacturing plants they have changed out machines, replaced mills, electric motors, ran piping and ventelation. RMS can also fabricate parts to help the rebuild process on certain pieces of equipment, and also build structures to fit our customers needs."</t>
  </si>
  <si>
    <t>http://www.regionalmaintenanceservices.c</t>
  </si>
  <si>
    <t>mailto:lschneider@rms04.com</t>
  </si>
  <si>
    <t>Registration System LLC</t>
  </si>
  <si>
    <t>mailto:fmay@theregistrationsystem.com</t>
  </si>
  <si>
    <t>Rehab Strategies, LLC</t>
  </si>
  <si>
    <t>http://rehabstrategies.net</t>
  </si>
  <si>
    <t>Reign Transportation, LLC</t>
  </si>
  <si>
    <t>mailto:reigntransportation@yahoo..com</t>
  </si>
  <si>
    <t>Reitcheck's Total Lawn Care</t>
  </si>
  <si>
    <t>mailto:Reitcheck@aol.com</t>
  </si>
  <si>
    <t>Reiter all Battery Centers of indiana in</t>
  </si>
  <si>
    <t>Relational Gravity</t>
  </si>
  <si>
    <t>="Relational Gravity emphasizes the power of individual relationships in providing our clients effective public relations and marketing services. Our extensive experience includes healthcare as well as not-for-profits, manufacturing, municipalities and specialty food ventures."</t>
  </si>
  <si>
    <t>http://www.RelationalGravity.com</t>
  </si>
  <si>
    <t>mailto:HutsonJ@RelationalGravity.com</t>
  </si>
  <si>
    <t>Relativity Data Services</t>
  </si>
  <si>
    <t>http://www.relativitydataservices.com</t>
  </si>
  <si>
    <t>mailto:admin@relativitydataservices.com</t>
  </si>
  <si>
    <t>Reliable Cleaning Service Inc.</t>
  </si>
  <si>
    <t>mailto:Reliablejanitors@aol.com</t>
  </si>
  <si>
    <t>Reliable Metalcraft</t>
  </si>
  <si>
    <t>http://www.reliablemetalcraft.com</t>
  </si>
  <si>
    <t>mailto:info@reliablemetalcraft.com</t>
  </si>
  <si>
    <t>Reliable One Technology</t>
  </si>
  <si>
    <t>="Computer Network Installation, repair,and maintenance. Installation of Cisco Switches, Routers, and Firewalls. Extensive experience with wireless site surveys and installation. Extensive experience with VOIP Callmanager, Unity, Tacacs, and wireless controller installation and upgrade. Additional experience includes Municipal Wireless Site Surveys and installation."</t>
  </si>
  <si>
    <t>http://www.r1tech.com</t>
  </si>
  <si>
    <t>mailto:jramirez@r1tech.com</t>
  </si>
  <si>
    <t>Reliable Propane Gas</t>
  </si>
  <si>
    <t>Reliable Solutions Corp</t>
  </si>
  <si>
    <t>="Reliable Solutions Corp is a software development firm that specializes in understanding our clients’ business objectives first and then developing technology solutions to achieve their defined goals. Our staff has extensive experience across a broad range of technology solutions and methodologies focusing on customer needs to ensure product quality. Our developers leverage their skills to deliver a flexible, scalable, custom solution in a technology that meets the client’s needs. Our company, has more than four decades of combined IT discovery, development, deployment, and project management experience within both large Fortune 200 companies and entrepreneurial businesses alike. Our knowledge spans a wide range of industries and a diverse group of technologies which allows us efficiently and affordably turn our clients’ needs into technology solutions that will drive productivity, sales, revenues, and profits, within their respective businesses."</t>
  </si>
  <si>
    <t>http://www.reliablesolutionscorp.com</t>
  </si>
  <si>
    <t>mailto:info@reliablesolutionscorp.com</t>
  </si>
  <si>
    <t>Reliable Staffing, Inc.</t>
  </si>
  <si>
    <t>Reliable Trailer Systems, Inc.</t>
  </si>
  <si>
    <t>http://www.reliabletrailer.com</t>
  </si>
  <si>
    <t>mailto:jperkins@reliabletrailer</t>
  </si>
  <si>
    <t>Reliant Group, Incorporated</t>
  </si>
  <si>
    <t>mailto:bjinkins@msn.com</t>
  </si>
  <si>
    <t>Relocation Strategies, Inc</t>
  </si>
  <si>
    <t>="Relocation Strategies offers Project Management Services for relocation of corporate and industrial offices. We oversee the planning,schedule and the actual move. We assist in the ""apples to apples"" bid process and selection of a move vendor that will give your company the highest quality of service. We inventory your existing furniture and equipment and draw it on AutoCAD in your new space. We have staff members that have worked closely with clients to design typical workstations and obtain the best solution for space efficiency and employee productivity. We specify and select new furniture and compile an ""apples to apples"" bid package to assist you in the selection of a furniture dealer to install new furniture and or tear down existing furniture. We add value by reducing the costly staff time that would otherwise be required to coordinate the project and we quarantee to obtainthe best market price for your furniture and move. We free up your time so you can do what you do best."</t>
  </si>
  <si>
    <t>http://www.relocationstrategies.com</t>
  </si>
  <si>
    <t>Relocation Strategies, Inc.</t>
  </si>
  <si>
    <t>="Relocation Strategies Inc is a consulting firm that specializes in complete project management for corporate relocations. The bulk of our business is focused in the furniture management and physical relocation. Leaving your company's move management to Relocation Strategies Inc allows you to continue focusing on your business without the added stress. Relocation Strategies Inc has managed more than 2,000 relocations nationwide with facilities ranging from 500 to 1.4 million sq ft. For 23 years, Relocation Strategies, Inc. has handled the planning, coordination and execution for corporate moves. Leaving your company's move management to Relocation Strategies Inc, allows you to continue focusing on your business without missing a beat. Relocation Strategies Inc has been involved in more than 2,000 relocations nationwide with facilities ranging from 500 square feet to 1.4 million square feet."</t>
  </si>
  <si>
    <t>http://www.RelocationStrategies.com</t>
  </si>
  <si>
    <t>mailto:mbrown@relostrategies.com</t>
  </si>
  <si>
    <t>RemSense, Inc (dba Mopi16)</t>
  </si>
  <si>
    <t>="Mopi16 works globally with customers to design, develop, and implement innovative and custom online learning solutions. Mopi16 offers eLearning services as well as mLearning products to assist companies in creating quality online learning experiences for their employees and customers."</t>
  </si>
  <si>
    <t>http://www.mopi16.com</t>
  </si>
  <si>
    <t>mailto:info@mopi16.com</t>
  </si>
  <si>
    <t>Rembert Enterprises INC.</t>
  </si>
  <si>
    <t>mailto:peterrembert@yahoo.com</t>
  </si>
  <si>
    <t>Remedy Solutions, Inc.</t>
  </si>
  <si>
    <t>http://www.remedyindy.com</t>
  </si>
  <si>
    <t>mailto:info@remedyindy.com</t>
  </si>
  <si>
    <t>Renascent Inc.</t>
  </si>
  <si>
    <t>="Renascent is a locally owned and operated Indiana business which specializes in demolition and rental of roll off dumpster containers. Also performed are crushing reclamation work, excavation and most phases of site preparation included underground utilities except for asphalt paving and landscaping."</t>
  </si>
  <si>
    <t>http://www.renascentinc.com</t>
  </si>
  <si>
    <t>mailto:lcampbell@renascentinc.com</t>
  </si>
  <si>
    <t>Rene's Bakery, Inc</t>
  </si>
  <si>
    <t>="Rene's Bakery is a small patisserie in Broad Ripple. Product is 100% homemade and baked fresh daily, including breads, pastries, cakes, croissants, etc. Special orders are accepted. The bakery is a ""purchase to go"" establishment. There are a few tables available outside."</t>
  </si>
  <si>
    <t>Retail Bakeries</t>
  </si>
  <si>
    <t>Renewed Performance Company, Inc.</t>
  </si>
  <si>
    <t>="Refurbishes and manufactures fire apparatus ranging from small rescue and grass trucks to pumpers and tankers. Services all heavy trucks and equipment, facility houses fabrication, repair, and paint operations. Full service, ISO Pump testing, pump and valve repairs, modifications, accident repairs, hydraulic repairs, lighting upgrades, custom fabrication. We work with aluminum, stainless, steel and steel."</t>
  </si>
  <si>
    <t>http://www.renperfco.com</t>
  </si>
  <si>
    <t>mailto:rpiinc@tiptontel.com</t>
  </si>
  <si>
    <t>Renfro Productions &amp; Management, Inc.</t>
  </si>
  <si>
    <t>http://renfroproductions.com</t>
  </si>
  <si>
    <t>mailto:info@renfroproductions.com</t>
  </si>
  <si>
    <t>Promoters of Performing Arts, Sports, and Similar Events without Facilities</t>
  </si>
  <si>
    <t>Renshaw Dental Lab</t>
  </si>
  <si>
    <t>Repp and Mundt, Inc.</t>
  </si>
  <si>
    <t>="Repp and Mundt, Inc. is a general contractor in business in Columbus, Indiana since 1946. Our focus is on design/build projects in the commercial and industrial arenas plus public bidding work. Indiana is our primary geographic working area plus Kentucky, Ohio and Illinois. Projects range from small warehouses to larger hospitals and schools. We employ from 30 to 75 people depending on the work load and season and generate up to twelve million dollars in annual sales volume."</t>
  </si>
  <si>
    <t>http://www.repp-mundt.com</t>
  </si>
  <si>
    <t>mailto:fkiel@repp-mundt.com</t>
  </si>
  <si>
    <t>Repro Graphics</t>
  </si>
  <si>
    <t>="Digital printing products and services. Wide format (blueprints) scan, print, file conversion. AutoCAD printing and bonds. Direct to press digital printing, Xerox Docutech B&amp;W printing. Color large and small format printing. Digital plan room &amp; distribution. Color posters, banners, &amp; sign printing. Mout, Laminate on gator, foam etc. Graphic Design and layout"</t>
  </si>
  <si>
    <t>http://www.reprographix.com</t>
  </si>
  <si>
    <t>ReproComm INC.</t>
  </si>
  <si>
    <t>http://www.moderngraphics.com</t>
  </si>
  <si>
    <t>mailto:mgi@moderngraphics.com</t>
  </si>
  <si>
    <t>Reptucom Systems &amp; Consultants, LLC</t>
  </si>
  <si>
    <t>="REPTUCOM SYSTEMS &amp; CONSULTANTS (RSC) is dedicated to providing quality, technology services in the areas of computer, video, telephone and data communications. Our staff has experience in providing engineering, technical expertise/design and installation services as well as key program and project management contributions. REPTUCOM believes in partnering with our clients by providing them cost effective solutions for their present and future technology needs. Our goal is to solve the current technology necessities of our clients and anticipate future requirements in our implementations. Our Vision — To be a company capable of providing “state of the art” services in the consultation, design, and implementation of video/data communications, computer networks and telephony systems. Our Mission — To provide technical expertise, detailed design/consultation and quality custom installation services in the area of telecommunications, video, and computer/network systems and equipme"</t>
  </si>
  <si>
    <t>http://WWW.REPTUCOM.COM</t>
  </si>
  <si>
    <t>mailto:info@reptucom.com</t>
  </si>
  <si>
    <t>Republic First National Corporation</t>
  </si>
  <si>
    <t>="Republic First National is an experienced and reliable national financing company helping municipalities, volunteer fire departments and first responders buy the equipment they need in the most cost effective way. We understand that municipalities don't make financing decisions everyday and it can seem like a mountain to climb over. Our team of friendly professionals will guide you through the process painlessly, preparing the proper paperwork and clearly explaining how to execute it. We make financing easy, accessible and affordable."</t>
  </si>
  <si>
    <t>http://www.republicfirstnational.com</t>
  </si>
  <si>
    <t>Rescott Group Services</t>
  </si>
  <si>
    <t>="Rescott is a technology engineering firm specializing in the design and implementation of single or multiple information technologies. These technologies include software development, web development and hosting, enterprise network solutions, technology coaching, product and license procurement, and reliable Indiana-built IndyLogic brand PCs and notebooks."</t>
  </si>
  <si>
    <t>http://www.rescott.com</t>
  </si>
  <si>
    <t>mailto:sales@rescott.com</t>
  </si>
  <si>
    <t>Research &amp; Evaluation Resources</t>
  </si>
  <si>
    <t>http://www.evalresources.com</t>
  </si>
  <si>
    <t>mailto:mrattermann@evalresources.com</t>
  </si>
  <si>
    <t>Research Innovations Inc</t>
  </si>
  <si>
    <t>http://www.research-innovate.com</t>
  </si>
  <si>
    <t>mailto:chiamychow@research-innovate.com</t>
  </si>
  <si>
    <t>Residential Management Company, LLC</t>
  </si>
  <si>
    <t>http://www.rmc4rent.com</t>
  </si>
  <si>
    <t>mailto:mbj@rmc4rent.com</t>
  </si>
  <si>
    <t>Resilient Strategies, LLC</t>
  </si>
  <si>
    <t>mailto:malley@resilientstgy.com</t>
  </si>
  <si>
    <t>Resolute Acquisition Corporation</t>
  </si>
  <si>
    <t>http://WWW.RESOLUTETREATMENTCENTER.COM</t>
  </si>
  <si>
    <t>Resolution Group, Inc.</t>
  </si>
  <si>
    <t>http://www.resogrp.com</t>
  </si>
  <si>
    <t>mailto:cpetzke@resogrp.com</t>
  </si>
  <si>
    <t>Resource Commercial Real Estate, LLC</t>
  </si>
  <si>
    <t>="Resource Commercial Real Estate, LLC d/b/a Colliers International | Indiana Region is a 100% Indiana formed, owned and operated full-service commercial real estate firm. The following services are provided to clients: Brokerage Services, Corporate Solutions, Lease Administration, Project Management/Workplace Optimization, Property/Facility Management, Government Services, and Auction Services."</t>
  </si>
  <si>
    <t>http://www.colliers.com/en-us/indianapol</t>
  </si>
  <si>
    <t>mailto:yumi.goodman@colliers.com</t>
  </si>
  <si>
    <t>Resources Offered Immediately, LLC</t>
  </si>
  <si>
    <t>="ROI-LLC offers professional Human Resources Consulting designed to help organizations optimize their performance, meet key business objectives and unleash the power of the organization’s most valuable asset, its employees. We are dedicated to working in partnership with our clients. Our innovative and cost-effective HR and Training solutions are shaped by each client’s unique needs and culture and are designed to ensure our clients get the best Return on Investment. Our expertise includes: Strategic Planning, Succession Planning, Change Management, Compensation and Job Analysis, HR Audits, Compliance Training, Employee Relations Investigations and Training, Employee Handbooks, HR Process Re-engineering, Benefits Administration, Executive Coaching, Training and Development, On-Boarding, Career Pathing, 360's, Employee Retention Strategies, and Performance Management"</t>
  </si>
  <si>
    <t>http://www.roi-llc.net</t>
  </si>
  <si>
    <t>mailto:lgooding@roi-llc.net</t>
  </si>
  <si>
    <t>Respiratory Partners</t>
  </si>
  <si>
    <t>mailto:kathyrpi@aol.com</t>
  </si>
  <si>
    <t>Respro Health Systems, Inc.</t>
  </si>
  <si>
    <t>http://www.resprohealth.com</t>
  </si>
  <si>
    <t>mailto:ellen.purchase@resprohealth.com</t>
  </si>
  <si>
    <t>Rest Wells Relaxation</t>
  </si>
  <si>
    <t>="I am a Nationally Certified Massage Therapist that has an Indiana certification as well. I provide chair and table massage as well as body wraps and spa treatments. I am looking to provide chair massage to corporation employees. Paraffin treatments for hands feet and back, as well as sports and prenatal massage. My goal is to promote wellness from within while providing relaxing and therapeutic massage."</t>
  </si>
  <si>
    <t>http://amtamembers.com/carolynwells</t>
  </si>
  <si>
    <t>mailto:restwellsrelaxation@yahoo.com</t>
  </si>
  <si>
    <t>Resumes Today. Inc.</t>
  </si>
  <si>
    <t>http://www.resumestoday.biz</t>
  </si>
  <si>
    <t>mailto:orders@resumestoday.biz</t>
  </si>
  <si>
    <t>Retired Military Tree and Ground Service</t>
  </si>
  <si>
    <t>mailto:gtomike1952@yahoo.com</t>
  </si>
  <si>
    <t>Retired Senior Volunteer Program of Davi</t>
  </si>
  <si>
    <t>http://www.rsvpvolunteercenter.org</t>
  </si>
  <si>
    <t>mailto:rsvp1@rtccom.net</t>
  </si>
  <si>
    <t>Retro Billing and Co</t>
  </si>
  <si>
    <t>="Retro Billing and Collections, L.L.C., was formed to provide outstanding, yet low cost medical billing for health care professionals and private agencies through out the United States. Our missions is to deliver first class, fast and cost efficient billing and collection services to clients who expect prompt turnaround of their submitted claim submissions and reconciliation's. Retro Billing and Collections, L.L.C. uses the latest cutting edge technology and information solutions for patient and insurance billing for fast electronic claim submissions. The results are premium, accurate professional services for the fast pace health care industry."</t>
  </si>
  <si>
    <t>mailto:cherrytreeconsultants@comcast.net</t>
  </si>
  <si>
    <t>Retro Home Health Care Services, LLC</t>
  </si>
  <si>
    <t>mailto:retrohomehealthcs2@yahoo.com</t>
  </si>
  <si>
    <t>Reuters LLC DBA Edible Arrangements</t>
  </si>
  <si>
    <t>="Edible Arrangements® brings you something special for every Celebration; gift baskets made from fresh fruit and dipped in chocolate sauce. Make a celebration special or surprise your sweetheart with a Valentines Day fruit basket from Edible Arrangements®. Life is all about celebrating the special occasions and there`s no better way to do it than with our fresh fruit arrangements. Our collection of fruit and chocolate arrangements feature boxes of dipped fruit and Mothers Day gift baskets. Our Valentine’s Day gift baskets come in fun containers with a wide variety of arrangements available to make your celebrations memorable; they are a great centerpiece for a New Year dinner and excellent business gifts. All arrangements are made from the freshest fruit and the best chocolate; order an arrangement now or use our holiday gift guide to choose your gift."</t>
  </si>
  <si>
    <t>http://www.ediblearrangements.com</t>
  </si>
  <si>
    <t>mailto:in1006@dofruit.com</t>
  </si>
  <si>
    <t>Reveal Consulting</t>
  </si>
  <si>
    <t>http://WWW.REVEALCONSULTING.COM</t>
  </si>
  <si>
    <t>mailto:RHIGLEY@REVEALCONSULTING.COM</t>
  </si>
  <si>
    <t>Revelant Technologies, LLC</t>
  </si>
  <si>
    <t>="At Revelant, we use information technology to help you solve your business problems. We focus on four areas and do them extremely well: - We provide Customer Relationship Management (CRM) solutions for private industry and government - We develop specialized software applications for Government entities - We provide Service Oriented Architecture solutions - We help you leverage Cloud and Open Source solutions. Contact us today at info@revelanttech.com."</t>
  </si>
  <si>
    <t>http://www.revelanttech.com</t>
  </si>
  <si>
    <t>mailto:info@revelanttech.com</t>
  </si>
  <si>
    <t>Revenue Cycle Solutions, Inc</t>
  </si>
  <si>
    <t>="Specializing in Health Care reimbursement operations and strategy for hospitals, physicians and insurance companies. Categories of service include: System and process optimization Revenue Cycle assessments Interim Management Accounts Receivable reduction projects"</t>
  </si>
  <si>
    <t>mailto:mike.edwards@revcyclesolutions.com</t>
  </si>
  <si>
    <t>Rex L Gradeless CPA</t>
  </si>
  <si>
    <t>="Full service accounting firm providing services as accounting, bookkeeping, business consulting, payroll preparation, tax preparation, financial statements (compiliation, review, &amp; certified), CEO services, business start-ups, retirement planning, business succession, etc."</t>
  </si>
  <si>
    <t>mailto:gradelesscpa@mchsi.com</t>
  </si>
  <si>
    <t>Rhodes and Rhodes Trucking Company, Inc.</t>
  </si>
  <si>
    <t>mailto:rhodesandrhodes@sbcglobal.net</t>
  </si>
  <si>
    <t>Rhonda Pitifer</t>
  </si>
  <si>
    <t>http://www.teampitifer.com</t>
  </si>
  <si>
    <t>mailto:rhonda@teampitifer.com</t>
  </si>
  <si>
    <t>Rhonda Shipley</t>
  </si>
  <si>
    <t>="Provide professional proposal writing and other technical writing, project management, adult and alternative educational services, curriculum development, market research, art design services, methodology and analysis, salve and business promotion activities, MIS, quantitative research."</t>
  </si>
  <si>
    <t>mailto:Rhonda.Shipley@att.net</t>
  </si>
  <si>
    <t>Rhonda Umbrianna/ R&amp;B Service Co.</t>
  </si>
  <si>
    <t>mailto:bumbriana@gmail.com</t>
  </si>
  <si>
    <t>Richard Pohlman</t>
  </si>
  <si>
    <t>Richard A. Michaelis</t>
  </si>
  <si>
    <t>http://www.michaeliscorp.com</t>
  </si>
  <si>
    <t>mailto:michaeliscorp.com</t>
  </si>
  <si>
    <t>Richard Dillman</t>
  </si>
  <si>
    <t>http://www.catalpasoft.com</t>
  </si>
  <si>
    <t>mailto:sales@catalpasoft.com</t>
  </si>
  <si>
    <t>Richard E. Durham</t>
  </si>
  <si>
    <t>="Professiona Engineering &amp; Land Surveying Services. Transportation design of roads, bridges and traffic signals. Sanitary sewer collection and water distribution systems. Stormwater Studies, Site developments and ALTA surveys. Expert Witness on Boundary and stormwater."</t>
  </si>
  <si>
    <t>mailto:richard.durham@insightbb.com</t>
  </si>
  <si>
    <t>Richard Edwin Dubbs</t>
  </si>
  <si>
    <t>http://www.FrugalPix.com</t>
  </si>
  <si>
    <t>mailto:r-d@FrugalPix.com</t>
  </si>
  <si>
    <t>Richard J &amp; Rachelle M Bair</t>
  </si>
  <si>
    <t>mailto:firemensstore@comcast.net</t>
  </si>
  <si>
    <t>Direct Selling Establishments</t>
  </si>
  <si>
    <t>Richard J. Bagan, In</t>
  </si>
  <si>
    <t>="Richard J. Bagan, Inc., ISO9001 certified, A2LA accredited to ISO/IEC 17025 and ANSI/NCSL Z540 specializes in single source management of calibration in manufacturing and laboratory environments. We are certified to perform calibration services in-lab and on-site and provide all information and history over the internet. TaskFlow™, a division of Richard J. Bagan, Inc., developed CAL-LAB Manager™ software to provide its business partners a web enabled tracking system to access resources in multiple locations, view certifications and locate all data and equipment related to an item or a process. This web-based software provides real-time data, tracking of assets, captures and distributes knowledge and manages people. Bagan also provides electronic repair and field services on industrial electronic process control instruments, AC &amp; DC drives, inverters, AC &amp; DC servo motors and amplifies, power supplies, temperature controls, furnace and oven flame supervision and safety equipment."</t>
  </si>
  <si>
    <t>http://www.rjbagan.com</t>
  </si>
  <si>
    <t>mailto:rfp@rjbagan.com</t>
  </si>
  <si>
    <t>Richard Jacobs &amp; Company</t>
  </si>
  <si>
    <t>http://www.rjco.com</t>
  </si>
  <si>
    <t>mailto:karen@rjco.com</t>
  </si>
  <si>
    <t>Richard Murrian</t>
  </si>
  <si>
    <t>http://www,americanworldtradenetwork.com</t>
  </si>
  <si>
    <t>mailto:rickmurrian@comcast.net</t>
  </si>
  <si>
    <t>Soft Drink Manufacturing</t>
  </si>
  <si>
    <t>Richard O Piercefield</t>
  </si>
  <si>
    <t>Richard Riehl Setups</t>
  </si>
  <si>
    <t>Richard's Small Engine, Inc.</t>
  </si>
  <si>
    <t>http://www.richardssmallengineinc.com</t>
  </si>
  <si>
    <t>mailto:rseservice@yahoo.com</t>
  </si>
  <si>
    <t>="We are a family owned small business that specializes in serving our customers and their equipment with the utmost respect. We sell and service lawn and garden equipment such as chainsaws, leaf blowers, pushmowers, rototilers, zero-turn mowers, compact tractors and many other small engine equipment."</t>
  </si>
  <si>
    <t>Richards Boje Pickering Benner &amp; Becker</t>
  </si>
  <si>
    <t>http://www.rbpbblaw.com</t>
  </si>
  <si>
    <t>mailto:lawyers@rbpbblaw.com</t>
  </si>
  <si>
    <t>Richardson &amp; Assoc.</t>
  </si>
  <si>
    <t>http://www.richbenefit.com</t>
  </si>
  <si>
    <t>mailto:rap@richbenefit.com</t>
  </si>
  <si>
    <t>Insurance and Employee Benefit Funds</t>
  </si>
  <si>
    <t>Richardson Associates</t>
  </si>
  <si>
    <t>mailto:skudrunr@sbcglobal.net</t>
  </si>
  <si>
    <t>Richardson Contractors, Inc.</t>
  </si>
  <si>
    <t>http://www.jimrichardsonco.com</t>
  </si>
  <si>
    <t>mailto:jrichco@indy.net</t>
  </si>
  <si>
    <t>Richardson's Transport Company Inc.</t>
  </si>
  <si>
    <t>mailto:krichardson.trnsp@gmail.com</t>
  </si>
  <si>
    <t>Richie Fence Builders, Inc</t>
  </si>
  <si>
    <t>mailto:ritchfence@sbcglobal.net</t>
  </si>
  <si>
    <t>Richland Development</t>
  </si>
  <si>
    <t>mailto:laurie_bowman@ccholdingsinc.com</t>
  </si>
  <si>
    <t>Richland Township Fire and Rescue Inc.</t>
  </si>
  <si>
    <t>http://richlandfirerescue.org</t>
  </si>
  <si>
    <t>mailto:richlandfire@sbcglobal.net</t>
  </si>
  <si>
    <t>Richmarc Productions</t>
  </si>
  <si>
    <t>http://www.richmarc.com</t>
  </si>
  <si>
    <t>mailto:joycerpi@aol.com</t>
  </si>
  <si>
    <t>Rick Short Floorcovering LLC</t>
  </si>
  <si>
    <t>mailto:rsflooring1650@sbcglobal.net</t>
  </si>
  <si>
    <t>Rick's Auten Rd Phillips 66 Inc</t>
  </si>
  <si>
    <t>http://www.ricks66.net</t>
  </si>
  <si>
    <t>Rickerts Landscaping &amp; Maintenance, Inc.</t>
  </si>
  <si>
    <t>mailto:rckrt4@aol.com</t>
  </si>
  <si>
    <t>Ridge Petroleum Contractors, Inc.</t>
  </si>
  <si>
    <t>Riedman Motors</t>
  </si>
  <si>
    <t>http://WWW.RIEDMANFIVESTARDEALERS.COM</t>
  </si>
  <si>
    <t>mailto:SALES@RIEDMANMOTORS.COM</t>
  </si>
  <si>
    <t>Right On Interactive</t>
  </si>
  <si>
    <t>="Right On Interactive is a marketing software company that helps marketers automate communications with buyers throughout the customer lifecycle –from initial contact to customer brand loyalty. With over 300 customers, Right On Interactive works with organizations of all sizes to drive more sales and increase customer retention. Our product –5Buckets –integrates myriad marketing data sources with practically any marketing communications platform. It enables marketers to quickly configure automated multi-step, multi-channel marketing campaigns. And for those using Salesforce.com, 5Buckets is also seamlessly integrated by way of 5Buckets for AppExchange."</t>
  </si>
  <si>
    <t>http://www.rightoninteractive.com</t>
  </si>
  <si>
    <t>mailto:info@rightoninteractive.com</t>
  </si>
  <si>
    <t>Right of Way Jones</t>
  </si>
  <si>
    <t>mailto:rowjones@comcast.net</t>
  </si>
  <si>
    <t>Righteous Media, Inc</t>
  </si>
  <si>
    <t>http://www.dividinglinesmagazine.com</t>
  </si>
  <si>
    <t>mailto:righteousmedia@yahoo.com</t>
  </si>
  <si>
    <t>Rightsell Construction</t>
  </si>
  <si>
    <t>http://a1tuckpointing.com</t>
  </si>
  <si>
    <t>mailto:glennrightsell@yahoo.com</t>
  </si>
  <si>
    <t>Riley Oil Company In</t>
  </si>
  <si>
    <t>mailto:rileyoilcompanyinc@verizon.net</t>
  </si>
  <si>
    <t>Riley Sales Associates, Inc.</t>
  </si>
  <si>
    <t>="Acoustic and Thermal composites for the treatment of heat and noise problems. Thermal materials and products range from light duty foil reflectors to custom designed sewn insulation blankets to metal encapsulated heat shields. Temperatures range from -40 to 3000 degrees Fahrenheit. Acoustic products range form sound absorbing foams, dampers and barrier composites to acoustic wall panels to custom designed sound enclosures and anechoic chambers. All materials can come in bulk rolls, sheets or fully fabricated and finished components. Film facings and pressure sensitive adhesive can be added for further functionality. Our engineering staff is available to assist you to solve your acoustic and thermal issues."</t>
  </si>
  <si>
    <t>mailto:priley4rsa@aol.com</t>
  </si>
  <si>
    <t>Rinear Gen. Contr.</t>
  </si>
  <si>
    <t>Ripley County Government</t>
  </si>
  <si>
    <t>http://www.ripleycounty.com</t>
  </si>
  <si>
    <t>mailto:auditor@ripleycounty.com</t>
  </si>
  <si>
    <t>Rise &amp; Excel Counseling &amp; Community Svcs</t>
  </si>
  <si>
    <t>mailto:riseandexcel@hotmail.com</t>
  </si>
  <si>
    <t>Rising Star Realty</t>
  </si>
  <si>
    <t>mailto:risingstarrealty@hotmail.com</t>
  </si>
  <si>
    <t>Rising Stars' Academy LLC</t>
  </si>
  <si>
    <t>mailto:RSTARSACADEMY@AOL.COM</t>
  </si>
  <si>
    <t>Rising Sun Medical Center</t>
  </si>
  <si>
    <t>Risley Electronics, Inc.</t>
  </si>
  <si>
    <t>http://www.Risleys.net</t>
  </si>
  <si>
    <t>mailto:Risleys@sigecom.net</t>
  </si>
  <si>
    <t>Rite Print, Inc.</t>
  </si>
  <si>
    <t>="Rite Print, Inc. has been proudly serving the Indianapolis business community since 1989. We have built a solid reputation by providing an excellent printed product, quick turn around times and customer service that goes above and beyond! Our theory is simple. If we can help you save time and money through expert advice, quality printing and customer service, you'll be back as a customer."</t>
  </si>
  <si>
    <t>http://www.riteprint.com</t>
  </si>
  <si>
    <t>mailto:info@riteprint.com</t>
  </si>
  <si>
    <t>Ritschard Bros., Inc.</t>
  </si>
  <si>
    <t>http://www.ritschardbrosinc.com</t>
  </si>
  <si>
    <t>mailto:rit1204@datacruz.com</t>
  </si>
  <si>
    <t>Ritz Charles, Inc.</t>
  </si>
  <si>
    <t>http://www.ritzcharles.com</t>
  </si>
  <si>
    <t>mailto:sgodby@ritzcharles.com</t>
  </si>
  <si>
    <t>Ritz Safety LLC</t>
  </si>
  <si>
    <t>http://www.ritzsafety.com</t>
  </si>
  <si>
    <t>mailto:heidi.kinkead@ritzsafety.com</t>
  </si>
  <si>
    <t>River Ridge Development Authority</t>
  </si>
  <si>
    <t>="River Ridge Commerce Center is owned and managed by the River Ridge Development Authority, which was created by the Commissioners of Clark County, Indiana on February 17, 1998 for the purpose of redeveloping the former Indiana Army Ammunition Plant. While the plant was a crucial defense resource from World War II through the Viet Nam War, Congress declared it surplus to U.S. needs in 1998, and authorized 6000 acres to be conveyed to River Ridge Development Authority for private enterprise and development for the benefit of the area’s economy, property values, public health, safety, morals and welfare."</t>
  </si>
  <si>
    <t>http://www.riverridgecc.com</t>
  </si>
  <si>
    <t>mailto:info@riverridgecc.com</t>
  </si>
  <si>
    <t>River Valley Resources, INC.</t>
  </si>
  <si>
    <t>="River Valley Resources, Inc., is a company of highly qualified professionals with many years of experience in workforce development, fiscal management, training development, grant-writing, and in devising new and innovative programs that get the job done---whatever that job may be! We are a 501(c) (3) not-for-profit corporation governed by a Board of Directors and led by a 3-member Executive Management Team. RVR’s Executive Management Team is led by Margo Olson, Executive Director; Beverly Smith, Chief Financial Officer; and Molly Dodge, Director of Adult Education and ClearingHouse Operations. The team manages all aspects of program administration."</t>
  </si>
  <si>
    <t>http://www.rivervalleyresources.com</t>
  </si>
  <si>
    <t>mailto:info@rivervalleyresources.com</t>
  </si>
  <si>
    <t>RiverCity Workwear, LLC</t>
  </si>
  <si>
    <t>="Workwear apparell. Coats, jackets, bibs, coveralls, jeans, workpants, workshirts, boots (steeltoe, nonsteel, rubber), belts, caps (all types), socks, shorts, rain gear, safety gear (osha approved)., hard hats, safety vests, and safety glasses. Promotional Items. Embrodiery and Screeprint Services."</t>
  </si>
  <si>
    <t>http://www.rivercityworkwear.com</t>
  </si>
  <si>
    <t>mailto:tina@rivercityworkwear.com</t>
  </si>
  <si>
    <t>Rivera Consulting Group, Inc.</t>
  </si>
  <si>
    <t>="Our team of software developers are experienced in delivering enterprise-level software for customers who understand the challenges of developing software for multiple languages, user levels, platforms, and integration requirements. We understand the challenges of making changes to legacy systems - especially when data sharing and/or application interface requirements are at risk. We use our own modeling and simulation tools to test proposed architectural designs BEFORE we execute. We are experts in writing complex software for world-wide platforms, and complex enterprise systems-of-systems architectural requirements."</t>
  </si>
  <si>
    <t>http://www.riverainc.com</t>
  </si>
  <si>
    <t>mailto:info@riverainc.com</t>
  </si>
  <si>
    <t>Rivera Group LLC</t>
  </si>
  <si>
    <t>="Certified electrician, electrical, electrical installation, Master Heating, Plumbing, Cooling, Ventilation, Custom Lighting, instillation, repair, Permit Services, Blue Prints, Research and Development, Consulting, General Construction and Repair, and Sustainability"</t>
  </si>
  <si>
    <t>http://www.riveragroupindy.com</t>
  </si>
  <si>
    <t>mailto:dgalanrps@gmail.com</t>
  </si>
  <si>
    <t>Riverbridge Electric</t>
  </si>
  <si>
    <t>mailto:riverbridge@verizon.net</t>
  </si>
  <si>
    <t>Rivers Resources LLC</t>
  </si>
  <si>
    <t>="Rivers Resources offer a wide spectrum of cost containment and recovery audit solutions to our clients. Our services are no risk, no obligation and put cash back in our client's pocket. We also specialize in all janitorial cleaning categories. There's no job too small or too big for Rivers Resources in the cleaning service area. We will make sure your facility represents your business to the highest quality."</t>
  </si>
  <si>
    <t>http://www.riversresources.net</t>
  </si>
  <si>
    <t>mailto:erivers@riversresources.net</t>
  </si>
  <si>
    <t>Riverside Carpet Warehouse, Inc.</t>
  </si>
  <si>
    <t>mailto:carpetone@compuage.com</t>
  </si>
  <si>
    <t>Riverside Community</t>
  </si>
  <si>
    <t>="Riverside Community Corrections Corporation provides rehabilitative and residential, transitional, and treatment services for individuals involved in the abuse of substances. Riverside provides shelter, food, counseling and correctional programming on behalf of persons referred to the Corporation by various sources, including federal, state and local authorities. Riverside provides work release services, home detention services, day reporting services, and community work service programs."</t>
  </si>
  <si>
    <t>mailto:lbridgesrccc@aol.com</t>
  </si>
  <si>
    <t>Riverside Contracting &amp; Excavating, LLC</t>
  </si>
  <si>
    <t>http://www.riversidecontractingllc.com</t>
  </si>
  <si>
    <t>Rizo Insurance Agency LLC</t>
  </si>
  <si>
    <t>="Rizo Insurance Agency has been serving the communities of Illinois and Indiana for 16 years. As a full service broker, Rizo provides life insurance, auto insurance, retirement plans, commercial insurance, renter's insurance, property insurance, and more. Call us today for a no obligation consultation or fill out our online form to get started. You can also contact us via email at stevenrizo@rizoinsurance.com."</t>
  </si>
  <si>
    <t>http://www.rizoinsurance.com/</t>
  </si>
  <si>
    <t>mailto:stevenrizo@rizoinsurance.com</t>
  </si>
  <si>
    <t>Road Diner Inc.</t>
  </si>
  <si>
    <t>mailto:roaddiner@yahoo.com</t>
  </si>
  <si>
    <t>Road Rage Fun Signs LLC</t>
  </si>
  <si>
    <t>="Portable Lighted Signs, Remote control operates lighted sign up to 75 feet away. Any message can be created to meet your needs. The signs are 12""X16""X2"" and fit securely on the back of your vehicle or trailer. The signs are easily read at night from great distances. You can Thank someone for letting you over in front of them. Truckers commonly blink their clearance lights to thank someone but now you can have a signs that lights up to say ""THANK YOU"". We want to help curb Road Rage not add to it. Feel free to visit our website at http://www.roadragefunsigns.com"</t>
  </si>
  <si>
    <t>http://www.roadragefunsigns.com</t>
  </si>
  <si>
    <t>mailto:Roadragefunsigns@yahoo.com</t>
  </si>
  <si>
    <t>Road Skills .Inc</t>
  </si>
  <si>
    <t>http://www.road-skills.com</t>
  </si>
  <si>
    <t>mailto:info@road-skills.com</t>
  </si>
  <si>
    <t>Road to Freedom, Inc.</t>
  </si>
  <si>
    <t>mailto:rtfindy@myway.com</t>
  </si>
  <si>
    <t>RoadRageFunSigns LLC</t>
  </si>
  <si>
    <t>="Wireless Remote Control Lighted Signs for vehicles of all sizes. Large enough to be seen from the back of a Semi Truck and Small enough to fit in the rear window. Safety is a big concern for our company and we would like to promote kindness to other drivers by thanking them for letting us over or warning them of trouble ahead."</t>
  </si>
  <si>
    <t>RoadWay Construction, Inc.</t>
  </si>
  <si>
    <t>http://www.roadwayconstruction.net</t>
  </si>
  <si>
    <t>mailto:(219) 944-4949</t>
  </si>
  <si>
    <t>Robert C. Bommer</t>
  </si>
  <si>
    <t>mailto:bbommer@rbommer.com</t>
  </si>
  <si>
    <t>Robert Campbell, LLC</t>
  </si>
  <si>
    <t>mailto:robert.campbell@insightbb.com</t>
  </si>
  <si>
    <t>Robert D. Young Construction, Inc.</t>
  </si>
  <si>
    <t>="Robert D. Young Construction Inc. was incorporated in 1984. Since its incorporation, Robert D. Young Construction, Inc. has engaged in the construction contracting business; specializing in complete interior and exterior construction. Our specialties include, Heavy Gauge Exterior Metal Framing, Light Gauge Interior Metal Framing, Drywall including ""Level 5"" Application, Acoustical Ceilings, Doors and Hardware and E.I.F.S. systems. Other scopes of work include Exterior Face Lifts, Interior Demolition and Tenant Improvement."</t>
  </si>
  <si>
    <t>Robert E. Addington II CPA</t>
  </si>
  <si>
    <t>mailto:racpain@att.net</t>
  </si>
  <si>
    <t>Robert E. Crosby Inc</t>
  </si>
  <si>
    <t>http://recrosby.com</t>
  </si>
  <si>
    <t>mailto:recrosby@recrosby.com</t>
  </si>
  <si>
    <t>Robert E. Curry &amp; Associates, Inc.</t>
  </si>
  <si>
    <t>="Engineering and Architectural consulting firm specializing in waterworks engineering and architecture. Engineering services include, but are not limited to, all components of drinking water and wastewater utility systems. We provide design of new facilities and renovation of existing facilities."</t>
  </si>
  <si>
    <t>http://www.recurry.com</t>
  </si>
  <si>
    <t>mailto:Lyoung@recurry.com</t>
  </si>
  <si>
    <t>Robert G. Lyle</t>
  </si>
  <si>
    <t>http://lylecustompainting.com</t>
  </si>
  <si>
    <t>mailto:bob@lylecustompainting.com</t>
  </si>
  <si>
    <t>Robert Half Technology</t>
  </si>
  <si>
    <t>http://www.rht.com</t>
  </si>
  <si>
    <t>mailto:nick.fletcher@rht.com</t>
  </si>
  <si>
    <t>Robert L Schmitt Co., Inc</t>
  </si>
  <si>
    <t>http://rlsco.com</t>
  </si>
  <si>
    <t>mailto:rls@digicove.com</t>
  </si>
  <si>
    <t>Robert Neal Sanders</t>
  </si>
  <si>
    <t>Robert W Pitman Jr</t>
  </si>
  <si>
    <t>="We have been in the service business since 1981. We currently provide services to over 275 customers in Indianapolis and surrounding areas. We are also one of the largest parking lot sweeping contractor in Indiana. We also provide other services such as: Lawn Care, Snow Removal, Salting, Power Washing, Street Sweeping, Parking Bumper Installation / Replacement &amp; Bollard Installation / Replacement. We are a member of NAPSA (North American Power Sweeping Association) and are also Indiana’s 1st &amp; only Certified Sweeping Contractor, which insures we are meeting the highest levels of our industry’s standards and regulations. We are 1 of 34 companies in the United States to receive this certification. We have also been nationally recognized by being awarded Worldsweeper.com’s sweeping contractor of the month for August 2010. See our website for the article..."</t>
  </si>
  <si>
    <t>http://www.envirosweepservices.com</t>
  </si>
  <si>
    <t>mailto:JPitman@envirosweepservices.com</t>
  </si>
  <si>
    <t>Robert Weed Plywood</t>
  </si>
  <si>
    <t>="Robert Weed Plywood is a wholesale distribution center with three mfg. divisions. We concentrate on supplying but are not limited to the manufacturing industried listed: Kitchen &amp; Bath Cabinet, Store Fixture, Picture Fixture, Furniture, Seating, Recreational Vehicle, Manufactured Housing, Park Model, Cargo, Trailer, Truck Body, and Boat Manufacturers."</t>
  </si>
  <si>
    <t>http://www.robertweedplywood.com</t>
  </si>
  <si>
    <t>mailto:jeanettek@robertweedplywood.com</t>
  </si>
  <si>
    <t>Veneer, Plywood, and Engineered Wood Product Manufacturing</t>
  </si>
  <si>
    <t>Roberta G.Roberts-Cradick</t>
  </si>
  <si>
    <t>http://www.digitalimageeditions.com</t>
  </si>
  <si>
    <t>mailto:rcradick@digitalimageeditions.com</t>
  </si>
  <si>
    <t>Roberts Distributors, LP</t>
  </si>
  <si>
    <t>http://robertscamera.com</t>
  </si>
  <si>
    <t>mailto:jgrober@robertscamera.com</t>
  </si>
  <si>
    <t>Roberts Heating, A/C &amp; Ref, Inc.</t>
  </si>
  <si>
    <t>http://www.robertsheatandair.com</t>
  </si>
  <si>
    <t>mailto:robertsheatandair.com</t>
  </si>
  <si>
    <t>Robertson Crushed Stone, Inc.</t>
  </si>
  <si>
    <t>Robeson Farms Tree Division</t>
  </si>
  <si>
    <t>Robinson &amp; Sons</t>
  </si>
  <si>
    <t>Robinson Corporation</t>
  </si>
  <si>
    <t>Robinson Excavation, LLC</t>
  </si>
  <si>
    <t>mailto:robcos@live.com</t>
  </si>
  <si>
    <t>Robinson Painting &amp; Acoustical Co.,Inc.</t>
  </si>
  <si>
    <t>http://www.robinsonpainting.com</t>
  </si>
  <si>
    <t>mailto:info@robinsonpainting.com</t>
  </si>
  <si>
    <t>Robinson Real Estate Dev. Group LLC</t>
  </si>
  <si>
    <t>Roccaforte LLC</t>
  </si>
  <si>
    <t>http://www.resultsinhand.com</t>
  </si>
  <si>
    <t>mailto:deb@resultsinhand.com</t>
  </si>
  <si>
    <t>Rochester Cement Products Incorporated</t>
  </si>
  <si>
    <t>Cement and Concrete Product Manufacturing</t>
  </si>
  <si>
    <t>Rochester Rotational Molding, Inc.</t>
  </si>
  <si>
    <t>="Manufacturer of rotationally molded plastic products for various uses: Safety and Highway Barriers for flood, pedestrian or traffic control; Parking Curbs; Water, Chemical and Storage Tanks. RRM is also experienced in designing and fabricating molds for custom production."</t>
  </si>
  <si>
    <t>http://www.rrmplastics.com</t>
  </si>
  <si>
    <t>mailto:info@rrmplastics.com</t>
  </si>
  <si>
    <t>Rock Creek Stone Quarry Inc</t>
  </si>
  <si>
    <t>Rock Designs Inc</t>
  </si>
  <si>
    <t>="Manufacturer of hollow faux rock; from landscape rock to custom boulders. Light weigth and durable. We also manufacture hollow self contained waterfalls and head rocks. We also manufacture lightweight faux rock to be used for rock walls, chimneys and fireplaces."</t>
  </si>
  <si>
    <t>http://www.rockdesignsinc.com</t>
  </si>
  <si>
    <t>mailto:rockdesigns@earthlink.net</t>
  </si>
  <si>
    <t>Rock Solid Masonry, LLC</t>
  </si>
  <si>
    <t>Rock Solid Materials &amp; Supply LLC</t>
  </si>
  <si>
    <t>mailto:mzimmer929@comcast.net</t>
  </si>
  <si>
    <t>Rodgers Building Supply, Inc.</t>
  </si>
  <si>
    <t>mailto:rodgersbuilding@sbcglobal.net</t>
  </si>
  <si>
    <t>Rodney Stepp</t>
  </si>
  <si>
    <t>="Rodney Stepp Music Productions is owned and operated by Rodney A. Stepp, and Sheena Stepp of Indianapolis. Rodney comes with a wealth of experience as the keyboardist and assistant musical director with The Spinners and keyboardist with Rodney Stepp &amp; BSB. As a Musician, Songwriter, Composer and Producer, Rodney is putting his musical and international experience and his diverse musical resources at your disposal. Whether your market is close to home, national or reaching across the world, Rodney Stepp Music Productions will pull its vast music network together to make your message one not to be forgotten."</t>
  </si>
  <si>
    <t>http://www.rodneystepp.com</t>
  </si>
  <si>
    <t>mailto:bsmsongs@gmail.com</t>
  </si>
  <si>
    <t>Roehm Radio &amp; Sound, Inc.</t>
  </si>
  <si>
    <t>Roeing Corporation</t>
  </si>
  <si>
    <t>="Our staff of over 60 employees provides IT services as follows: Software Development using Microsoft platforms, Network Operating Software Installation, Security Solutions for Networks, Network Design Consulting, and Communications Services including Voice, VOIP, and Voice and Data cabling."</t>
  </si>
  <si>
    <t>http://www.roeing.com</t>
  </si>
  <si>
    <t>mailto:CCorcora@roeing.com</t>
  </si>
  <si>
    <t>Roger &amp; Sons Construction Inc.</t>
  </si>
  <si>
    <t>="Roger &amp; Sons Construction, Inc. is a full service certified MBE union General Contractor providing the highest level of safety, professionalism, service response, and quality workmanship. Our services include but are not limited to, 24/7 Emergency Response; Facility Maintenance; Structural Steel Repairs; Crane Repairs; Rail Changes; Pre-Engineered Metal Building; Site Construction - excavation, trenching; Concrete - bridge repairs, foundations; Masonry; Doors and Windows and Finishes; Culvert and rip rap stone; Underground utilities and manholes/electrical vaults; Architectural millwork; General labor and carpentry"</t>
  </si>
  <si>
    <t>mailto:nemartinez@rogerandsons.com</t>
  </si>
  <si>
    <t>Roger Beach</t>
  </si>
  <si>
    <t>http://www.eagleembroidery.biz</t>
  </si>
  <si>
    <t>mailto:eagle@link2000.net</t>
  </si>
  <si>
    <t>Roger Benson</t>
  </si>
  <si>
    <t>Roger D. Richert</t>
  </si>
  <si>
    <t>http://www.InHistoricRichmond.com</t>
  </si>
  <si>
    <t>mailto:info@historicrichmondin.com</t>
  </si>
  <si>
    <t>Roger Ward Engineering, Inc.</t>
  </si>
  <si>
    <t>="Conveniently located in Indianapolis, Indiana, our engineers and staff deliver the highest quality services including: Site/Civil Engineering and Construction Documents Land Planning and Site Design Site Feasibility Studies and Due Diligence Assistance Permitting and Re-zoning Assistance Project Coordination and Construction Observation Topographic Surveys and Construction Layout"</t>
  </si>
  <si>
    <t>http://www.rw-engineering.com</t>
  </si>
  <si>
    <t>mailto:rward@rw-engineering.com</t>
  </si>
  <si>
    <t>Rogers Group, Inc</t>
  </si>
  <si>
    <t>http://www.rogersgroupinc.com</t>
  </si>
  <si>
    <t>mailto:lois.hawkins@rogersgroupinc.com</t>
  </si>
  <si>
    <t>Rollie Williams</t>
  </si>
  <si>
    <t>http://www.rwps.com</t>
  </si>
  <si>
    <t>mailto:accounting@rwps.com</t>
  </si>
  <si>
    <t>Roman BrandGroup</t>
  </si>
  <si>
    <t>="Roman BrandGroup is a brand consultancy with extensive depth and experience. Our chief export is ideas that are designed to improve customer perceptions of your company. We give you more than good ideas; we give you good reasons. We help companies create and sustain growth through measurable initiatives that work to increase your customers' value perceptions. Whether your need is a top-to-bottom brand strategy, research, accountable media planning and execution, sales training or insightful and effective creative message development, we are your problem's worst enemy."</t>
  </si>
  <si>
    <t>http://www.romanbrandgroup.com</t>
  </si>
  <si>
    <t>Roman Gelaney Electric llc</t>
  </si>
  <si>
    <t>http://www.romangelaneyelectric.com</t>
  </si>
  <si>
    <t>mailto:romney@romangelaneyelectric.com</t>
  </si>
  <si>
    <t>Roman Nobbe INC</t>
  </si>
  <si>
    <t>Romines Heating &amp; Air Conditioning, Inc.</t>
  </si>
  <si>
    <t>http://www.RominesHVAC.com</t>
  </si>
  <si>
    <t>Ron Brummet Electric Co., Inc.</t>
  </si>
  <si>
    <t>mailto:brummet@iquest.net</t>
  </si>
  <si>
    <t>Ron Hayman</t>
  </si>
  <si>
    <t>mailto:rodioil@sbcglobal.net</t>
  </si>
  <si>
    <t>Lessors of Real Estate</t>
  </si>
  <si>
    <t>Ron James</t>
  </si>
  <si>
    <t>http://www.in.gov/wrhcc</t>
  </si>
  <si>
    <t>mailto:rjames@bpmjl.com</t>
  </si>
  <si>
    <t>Ron L. Dixon, Natural Resource Consultin</t>
  </si>
  <si>
    <t>http://natural-resource-consulting.com</t>
  </si>
  <si>
    <t>mailto:naturalresourceconsulting@gmail.com</t>
  </si>
  <si>
    <t>Ron Sukenick</t>
  </si>
  <si>
    <t>="Ron is the president and founder of The Relationship Strategies Institute, a global training and business development company that provides the business community with strategies for developing and effectively utilizing deeper professional relationships. He is a dynamic presenter, an intuitive business coach, an expert consultant, and a successful author. His presentations on relationship collaboration and transformation deliver practical information, humor and immediate results. Ron’s work consistently focuses on the areas of personal and professional relationship success and he has extensive insight into the processes that connect people to people. He shows his clients how to transcend the standard networking practices to build more authentic and mutually-beneficial relationships that enhance the bottom line."</t>
  </si>
  <si>
    <t>http://www.relationshipstrategiesinstitu</t>
  </si>
  <si>
    <t>mailto:rs@ronsukenick.com</t>
  </si>
  <si>
    <t>Ron Thomas</t>
  </si>
  <si>
    <t>mailto:rlt-t-enterprises@att.net</t>
  </si>
  <si>
    <t>Ron's Glass Repair</t>
  </si>
  <si>
    <t>mailto:atteburd@sigecom.net</t>
  </si>
  <si>
    <t>Ronalee C. Munson-Hardy</t>
  </si>
  <si>
    <t>mailto:hardyscleaning@live.com</t>
  </si>
  <si>
    <t>Rondell Sims</t>
  </si>
  <si>
    <t>Rondinel D. Gibson, Consultant</t>
  </si>
  <si>
    <t>mailto:rondinelgibson@sbcglobal.net</t>
  </si>
  <si>
    <t>Ronin Limitless, LLC</t>
  </si>
  <si>
    <t>http://www.s2pros.com</t>
  </si>
  <si>
    <t>mailto:skridle@s2pros.com</t>
  </si>
  <si>
    <t>Rosa's Inc.</t>
  </si>
  <si>
    <t>Rose &amp; Walker Siding Specialties, Inc.</t>
  </si>
  <si>
    <t>http://www.roseandwalker.com</t>
  </si>
  <si>
    <t>mailto:roseandwalker@insightbb.com</t>
  </si>
  <si>
    <t>Rose Auto Transport</t>
  </si>
  <si>
    <t>mailto:roseautotransport317@gmail.com</t>
  </si>
  <si>
    <t>Rose Brick &amp; Materials, Inc.</t>
  </si>
  <si>
    <t>http://www.rosebrick.com</t>
  </si>
  <si>
    <t>mailto:boydh@rosebrick.com</t>
  </si>
  <si>
    <t>Rose Brook Farms and Landscaping, LLC</t>
  </si>
  <si>
    <t>="The Owners,Mary and Bret Skipper, has been in the landscaping business buisness since 1979. Now landscaping over 600 new homes and commerical propertieis a year. Includes new construction, estate maintenance, specialty services such as retaining walls, water features, patios, irrigation and snow removal."</t>
  </si>
  <si>
    <t>http://www.rosebrookls.com</t>
  </si>
  <si>
    <t>mailto:info@rosebrookls.com</t>
  </si>
  <si>
    <t>Rosebrock Enterprises LLC</t>
  </si>
  <si>
    <t>http://www.mrhandyman.com/local-handyman</t>
  </si>
  <si>
    <t>mailto:ellen.rosebrock@mrhandyman.com</t>
  </si>
  <si>
    <t>Rosebud Creations, Inc.</t>
  </si>
  <si>
    <t>http://www.theflowermarket.com</t>
  </si>
  <si>
    <t>mailto:customerservice@theflowermarket.com</t>
  </si>
  <si>
    <t>Rosedale Volunteer Fire Department</t>
  </si>
  <si>
    <t>Rosemark Homes of South Bend, Inc.</t>
  </si>
  <si>
    <t>http://www.rosemarkhomes.com</t>
  </si>
  <si>
    <t>mailto:jamesrlewis@ameritech.net</t>
  </si>
  <si>
    <t>Rosh Systems LLC</t>
  </si>
  <si>
    <t>mailto:roshsystems@hotmail.com</t>
  </si>
  <si>
    <t>Ross Construction</t>
  </si>
  <si>
    <t>Ross Davis, PhD</t>
  </si>
  <si>
    <t>="Ross Davis is a consultant who assists organizations in promoting their organizational development and customer satisfaction. Services include project development and evaluation, facilitating public-private partnerships, training, and public relations. Types of organizations previously assisted include nonprofit organizations, and small business."</t>
  </si>
  <si>
    <t>mailto:rossdavis70@yahoo.com</t>
  </si>
  <si>
    <t>Ross Development Inc.</t>
  </si>
  <si>
    <t>mailto:rossdevel@gmail.com</t>
  </si>
  <si>
    <t>Ross trucking</t>
  </si>
  <si>
    <t>Rossville Consolidated School District</t>
  </si>
  <si>
    <t>http://rcsd.k12.in.us</t>
  </si>
  <si>
    <t>mailto:jhanna@rcsd.k12.in.us</t>
  </si>
  <si>
    <t>Rossville Vol. Fire</t>
  </si>
  <si>
    <t>mailto:rvfd@geetel.net</t>
  </si>
  <si>
    <t>Rosswurm HVAC Service, Inc</t>
  </si>
  <si>
    <t>mailto:info@rosswurmhvac.com</t>
  </si>
  <si>
    <t>Row Printing Inc.</t>
  </si>
  <si>
    <t>="Row Printing, Inc. is a local, woman-owned business that values the importance of outstanding service at a great price. We have provided a full line of printing services since 1972 including banners, booklets, business cards, carbonless forms, continuous forms, checks, envelopes, invitations, labels, letterhead, newsletters, pocket folders, posters, scoring, thermography and much more."</t>
  </si>
  <si>
    <t>http://www.rowprinting.com</t>
  </si>
  <si>
    <t>mailto:service@rowprinting.com</t>
  </si>
  <si>
    <t>Rowe Construction Group</t>
  </si>
  <si>
    <t>="Our paving and consulting services can be applied to county and city repair work, parking lots, residential solutions, and everything in between. Asphalt Resurfacing &amp; Patching Parking Lots Asphalt Milling County &amp; City Road Repairs Storm and Sanitary Sewers Residential &amp; Commercial Development- Streets &amp; Driveways Curbs/Sidewalks Excavation Services Drainage Solutions Recreational Applications Site Work Crack Sealing Sealcoating Decorative Asphalt Soil Stabilization Tennis/Basketball Courts Athletic Fields"</t>
  </si>
  <si>
    <t>mailto:sales@rowecg.com</t>
  </si>
  <si>
    <t>Rowe Truck Equipment , Inc.</t>
  </si>
  <si>
    <t>Rowie &amp; Associates PC</t>
  </si>
  <si>
    <t>Rowland Design, Inc.</t>
  </si>
  <si>
    <t>http://www.rowlanddesign.com</t>
  </si>
  <si>
    <t>mailto:info@rowlanddesign.com</t>
  </si>
  <si>
    <t>Rowley Security Firm LLC</t>
  </si>
  <si>
    <t>="We specialize in uniformed security protection for businesses, schools, dignitaries, special events and VIP's. We have years of experience in securing and protecting both people and property. We serve as trained eyes to watch; appearance to deter and bodies to walk, report and record. Additionally, our personnel have a thorough understanding of legal compliance as it relates to security in the state of IN."</t>
  </si>
  <si>
    <t>http://www.rowleysecurityfirm.com</t>
  </si>
  <si>
    <t>mailto:rowleyfirm@yahoo.com</t>
  </si>
  <si>
    <t>Roy Buskirk Real Estate</t>
  </si>
  <si>
    <t>mailto:rbuskirk@comcast.net</t>
  </si>
  <si>
    <t>Roy Umbarger &amp; Sons, Inc.</t>
  </si>
  <si>
    <t>="Fourth generation family owned and operated agribusiness located in Bargersville, Indiana, that includes fertilizer and farm chemical sales and application division, seed division and feed division that includes wholesale and retail textured feed manufacturing shipping to 13 states."</t>
  </si>
  <si>
    <t>http://www.umbargerandsons.com</t>
  </si>
  <si>
    <t>mailto:umbarg@indy.net</t>
  </si>
  <si>
    <t>Royal Food Products</t>
  </si>
  <si>
    <t>http://www.royalfp.com</t>
  </si>
  <si>
    <t>mailto:royalfp.com</t>
  </si>
  <si>
    <t>Royal Gaming Supply</t>
  </si>
  <si>
    <t>="A wholly owned minority company specializing in selling furniture seating, table game layouts, locks and miscellaneous items such as dealer shoes, discard holders, chip trays, top rail, drink holders, toke and drop boxes, aprons, dice sticks and signage to the gaming industry and other business entities."</t>
  </si>
  <si>
    <t>http://rgsgaming.com</t>
  </si>
  <si>
    <t>mailto:wajo1@prodigy.net</t>
  </si>
  <si>
    <t>Royal Office Products</t>
  </si>
  <si>
    <t>http://www.eroyal.com</t>
  </si>
  <si>
    <t>mailto:dhuber@eroyal.com</t>
  </si>
  <si>
    <t>Stationary and Office Supplies Wholesalers</t>
  </si>
  <si>
    <t>Royal Painting Company LLC</t>
  </si>
  <si>
    <t>mailto:royalpaintingco@aol.com</t>
  </si>
  <si>
    <t>Royal Treatment LLC</t>
  </si>
  <si>
    <t>mailto:roxlaw8022@sbcglobal.net</t>
  </si>
  <si>
    <t>Royalty Companies</t>
  </si>
  <si>
    <t>="We install everything from Commercial Duro-Last Single-Ply, TRC-Modified and GENFLEX EPDM to Aztec Protective Coatings and Vincent Sheet Metal, shingles, new construction and re-roofing work. We also provide glazing, HVAC, electrical, sheet metal and construction services as well."</t>
  </si>
  <si>
    <t>http://www.royaltyroofing.com</t>
  </si>
  <si>
    <t>mailto:sales@royaltyroofing.com</t>
  </si>
  <si>
    <t>Royalty Companies of Indiana, Inc.</t>
  </si>
  <si>
    <t>="Royalty Roofing is a family-owned and operated business established in 1986. We install everything from Commercial Duro-Last Single-Ply, TRC Modified, EPDM, Johns Manville, Carlisle, GAF Shingles &amp; Standing Seam Metal roofing. We also install residential seamless gutters and commercial box gutters, vinyl siding, soffit &amp; fascia. We are members of the BBB, NRCA and MRCA."</t>
  </si>
  <si>
    <t>http://www.royaltycompanies.com</t>
  </si>
  <si>
    <t>Royalty Companies, Inc.</t>
  </si>
  <si>
    <t>="We are a commercial and residential roofing, construction and glazing company. We provide flat membrane and residential roofing, pre-engineered steel buildings, residential and commercial gutters, siding, soffit and fascia, residential and commercial glass and glazing as well as auto glass. We are members of the NRCA, MRCA, NGA, IGA and are Certified Master Elite Roofing Contractors."</t>
  </si>
  <si>
    <t>Royster-Clark</t>
  </si>
  <si>
    <t>http://roysterclark.com</t>
  </si>
  <si>
    <t>Ruedlinger Inc.</t>
  </si>
  <si>
    <t>="We started Triple R Marketing and Sales in 2005 with a simple concept: to provide great marketing, design and campaign service that every business could afford. With our strong marketing background, you can rest assured that you will get large-agency results without a pricey budget. Triple R Marketing and Sales is your cost-effective answer to all your marketing needs. There are no hidden cost, no retainers and no contracts. Now YOU can afford powerful marketing…let us prove it!!"</t>
  </si>
  <si>
    <t>http://www.triplermarketing.com/</t>
  </si>
  <si>
    <t>mailto:michael@triplermarketing.com</t>
  </si>
  <si>
    <t>Rumford Construction</t>
  </si>
  <si>
    <t>mailto:rumconstruct@sbcglobal.net</t>
  </si>
  <si>
    <t>Rumpke of Indiana, L</t>
  </si>
  <si>
    <t>http://rumpke.com</t>
  </si>
  <si>
    <t>mailto:rumpke.com</t>
  </si>
  <si>
    <t>Rumschlag Technical Services</t>
  </si>
  <si>
    <t>mailto:lrumschlag@earthlink.net</t>
  </si>
  <si>
    <t>Rumsey Landscapes LLC</t>
  </si>
  <si>
    <t>="Rumsey Landscapes specializes in the creation and maintenance of beautiful landscapes. Established in beautiful and historic Madison, IN in 2002, Rumsey Landscapes now offers Custom mowing, landscape maintenance, landscape design, installation, leaf removal, lawn care, fertilization, weed &amp; insect control, and snow removal services to the Madison and Greater Indianapolis areas."</t>
  </si>
  <si>
    <t>http://www.rumseylandscapes.com</t>
  </si>
  <si>
    <t>mailto:rumseylandscapes@yahoo.com</t>
  </si>
  <si>
    <t>Private Households</t>
  </si>
  <si>
    <t>Rundell Ernstberger Associates, LLC</t>
  </si>
  <si>
    <t>http://www.reasite.com</t>
  </si>
  <si>
    <t>mailto:reamuncie@reasite.com</t>
  </si>
  <si>
    <t>Running Around screen printing</t>
  </si>
  <si>
    <t>http://www.runningaroundscreenprinting.c</t>
  </si>
  <si>
    <t>mailto:joann@runningaroundscreenprinting.com</t>
  </si>
  <si>
    <t>Runyon Equipment Rental Inc.</t>
  </si>
  <si>
    <t>http://www.runyonrental.com</t>
  </si>
  <si>
    <t>Rupley Farm Equipment ,Inc.</t>
  </si>
  <si>
    <t>mailto:rupfarmeq@yahoo.com</t>
  </si>
  <si>
    <t>Rural Health Innovation Collaborative</t>
  </si>
  <si>
    <t>Rush County Stone Co</t>
  </si>
  <si>
    <t>Rush Memorial Hospit</t>
  </si>
  <si>
    <t>http://www.rushmemorial.com</t>
  </si>
  <si>
    <t>mailto:info@rushmemorial.com</t>
  </si>
  <si>
    <t>Rush Truck Centers of Indiana, Inc.</t>
  </si>
  <si>
    <t>Russ Moore Inc</t>
  </si>
  <si>
    <t>="Family owned transmission remanfacturing business in north east Indiana, Since 1955. Specializing in transmissions for install shop customers to purchase at wholesale pricing to customers in the whole of Indiana, southern Michigan and western Ohio and also offering retail install services to customers in the northeast corner of Indiana"</t>
  </si>
  <si>
    <t>http://www.russmoore.com</t>
  </si>
  <si>
    <t>mailto:mail@russmoore.com</t>
  </si>
  <si>
    <t>Russell Martin &amp; Associates</t>
  </si>
  <si>
    <t>="Russell Martin &amp; Associates is a consulting and training company that designs and delivers learning experiences to improve planning, process and performance for organizations. RMA offers custom course development, workshops, training tools and keynote presentations in the areas of project management, team building and leadership. Our customers tell us that we are unique because we are fun, fast and flexible!"</t>
  </si>
  <si>
    <t>http://www.russellmartin.com</t>
  </si>
  <si>
    <t>mailto:vdixon@russellmartin.com</t>
  </si>
  <si>
    <t>Russell Products Inc</t>
  </si>
  <si>
    <t>="Russell Products Inc. was established in 1988 and is a wholesale distributor of more than 2500 industrial supply products in Indiana as well as 38 additional states. Products distributed include both bulk and spray adhesives, pallet wrap stretch film, 1 and 2 component foam insulation systems, bulk industrial solvents and cleaners, protective films, slings and cargo control systems, cutting lubricants, hook and loop tapes, protective edge trims, industrial tapes in addition to custom made band saw blades"</t>
  </si>
  <si>
    <t>http://www.russellproducts.com</t>
  </si>
  <si>
    <t>mailto:russell@russellproducts.com</t>
  </si>
  <si>
    <t>Russell's Lawncare, LLC</t>
  </si>
  <si>
    <t>mailto:grrussell165@gmail.com</t>
  </si>
  <si>
    <t>Russell's Sewer</t>
  </si>
  <si>
    <t>mailto:russellssewer@sbcglobal.net</t>
  </si>
  <si>
    <t>Russells Tree Servic</t>
  </si>
  <si>
    <t>http://russellstreeservice.com</t>
  </si>
  <si>
    <t>mailto:ruseson@netnitco.net</t>
  </si>
  <si>
    <t>Rust ConstructionInc</t>
  </si>
  <si>
    <t>Rusted Moon Outfitters, Inc.</t>
  </si>
  <si>
    <t>="Rusted Moon is a specialty outdoor retail shop located in Broad Ripple (Indy) that carries and sells a wide variety of quality outdoor goods such as apparel, outerwear, footwear, kayaks, paddle boards, canoes, skis, snowshoes, backpacks, travel bags, climbing gear, freeze-dried food, knives/tools, automotive cargo racks, camp cookwear/stoves, first aid equipment, GPS units, etc. We're open from 10 - 8, Monday - Friday and from 11 - 5 on Sunday."</t>
  </si>
  <si>
    <t>http://www.rustedmoonoutfitters.com</t>
  </si>
  <si>
    <t>mailto:info@rustedmoonoutfitters.com</t>
  </si>
  <si>
    <t>Ruxer Ford Lincoln</t>
  </si>
  <si>
    <t>http://WWW.RUXER.COM</t>
  </si>
  <si>
    <t>mailto:info@ruxer.com</t>
  </si>
  <si>
    <t>Rx Honing Machine Corporation</t>
  </si>
  <si>
    <t>http://www.rxhoning.com</t>
  </si>
  <si>
    <t>mailto:rxhoning@michiana.org</t>
  </si>
  <si>
    <t>RxSolutions, Inc.</t>
  </si>
  <si>
    <t>http://www.prescriptionsolutions.com</t>
  </si>
  <si>
    <t>RxSource, LLC</t>
  </si>
  <si>
    <t>http://rxsourcestaffing.com</t>
  </si>
  <si>
    <t>mailto:tadkins@rxsourcestaffing.com</t>
  </si>
  <si>
    <t>mailto:tadkins@indy.rr.com</t>
  </si>
  <si>
    <t>Ryan Felton</t>
  </si>
  <si>
    <t>mailto:feltbldg@ruraltek.com</t>
  </si>
  <si>
    <t>Ryan Fire Protection</t>
  </si>
  <si>
    <t>http://www.ryanfp.com</t>
  </si>
  <si>
    <t>Ryan S Powell</t>
  </si>
  <si>
    <t>mailto:powellrs@usmarines.com</t>
  </si>
  <si>
    <t>Rylinn Publishing, LLC</t>
  </si>
  <si>
    <t>="Publisher and wholesaler of business book ""Starting Your First Business: Gain Independence and Love Your Work"" by award-winning entrepreneur Jim R. Sapp. Guidelines and resources, especially for novices, who want to start a new business. Available in paperback and on CD."</t>
  </si>
  <si>
    <t>http://www.sappbiz.com</t>
  </si>
  <si>
    <t>mailto:jsapp@sappbiz.com</t>
  </si>
  <si>
    <t>Ryne-Wood Builders</t>
  </si>
  <si>
    <t>="Small General Contracting Company that constructs frame, block and or metal buildings for clients. Work is from start to finish with all design work, site preparations and construction thru completion , turnkey projects. Company also engages in remodeling of existing structures with design and complete contracting services for the client."</t>
  </si>
  <si>
    <t>mailto:rynewoodbuildersinc@comcast.net</t>
  </si>
  <si>
    <t>S &amp; B Contractors, LLC</t>
  </si>
  <si>
    <t>S &amp; J Precision</t>
  </si>
  <si>
    <t>="At S&amp;J PRECISION, INC., no job is too large, too small or too demanding. From prototype to production, we can meet your specific needs employing a wide variety of materials, from plastics to stainless steels. If you need prototype work to get a new product online, our inventory of materials and in-house heat treat facilities let us provide you with the quick turnaround you need. We are your complete machine shop service center: • Production Machining • Laser Cutting • Prototype Work • Jigs &amp; Fixtures • Welding • JIT Delivery • Automation &amp; Machinery Building • Engineering • Local Pickup and Delivery"</t>
  </si>
  <si>
    <t>http://www.sandjprecision.com</t>
  </si>
  <si>
    <t>mailto:brian@filtrationtech.com</t>
  </si>
  <si>
    <t>S &amp; K Equipment Comp</t>
  </si>
  <si>
    <t>http://www.skequipment.com</t>
  </si>
  <si>
    <t>mailto:sales@skequipment.com</t>
  </si>
  <si>
    <t>S &amp; M Nix Enterprises, LLC.</t>
  </si>
  <si>
    <t>S &amp; S Keller Construction, Inc</t>
  </si>
  <si>
    <t>http://www.sskeller.com</t>
  </si>
  <si>
    <t>mailto:patricia@sskeller.com</t>
  </si>
  <si>
    <t>S AND J MATERIALS AND SERVICE LLC</t>
  </si>
  <si>
    <t>http://SJMAT.US</t>
  </si>
  <si>
    <t>mailto:NESHA@SJMAT.US</t>
  </si>
  <si>
    <t>S J &amp; F Computer Inc</t>
  </si>
  <si>
    <t>="SJF Technologies provides advanced computer network design, support &amp; maintenance with a specific focus upon security and system audits. We hold certifications in Micorosoft, Novell, Unix &amp; Cisco products. We also specialize in medical/dental related software/hardware."</t>
  </si>
  <si>
    <t>mailto:mportolese@sjftech.com</t>
  </si>
  <si>
    <t>S M Jones Electric, Incorporated</t>
  </si>
  <si>
    <t>mailto:TerriHJones@aol.com</t>
  </si>
  <si>
    <t>S V Technologies, LLC</t>
  </si>
  <si>
    <t>="S V Technologies is IT consulting and staffing company. S V Technologies, LLC is based in Indianapolis, IN and was established in the year 2000. Ever since the company is growing and our achievements demonstrate the power of S V Technologies to execute its plans and continue to enhance its successful business model. Our strength comes from our strong consultants and to rapidly develop deep relationships with our clients and partners. S V Technologies, LLC is a strategic solutions and professional services company. The company provides IT professional staffing and specializes in Data Warehouse and Business Intelligence, Web Technologies, Testing and QA and provides other IT staffing needs of clients and partners. S V Tech believes in building strong relationship with the clients and partners. S V Technologies has strong consultants base in Data Warehouse, Web Technologies, QA testing and expanding to other areas. Company provides training with its state of the art training facili"</t>
  </si>
  <si>
    <t>http://www.svtechglobal.com</t>
  </si>
  <si>
    <t>mailto:hr@svtechglobal.com</t>
  </si>
  <si>
    <t>S and D Holdings Inc</t>
  </si>
  <si>
    <t>="Automotive and maintenance for foreign and domestic cars and trucks. Engine and transmission rebuilds, oil changes, alignments, service engine &amp; emissions, brakes, ABS, brakes, tires, suspension, electrical diagnostics and repairs, just to name a few. We have the capabilities to take care of the minor to the major and the state of the art equipment to get it done."</t>
  </si>
  <si>
    <t>http://www.sheridanautomotive.com</t>
  </si>
  <si>
    <t>mailto:sheridanautomotive@att.net</t>
  </si>
  <si>
    <t>S and T Transport Inc.</t>
  </si>
  <si>
    <t>mailto:sandttransportinc@yahoo.com</t>
  </si>
  <si>
    <t>S&amp;B Tree Service</t>
  </si>
  <si>
    <t>mailto:sylvester_smith@yahoo.com</t>
  </si>
  <si>
    <t>S&amp;D Marketing, LLC</t>
  </si>
  <si>
    <t>="WelcomeMat delivers gift certificate packages filled with invitations, offers and coupons to new residents that can be redeemed at local businesses. WelcomeMat uses sophisticated technology to barcode each invitation, which allows businesses to track responses to their marketing dollar and gives insight into people and moving trends in the area."</t>
  </si>
  <si>
    <t>http://www.welcomematservices.com</t>
  </si>
  <si>
    <t>mailto:seickman@welcomematservices.com</t>
  </si>
  <si>
    <t>S&amp;G Electrical</t>
  </si>
  <si>
    <t>mailto:sgelectric@seidata.com</t>
  </si>
  <si>
    <t>S&amp;J Supply Company, Inc.</t>
  </si>
  <si>
    <t>S&amp;M Consultants, LLC</t>
  </si>
  <si>
    <t>="Amongst our array of services, S&amp;M Consultants, LLC currently provides an array of services from virtual executive assitance for non-profit and profit agencies who can not afford to staff their office, to grant research and preparation; from administering family assessments to transcribiing clinical notes for mental health professionals."</t>
  </si>
  <si>
    <t>http://www.smconsultants.org</t>
  </si>
  <si>
    <t>mailto:angela.smith@smconsultants.org</t>
  </si>
  <si>
    <t>S&amp;RK Trading</t>
  </si>
  <si>
    <t>="S&amp;RK Trading is a food distribution company, both to private and public persons/companies. We specialize in foods that are dehydrated and are prepackaged with all essential ingrediants and sauces. Nutritious and easy to make we have available items ranging from noodles to condiments, sauces and corn oils from Korea."</t>
  </si>
  <si>
    <t>http://www.snrk.net</t>
  </si>
  <si>
    <t>mailto:snrk_contact@yahoo.com</t>
  </si>
  <si>
    <t>S&amp;S SALES &amp; SERVICES INC.</t>
  </si>
  <si>
    <t>mailto:sandssalesinc@gmail.com</t>
  </si>
  <si>
    <t>S&amp;TAUTOBODYINC.</t>
  </si>
  <si>
    <t>mailto:sandtautobodyinc.com@verizon.net</t>
  </si>
  <si>
    <t>S-Tech, Inc.</t>
  </si>
  <si>
    <t>mailto:stech@compuage.com</t>
  </si>
  <si>
    <t>S. S. Carnell, Inc.</t>
  </si>
  <si>
    <t>S.A.H.M. Administrators, LLC</t>
  </si>
  <si>
    <t>="We are a group of professional and semi-professional women who have opted to stay at home with our children, but want to use the professional training and workplace expertise we have acquired to assist small businesses in a variety of capacities including, but not limited to; Marketing, Administrative Assistance, Account Management, Event Planning and more."</t>
  </si>
  <si>
    <t>http://www.sahmadmin.com</t>
  </si>
  <si>
    <t>mailto:sahmadmin@sahmadmin.com</t>
  </si>
  <si>
    <t>S.A.M. Lawn Care LLC</t>
  </si>
  <si>
    <t>mailto:weedwakrks@aol.com</t>
  </si>
  <si>
    <t>S.C. Pryor Co., Inc.</t>
  </si>
  <si>
    <t>http://www.pryorco.com</t>
  </si>
  <si>
    <t>mailto:sales@pryorco.com</t>
  </si>
  <si>
    <t>S.E. Fenstermaker &amp; Co., LLC</t>
  </si>
  <si>
    <t>http://www.fenstermaker.biz</t>
  </si>
  <si>
    <t>mailto:rj@fenstermaker.biz</t>
  </si>
  <si>
    <t>S.J. Dalton Inc</t>
  </si>
  <si>
    <t>http://www.daltonandco.com</t>
  </si>
  <si>
    <t>mailto:sue@daltonandco.com</t>
  </si>
  <si>
    <t>S.J. Dalton, Inc.</t>
  </si>
  <si>
    <t>mailto:dldalton1@ameritech.net</t>
  </si>
  <si>
    <t>S.R. Stewart-Thomas LLC</t>
  </si>
  <si>
    <t>S.T.A. Roof Techs, LLC</t>
  </si>
  <si>
    <t>http://www.starooftechs.com</t>
  </si>
  <si>
    <t>mailto:sales@starooftechs.com</t>
  </si>
  <si>
    <t>SADLER INDUSTRIES, INC.</t>
  </si>
  <si>
    <t>mailto:asindustries1@aol.com</t>
  </si>
  <si>
    <t>SAFETY CORPORATION</t>
  </si>
  <si>
    <t>http://www.safetycorporation.com</t>
  </si>
  <si>
    <t>mailto:sales@safetycorporation.com</t>
  </si>
  <si>
    <t>SAFETY SHOE DISTRIBUTORS, INC.</t>
  </si>
  <si>
    <t>http://www.safetyshoedistributors.com</t>
  </si>
  <si>
    <t>mailto:customerservice@ssdohio.com</t>
  </si>
  <si>
    <t>Footwear Merchant Wholesalers</t>
  </si>
  <si>
    <t>SAHAR Corp</t>
  </si>
  <si>
    <t>mailto:curves1300@sbcglobal.net</t>
  </si>
  <si>
    <t>SAIPRO SYSTEMS LLC</t>
  </si>
  <si>
    <t>="Saipro Systems llc is an IT Consulting company offers Software Development and Implementation and Support activities in distributed environments such as Mainframes, Client Server and web based applications of QA Testing, Oracle Development and Production Support involves skills such as Cobol, DB2, CICS, VSAM, Oracle, SQL Server, java , .Net, VB Script, java Script, ETL - Informatica, PL/SQL, Reporting tools such as SSRS. Provide advance Trainings and arrange placements and help unemployed people to get onto the projects. Looking forward to get more work from state and other clients to keep the employees of the company busy."</t>
  </si>
  <si>
    <t>http://www.saipros.com</t>
  </si>
  <si>
    <t>mailto:info@saipros.com</t>
  </si>
  <si>
    <t>SALAS TRANSPORTATION LLC</t>
  </si>
  <si>
    <t>="Transportaion arrangement-working with customers and vendors to provide the most efficient coordination of transportation in a regional area. We will coordinate local loading and backhauls for companies by working with local trucking companies and owner operators to control costs through efficiencies coordinating loads too and from Chicago, St. Louis, Cincinnati, Cleveland, and other local destinations. Eventually, we will own or lease our own equipment and hire our own drivers. t"</t>
  </si>
  <si>
    <t>mailto:sher0366@sbcglobal.net</t>
  </si>
  <si>
    <t>SALSTE, LLC</t>
  </si>
  <si>
    <t>http://www.salstellc.org</t>
  </si>
  <si>
    <t>mailto:info.ps@salstellc.org</t>
  </si>
  <si>
    <t>SAMS AUTO SALES</t>
  </si>
  <si>
    <t>http://samsautosales.com</t>
  </si>
  <si>
    <t>mailto:samsautosales@fwi.com</t>
  </si>
  <si>
    <t>SAMUEL D WHITE</t>
  </si>
  <si>
    <t>mailto:SAMUEL01252gmail.com</t>
  </si>
  <si>
    <t>SAN Corporation</t>
  </si>
  <si>
    <t>mailto:san_sancorp@yahoo.com</t>
  </si>
  <si>
    <t>SANDCASTLE REAL ESTATE, LLC</t>
  </si>
  <si>
    <t>="Sandcastle Real Estate, LLC is an independent real estate brokerage, committed to providing outstanding service and value to buyers and sellers. We are known for developing quality working relationships with our clientele; relationships based on respect, integrity, and trust. Sandcastle Real Estate, LLC is proud to have developed beneficial relationships with lenders, inspectors, contractors, and a wide range of housing professionals. We pride ourselves on building a solid foundation for your home to rest upon. Whether you are purchasing, selling, or building...we ensure you have the support you need to make sound decisions and receive the best deal possible. We go the extra mile for you! The agents at Sandcastle Real Estate, LLC take the time to listen to your needs and dreams. We work tirelessly to facilitate your goals without compromise. We are committed to treating every client as our #1 priority. Whether you are buying, selling, building, or simply considering a move call us!"</t>
  </si>
  <si>
    <t>http://WWW.SANDCASTLERE.COM</t>
  </si>
  <si>
    <t>mailto:INFO@SANDCASTLERE.COM</t>
  </si>
  <si>
    <t>SAP Integrated Solutions Inc</t>
  </si>
  <si>
    <t>mailto:SAP Integrated Solutions Inc</t>
  </si>
  <si>
    <t>SARCOM</t>
  </si>
  <si>
    <t>="SARCOM is an industry leader in technology services and solutions that help organizations effectively manage and leverage Information Technology. We deliver technology solutions through strong multi-vendor relationships, high service levels and commitment to total customer satisfaction. Our services help customers lower cost and solve business problems. SARCOM delivers best practice solutions, backed by proven processes and industry-certified expertise."</t>
  </si>
  <si>
    <t>http://www.sarcom.com</t>
  </si>
  <si>
    <t>SAS SHEET METAL INC.</t>
  </si>
  <si>
    <t>mailto:JOSHSTRACK73@MSN.COM</t>
  </si>
  <si>
    <t>SASSI INSTITUTE</t>
  </si>
  <si>
    <t>http://www.sassi.com</t>
  </si>
  <si>
    <t>mailto:sassi@sassi.com</t>
  </si>
  <si>
    <t>SATURN COMPUTERS INC</t>
  </si>
  <si>
    <t>="Saturn Computers builds quality computers, designs and solves network, security, internet and backup issues to keep your organizations computer infrastructure running as smoothly as possible, thus saving you and your company both time and money. Saturn Computers means computer expertise and fast local service since 1981 - at your service!"</t>
  </si>
  <si>
    <t>http://www.saturncomputers.com</t>
  </si>
  <si>
    <t>mailto:info@saturnc.com</t>
  </si>
  <si>
    <t>SAVER</t>
  </si>
  <si>
    <t>="SAVER is a service connected disabled veteran small business. The company is involved in water, alternative energy equipment, and energy management. SAVER sells independent electric (photovoltaic) systems and products for wirless power applications for remote home electrification, water pumping, solar lighting, telecommunications, micro wind, micro hydro electric, complete line of power storage, power conditioning and power distribution equipment. Also, we carry generators, solar refridgeration/freezers, portable solar power generators,protable micro hydro power systems, water filtration &amp; conditioning products and many other products"</t>
  </si>
  <si>
    <t>http://www.saver.com</t>
  </si>
  <si>
    <t>mailto:info@saver.com</t>
  </si>
  <si>
    <t>SAjM CO (Shirley Ann Johnson-McCroy)</t>
  </si>
  <si>
    <t>="Assisting in the areas of DBE/MBE/WBE/8a/SDB/IRMSDC certifications (Helping clients with completion of application, workshops, backlog assistance - review for eligibility recommendation), etc.; Civil Rights Issues - Title VI, VII, VIII, IX, ADA, EJ, etc.; Research - Data collection / analysis; Real Estate locator; General information."</t>
  </si>
  <si>
    <t>mailto:shirleyjmccroy@sbcglobal.net</t>
  </si>
  <si>
    <t>SB Communications</t>
  </si>
  <si>
    <t>mailto:stevenbeverly@yahoo.com</t>
  </si>
  <si>
    <t>SBD Reprographics</t>
  </si>
  <si>
    <t>http://www.sbdrepro.com</t>
  </si>
  <si>
    <t>mailto:jasbury.sbdrepro.com</t>
  </si>
  <si>
    <t>SC Supply Company, LLC</t>
  </si>
  <si>
    <t>="IN based WBE nationwide supplier of: traffic cones, barricades, barricade lights, barriers, aluminum highway/construction/safey signs, mesh &amp; vinyl signs and stands, flexable delineators, delineators, traffic drums/barrels, pavement markers, safety vests, hydrant / utility markers, caution tape, airport flags, precast concrete products, bituminus products."</t>
  </si>
  <si>
    <t>http://www.scsupplyco.com</t>
  </si>
  <si>
    <t>mailto:sales@scsupplyco.com</t>
  </si>
  <si>
    <t>SCACURE Networks</t>
  </si>
  <si>
    <t>="Provide on-going education in key areas for all stakeholder groups. Partner with local hospitals, libraries, and schools for facilities and needed resources to deliver education and training. Develop, deliver, and share educational media for all stakeholder groups through electronic means and hard-copy material. Design, develop, and deliver instructional media for trainers and students in all stakeholder groups to build knowledge capital."</t>
  </si>
  <si>
    <t>http://scacurenetworks.org</t>
  </si>
  <si>
    <t>mailto:support@scacurenetworks.org</t>
  </si>
  <si>
    <t>SCALE COMPUTING</t>
  </si>
  <si>
    <t>="Scale Computing develops the industry’s first hyperconverged architecture, HC3. Scale’s HC3 is a private cloud that seamlessly integrates storage, servers and virtualization into a scalable, turnkey infrastructure that’s as easy to manage as a single server. HC3 is ideal for government agencies that need to adopt virtualization, but also need to avoid the costs associated with it. By eliminating all software licensing costs and the need for separate data storage, Scale's HC3 product saves agencies up to 70% of the costs associated with more traditional virtualization approaches from other vendors. Scale Computing is headquartered in Indianapolis and received $2 million in funding from the IEDC in 2009."</t>
  </si>
  <si>
    <t>http://www.scalecomputing.com</t>
  </si>
  <si>
    <t>mailto:sales@SCALECOMPUTING.com</t>
  </si>
  <si>
    <t>SCAN, INC</t>
  </si>
  <si>
    <t>http://www.scanfw.org</t>
  </si>
  <si>
    <t>SCAN, Inc.</t>
  </si>
  <si>
    <t>http://scanfw.org</t>
  </si>
  <si>
    <t>mailto:rtobin-smith@scaninc.org</t>
  </si>
  <si>
    <t>SCB Insurance</t>
  </si>
  <si>
    <t>mailto:scbinsurance@psci.net</t>
  </si>
  <si>
    <t>SCHENKEL'S ALL STAR DAIRY LLC</t>
  </si>
  <si>
    <t>Dairy Cattle and Milk Production</t>
  </si>
  <si>
    <t>SCHNAIBLE SERVICE &amp; SUPPLY CO, INC.</t>
  </si>
  <si>
    <t>http://schnaible.com</t>
  </si>
  <si>
    <t>mailto:schnaible@schnaible.com</t>
  </si>
  <si>
    <t>SCHNELKER MARINE INC</t>
  </si>
  <si>
    <t>http://www.schnelkermarine.com</t>
  </si>
  <si>
    <t>mailto:sales@schnelkermarine.com</t>
  </si>
  <si>
    <t>SCOTT FLOOD WRITING</t>
  </si>
  <si>
    <t>http://www.sfwriting.com</t>
  </si>
  <si>
    <t>mailto:sflood@sfwriting.com</t>
  </si>
  <si>
    <t>SCS Consulting, Inc</t>
  </si>
  <si>
    <t>="SCS Consulting provides practical insight and proven performance for business to business and non profit organizations needing marketing, public relations, research and planning. Santina C. Sullivan has over twenty years of experinece and can respond quickly to your marketing challenges."</t>
  </si>
  <si>
    <t>http://www.scscinc.com</t>
  </si>
  <si>
    <t>mailto:santinas@scscinc.com</t>
  </si>
  <si>
    <t>SDC Contract Services, LLC</t>
  </si>
  <si>
    <t>mailto:Stephdc@SDCContract.com</t>
  </si>
  <si>
    <t>SDI F.I.T.S., LLC</t>
  </si>
  <si>
    <t>http://www.senourdesigns.com</t>
  </si>
  <si>
    <t>SDS Communications Inc.</t>
  </si>
  <si>
    <t>http://www.sdscommunications.com</t>
  </si>
  <si>
    <t>mailto:sales@sdscommunications.com</t>
  </si>
  <si>
    <t>SECURE TOWING &amp; STORAGE</t>
  </si>
  <si>
    <t>SEGA-RO SERVICES INC</t>
  </si>
  <si>
    <t>="Sega-ro Services Inc. offers a unique combination of premier non Medical home health care and community-based social services in Indianapolis, IN. We provides complete catering and event planning services. We also provide private cooks. We pledge our reputation for integrity and reliability throughout every stage of planning. We listen closely to your individual preferences and needs so that we can best translate them into a truly enjoyable feast for you and your guest LET US CATER FOR YOU WE OFFER CATERING FOR A CHANGE. AT SEGA-RO SERVICES INC. OUR CORPORATE SERVICE, LET YOUR TASTE BUDS SAVOR FINE MORSELS OF EXOTIC FLAVOR. OUR FOOD IS LIKE MUSIC TO THE PALATE, AND IS PLEASING TO THE EYE. OUR SERVICE IS LEGENDARY AND OUR ATTENTION TO DETAIL IS METICULOUS. SO CALL US TEL: 317-222-1879 segarosi@msn.com"</t>
  </si>
  <si>
    <t>mailto:SEGAROSI@MSN.COM</t>
  </si>
  <si>
    <t>SEH of Indiana, LLC</t>
  </si>
  <si>
    <t>http://www.sehinc.com</t>
  </si>
  <si>
    <t>mailto:mreardon@sehinc.com</t>
  </si>
  <si>
    <t>SEI DATA,INC.</t>
  </si>
  <si>
    <t>="SEI Communications is dedicated in providing residents and businesses throughout southeast Indiana with the latest and highest quality telecommunication products and services. (Fiber Optic Connectivity, Dedicated Circuits, DSL or Fixed Wireless High-Speed Internet, Dial Up Internet, Dial Tone Telephone Service, Long Distance, Web Services, Business Phone Systems)"</t>
  </si>
  <si>
    <t>http://www.seicommunications.com</t>
  </si>
  <si>
    <t>mailto:sales@seidata.com</t>
  </si>
  <si>
    <t>SEPRO CORPORATION</t>
  </si>
  <si>
    <t>http://www.sepro.com</t>
  </si>
  <si>
    <t>mailto:samb@sepro.com</t>
  </si>
  <si>
    <t>SES Environmental</t>
  </si>
  <si>
    <t>="SES offers Phase I Environmental Site Assessments, Phase II Environmental Investigation Execution and Reporting, Environmental Remediation Services, Remediation System Operations and Maintenance, Brownfield Revelopment consulting, wetland delineation and mitigation services, facility permit compliance services (air, land, and water), customized health and safety training, written safety program development, HAZWOPER training services, and industrial hygiene assessments."</t>
  </si>
  <si>
    <t>http://www.sesadvantage.com</t>
  </si>
  <si>
    <t>mailto:c.ryan@sesadvantage.com</t>
  </si>
  <si>
    <t>SET Environmental Inc.</t>
  </si>
  <si>
    <t>SF Installs LLC</t>
  </si>
  <si>
    <t>="s independent providers, we have the ability to work with a variety of manufacturers of electronic systems and furniture. From the expansion of an existing system to the design and installation of: Furniture Access Control Video Surveillance Telephone/Network Cabling Consulting Services"</t>
  </si>
  <si>
    <t>http://www.SFInstalls.com</t>
  </si>
  <si>
    <t>mailto:info@sfinstalls.com</t>
  </si>
  <si>
    <t>SFS (USA) Holding, Inc</t>
  </si>
  <si>
    <t>="Peerless Pump is a world wide leader in the manufacturing and servicing of centrifugal pumps for the commercial (fire protection, HVAC and plumbing), chemical processing, agriculture, general industrial and municipal market segments. Peerless offers vertical turbine, horizontal split case, end suction, chemical process, sump, self priming, sewage and other pumps. Peerless is a leader in system analysis, efficiency and related energy conservation. Peerless is a recognized leader in pump design, performance and innovation."</t>
  </si>
  <si>
    <t>http://www.peerlesspump.com</t>
  </si>
  <si>
    <t>mailto:marketing@peerlesspump.com</t>
  </si>
  <si>
    <t>Pump and Compressor Manufacturing</t>
  </si>
  <si>
    <t>SG &amp; Group Security, LLC</t>
  </si>
  <si>
    <t>="SG &amp; Group Security was founded and developed on the principles of quality, integrity and professionalism. We are MBE certified with the city of Indianapolis, state of Indiana, IBDC and NMSDC. We are members of the Better Business Bureau, Indianapolis Chamber of Commerce and Indianapolis Black Chamber of Commerce. We are committed to establishing long-term relationships through respect and communication. Our goals include caring about people and being a good corporate citizen. We are a company eager to serve and appreciate opportunities that can make a difference for you, your company and our community."</t>
  </si>
  <si>
    <t>http://sggroupsecurity.com</t>
  </si>
  <si>
    <t>mailto:sgarrett@sggroupsecurity.com</t>
  </si>
  <si>
    <t>SHELLS INC.</t>
  </si>
  <si>
    <t>mailto:CORESRUS@AOL.COM</t>
  </si>
  <si>
    <t>Other Nonmetallic Mineral Product Manufacturing</t>
  </si>
  <si>
    <t>SHEPARDSVILLE VOL FIRE DEPARTMENT</t>
  </si>
  <si>
    <t>SHIRLEY ENGRAVING COMPANY INC</t>
  </si>
  <si>
    <t>http://www.shirleyengraving.com</t>
  </si>
  <si>
    <t>mailto:shirleyengraving@aol.com</t>
  </si>
  <si>
    <t>SHREDDING AND STORAGE UNLIMITED, LLC</t>
  </si>
  <si>
    <t>http://shreddingunlimited.com</t>
  </si>
  <si>
    <t>mailto:chrisy@shreddingunlimited.com</t>
  </si>
  <si>
    <t>SIDELINE PARKING</t>
  </si>
  <si>
    <t>mailto:SIDELINE@IQUEST.NET</t>
  </si>
  <si>
    <t>SIEOC</t>
  </si>
  <si>
    <t>="SIEOC is a private not for profit corporation registered with the State of Indiana to improve the conditions under which people live, learn and work. SIEOC serves thousands of families with a variety of programs to meet their needs. SIEOC is the Community Action Agency serving Dearborn, Franklin, Ohio, Ripley and Switzerland counties."</t>
  </si>
  <si>
    <t>http://sieoc.org</t>
  </si>
  <si>
    <t>mailto:sieoc@sieoc.org</t>
  </si>
  <si>
    <t>SIG Media LLC</t>
  </si>
  <si>
    <t>http://www.sigmediallc.com</t>
  </si>
  <si>
    <t>mailto:jbyers@sigmediallc.com</t>
  </si>
  <si>
    <t>SIGMA SEVEN LOGISTICS, LLC</t>
  </si>
  <si>
    <t>mailto:SIGMASEVEN@YMAIL.COM</t>
  </si>
  <si>
    <t>SIM2K, Inc.</t>
  </si>
  <si>
    <t>="SIM2K provides information security products and services, custom software development; network installation, monitoring and support; network privacy and security protection; Internet monitoring and filter/blockers, including Spam protection; Internet hosting and e-commerce solutions; computer hardware installation and support and technology planning and consulting."</t>
  </si>
  <si>
    <t>http://www.sim2k.com</t>
  </si>
  <si>
    <t>mailto:sales@sim2k.com</t>
  </si>
  <si>
    <t>SIRP Environmental and Energy Solutions</t>
  </si>
  <si>
    <t>="SIRP has been supplying Green Technology industrial, commercial, and residential indoor air quality, water systems, and energy products since 1999. We have recently increased the scope of the energy phase of our business with peer reviewed patented non powered conditioning products for pipes, hoses, and tubes when using most fluids (including water), fuels (including for transportation), gases, and also electricity. These products will reduce direct overall costs as well as improve operations, reduce wear, maintenance, replacements, and environmental wear. They also help accomplish LEED and Sustainable goals."</t>
  </si>
  <si>
    <t>http://www.activtek.net/sirpenviro</t>
  </si>
  <si>
    <t>mailto:billsirp@hotmail.com</t>
  </si>
  <si>
    <t>SISTERS CONSTRUCTION L.L.C</t>
  </si>
  <si>
    <t>="SISTERS RENOVATIONS is a minority women owned renovations and restorations company. We are a family orientated business who takes pride in the work we do. An example of projects we perform are: installation of all flooring types, interior/ exterior painting, all stages of drywall work, roofing,total bath and kitchen remodels, restore homes/ buildings damaged by fire, water or mold. Basic landscaping to include: lawn care, planting of flowers and shrubs, weed removal and stump removal, cleaning of flowerbeds and mulching. Thank you for considering SISTERS RENOVATIONS."</t>
  </si>
  <si>
    <t>http://sistersrenovationsllc.blogspot.co</t>
  </si>
  <si>
    <t>mailto:sistersrenovationsllc.blogspot.com</t>
  </si>
  <si>
    <t>SISTERS CREW</t>
  </si>
  <si>
    <t>mailto:katherin-davis@sbcglobal.net</t>
  </si>
  <si>
    <t>SITI Consulting LLC</t>
  </si>
  <si>
    <t>http://www.siticonsulting.com</t>
  </si>
  <si>
    <t>mailto:customersupport@siticonsulting.com</t>
  </si>
  <si>
    <t>SJ Consulting, Inc., dba Ghosh Consultin</t>
  </si>
  <si>
    <t>="Geologic and Environmental Consulting specifically with respect to environmental impact on soil and water. I have experience in investigation and remediation of soils, sediments, groundwater and surface water. I am familiar with IDEM and USEPA regulations (VRP, State Cleanup, CERCLA, RCRA, SDWA)."</t>
  </si>
  <si>
    <t>mailto:swapan@sbcglobal.net</t>
  </si>
  <si>
    <t>SJ ZEPEDA, INC.</t>
  </si>
  <si>
    <t>SJ3 Design Studio</t>
  </si>
  <si>
    <t>mailto:stephaniejohnson@mac.com</t>
  </si>
  <si>
    <t>SJW Investment, LLC</t>
  </si>
  <si>
    <t>SKYTECH ELECTRIC,INC</t>
  </si>
  <si>
    <t>mailto:sky@skytechelectric.com</t>
  </si>
  <si>
    <t>SLD Closing Services</t>
  </si>
  <si>
    <t>mailto:Sdabson@sbcglobal.net</t>
  </si>
  <si>
    <t>SLM Corporation</t>
  </si>
  <si>
    <t>="Sallie Mae®, the nation’s No. 1 paying-for-college company, has helped millions of Americans achieve their dream of a higher education. The company primarily provides federally guaranteed student loans originated under the Federal Family Education Loan Program (FFELP), and offers comprehensive information and resources to assist students, parents and guidance professionals with the financial aid process."</t>
  </si>
  <si>
    <t>http://www.salliemae.com</t>
  </si>
  <si>
    <t>SLM Industries LLC</t>
  </si>
  <si>
    <t>http://www.slmindustries.com</t>
  </si>
  <si>
    <t>mailto:sales@slmindustries.com</t>
  </si>
  <si>
    <t>SLmedia One LLC</t>
  </si>
  <si>
    <t>="Promote your business or event with style while staying within your budget. SLmedia One, provides printing services for business cards, posters, flyers, brochures, banners, and more. We also provide graphic design, web design, logo design, and cd/dvd duplication."</t>
  </si>
  <si>
    <t>http://www.slmediaone.com</t>
  </si>
  <si>
    <t>mailto:info@slmediaone.com or slmediaone@gmail.com</t>
  </si>
  <si>
    <t>SMDG, LLC</t>
  </si>
  <si>
    <t>="Social Media Development Group’s talented team of social media marketers, writers, web designers, and IT professionals focus on implementing superior and creative solutions to assist our customers in communicating the messages of their brand through the delivery of our products and services. Our capabilities include: Social Media Marketing, Web Design, Graphic Design. Photography, Copy Writing, Video Recording/Editing, IT Help Desk &amp; Project Management"</t>
  </si>
  <si>
    <t>http://www.smdgnwi.com</t>
  </si>
  <si>
    <t>mailto:mthaxton@smdgnwi.com</t>
  </si>
  <si>
    <t>SMITH IMPLEMENTS INCORPORATED</t>
  </si>
  <si>
    <t>http://www.smithimplements.com</t>
  </si>
  <si>
    <t>mailto:www.smithimplements.com</t>
  </si>
  <si>
    <t>SMITTY'S CRD CONCRETE SERVICES INC.</t>
  </si>
  <si>
    <t>mailto:smitty7820@verizon.net</t>
  </si>
  <si>
    <t>SMS Systems Maintenance Services</t>
  </si>
  <si>
    <t>="SMS is the largest independent, multi-vendor service provider with a focus on IT data center support services as well as Cisco Network support services. SMS provides a Best Cost solution for hardware maintenance contracts compared to OEM. We support all tier one manufactures of IT equipment including IBM, HP, EMC, Dell Cisco and more."</t>
  </si>
  <si>
    <t>http://www.sysmaint.com</t>
  </si>
  <si>
    <t>mailto:jupdegraff@sysmaint.com</t>
  </si>
  <si>
    <t>SNF Writing Solutions</t>
  </si>
  <si>
    <t>="SNF Writing Solutions, LLC provides broad-spectrum management consulting services including •program development and strategic planning, •process mapping, procedure documentation, and process improvement services •full-cycle RFP and grant management: proposal preparation, award administration, project management, report preparation •training *technical writing *system documentation"</t>
  </si>
  <si>
    <t>http://www.snfwritingsolutions.com</t>
  </si>
  <si>
    <t>mailto:stacyfitzsimmons@gmail.com</t>
  </si>
  <si>
    <t>SNK Immigration Consultants Inc</t>
  </si>
  <si>
    <t>="Provide services related to any immigration related issue. Provide services in order to obtain visas to allow persons from foreign countries to visit, live, and work in the United States. Provide consultaiton to businsess regarding employment based visas both temporary and permanent."</t>
  </si>
  <si>
    <t>http://SNK-Immigration.com</t>
  </si>
  <si>
    <t>mailto:Rschremp@snk-immigration.com</t>
  </si>
  <si>
    <t>SOCIAL WERX, LLC</t>
  </si>
  <si>
    <t>="Consulting business that provide Social Work Services i.e., Consultation, Counseling, Assessments, in the areas of addictions, anger management, domestic violence, social responsibilities, problem solving and life management for individuals, families and groups."</t>
  </si>
  <si>
    <t>mailto:becsosocial@sbcglobal.net</t>
  </si>
  <si>
    <t>SOCK, BEARD &amp; ASSOC</t>
  </si>
  <si>
    <t>="Sock, Beard &amp; Associates is a small minority-owned firm specializing in the commissioning of mechanical, electrical, plumbing, fire protection and telecommunication systems in buildings for the private and commercial industries and for the local, state and federal government sectors. Sock, Beard &amp; Associates provides commissioning services for new buildings, retro-commissioning, re-commissioning and continuous commissioning services for existing buildings."</t>
  </si>
  <si>
    <t>mailto:fredericksock@sockbeard.com</t>
  </si>
  <si>
    <t>SOFAS PLUS FURNITURE COMPANY, INC</t>
  </si>
  <si>
    <t>SOOO CLEAN PRESSURE WASHING</t>
  </si>
  <si>
    <t>="The mobile power wash business is business and industry's answer to the major problem of how to keep things clean. Everyone has become concerned over pollution, knowing that dirt can be destructive not only to their image, but can cause costly repairs, renovations, or replacement. Since most items are immovable, practically speaking, they must be cleaned at their location. Mobile power washing has proved to be the solution to the problem. The basic concept of high pressure washing with detergent has been tested and proven. By mounting the equipment on a truck or trailer mobility has been added. Units typically have the following capabilities: 4 to 6 GPM (gallon per minute flow rate), 1,500 to 3,500 PSI (pounds per square inch pressure), and up to 200 °F. The equipment is similar to a typical coin-op car wash only portable and more powerful. Units typically have gasoline engines and are heated with diesel fuel fired burners for heat. With the addition of a water tank the units are comp"</t>
  </si>
  <si>
    <t>mailto:sooocleanpressurewashing@yahoo.com</t>
  </si>
  <si>
    <t>SOS Sales&amp;ServiceInc</t>
  </si>
  <si>
    <t>="S.O.S. is a lifelong Indiana owned and operated family business. S.O.S. sales and services office equipment in over 1/2 of the great State of Indiana, with partnering companys covering the rest. S.O.S's service department is factory trained. S.O.S. repairs most makes of office equipment and offers some of the lowest rates in the industry."</t>
  </si>
  <si>
    <t>mailto:sossalesservice@sbcglobal.net</t>
  </si>
  <si>
    <t>SOUTHERN INDIANA MOLD CORP.</t>
  </si>
  <si>
    <t>http://www.soindmoldcorp.com</t>
  </si>
  <si>
    <t>mailto:agrindstaff@soindmoldcorp.com</t>
  </si>
  <si>
    <t>SOUTHLAKE COMMUNITY MENTAL HEALTH CENTER</t>
  </si>
  <si>
    <t>http://www.southlakecenter.com</t>
  </si>
  <si>
    <t>SOUTHWESTERN FIRE &amp; SAFETY, INC.</t>
  </si>
  <si>
    <t>http://www.southwesternfiresafety.com</t>
  </si>
  <si>
    <t>mailto:fireone@cebridge.net</t>
  </si>
  <si>
    <t>SPARC Realty, Inc.</t>
  </si>
  <si>
    <t>mailto:rmaxwell@maxwelldesignbuild.com</t>
  </si>
  <si>
    <t>SPEAR CORP</t>
  </si>
  <si>
    <t>http://www.spearcorp.com</t>
  </si>
  <si>
    <t>mailto:jspear@spearcorp.com</t>
  </si>
  <si>
    <t>SPECIAL DISPATCH INC</t>
  </si>
  <si>
    <t>="Special Dispatch is a locally owned and operated delivery service established in 1965. We operate a wide variety of vehicles including small trucks, vans, box trucks, and tractor-trailers. All of our drivers are equipped with Nextel radio/phones which provide instant communication with dispatch. Our dispatch software is GPS enhanced and allows us to view each drivers location. Our drivers are TSA approved and Hazmat certified. We are also a warehousing facility providing storage and distribution of various products. Call us anytime for your delivery or storage needs. We’re open 24 hours a day – 7 days a week."</t>
  </si>
  <si>
    <t>http://www.specialdispatchinc.com</t>
  </si>
  <si>
    <t>mailto:DonNichols@SDIndy.com</t>
  </si>
  <si>
    <t>SPECIAL DISPATCH OF INDIANA INC</t>
  </si>
  <si>
    <t>SPG Graphics, Inc</t>
  </si>
  <si>
    <t>http://www.spggraphics.com</t>
  </si>
  <si>
    <t>mailto:mrichey@spggraphics.com</t>
  </si>
  <si>
    <t>SPILL 911 INC</t>
  </si>
  <si>
    <t>http://www.spill911.com</t>
  </si>
  <si>
    <t>mailto:info@spill911.com</t>
  </si>
  <si>
    <t>SPIRE, LLC</t>
  </si>
  <si>
    <t>http://www.SpireInteractive.com</t>
  </si>
  <si>
    <t>mailto:info@SpireInteractive.com</t>
  </si>
  <si>
    <t>SPOTLESS CLEANING SERVICE LLC</t>
  </si>
  <si>
    <t>mailto:t.johnsoncleaningservice@yahoo.com</t>
  </si>
  <si>
    <t>SR Advise, Inc.</t>
  </si>
  <si>
    <t>mailto:peggy@sradvise.com</t>
  </si>
  <si>
    <t>SSD Management INC</t>
  </si>
  <si>
    <t>http://www.sidestreetindy.com</t>
  </si>
  <si>
    <t>mailto:info@ssdmanagement.com</t>
  </si>
  <si>
    <t>SSP Group LLC</t>
  </si>
  <si>
    <t>http://www.sspgroupllc.com</t>
  </si>
  <si>
    <t>mailto:sales@sspgroupllc.com</t>
  </si>
  <si>
    <t>ST. JOHN TRUCKING INC.</t>
  </si>
  <si>
    <t>mailto:stjohntrucking@seidata.com</t>
  </si>
  <si>
    <t>STAMPER TAX &amp; ACCOUN</t>
  </si>
  <si>
    <t>="COMPLETE ACCOUNTING AND TAX SERVICE. WE COMPLETE PAYROLL, MONTHLY ACCOUNTING, FULL BOOKKEEPING FOR ANY BUSINESS OR INDIVIDUALS. ALL TYPES OF TAX RETURNS. COMPLETE FINANCIAL SERVICES, AS WE HAVE A REGISTERED REPRESENTATIVE ON STAFF. 2005 WILL BE OUR 30th YEAR IN BUSINESS."</t>
  </si>
  <si>
    <t>mailto:RSTAMPER@SEIDATA.COM</t>
  </si>
  <si>
    <t>STANDARD VENDING LLC</t>
  </si>
  <si>
    <t>mailto:TKDIDOT@YAHOO.COM</t>
  </si>
  <si>
    <t>mailto:KRISTIN@KBSUPPLY.NET</t>
  </si>
  <si>
    <t>STANDISH STEEL, INC.</t>
  </si>
  <si>
    <t>="Designers and builders of custom engineered machines, fixtures, and jigs using CNC operated equipment. Most recently, manufacturers of stone cutting saws such as, Diamond Narrow Belt Saws,outside Quarry Saws, and Circular Saws. We also manufacturer Stone Tumblers, Turn Tables, Stone Block Turners, Stone Block Stands, and other associated equipment for the stone industry. We also do custom slab sawing of stone blocks. Also, supplier of limestone slabs, thin stone, balusters, treads, pavers, tiles, and other various items for stone building projects."</t>
  </si>
  <si>
    <t>http://www.standishsteelinc.com</t>
  </si>
  <si>
    <t>mailto:contact@standishsteelinc.com</t>
  </si>
  <si>
    <t>Architectural and Structural Metals Manufacturing</t>
  </si>
  <si>
    <t>STAR Financial Bank</t>
  </si>
  <si>
    <t>http://www.starfinancial.com</t>
  </si>
  <si>
    <t>Offices of Bank Holding Companies</t>
  </si>
  <si>
    <t>STARNES TRUCKING INC</t>
  </si>
  <si>
    <t>mailto:brenda@hardestyfamily.net</t>
  </si>
  <si>
    <t>STAT Nursing Agency, LLC</t>
  </si>
  <si>
    <t>STATE RIGHT-OF-WAY SERVICE, LLC</t>
  </si>
  <si>
    <t>STATE SAFETY &amp; COMPLIANCE LLC</t>
  </si>
  <si>
    <t>http://www.statesafety.com</t>
  </si>
  <si>
    <t>mailto:kpapp@statesafety.com</t>
  </si>
  <si>
    <t>STB, LLC</t>
  </si>
  <si>
    <t>STE-MAR INC</t>
  </si>
  <si>
    <t>mailto:mshortr772@aol.com</t>
  </si>
  <si>
    <t>STEEL CITIES STEELS, INC</t>
  </si>
  <si>
    <t>http://www.scsmetals.com</t>
  </si>
  <si>
    <t>mailto:info@scsmetals.com</t>
  </si>
  <si>
    <t>STEINHARDT ENTERPRISES, INC.</t>
  </si>
  <si>
    <t>http://www.steinhardtconfort.com</t>
  </si>
  <si>
    <t>mailto:pamy@steinhardtconfort.com</t>
  </si>
  <si>
    <t>STEP-UP, INCORPORATED</t>
  </si>
  <si>
    <t>http://www.stepupin.org</t>
  </si>
  <si>
    <t>mailto:bgumbert@stepupin.org</t>
  </si>
  <si>
    <t>STONE AND STEMLE INC</t>
  </si>
  <si>
    <t>="Stone and Stemle, Inc., d/b/a Wright Stemle is an authorized John Deere dealership since 1990. We currently have four locations: Jasper, Chandler/Evansville, Poseyville and Washington, Indiana. We offer quality John Deere equipment, parts and service. Our dealership also sells Frontier blades for landscaping and roadway grading."</t>
  </si>
  <si>
    <t>http://www.wrightstemle.com</t>
  </si>
  <si>
    <t>mailto:jasper@stoneandstemle.com</t>
  </si>
  <si>
    <t>STOR-IT,Inc.</t>
  </si>
  <si>
    <t>mailto:Ppenny54@aol.com</t>
  </si>
  <si>
    <t>STOREY Communications, Inc.</t>
  </si>
  <si>
    <t>http://www.STOREYComm.com</t>
  </si>
  <si>
    <t>mailto:j@storeycomm.com</t>
  </si>
  <si>
    <t>STP PAINTING, INC.</t>
  </si>
  <si>
    <t>mailto:stpaintinginc@yahoo.com</t>
  </si>
  <si>
    <t>STRANCO INC</t>
  </si>
  <si>
    <t>http://www.strancoinc.com</t>
  </si>
  <si>
    <t>mailto:sales@strancoinc.com</t>
  </si>
  <si>
    <t>STRATEGIC DEVELOPMENT GROUP, INC.</t>
  </si>
  <si>
    <t>http://www.sdg.us</t>
  </si>
  <si>
    <t>mailto:info@sdg.us</t>
  </si>
  <si>
    <t>STRATEGIC HEALTH SERVICES, INC.</t>
  </si>
  <si>
    <t>="We provide employers with programs to reduce their health care claims by identifying employees and dependents with those conditions that can be addressed currently to reduce future health care claims. We use a process of Health Risk Accessments, Biometric Screening and risk stratification software to identily those at risk."</t>
  </si>
  <si>
    <t>http://www.strategichealthservices.com/</t>
  </si>
  <si>
    <t>mailto:Info@strategichealthservices.com</t>
  </si>
  <si>
    <t>STRATEGIC MANAGEMENT - Human Resource So</t>
  </si>
  <si>
    <t>="Human Resource Consultant specializing in legal compliance and performance improvement by providing management training and refining communication systems. Strategic human resource systems streamline management processes and focus employee energy toward the company's purpose."</t>
  </si>
  <si>
    <t>http://www.managepeopleright.com</t>
  </si>
  <si>
    <t>mailto:nora@managepeopleright.com</t>
  </si>
  <si>
    <t>SUBU LLC</t>
  </si>
  <si>
    <t>http://www.subullc.com</t>
  </si>
  <si>
    <t>SULLIVAN-BROUGH, INC</t>
  </si>
  <si>
    <t>="Sullivan-Brough, Inc. d/b/a SafetyWear , a VOSB (veteran-owned small business), has been servicing the safety product needs of our customers for over 35 years. Based in Fort Wayne, Indiana, we have the knowledge and experience to provide your organization with the safety products you require to keep your working environment compliant with local, state, and federal regulations."</t>
  </si>
  <si>
    <t>http://www.safety-wear.com</t>
  </si>
  <si>
    <t>mailto:sales@safety-wear.com</t>
  </si>
  <si>
    <t>SUPER LAUNDRY EQUIP. CORP</t>
  </si>
  <si>
    <t>SUPERIORVAN&amp;MOBILITY</t>
  </si>
  <si>
    <t>http://www.superiorvan.com</t>
  </si>
  <si>
    <t>mailto:mmurphy@superiorvan.com</t>
  </si>
  <si>
    <t>SVC, Inc</t>
  </si>
  <si>
    <t>="SVC is a health policy consulting company. Deep expertise around Medicaid, public health, and insurance policy issues. SVC provides clients with a range of services, from strategic policy, regulatory, and legislative analysis, Medicaid waiver and state plan amendment development, grant, proposal and report preparation, project and grants management, managing community and stakeholder relationships, survey and evaluation design and analysis. SVC designs and implements health care programs including, financing, policy, planning, project management, development of business requirements and evaluation. SVC is the author and architect of Indiana’s Medicaid waiver program the Healthy Indiana Plan (HIP) and supports Indiana’s health care reform efforts. SVC staffs the Health Care Reform Lead role in Indiana providing leadership and direction to Indiana’s Affordable Care Act (ACA) including Exchange development and preparing the Medicaid program for ACA implementation."</t>
  </si>
  <si>
    <t>http://svcinc.org</t>
  </si>
  <si>
    <t>mailto:sverma@svcinc.org</t>
  </si>
  <si>
    <t>SVS- Specialty Vehicle Solutions, Inc.</t>
  </si>
  <si>
    <t>mailto:svs@joink.com</t>
  </si>
  <si>
    <t>SWAGER COMMUNICATIONS INC</t>
  </si>
  <si>
    <t>http://www.swager.com</t>
  </si>
  <si>
    <t>mailto:bswager@dmci.net</t>
  </si>
  <si>
    <t>Power and Communication Transmission Line Construction</t>
  </si>
  <si>
    <t>SWAT PEST MANAGEMENT</t>
  </si>
  <si>
    <t>http://WWW.SWATPEST.COM</t>
  </si>
  <si>
    <t>mailto:SWATPEST.COM</t>
  </si>
  <si>
    <t>SWIFT SOLUTIONS INC</t>
  </si>
  <si>
    <t>http://SWIFT SOLUTIONS INC</t>
  </si>
  <si>
    <t>mailto:info@swiftsolutionsinc.com</t>
  </si>
  <si>
    <t>SYCAMORE SERVICES, Inc.</t>
  </si>
  <si>
    <t>="Sycamore Services, Inc. is the recognized industry leader in making a difference in the lives of people with disabilities by providing quality services when and where they are needed in the state of Indiana. Sycamore serves individuals with intellectual and developmental delays, Autism, physical disabilities and other conditions that limit participation in life activities. Our highly trained staff and collaborative efforts overcome barriers by responding to the evolving needs of individuals, businesses and communities."</t>
  </si>
  <si>
    <t>http://www.sycamoreservices.com</t>
  </si>
  <si>
    <t>mailto:info@sycamoreservices.com</t>
  </si>
  <si>
    <t>SYNCARE, LLC.</t>
  </si>
  <si>
    <t>="SynCare is a full-service disease management company. Our distinctive competency is to provide comprehensive quality services designed for at risk populations. We strive to provide physicians, clients and patients with value driven services, which contain or reduce costs, and improve evidence-based outcomes. Each product is designed to lower overall health care cost through risk assessment systems, education, and behavioral modification. The process is designed to target high utilizers of health care services and patients with chronic diseases and their co-morbidities. SynCare, LLC. is a certified Minority Business Enterprise (MBE) by the Indiana Department of Administration."</t>
  </si>
  <si>
    <t>http://WWW.SYNCARELLC.COM</t>
  </si>
  <si>
    <t>mailto:KMATEMACHANI@SYNCARELLC.COM</t>
  </si>
  <si>
    <t>SYNERGID COMMERCIAL INC</t>
  </si>
  <si>
    <t>http://www.Synergid.com</t>
  </si>
  <si>
    <t>mailto:Regina@Synergid.com</t>
  </si>
  <si>
    <t>SYNERGY TELCOM INC.</t>
  </si>
  <si>
    <t>="Synergy Telcom, Inc., is a small business located in Indianapolis, IN. While we may be small in number of employee’s, we are a worldwide provider of telecommunications equipment. Synergy Telcom Inc. was awarded a five-year General Services Administration (GSA) Information Technology (IT) Schedule Contract. Synergy Telcom’s GSA Schedule Contract, Number: GS-35F-0675V, allows our company to provide federal, state, and local government buyers with a simplified method to quickly purchase Synergy’s quality telecommunication solutions. For nearly a decade, Synergy Telcom has been providing top of the line, refurbished telecommunications equipment to government agencies, educational institutions, and commercial businesses. Synergy’s staff is equipped with over 30 years of experience in the telecommunications industry and is skilled at matching organizations with equipment to fit current and future needs. The Award of Synergy Telcom’s GSA Schedule Contract is the culmination of an exten"</t>
  </si>
  <si>
    <t>http://www.synergy-tel.com</t>
  </si>
  <si>
    <t>mailto:lisa.gemmer@synergy-tel.com</t>
  </si>
  <si>
    <t>SYSTEM CONCEPTS &amp; CONSULTING INC</t>
  </si>
  <si>
    <t>="Software and implementation service providers for ERP, e-business, UCCnet, EDI, AS2, WMS, Business Intelligence, Data Warehousing, Shipping Logistics, Integration Broker, EAI, e-forms/labels, Automated fax/e-mail, Document Imaging and payroll. System Concepts &amp; Consulting, Inc. is dedicated to creating value for its customer in the area of Management Information Systems through planning for and managing implementation of collaborative solutions which create an information base that helps people work smarter in providing value added service for their customers."</t>
  </si>
  <si>
    <t>http://www.solutionscollaborate.com</t>
  </si>
  <si>
    <t>mailto:lng@solutionscollaborate.com</t>
  </si>
  <si>
    <t>Sabramedia LLC</t>
  </si>
  <si>
    <t>="Developing software application and database systems in various technologies. Specializing in Internet-integrated environments. Our development team and network can accommodate your mission critical functions. Our sister developer, Harmony Design also provides professional presentation, web site and graphic design services."</t>
  </si>
  <si>
    <t>http://www.sabramedia.com</t>
  </si>
  <si>
    <t>mailto:info@sabramedia.com</t>
  </si>
  <si>
    <t>Sabre Demolition Cor</t>
  </si>
  <si>
    <t>http://www.sabre-demolition.com</t>
  </si>
  <si>
    <t>mailto:mail@sabre-demolition.com</t>
  </si>
  <si>
    <t>Sabrina/Trade Expres</t>
  </si>
  <si>
    <t>http://www.sabrinatrade.com</t>
  </si>
  <si>
    <t>mailto:sales@sabrinatrade.com</t>
  </si>
  <si>
    <t>All Other Basic Inorganic Chemical Manufacturing</t>
  </si>
  <si>
    <t>Sabrinas Enterprises Inc</t>
  </si>
  <si>
    <t>Sadiqa, Inc.</t>
  </si>
  <si>
    <t>Saeed and Little, LLP</t>
  </si>
  <si>
    <t>http://www.sllawfirm.com</t>
  </si>
  <si>
    <t>mailto:ali@sllawfirm.com</t>
  </si>
  <si>
    <t>Safe Link Distribution Corporation</t>
  </si>
  <si>
    <t>="We are a company that provide businessessand persons with quality safety equipment . We offer competive prices with easy ordering and delivery. You are able to get what you need when you need it. We service all over the country and are proud to be base right here in Indiana."</t>
  </si>
  <si>
    <t>mailto:Safelinkdist@comcast.net</t>
  </si>
  <si>
    <t>SafeMetrics, LLC</t>
  </si>
  <si>
    <t>http://www.SafeMetricsLLC.com</t>
  </si>
  <si>
    <t>mailto:cjenning@insightbb.com</t>
  </si>
  <si>
    <t>SafeZone Security, LLC</t>
  </si>
  <si>
    <t>http://www.safezone-security.com</t>
  </si>
  <si>
    <t>mailto:cory@safezone-security.com</t>
  </si>
  <si>
    <t>Safer Worker Systems, Inc.</t>
  </si>
  <si>
    <t>="Safer Worker Systems, Inc. Safer Worker Systems, Inc. offers the following services to meet your company’s regulatory compliance needs: Third party site safety assessments Wall-to-wall inspections Topic specific site audits Safety program reviews Comprehensive report of all findings Regulatory training OSHA 10-Hour &amp; 30-Hour courses construction OSHA 10-Hour &amp; 30-Hour courses general industry All regulatory required training topics Program development Written safety programs tailored for each company Safety process improvements Workers compensation cost reductions Injury reduction"</t>
  </si>
  <si>
    <t>http://www.saferworker.com</t>
  </si>
  <si>
    <t>mailto:info@saferworker.com</t>
  </si>
  <si>
    <t>Safety &amp; Wellness Partnership, Inc.</t>
  </si>
  <si>
    <t>http://www.safetywellnessonline.com</t>
  </si>
  <si>
    <t>mailto:info@safetywellnessonline.com</t>
  </si>
  <si>
    <t>Safety Management Group of IN, Inc.</t>
  </si>
  <si>
    <t>http://www.smgindy.com</t>
  </si>
  <si>
    <t>mailto:JesseBrazzell@smgindy.com</t>
  </si>
  <si>
    <t>Safety NET, LLC</t>
  </si>
  <si>
    <t>="Safety NET, LLC specializes in high quality CPR and Safety certification and training. We offer CPR, AED, BLS, Bloodborne Pathogens, ACLS, PALS, Heartcode Skills Check-off, First Aid certification &amp; training in the Louisville and Southern Indiana area. Our instructors are retired fire fighters and Certified EMTs. We are American Heart Association (AHA) certified. We Bring Safety Training to You We have the flexibility to bring the training on-site to your facility or individuals and groups can take one of our regularly scheduled classess. For four or more students, we will send a certified instructor to your business, facility, school or home. We will provide a class or classes that fit your needs and schedule."</t>
  </si>
  <si>
    <t>http://www.cprsafetynet.com</t>
  </si>
  <si>
    <t>mailto:learn@cprsafetynet.com</t>
  </si>
  <si>
    <t>Safety Rail Construc</t>
  </si>
  <si>
    <t>mailto:mariehdf11@sbcglobal.net</t>
  </si>
  <si>
    <t>Safety Resources, Inc.</t>
  </si>
  <si>
    <t>="We are a broad-based safety consulting firm. Our clients outsource our safety services to manage their risk and safety concerns. We provide employee and management training, regulatory compliance assistance, expertise, and safety and risk management. Our services are customized to meet our clients' individual needs."</t>
  </si>
  <si>
    <t>http://www.safetyresources.com</t>
  </si>
  <si>
    <t>mailto:kvansoest@safetyresources.com</t>
  </si>
  <si>
    <t>Safety Training Services, Inc</t>
  </si>
  <si>
    <t>="Safety Training Services, Inc. is dedicated to assisting employers with the task of providing a safe work environment for their employees. We provide safety and environmental training and consulting services. We can provide safety and rescue crews on-site at clients facility. We can also supply safety and emergency response related equipment and supplies"</t>
  </si>
  <si>
    <t>http://www.safetytrainingservices.net</t>
  </si>
  <si>
    <t>mailto:safetytrainingservices@yahoo.com</t>
  </si>
  <si>
    <t>Safeway Drive Away, Inc</t>
  </si>
  <si>
    <t>="Our business involves dispatching the pick up vehicles from the manufacturer and delivering them to the end customer, travelling throughout the United States . The vehicles include conversion vans, airport shuttles, daycare buses, retirement home vans,and school buses."</t>
  </si>
  <si>
    <t>Sagamore Ready Mix LLC</t>
  </si>
  <si>
    <t>http://www.sagamorereadymix.com</t>
  </si>
  <si>
    <t>Sahasra Technologies Corp</t>
  </si>
  <si>
    <t>http://info@stlogics.com</t>
  </si>
  <si>
    <t>mailto:info@stlogics.com</t>
  </si>
  <si>
    <t>Saint Anthony MemoriaL</t>
  </si>
  <si>
    <t>Saint Joseph County Minority Health Coal</t>
  </si>
  <si>
    <t>http://www.stjoe-minorityhealth.org</t>
  </si>
  <si>
    <t>mailto:info@stjoe-minorityhealth.org</t>
  </si>
  <si>
    <t>Saladin Sullivan Acquisition Company LLC</t>
  </si>
  <si>
    <t>="We sell a variety of trailers ranging from small lawn mower trailers to enclosed cargo and motorcycle trailers, dump trailers, car haulers, and gooseneck heavy duty flatbed construction trailers. We also have a large parts inventory and have a full time shop where we repair trailers and install hitches and brake contrillers."</t>
  </si>
  <si>
    <t>mailto:812-268-4784</t>
  </si>
  <si>
    <t>Saladin Trailer Sale</t>
  </si>
  <si>
    <t>="We sell all types of trailers for transportation. They range from as small as lawn mower trailers, enclosed construction and motorcycle trailers, dump trailers, and gooseneck heave duty construction flatbed trailers, as well as car haulers and more. We also have a large parts inventory and a full time shop where we repair trailers, install hitches and brake controller."</t>
  </si>
  <si>
    <t>Salem Center VFD</t>
  </si>
  <si>
    <t>="Salem Center Volunteer Fire Department is a rural fire department that provides both fire and rescue services to our community and surrounding neighbors. We are an all volunteer department with no members being paid in any way. Funds received are solely from fundraisers and township fire/rescue service contracts. We have no town or industry in our fire/rescue call area and are strictly rural. Salem Center VFD is a non-profit 501c3."</t>
  </si>
  <si>
    <t>mailto:f70sfd@hotmail.com</t>
  </si>
  <si>
    <t>Salem True Value Inc</t>
  </si>
  <si>
    <t>="Salem True Value offers a wide variety of products and services including but not limited to: plumbing, electrical, janitorial, gardening, filters, rental equipment services, electronic, welding, color and painting, small tools and appliances to residential, commercial and small businesses. Salem True Value offers a commercial network through the True value co-op supplying commercial products by utilizing vendors established by the co-op."</t>
  </si>
  <si>
    <t>mailto:truvalue@blueriver.net</t>
  </si>
  <si>
    <t>Sales-Link, Inc.</t>
  </si>
  <si>
    <t>="The Original Pot-Tee Prize Grab Bag gives you all the tools you’ll need to easily and effectively potty train your child in one convenient, cheerful package. Naturally, this critical step in your child’s early development can be stressful and time consuming. Our system adds structure to the potty training process creating a positive and memorable experience for you and your little squirt. Whimsical Sticker Chart and Matching Stickers Let your child select a sticker or a prize each time they use the potty, or you may want to offer a prize after every 3 stickers or so. Guide Filled with proven facts to help ease you and your child through the transition from diapers to undies. Diploma Every graduation deserves a diploma and graduation from diapers to underpants does, too! Pot-Tee Prizes A variety of fun reward prizes in a canvas bag to delight your child and positively reinforce their appropriate behavior."</t>
  </si>
  <si>
    <t>http://www.pot-teeprize.com</t>
  </si>
  <si>
    <t>mailto:info@pot-teeprize.com</t>
  </si>
  <si>
    <t>Children's and Infants' Clothing Stores</t>
  </si>
  <si>
    <t>Salesman &amp; Son Trucking, Inc.</t>
  </si>
  <si>
    <t>mailto:gtsalesman@aol.com</t>
  </si>
  <si>
    <t>Saligoe-Simmel, LLC</t>
  </si>
  <si>
    <t>mailto:jsaligoe@iupui.edu</t>
  </si>
  <si>
    <t>Samaritan Alliance, LLC</t>
  </si>
  <si>
    <t>http://www.samaritanalliance.com</t>
  </si>
  <si>
    <t>mailto:moynihan@samaritanalliance.com</t>
  </si>
  <si>
    <t>Sammarco's Italian Cafe</t>
  </si>
  <si>
    <t>mailto:sammarcospizza@yahoo.com</t>
  </si>
  <si>
    <t>Sampurna, LLC</t>
  </si>
  <si>
    <t>mailto:rivesavery@yahoo.com</t>
  </si>
  <si>
    <t>Sams Technical Publishing, LLC</t>
  </si>
  <si>
    <t>http://www.samswebsite.com</t>
  </si>
  <si>
    <t>mailto:samstech@samswebsite.com</t>
  </si>
  <si>
    <t>Samson Logistics Inc</t>
  </si>
  <si>
    <t>="WBE Owned company that includes transportation, logistics, and property management. We are a 3PL and IMC that handles truckload, LTL, intermodal and ocean freight throughout the nation and the world. Our property management divison handles mobile/remote title closings throughout all 92 counties of Indiana as well as handling property inspections and property preservations for major lendors and REO asset managers."</t>
  </si>
  <si>
    <t>Samsun Mechanical, Inc</t>
  </si>
  <si>
    <t>http://www.samsunmechanical.com</t>
  </si>
  <si>
    <t>mailto:info@samsunmechanical.com</t>
  </si>
  <si>
    <t>Samuel Solutions Group, LLC</t>
  </si>
  <si>
    <t>mailto:tsamuel@samuelsolutionsgroup.com</t>
  </si>
  <si>
    <t>Sand Dune Publishing LLC</t>
  </si>
  <si>
    <t>="Publisher of unique line of journals (Between Me And You™) geared toward initiating and/or improving communication between loved ones and other individuals. Excellent for families. www.sanddunebooks.com. Also available to design and publish custom documents including brochures, newsletters, books, etc."</t>
  </si>
  <si>
    <t>http://www.sanddunebooks.com</t>
  </si>
  <si>
    <t>mailto:winston@sanddunebooks.com</t>
  </si>
  <si>
    <t>Sanders Flooring and Design</t>
  </si>
  <si>
    <t>mailto:gary@sandersflooring.com</t>
  </si>
  <si>
    <t>Sanders Lawn Care Services,LLC</t>
  </si>
  <si>
    <t>="We customize our services to fit your needs. But, take a look at all that we can offer: professional mowing, trimming, pruning, leaf removal, mulch, fertilization, aerating, flower bed clean out, snow removal, salt dispensing or any personalized landscaping needs. Our equipment is well maintained, and annually serviced, so as to insure you a timely service at each visit."</t>
  </si>
  <si>
    <t>http://www.sanderslawns.com</t>
  </si>
  <si>
    <t>mailto:info@sanderslawns.com</t>
  </si>
  <si>
    <t>Sanders Trucking Company LLC</t>
  </si>
  <si>
    <t>mailto:sanderstruckingllc@gmail.com</t>
  </si>
  <si>
    <t>Sandhill Environmental Services, LLC</t>
  </si>
  <si>
    <t>http://www.sandhillenviro.com</t>
  </si>
  <si>
    <t>mailto:admin@sandhillenviro.com</t>
  </si>
  <si>
    <t>Sandy Foster Photography</t>
  </si>
  <si>
    <t>http://sandyfosterphotography.shutterbug</t>
  </si>
  <si>
    <t>mailto:sandy.foster15@gmail.com</t>
  </si>
  <si>
    <t>Sanford's Roofing Joshua Sanford</t>
  </si>
  <si>
    <t>="Installing and fabricating metal roofs. Supply sheet metal. Install all types of Standing seam metal roofs. We install all types of roofs. ( metal, shingles, rubber,). We also do gutters, siding, sofits, facia and much more. We do any general costruction. We have new machine for running out crimp stlye metal 2in rib for all your commercial needs."</t>
  </si>
  <si>
    <t>mailto:www.teahldbrn@aol.com</t>
  </si>
  <si>
    <t>Sanitary Express LLC</t>
  </si>
  <si>
    <t>="We’re dedicated to delivering the highest standards of quality commercial janitorial services and customer services for our clients Sanitary Express LLC specializes in commercial and industrial janitorial services. We offer the highest quality customer service in the industry. We can taylor our services to any customer’s needs or requests."</t>
  </si>
  <si>
    <t>http://www.sanitaryexpress.com</t>
  </si>
  <si>
    <t>mailto:info@sanitaryexpress.com</t>
  </si>
  <si>
    <t>Sankofa Electric</t>
  </si>
  <si>
    <t>mailto:sankofa04@sbcglobal.net</t>
  </si>
  <si>
    <t>Santa Claus Vol. Fir</t>
  </si>
  <si>
    <t>Santis Environmental, Inc.</t>
  </si>
  <si>
    <t>http://www.santisenvironmental.com</t>
  </si>
  <si>
    <t>mailto:rachel@santisenvironmental.com</t>
  </si>
  <si>
    <t>Santosh Chawla</t>
  </si>
  <si>
    <t>Sapphie Solutions, LLC</t>
  </si>
  <si>
    <t>http://www.sapphie.com</t>
  </si>
  <si>
    <t>mailto:info@sapphie.com</t>
  </si>
  <si>
    <t>Sapphire Staffing, Inc</t>
  </si>
  <si>
    <t>="MMY provides our Public Sector clients with a powerful combination of business process consulting and technology solutions. Our consultants deliver and support solutions for a wide range of government agencies including; Health and Human Services, Judiciary and Public Retirement Systems. MMY delivers expertise in four strategic disciplines: 1) Program/Project Management 2) IT Strategic Planning 3) Independent Verification and Validation 4) Technology Solutions Development MMY provides application development, consulting and migration processes to support clients in achieving: collaboration across their teams; application access from any device; applications that are highly available; and the ability to leverage the web and social media for organizational advantage."</t>
  </si>
  <si>
    <t>http://www.MMYConsulting.com</t>
  </si>
  <si>
    <t>mailto:bill.monachino@mmyconsulting.com</t>
  </si>
  <si>
    <t>Saqui Research LLC</t>
  </si>
  <si>
    <t>="Saqui Research is a Midwest-based research group specializing in providing concrete solutions to the diverse unique challenges facing small to mid-size businesses, non-profit entities, and academic communities and their members through custom tailored, action-oriented research. Led by Founder and President Ursula Saqui, Ph.D., Saqui Research delivers dramatic results for its many clients by employing its considerable research insight and extensive multi-sector experience to clarify client needs, develop strategies to meet client goals, and provide clear verification and communication of the attainment of client objectives. By virtue of its dual focus on both research and strategy, Saqui Research is a leader in providing research driven solutions."</t>
  </si>
  <si>
    <t>http://www.SaquiResearch.com</t>
  </si>
  <si>
    <t>mailto:Info@SaquiResearch.com</t>
  </si>
  <si>
    <t>Sarah B. Nerenberg</t>
  </si>
  <si>
    <t>="Sarah Nerenberg is an independent consultant based in South Bend, Indiana. She provides expert technical assistance to local governments, non-profit organizations, and water resource consulting firms in natural resource planning activities including watershed planning, best management practices, water resource issues analyses, and low-impact development. Prior to moving to Indiana, she was the Director of Natural Resources at the Northeastern Illinois Planning Commission, where she assisted local governments and watershed group with natural resource planning, developed a conservation development manual, initiated a program on water supply planning and provided support for regional water resource planning efforts. Prior to being at NIPC, she worked for The Conservation Fund on promoting conservation development and for the U.S. Army Corps of Engineer’s Chicago District in their planning department. She has a BS in Chemical Engineering and an MS is Natural Resource Planning."</t>
  </si>
  <si>
    <t>Sarah Stivers Productions LLC</t>
  </si>
  <si>
    <t>mailto:sarahstivers@yahoo.com</t>
  </si>
  <si>
    <t>Saunders-Saunders &amp; Assoc. Inc.</t>
  </si>
  <si>
    <t>http://saunders-saunders.com</t>
  </si>
  <si>
    <t>mailto:jes4519@aol.com</t>
  </si>
  <si>
    <t>Savin of Indiana Inc. dba The UPS Store</t>
  </si>
  <si>
    <t>="Freight transportation agent versed in packing and crating disciplines. A business service center with emphasis on digital printing on a full color production copier with multiple finishing capabilities. Networked large format printing, copying and scanning capabilities to meet the needs of the architectural industry."</t>
  </si>
  <si>
    <t>http://www.theupsstore.com</t>
  </si>
  <si>
    <t>mailto:store2443@theupsstore.com</t>
  </si>
  <si>
    <t>Sayles Plumbing Heating &amp; Drainage</t>
  </si>
  <si>
    <t>mailto:undranitagilbert@yahoo.com</t>
  </si>
  <si>
    <t>Scearce Rudisel Architects, Inc.</t>
  </si>
  <si>
    <t>="Scearce Rudisel Architects, Inc. has more than thirty years design experience in Indiana and Michigan. Design work includes civic, commercial, educational, health care, housing, historic restoration, industrial, office, public library, and sacred spaces. Of particular interest to the firm is restoring and renovating historic landmark buildings. Mary Ellen Rudisel-Jordan, AIA, NCARB, is a member of the Conservative Assessor Program and a licensed Assessor for Heritage Preservation."</t>
  </si>
  <si>
    <t>Schaffer Publications Inc</t>
  </si>
  <si>
    <t>http://www.popularss.com</t>
  </si>
  <si>
    <t>mailto:sub@buypss.com</t>
  </si>
  <si>
    <t>Scheidleman Excavating. Inc</t>
  </si>
  <si>
    <t>="Site Development Sanitary Sewers Storm Sewers Water Mains Heavy Grading Ligth Grading Small Bridges Small Structures (culverts and drainage items) Surface Masonry (curbs, walks, paved side ditches, driveways, cross-overs, grouted rip-rap) Open Pit Excavation Seeding, sodding, topsoil, and erosion control Landscaping Vegetation Control Concrete Pavement Repairs"</t>
  </si>
  <si>
    <t>mailto:Scheidlemanexc@mchsi.com</t>
  </si>
  <si>
    <t>Scheitlin Communication Inc</t>
  </si>
  <si>
    <t>="Scheitlin Communications is a marketing communications firm that helps our clients understand the unique value that they offer to their customers. Through strategy development, branding, communications planning, advertising, promotion, web design and public relations, we help our clients attract and retain their customers with compelling strategies, messages and materials that differentiate them in today’s highly competitive market."</t>
  </si>
  <si>
    <t>http://www.scheitlin.com</t>
  </si>
  <si>
    <t>mailto:barbs@scheitlin.com</t>
  </si>
  <si>
    <t>Schenck Enterprises Inc</t>
  </si>
  <si>
    <t>Schenk, Incorporated</t>
  </si>
  <si>
    <t>Scher Maihem Publishing Ltd</t>
  </si>
  <si>
    <t>http://www.schermaihem.com</t>
  </si>
  <si>
    <t>mailto:info@schermaihem.com</t>
  </si>
  <si>
    <t>Schererville Steel Co.</t>
  </si>
  <si>
    <t>Schilling Lawn &amp; Landscaping, LLC</t>
  </si>
  <si>
    <t>="Landscape company with over 16 years of experience offering services to commercial and residential properties. Services include mowing and trimming, maintenance of existing landscaping, landscape clean up, design and installation of new landscape, tree trimming and removal, fertilization, leaf removal, and snow removal and salting."</t>
  </si>
  <si>
    <t>http://www.schillinglandscape.com</t>
  </si>
  <si>
    <t>mailto:scottschilling5@aol.com</t>
  </si>
  <si>
    <t>Schlegel Machine, Inc.</t>
  </si>
  <si>
    <t>http://www.smibrazil.com</t>
  </si>
  <si>
    <t>mailto:info@smibrazil.com</t>
  </si>
  <si>
    <t>Schmeltzer Civil</t>
  </si>
  <si>
    <t>http://www.schmeltzercivil.com</t>
  </si>
  <si>
    <t>mailto:jschmeltzer@schmeltzercivil.com</t>
  </si>
  <si>
    <t>Schmidt Associates Incorporated</t>
  </si>
  <si>
    <t>http://www.schmidt-arch.com</t>
  </si>
  <si>
    <t>mailto:marketing@schmidt-arch.com</t>
  </si>
  <si>
    <t>Schmidt Cabinet Co Inc</t>
  </si>
  <si>
    <t>mailto:roberta@schmidtcabinet.com</t>
  </si>
  <si>
    <t>Schmidt Electric Inc</t>
  </si>
  <si>
    <t>="Schmidt Electric offers the services and expertise you need including... New Construction Projects, Electrical Troubleshooting, Power Quality Monitoring, Power Conditioning Services, Computer Network Cabling, Ground Field Operations, Backup Generator Systems, Critical Power UPS Systems, Parking Lot Lighting."</t>
  </si>
  <si>
    <t>http://www.Schmidt-Electric.net</t>
  </si>
  <si>
    <t>mailto:info@Schmidt-Electric,net</t>
  </si>
  <si>
    <t>Schmidt's Hearing Aid Service,LLC</t>
  </si>
  <si>
    <t>mailto:schmidthearing@insightbb.com</t>
  </si>
  <si>
    <t>Schmitt Refrigeration AIr Conditioning a</t>
  </si>
  <si>
    <t>http://www.schmittrefrigeration.net</t>
  </si>
  <si>
    <t>mailto:contact@schmittrefrigeration.net</t>
  </si>
  <si>
    <t>Schneider &amp; Associates</t>
  </si>
  <si>
    <t>http://www.smteasy.com</t>
  </si>
  <si>
    <t>mailto:mark@smteasy.com</t>
  </si>
  <si>
    <t>Schneider Electrical</t>
  </si>
  <si>
    <t>http://www.schneiderelectrical.com</t>
  </si>
  <si>
    <t>mailto:salesinfo@schneiderelectrical.com</t>
  </si>
  <si>
    <t>Schneider Engineering</t>
  </si>
  <si>
    <t>="The Schneider Corporation provides creative solutions for land, infrastructure and facilities projects that help increase revenue, lower costs and mitigate risk. Schneider has expertise in engineering, surveying, architecture and Geographic Information Services (GIS), which allows us to offer an integrated approach to complex projects. Customers include both private and public organizations in industries including energy, commercial, corporate, government, academic and residential. A woman-owned business for decades, Schneider is recognized nationally for its award-winning work. For more information about Schneider, please visit www.schneidercorp.com."</t>
  </si>
  <si>
    <t>http://www.schneidercorp.com</t>
  </si>
  <si>
    <t>mailto:contact@schneidercorp.com</t>
  </si>
  <si>
    <t>Schneider National</t>
  </si>
  <si>
    <t>http://www.schneider.com</t>
  </si>
  <si>
    <t>Schneider National Carriers</t>
  </si>
  <si>
    <t>mailto:ingramp@schneider.com</t>
  </si>
  <si>
    <t>Schoberg &amp; Schoberg, Inc.</t>
  </si>
  <si>
    <t>http://www.schoberg.com</t>
  </si>
  <si>
    <t>mailto:valori@schoberg.com</t>
  </si>
  <si>
    <t>Scholars Peak, LLC</t>
  </si>
  <si>
    <t>="Scholars Peak, LLC is an education consulting company. Our services include data analysis, teacher evaluation, curriculum planning, development and design, grant writing, administrator and teacher support and mentoring, and assessment development and design."</t>
  </si>
  <si>
    <t>http://www.ScholarsPeak.org</t>
  </si>
  <si>
    <t>mailto:Stacey@ScholarsPeak.org</t>
  </si>
  <si>
    <t>School Book Center</t>
  </si>
  <si>
    <t>="We are an educational wholesale company, located in South Bend, Indiana which provides K-12 books and related student and teacher professional development materials to schools and teachers across the country. We also partner with the Indiana Council of Economic Education located at Purdue University in providing economic and personal finance resources and books for teachers and their students via our KidsEconBooks.com and TeensEconBooks.com websites."</t>
  </si>
  <si>
    <t>http://www.schoolbookcenter.com</t>
  </si>
  <si>
    <t>mailto:wburke@schoolbookcenter.com</t>
  </si>
  <si>
    <t>Schrader Real Estate and Auction Company</t>
  </si>
  <si>
    <t>="Schrader Real Estate and Auction Company offers a complete line of auction and related services with thoroughly-trained teams to better serve you. Farm Real Estate Auctions, Transistional Land Auctions, Industrial &amp; Commercial Auctions, Residental Auctions, Farm Machinery Auctions, Fertilizer Equipment Auctions, Estate Auctions, Appraisal Services and Traditional Real Estate Listings. We are your full-service auction provider."</t>
  </si>
  <si>
    <t>http://www.schraderauction.com</t>
  </si>
  <si>
    <t>mailto:auctions@schraderauction.com</t>
  </si>
  <si>
    <t>Schroeder Motors Inc</t>
  </si>
  <si>
    <t>mailto:eastindyaamco@yahoo.com</t>
  </si>
  <si>
    <t>SchugAwards.com</t>
  </si>
  <si>
    <t>mailto:SSCHUG@SCHUGAWARDS.COM</t>
  </si>
  <si>
    <t>Jewelry (except Costume) Manufacturing</t>
  </si>
  <si>
    <t>Schwartz Construction, Inc.</t>
  </si>
  <si>
    <t>Schwartz Enterprises</t>
  </si>
  <si>
    <t>http://www.windowalternatives.com</t>
  </si>
  <si>
    <t>mailto:jenniferschwartz@insightbb.com</t>
  </si>
  <si>
    <t>Schwartz Investments Inc.</t>
  </si>
  <si>
    <t>="We are a NAPA Auto Parts store group with 3 stores in Indiana. We have 2 locations in Lafayette and 1 in Fowler. We stock over a million dollars of inventory combined and have access to well over $250,000,000 over night. We are family owned and operated with a family member at every store. NAPA Auto Parts are the best quality parts in this business. They are back by a great warranty and are made by leading manufacturers. All stores have a great staff with a long background in the aftermarket auto parts."</t>
  </si>
  <si>
    <t>http://WWW.LAFAYETTENAPA.COM</t>
  </si>
  <si>
    <t>mailto:info@lafayettenapa.com</t>
  </si>
  <si>
    <t>Schwindel Graphics, Inc.</t>
  </si>
  <si>
    <t>="Since 1989, we have provided personal service and quick turn around time that only a family business can offer. Our commercial print shop can accommodate all of your printing needs including newsletters, brochures, postcards, business cards, letterhead, carbonless duplicate forms and envelopes. Design and typesetting is also available."</t>
  </si>
  <si>
    <t>http://www.schwindelgraphics.com</t>
  </si>
  <si>
    <t>mailto:dennis@schwindelgraphics.com</t>
  </si>
  <si>
    <t>Science Applications International Corp</t>
  </si>
  <si>
    <t>="SAIC is a leading provider of scientific, engineering, systems integration and technical services and solutions to all branches of the U.S. military, agencies of the Department of Defense, the U.S. Department of Homeland Security and other U.S. Government civil agencies, as well as to customers in selected commercial markets. SAIC engineers and scientists solve complex technical challenges requiring innovative solutions for customers’ mission-critical functions."</t>
  </si>
  <si>
    <t>http://www.saic.com</t>
  </si>
  <si>
    <t>mailto:Kenneth.L.Detwiler@saic.com</t>
  </si>
  <si>
    <t>Scientific Methods, Inc.</t>
  </si>
  <si>
    <t>="Scientific Methods (SMI) provides advanced microbial testing services to water and wastewater treatment plants, engineering firms, treatment technology manufacturers and government agencies. SMI offers bacteria, Giardia, Cryptosporidium, MPA and virus testing. SMI also works with universities to develop innovative testing technologies."</t>
  </si>
  <si>
    <t>http://www.scientificmethods.com</t>
  </si>
  <si>
    <t>mailto:matt@scientificmethods.com</t>
  </si>
  <si>
    <t>Scientifically Speaking</t>
  </si>
  <si>
    <t>http://www.scientifically-speaking.com</t>
  </si>
  <si>
    <t>mailto:eric@scientifically-speaking.com</t>
  </si>
  <si>
    <t>Sckamamade, Inc.</t>
  </si>
  <si>
    <t>="Cabinet Supply, Inc. is the area's largest outlet for Distinctive Kemper and Decora' Cabinetry, proudly and professionally serving the eastern Indiana / West Ohio area since 1967. Cabinet Supply, Inc. is a full service dealer providing cabinetry, countertops, appliances and hardware for your kitchen, bath and any other room in your home. Please come in to one of our three showrooms Richmond, IN Phone: (765) 966-6893 Troy, OH 45373 Phone: (937) 339-9000 Hamilton, OH 45013 Phone: (513) 892-1023"</t>
  </si>
  <si>
    <t>http://www.cabinetsupplyinc.com</t>
  </si>
  <si>
    <t>mailto:destes@cabinetsupplyinc.com</t>
  </si>
  <si>
    <t>Scofield Editorial, Inc.</t>
  </si>
  <si>
    <t>http://www.scofieldedit.com</t>
  </si>
  <si>
    <t>mailto:info@scofieldedit.com</t>
  </si>
  <si>
    <t>Scorpion Protective Coatings, Inc.</t>
  </si>
  <si>
    <t>http://www.scorpioncoatings.com</t>
  </si>
  <si>
    <t>mailto:scorpioncoatings@earthlink.net</t>
  </si>
  <si>
    <t>Scot Mailing &amp; Shipping Systems, Inc</t>
  </si>
  <si>
    <t>http://www.scotmailing.com</t>
  </si>
  <si>
    <t>Scott County Economic Development Corpor</t>
  </si>
  <si>
    <t>http://scottcountyin.com</t>
  </si>
  <si>
    <t>mailto:info@scottcountyin.com</t>
  </si>
  <si>
    <t>Scott County Properties, LLC</t>
  </si>
  <si>
    <t>Scott Memorial Hospital</t>
  </si>
  <si>
    <t>Scott Truck Systems, Inc.</t>
  </si>
  <si>
    <t>http://www.scotttrucksystems.com</t>
  </si>
  <si>
    <t>mailto:david.scott@scotttrucksystems.com</t>
  </si>
  <si>
    <t>Scott's Hardware Inc.</t>
  </si>
  <si>
    <t>Scotts Lawn Service</t>
  </si>
  <si>
    <t>="Scotts LawnService develops and maintains commercial and residential lawns and landscapes. We provide regular Scotts feedings throughout the growing season, including a Spring crabgrass pre-emergent and a Fall winterizer. Our patented Ortho Weed-B-Gon Pro will also help control and reduce weeds throughout the difficult summer months. There are also many optional services, including a guaranteed grub protection and fall core aeration. In addition to our lawn services, we can provide Miracle-Gro Tree and Shrub services, which will enhance and protect your landscape investment."</t>
  </si>
  <si>
    <t>http://scottslawnservice.com</t>
  </si>
  <si>
    <t>mailto:scottslawnservice.com</t>
  </si>
  <si>
    <t>Scottsburg Winnelson</t>
  </si>
  <si>
    <t>http://www.scottsburgwinnelson.com</t>
  </si>
  <si>
    <t>Scotty's Sanitation, Inc.</t>
  </si>
  <si>
    <t>http://www.scottyssanitation.com</t>
  </si>
  <si>
    <t>mailto:scottysinc@aim.com</t>
  </si>
  <si>
    <t>Scout Enterprises, LLC</t>
  </si>
  <si>
    <t>mailto:nathanboyd46@gmail.com</t>
  </si>
  <si>
    <t>ScreenCheck NA</t>
  </si>
  <si>
    <t>="For years, ScreenCheck has been a world leader in providing identification systems to hundreds of businesses and organizations that includes technology such as multi-functional chip cards, biometric enrolling and verification, custom web applications, and off-the-shelf ID systems. Millions of ID cards are issued every year by using a ScreenCheck and Polaroid ID system. ScreenCheck offers ID Software, Printers, Media, Custom Applications, and Solutions/Support for your ID program. Our solutions are used throughout the world for various identification needs - such as National IDs, Driver’s License Programs, Employee IDs, Student IDs, Law Enforcement Commission Cards, Voter Programs, Visitor Management, and many more. Our services also include an ID Card Production Service for those seeking to outsource their card production and database management. The bottom line is you can depend on ScreenCheck for a Polaroid ID system that exceeds your identification needs."</t>
  </si>
  <si>
    <t>http://www.screencheckna.com</t>
  </si>
  <si>
    <t>mailto:scfw.sales@screencheckna.com</t>
  </si>
  <si>
    <t>ScreenCheck North America, LLC</t>
  </si>
  <si>
    <t>SeaBreeze Technologies, LLC</t>
  </si>
  <si>
    <t>="SeaBreeze Technologies, LLC is comprised of engineers and scientists who specialize in remediation of complex soil and groundwater problems. Our expertise includes the use of innovative systems to measure contaminants and unique, advanced technologies for treatment of the contaminants. Our clients include Fortune 100 companies, federal and state government, and many local companies. SeaBreeze assists its clients with compliance audits, permitting and industrial wastewater treatment system design, construction and installation."</t>
  </si>
  <si>
    <t>mailto:rgreatorex@seabreeze-tech.com</t>
  </si>
  <si>
    <t>Seal Pro's Asphalt &amp; Parking lot Maint</t>
  </si>
  <si>
    <t>="Seal Pro's Parking Lot Maintenance Service * Parking Lot Striping * Roadway Striping* Factory/Industrial/Warehouse Striping *Custom Pavement Symbols *Playground Games * Custom Design Consultation *ADA Compliance Consulting *Pavement Marking Removal *Sign Installation *Parking Bumper Installation *pavement maintenance *Sealcoating *Asphalt Crack &amp; Joint Repair *Pothole Repair/ Patching / Pot hole repair"</t>
  </si>
  <si>
    <t>http://www.sealpros.info</t>
  </si>
  <si>
    <t>mailto:hdfor@aol.com</t>
  </si>
  <si>
    <t>Seals Ambulance Service</t>
  </si>
  <si>
    <t>http://www.seals-ambulance.com</t>
  </si>
  <si>
    <t>mailto:rseals@seals-ambulance.com</t>
  </si>
  <si>
    <t>Searer Communications Inc</t>
  </si>
  <si>
    <t>http://www.searercom.com</t>
  </si>
  <si>
    <t>mailto:verne@searercom.com</t>
  </si>
  <si>
    <t>Sease, Gerig &amp; Assoc</t>
  </si>
  <si>
    <t>http://www.seasegerig.com</t>
  </si>
  <si>
    <t>mailto:sga@seasegerig.com</t>
  </si>
  <si>
    <t>Seasonal Design, Inc</t>
  </si>
  <si>
    <t>mailto:Mebscaife@msn.com</t>
  </si>
  <si>
    <t>Sebree Architects, Inc.</t>
  </si>
  <si>
    <t>http://www.sebreearchitects.com</t>
  </si>
  <si>
    <t>mailto:mark@sebreearchitects.com</t>
  </si>
  <si>
    <t>Secant IT, Inc.</t>
  </si>
  <si>
    <t>http://www.secantit.com</t>
  </si>
  <si>
    <t>mailto:info@secantit.com</t>
  </si>
  <si>
    <t>Seco, Inc.</t>
  </si>
  <si>
    <t>="Seco, Inc. is an Electrical Contracting company with emphasis on heavy industrial electrical work. Our Seco team has over 104 years combined experience in the Electrical Construction Industry. Our new construction and maintenance experience includes: Fossil Fuel Generation Facitilites, Turbine Facilities, Coal Gasification Facilities, Metal Manufacturing Facilities, Petrol-Chemical Facilities, Pharmaceutical Facilities and Plastic Manufacturing Facilities. Our areas of expertise include heavy industrial electrical construction, transmission and distribution, high voltage testing, new switchyard construction and maintenance, fiber optic cable installation and testing, instrument calibration and installation and repair."</t>
  </si>
  <si>
    <t>mailto:secoinc_424@hotmail.com</t>
  </si>
  <si>
    <t>Second Harvest Food Bank of East Cent IN</t>
  </si>
  <si>
    <t>http://www.curehunger.org</t>
  </si>
  <si>
    <t>mailto:foodbank@curehunger.org</t>
  </si>
  <si>
    <t>SecurMar, LLC</t>
  </si>
  <si>
    <t>http://www.securmar.com</t>
  </si>
  <si>
    <t>mailto:sales@securmar.com</t>
  </si>
  <si>
    <t>Securitas USA</t>
  </si>
  <si>
    <t>http://www.securitasinc.com</t>
  </si>
  <si>
    <t>mailto:brian.crowley@securitasinc.com</t>
  </si>
  <si>
    <t>Security Automation Systems, Inc.</t>
  </si>
  <si>
    <t>="We are a provider and installer of security electronic systems for the government sector, with a specialty in providing security electronic control and monitoring systems for correctional facilties. Systems provided include PLC-based touchscreen control systems, door control, intercom control, card access, camera and recording systems, video visitation and video arraignment systems."</t>
  </si>
  <si>
    <t>http://www.securityautomationsystems.com</t>
  </si>
  <si>
    <t>mailto:info@securityautomationsystems.com</t>
  </si>
  <si>
    <t>Security Boxes LLC</t>
  </si>
  <si>
    <t>mailto:securityboxesllc@outlook.com</t>
  </si>
  <si>
    <t>Showcase, Partition, Shelving, and Locker Manufacturing</t>
  </si>
  <si>
    <t>Security Industries, Inc.</t>
  </si>
  <si>
    <t>mailto:SecurityIndustries@verizon.net</t>
  </si>
  <si>
    <t>Security Labs, Inc.</t>
  </si>
  <si>
    <t>http://www.security-labs.com</t>
  </si>
  <si>
    <t>mailto:kparis@security-labs.com</t>
  </si>
  <si>
    <t>Security Video Ind</t>
  </si>
  <si>
    <t>http://www.securityvideo.com</t>
  </si>
  <si>
    <t>mailto:secvidin@sbcglobal.net</t>
  </si>
  <si>
    <t>Security,Process Serving &amp; Investigation</t>
  </si>
  <si>
    <t>http://www.spi-securitysolutions.com</t>
  </si>
  <si>
    <t>mailto:anita@spi-securitysolutions.com</t>
  </si>
  <si>
    <t>Securus Technologies, Inc.</t>
  </si>
  <si>
    <t>="By connecting what matters to inmates and their friends and family members, we help them stay in touch with the people and get the information they care about — with greater ease and independence. Our focus on enabling effective communication between key corrections groups distinguishes Securus from the pack and contributes to our reputation as the number one choice for communication solutions in the corrections industry. Headquartered in Dallas, Texas, Securus employs approximately 750 Associates who serve approximately 2,200 correctional facilities in 45 states and more than 850,000 inmates nationwide. With close to 100 industry patents issued and approximately 35 pending, we're also the industry's leading innovator."</t>
  </si>
  <si>
    <t>http://www.securustech.net</t>
  </si>
  <si>
    <t>Sedam Contracting Co LLC</t>
  </si>
  <si>
    <t>mailto:sedamllc@verizon.net</t>
  </si>
  <si>
    <t>SeekerCADDServices, LLC</t>
  </si>
  <si>
    <t>="Seeker CADD Services provides CAD support to engineering companies in the transportation field. Our services will assist in the production of plans from the begin stages to as-builts via electronic submittal. Fields of engineering will be, but not limited to, transportation, drainage, traffic and environmental."</t>
  </si>
  <si>
    <t>mailto:RBALLEN@AMERITECH.NET</t>
  </si>
  <si>
    <t>Seely Office Solutions Inc</t>
  </si>
  <si>
    <t>mailto:aseely@seelyoffice.com</t>
  </si>
  <si>
    <t>Segment Technolgies</t>
  </si>
  <si>
    <t>="Segment Technologies is a company that provides a full range of data services, including application development, data analysis, database manipulation, data conversion, and network implementations. Segment complements these strengths with a sound understanding of networking principles and a focused eye on security needs. Segment's goal is to deliver relevant, precise technology to a diverse customer base. Segment's team uses their vast experience to integrate and construct systems and applications that provide our clients with the most cost-effective solutions without compromising the commitment to deliver a high quality product."</t>
  </si>
  <si>
    <t>http://www.seg-ment.com</t>
  </si>
  <si>
    <t>mailto:chris@seg-ment.com</t>
  </si>
  <si>
    <t>Seguim-Arnold Productions, Inc.</t>
  </si>
  <si>
    <t>="Seguim-Arnold Productions is a full-service communications and media company providing the following products and services: • Video Production • High Definition Video • Corporate Communications • Video News Releases • Interactive Kiosks • Animation and Graphics • Web Design"</t>
  </si>
  <si>
    <t>http://www.seguimarnold.com</t>
  </si>
  <si>
    <t>mailto:eric@seguimarnold.com</t>
  </si>
  <si>
    <t>Segway of Indiana LLC</t>
  </si>
  <si>
    <t>="The Segway PT is a landmark technology in personal transportation. This award winning zero-emission, electric powered, compact transportation and sports and leisure tool is a pioneer in environmentally friendly, gridlock reducing technology, providing a fun, safe and smart personal transportation alternative. Segway of Indiana LLC markets the full line of zero-emissions Segway PTs for sidewalk and cross-terrain use that deliver impressive energy efficiency – equivalent to 450 miles per gallon/191 kilometers per liter of fuel. Segway of Indiana, LLC is Indiana’s sole Segway Personal Transporter (PT) dealership."</t>
  </si>
  <si>
    <t>http://segwayofindiana.com</t>
  </si>
  <si>
    <t>mailto:info@segwayofindiana.com</t>
  </si>
  <si>
    <t>Scenic and Sightseeing Transportation, Land</t>
  </si>
  <si>
    <t>Selah Academy, Incorporated</t>
  </si>
  <si>
    <t>Select Equipment Co., Inc.</t>
  </si>
  <si>
    <t>="Specializing in new, reconditioned and obsolete Switchgear, Circuit Breakers, Motor Controls, Busway Systems, &amp; Power Distribution Equipment from the industry's leading manufacturers; we now support a wide range of businesses around the world. We are proud to say that our expertly reconditioned electrical products have been installed in leading manufacturing plants around the globe. We are still a family owned and operated business with a firm belief in safety, quality, service, and great customer support. We hope to have the opportunity to help you with your electrical equipment needs."</t>
  </si>
  <si>
    <t>http://WWW.SELECTEQUIPMENT.NET</t>
  </si>
  <si>
    <t>mailto:dbraysurplus@gmail.com</t>
  </si>
  <si>
    <t>Select Mechanical Contractors</t>
  </si>
  <si>
    <t>mailto:select1hvac@yahoo.com</t>
  </si>
  <si>
    <t>Select Seed Hybrids</t>
  </si>
  <si>
    <t>http://www.selectseed.com</t>
  </si>
  <si>
    <t>mailto:sales@selectseed.com</t>
  </si>
  <si>
    <t>Select Tool &amp; Eng</t>
  </si>
  <si>
    <t>Selectica Inc.</t>
  </si>
  <si>
    <t>http://www.iasta.com</t>
  </si>
  <si>
    <t>mailto:http://www.iasta.com/contact-us</t>
  </si>
  <si>
    <t>Selective Gift Inst.</t>
  </si>
  <si>
    <t>http://www.awardsnetwork.com</t>
  </si>
  <si>
    <t>mailto:sales@awardsnetwork.com</t>
  </si>
  <si>
    <t>Selective Systems Inc.</t>
  </si>
  <si>
    <t>="We are a commercial, mobile and residential satellite tv company. We also are custom commercial and home theater design and installation experts. We sell and install tv's, security systems utilizing DVR technology and color digital cameras, high speed satellite internet systems, and audio systems for residential or commercial applications. All structrured wiring."</t>
  </si>
  <si>
    <t>http://www.selectindy.com</t>
  </si>
  <si>
    <t>mailto:cschaler@selectindy.com</t>
  </si>
  <si>
    <t>Cable and Other Program Distribution</t>
  </si>
  <si>
    <t>Sellers Masonry Inc</t>
  </si>
  <si>
    <t>="Block/ brick/stone/concrete construction, foundation repair/construction, refractory, restoration, mechanical masonry, tuck pointing, stone setting, concrete walkways, and concrete staining. Painting, staining, polyester/epoxy/urethane coatings, waterproofing, sealant, wall coverings, resurfacing, surface restoration, dry ice/sand/water blasting, paint and products supplier. Sellers Masonry Inc. has 40 years union experience in the masonry trade and 10 years experience in blasting, painting, staining, and lead abatement. Our experience has built a wealth of knowledge that has qualified our owner with the title of Master Mason. We have our Minority Business Enterprise (MBE) certificate, Indiana Minority Supplier Diversity Council (IMSDC) certification, Subcontractors License, Lead Abatement Certification (32 hours), OSHA 10, 4 ARS card, Hazardous Safety Card, Nuclear Safety Card, and Scaffold Building Certificate."</t>
  </si>
  <si>
    <t>http://www.sellersinc.net</t>
  </si>
  <si>
    <t>mailto:casey@sellersinc.net</t>
  </si>
  <si>
    <t>Sellers SignArt</t>
  </si>
  <si>
    <t>mailto:sellerssignart@hotmail.com</t>
  </si>
  <si>
    <t>Selvey-Payne, Inc</t>
  </si>
  <si>
    <t>="HVAC Residential and Light Commerical Contractor for Clinton, Carroll, &amp; Tippecanoe Counties. Services includes repair, preventive maintenance, new contruction, remodeling, and replacement of all brands of heating and air conditoning equipment including zoning, and indoor air quality accessories."</t>
  </si>
  <si>
    <t>http://www.selveypayne.com</t>
  </si>
  <si>
    <t>mailto:david@selveypayne.com</t>
  </si>
  <si>
    <t>Senergeo, Inc</t>
  </si>
  <si>
    <t>mailto:jclaggett@senergeo.com</t>
  </si>
  <si>
    <t>Sensible Ecology, LLC</t>
  </si>
  <si>
    <t>="Sensible Ecology, LLC is an ecological planning and design consulting firm based in Indianapolis, Indiana. We bring together an understanding of the natural and built environments to protect both ecological and economic viability. Our primary goal is to preserve biodiversity with practical, affordable solutions."</t>
  </si>
  <si>
    <t>http://sensibleecology.com</t>
  </si>
  <si>
    <t>mailto:lisa@sensibleecology.com</t>
  </si>
  <si>
    <t>Sensit Technologies LLC</t>
  </si>
  <si>
    <t>mailto:sales@gasleaksensors.com</t>
  </si>
  <si>
    <t>SensorTec, Inc.</t>
  </si>
  <si>
    <t>="Manufacture of temperature sensors for industry. Technologies include: Thermocouple, thermistors, resistance temperature detectors (RTD's) and solid state temperature sensors. SensorTec manufactures both standard and custom temperature sensors. Expedited delivery is available and we only have a $50.00 minimum order. SensorTec also can provide thermocouple wire and cable, connectors and connector panel systems, transmitters (signal conditioners) and sensor mounting fittings and accessories."</t>
  </si>
  <si>
    <t>http://www.sensortecinc.com</t>
  </si>
  <si>
    <t>mailto:sales@sensortecinc.com</t>
  </si>
  <si>
    <t>Other Electrical Equipment and Component Manufacturing</t>
  </si>
  <si>
    <t>Sentry Points LLC</t>
  </si>
  <si>
    <t>http://www.fourthwavellc.net</t>
  </si>
  <si>
    <t>mailto:kgoldner@fourthwavellc.net</t>
  </si>
  <si>
    <t>Sentry Roofing, Inc</t>
  </si>
  <si>
    <t>Sequoia Consulting Group, Inc.</t>
  </si>
  <si>
    <t>http://www.sequoiacg.com</t>
  </si>
  <si>
    <t>mailto:davidlynn@sequoiacg.com</t>
  </si>
  <si>
    <t>Serenity Landscape &amp; Design, Inc.</t>
  </si>
  <si>
    <t>mailto:serenitylandscape@gmail.com</t>
  </si>
  <si>
    <t>Serim Research Corporation</t>
  </si>
  <si>
    <t>http://www.serim.com</t>
  </si>
  <si>
    <t>mailto:mantioho@serim.com</t>
  </si>
  <si>
    <t>Servco LLC</t>
  </si>
  <si>
    <t>="An LLC established in 1999 by 32 Indiana electric utilities to support telecommunications and energy related developments in Indiana. Primary services include (a) high speed Broadband Internet solutions and (b) energy solutions addressing improved efficiency, demand management and distributed generation, including public education of all the above. We partner with private sector providers, consult &amp; in some cases aggregate purchases to bring best price and/or favorable service terms. Toll free 1-877-738-6824. Based in Indianapolis, IN."</t>
  </si>
  <si>
    <t>http://www.serviceconcepts.coop</t>
  </si>
  <si>
    <t>mailto:sthrash@serviceconcepts.coop</t>
  </si>
  <si>
    <t>Service Central Inc</t>
  </si>
  <si>
    <t>http://WWW.servicecentralinc.com</t>
  </si>
  <si>
    <t>mailto:info@servicecentralinc.com</t>
  </si>
  <si>
    <t>Hardware Manufacturing</t>
  </si>
  <si>
    <t>Service Connections, Inc.</t>
  </si>
  <si>
    <t>http://www.serviceconnectionsinc.com</t>
  </si>
  <si>
    <t>mailto:jfitzgerald@serviceconnectionsinc.com</t>
  </si>
  <si>
    <t>Service Electric, In</t>
  </si>
  <si>
    <t>http://sei-gates.com</t>
  </si>
  <si>
    <t>mailto:cbears@kconline.com</t>
  </si>
  <si>
    <t>Service Glass of Ind</t>
  </si>
  <si>
    <t>="Commercial glazing including curtainwall, aluminum storefront, sloped glazing, aluminum entrances, revolving entrances, glazing infills of vision lites, spandrel and panels, interior glazing including aesthetic decorative &amp; artistic glass and mirrors, furniture glass covers and assemblies. Specialty glass including bullet &amp; burglar resistant, fire resistant, industrial glass including pressure &amp; temperature applications."</t>
  </si>
  <si>
    <t>http://serviceglassofindy.com/</t>
  </si>
  <si>
    <t>mailto:info@serviceglassofindy.com</t>
  </si>
  <si>
    <t>Service Plus Heating &amp; Air Conditioning</t>
  </si>
  <si>
    <t>http://www.serviceplushvac.com</t>
  </si>
  <si>
    <t>mailto:emily@serviceplushvac.com</t>
  </si>
  <si>
    <t>Service Steel Framing, Inc.</t>
  </si>
  <si>
    <t>http://www.servicesteelframing.com</t>
  </si>
  <si>
    <t>ServiceMaster Commercial Services</t>
  </si>
  <si>
    <t>Seven Corners, Inc.</t>
  </si>
  <si>
    <t>http://www.sevencorners.com</t>
  </si>
  <si>
    <t>mailto:info@sevencorners.com</t>
  </si>
  <si>
    <t>Sew Blessed</t>
  </si>
  <si>
    <t>http://sewblessed393.com</t>
  </si>
  <si>
    <t>mailto:sales@sewblessed393.com</t>
  </si>
  <si>
    <t>Sew Fun</t>
  </si>
  <si>
    <t>mailto:sew_fun2001@yahoo.com</t>
  </si>
  <si>
    <t>Sew On &amp; Sew Forth Inc.</t>
  </si>
  <si>
    <t>http://www.soasf.com</t>
  </si>
  <si>
    <t>mailto:contact@soasf.com</t>
  </si>
  <si>
    <t>Sewer Cam, Inc.</t>
  </si>
  <si>
    <t>Sewer Optical Services, Inc.</t>
  </si>
  <si>
    <t>mailto:sos2002@peoplepc.com</t>
  </si>
  <si>
    <t>Sewing by Sally</t>
  </si>
  <si>
    <t>mailto:sakwaiser@yahoo.com</t>
  </si>
  <si>
    <t>Sexson Mechanical Co</t>
  </si>
  <si>
    <t>="Sexson Mechanical Corporation is a full service Plumbing, Heating, Air Conditioning, Piping Contractor, and Electrical Contractor. We also manage and coordinate with our sub-contractors associated with Controls, Balancing, Insulation, and General Contracting Services."</t>
  </si>
  <si>
    <t>Seymour BioFuels, LLC</t>
  </si>
  <si>
    <t>mailto:mroyalty@cranehillmachine.com</t>
  </si>
  <si>
    <t>Petroleum Refineries</t>
  </si>
  <si>
    <t>Shabazz Management Group, LLC</t>
  </si>
  <si>
    <t>http://www.bahiyahshabazz.com</t>
  </si>
  <si>
    <t>mailto:smg_inquiry@bahiyahshabazz.com</t>
  </si>
  <si>
    <t>Shadeland Enterprise / Marriott East Hot</t>
  </si>
  <si>
    <t>http://www.marriott.com/inddt</t>
  </si>
  <si>
    <t>mailto:urais@indymarriotteast.com</t>
  </si>
  <si>
    <t>Shaffer Distributing Company</t>
  </si>
  <si>
    <t>http://www.shafferdistributing.com</t>
  </si>
  <si>
    <t>mailto:sales@shafferdistributing.com</t>
  </si>
  <si>
    <t>Shalo Trucking</t>
  </si>
  <si>
    <t>mailto:shalotrucking@att.net</t>
  </si>
  <si>
    <t>Shalom Health Care Center, Inc.</t>
  </si>
  <si>
    <t>="Shalom Health Care Center provides primary health care to patients regardless of their ability to pay. Services are offered on Sliding Fee Scale based on the patients income. In additional to the primary care center, Shalom has seven school-based health care clinics all located on the Northwest side of Indianapolis."</t>
  </si>
  <si>
    <t>http://www.shalom-hcc.org</t>
  </si>
  <si>
    <t>Shambaugh and Son, L.P.</t>
  </si>
  <si>
    <t>http://www.shambaugh.com</t>
  </si>
  <si>
    <t>Shank Public Relations Counselors, Inc.</t>
  </si>
  <si>
    <t>http://www.shankpr.com</t>
  </si>
  <si>
    <t>mailto:dshank@shankpr.com</t>
  </si>
  <si>
    <t>Shar's Hair</t>
  </si>
  <si>
    <t>="Shar’s Hair is a Wholesaler/ Distributor for human and synthetic wigs. Shar’s Hair is a provider with Aetna Ins, Anthem Ins and Advantage Ins. If a customer purchase a Custom made wig or Pre-made wig with Shar’s Hair and is taking therapy for chemo treatments insurance will cover the cost for the wig."</t>
  </si>
  <si>
    <t>http://www.sharshair.com</t>
  </si>
  <si>
    <t>mailto:shareatha.brown@yahoo.com</t>
  </si>
  <si>
    <t>SharCare LLC</t>
  </si>
  <si>
    <t>="We provide regulatory, clinical, and administrative expertise to nursing and assisted living facilities. Specialty areas include risk management guidance, pre-survey audits, plan of correction composition and implementation, and state-mandated dementia training. We also conduct loss control surveys for senior housing liability insurance underwriters, and assist attorneys with medically-related cases."</t>
  </si>
  <si>
    <t>http://www.sharcare.com</t>
  </si>
  <si>
    <t>mailto:skkennell@sharcare.com</t>
  </si>
  <si>
    <t>Shares, Inc.</t>
  </si>
  <si>
    <t>="Shares Inc. is a non profit agency that employs those with disabilities. Besides offering our typical services such as packaging and assembly, we also offer document destruction and shredding services, paper and cardboard recycling services, and also promotional items sales."</t>
  </si>
  <si>
    <t>http://www.sharesinc.org</t>
  </si>
  <si>
    <t>mailto:preid@sharesinc.org</t>
  </si>
  <si>
    <t>Sharon Brown Events, LLC</t>
  </si>
  <si>
    <t>="An event planning business that specializes in corporate conferences, seminars large and small. We facilitate all aspects of the event, from site location, venue rental, on-line registration, speaker and sponsor coordination and miscellaneous tasks. We also provide on-site staffing, logistic coordination, graphic design and limited audio/video services."</t>
  </si>
  <si>
    <t>http://www.sharonbrownevents.com</t>
  </si>
  <si>
    <t>mailto:sharon@sharonbrownevents.com</t>
  </si>
  <si>
    <t>Sharon D Smith</t>
  </si>
  <si>
    <t>mailto:buckeye@tiptontel.com</t>
  </si>
  <si>
    <t>Sharp Bioclean LLC</t>
  </si>
  <si>
    <t>http://www.sharpbioclean.com</t>
  </si>
  <si>
    <t>Waste Treatment and Disposal</t>
  </si>
  <si>
    <t>Sharp Electronics</t>
  </si>
  <si>
    <t>="Recognized as a leader in document security, Sharp was the first MFP manufacturer to receive Common Criteria validation for office equipment. The Sharp MFP two-step process of initial encryption combined with multiple overwrites of data provides a higher level of security than many processes currently used by other manufacturers. Document management of agency files and records can be easily streamlined with Sharp OSA® technology. By bringing the point of customization closer to the customer, the Sharp OSA Platform enables Sharp to quickly provide solutions which address the specific needs of the department."</t>
  </si>
  <si>
    <t>http://www.sharpusa.com</t>
  </si>
  <si>
    <t>Sharp Eyed Group, LLC</t>
  </si>
  <si>
    <t>http://www.sharpeyed.org</t>
  </si>
  <si>
    <t>mailto:info@sharpeyed.org</t>
  </si>
  <si>
    <t>Sharp Interiors, Inc</t>
  </si>
  <si>
    <t>="I represent Sharp Interiors, Inc. an Indiana based MBE construction company. Our services include the majority of Division 7 and 9 of commercial projects. Founded in 1995, we have established ourselves with integrity and professionalism. A persute for new products in the market and incorporating technology enhance our clients satisfaction."</t>
  </si>
  <si>
    <t>mailto:sharpmudder@comcast.net</t>
  </si>
  <si>
    <t>Sharp Trophies By Mack</t>
  </si>
  <si>
    <t>="We at Sharp Trophies By Mack design and manufacture customize Awards, Trophies, Plaques, Nametags, Desk Nameplates, Flag Cases, Trophies, Poker Trophies, Shadow Boxes, Keychains, Acrylic Awards, Glass Awards, Crystal Awards, Resin Sculptures, T-Shirts, Jackets, Screen-print, Embroidery, Dash Plaques, Nameplates, Nameplate holder's, Keychains Please visit us at: www.sharptrophiesbymack.com. Thank you and have a good day"</t>
  </si>
  <si>
    <t>mailto:sharptrophies@yahoo.com</t>
  </si>
  <si>
    <t>Sharpe Securities LLC</t>
  </si>
  <si>
    <t>mailto:Sharpesecuritiesllc@gmail.com</t>
  </si>
  <si>
    <t>Sharpnack Bigley Stroh &amp; Washburn LLP</t>
  </si>
  <si>
    <t>http://sbswlaw.com</t>
  </si>
  <si>
    <t>mailto:sbswlaw@sbswlaw.com</t>
  </si>
  <si>
    <t>Shaul Accessories, Inc.</t>
  </si>
  <si>
    <t>mailto:sales@shaulaccessories.com</t>
  </si>
  <si>
    <t>Shaum Electric Co., Inc.</t>
  </si>
  <si>
    <t>http://www.shaumelectric.com</t>
  </si>
  <si>
    <t>mailto:info@shaumelectric.com</t>
  </si>
  <si>
    <t>Shaunjohn Corporation</t>
  </si>
  <si>
    <t>="We are a service company with areas of expertise in all cleaning and restoration needs. We are a General Contractor licenced with the city and very capable of construction from small residential mitigation and rebuilds to all facets of commercial construction."</t>
  </si>
  <si>
    <t>http://www.ecrsindy.com</t>
  </si>
  <si>
    <t>mailto:elite@ecrsindy.com</t>
  </si>
  <si>
    <t>Shawn Kostek</t>
  </si>
  <si>
    <t>mailto:PC_DJ@yahoo.com</t>
  </si>
  <si>
    <t>Shawnee Construction &amp; Engineering, Inc.</t>
  </si>
  <si>
    <t>http://ShawneeConstruction.com</t>
  </si>
  <si>
    <t>mailto:Main@ShawneeConstruction.com</t>
  </si>
  <si>
    <t>Sheath Corp</t>
  </si>
  <si>
    <t>="Founded in 1998 and incorporated in 2006, Sheath Corp has quickly become one of the fastest growing minority, woman owned and operated businesses, providing Consulting Solutions and Inventory Management Solutions. With over 7 million in assets and over 12 years of successful service delivery, Sheath Corp leverages broad experience, established processes, and resources to deliver unsurpassed consultants and solutions for clients across multiple industry sectors. Sheath Corp also meets the demands of the supply chain market, implementing strategic solutions for slow moving inventory so that companies can stay ahead in the marketplace. With patent pending technology, customized solutions, and silent partnering, Sheath Corp makes businesses and their inventory more lean, accessible, and profitable. It is with great enthusiasm that we dedicate ourselves to helping you achieve your short &amp; long term business goals with strategic, innovative consulting &amp; solution services."</t>
  </si>
  <si>
    <t>http://sheathcorp.com, iss-i.com</t>
  </si>
  <si>
    <t>mailto:sheath@iss-i.com, sheath@sheathcorp.com</t>
  </si>
  <si>
    <t>Sheehy Well &amp; Pump Co., Inc</t>
  </si>
  <si>
    <t>http://www.sheehywell.com</t>
  </si>
  <si>
    <t>mailto:sheehywell@comcast.net</t>
  </si>
  <si>
    <t>Sheer Elegance Draperies, Blinds &amp; More,</t>
  </si>
  <si>
    <t>http://www.draperiesblindsandmore.com</t>
  </si>
  <si>
    <t>mailto:sheerelegance@draperiesblindsandmore.com</t>
  </si>
  <si>
    <t>Sheffield Press</t>
  </si>
  <si>
    <t>="Commercial printer for 45 years. (located in Hammond, IN) We are a full service printer COMPLETE PREPRESS DEPARTMENT, PRINTING: Uses MANRoland 705, Heidelberg SORDZ, Heidelberg SORD, FULL BINDERY DEPARTMENT. Finishing: 3 hole drill,1 hole drill, stitcher, shrink wwrap, banding. padding, numbering (11x17 sheets), wafer machine."</t>
  </si>
  <si>
    <t>http://www.sheffieldpresss.com</t>
  </si>
  <si>
    <t>mailto:rhonda@sheffieldpress.com</t>
  </si>
  <si>
    <t>Sheila Chatwell dba Professional Process</t>
  </si>
  <si>
    <t>mailto:collectionsystemsinc@verizon.net</t>
  </si>
  <si>
    <t>Shelby County Co-op</t>
  </si>
  <si>
    <t>http://shelbycountyco-op.com</t>
  </si>
  <si>
    <t>Other Similar Organizations (except Business, Professional, Labor, and Political Organizations)</t>
  </si>
  <si>
    <t>Shelby County Lifelong Learning Corp</t>
  </si>
  <si>
    <t>http://www.sclll.com</t>
  </si>
  <si>
    <t>mailto:tcollier@sclll.com</t>
  </si>
  <si>
    <t>Shelby Eastern School Corporation</t>
  </si>
  <si>
    <t>http://www.ses.k12.in.us</t>
  </si>
  <si>
    <t>Shelby Gravel, Inc.</t>
  </si>
  <si>
    <t>http://www.shelbymaterials.com</t>
  </si>
  <si>
    <t>mailto:shelbymaterials.com</t>
  </si>
  <si>
    <t>Shephard Sound Solutions</t>
  </si>
  <si>
    <t>="Shephard Sound Solutions is an acoustical contractor. We furnish and install acoustic wall panels, Acoustic doors and windows, acoustic folding partitions. We also furnish and install acoustic and insulative coatings, energy effecient LED lighting, and represent TempCoat products."</t>
  </si>
  <si>
    <t>http://www.modscif.com</t>
  </si>
  <si>
    <t>mailto:info@modscif.com</t>
  </si>
  <si>
    <t>Shepherd Consulting</t>
  </si>
  <si>
    <t>="Shepherds Consulting provides complete on-site service and support to maintain your computer and network systems in prime operating condition. With over 15 years experience in systems service and support, we will provide the timely, quality service that your organization requires. We provide complete support for hardware systems including servers, computers, tape backup systems, CD-R/CD-RW, printers, network hardware, voice/Data cabling, operating systems, and software."</t>
  </si>
  <si>
    <t>http://shepherdsconsulting.com/</t>
  </si>
  <si>
    <t>mailto:wendy@shepherdsconsulting.com</t>
  </si>
  <si>
    <t>Shepherd of Faith Holdings</t>
  </si>
  <si>
    <t>Shepherd's Service</t>
  </si>
  <si>
    <t>Shepler Construction Company Inc</t>
  </si>
  <si>
    <t>http://Sheplerconstruction.com</t>
  </si>
  <si>
    <t>Sheppard Excavating Company</t>
  </si>
  <si>
    <t>mailto:sheppardexcavatingco@gmail.com</t>
  </si>
  <si>
    <t>Sherman Barber &amp; Mullikin, CPA's</t>
  </si>
  <si>
    <t>="Certified Public Accounting firm offering the following services: Business &amp; individual tax services; compilation, review &amp; auditing services; bookkeeping, payroll &amp; software services; financial, tax, retirement &amp; estate planning; business valuations; business consulting; and human resource consulting services."</t>
  </si>
  <si>
    <t>http://www.sbmcpas.com</t>
  </si>
  <si>
    <t>mailto:bford@sbmcpas.com</t>
  </si>
  <si>
    <t>Shilling Sales, Inc.</t>
  </si>
  <si>
    <t>http://www.shillingsales.com</t>
  </si>
  <si>
    <t>mailto:pat@shillingsales.com</t>
  </si>
  <si>
    <t>Shine Brite Cleaning Service, LLC</t>
  </si>
  <si>
    <t>Shineco, Inc.</t>
  </si>
  <si>
    <t>mailto:bshheidelberger@yahoo.com</t>
  </si>
  <si>
    <t>Shirley Machine &amp; Engineering, INC.</t>
  </si>
  <si>
    <t>http://shirleymachine.com</t>
  </si>
  <si>
    <t>mailto:stacey@shirleymachine.com</t>
  </si>
  <si>
    <t>Shirt &amp; Cap Connection</t>
  </si>
  <si>
    <t>="Shirt &amp; Cap Connection has been serving Northwest Indiana Communities for over 20 years with quality screen print, embroidery, and advertising specialities for your branding or apparel needs. Shirt &amp; Cap has a very creative design and sales team to help find the perfect product for the customer. Kerry Clifford is Shirt &amp; Cap's outside sales representative and can come to your office and provide the tools necessary to make an educated purchase. Shirt &amp; Cap also promises quick turn around time on any questions, samples, and orders large or small! Thank you for your consideration. Lee S. Evans Owner Shirt &amp; Cap Connection, Inc."</t>
  </si>
  <si>
    <t>http://shirtandcapconnection.com</t>
  </si>
  <si>
    <t>mailto:info@shirtandcapconnection.com</t>
  </si>
  <si>
    <t>Shirts-N-Things</t>
  </si>
  <si>
    <t>http://WWW.SNTGRAPHICS.COM</t>
  </si>
  <si>
    <t>mailto:SNTGRAPHICS@SBCGLOBAL.NET</t>
  </si>
  <si>
    <t>Shively, Inc.</t>
  </si>
  <si>
    <t>mailto:tshively@shivelytrucking.com</t>
  </si>
  <si>
    <t>Shoemaker Farms</t>
  </si>
  <si>
    <t>mailto:dshoemaker@alumni.purdue.edu</t>
  </si>
  <si>
    <t>Shoemaker Motion Picture Company, LLC</t>
  </si>
  <si>
    <t>="Shoemaker Motion Picture Company (SMPC) has been in the audio and visual presentation business since 1945. Since then, our product and systems offerings have gone from the basic to analog to today’s digitally programmable/controlled solutions designed specifically for each application. SMPC also provides infrastructure cabling services. SMPC will provide all horizontal/vertical cabling infrastructure needs including copper, fiber, aerial and burial, surge protection and certifications. SMPC has BICSI certified personnel on hand to cover all of your cable plant requirements. From connectivity to hardware install to programming and testing, Shoemaker Motion Picture Company has you covered. Your design or ours, SMPC will meet the requirements with satisfaction on time every time."</t>
  </si>
  <si>
    <t>http://shoemakerav.com</t>
  </si>
  <si>
    <t>mailto:mark@shoemakerav.com</t>
  </si>
  <si>
    <t>Shook LLC</t>
  </si>
  <si>
    <t>http://www.shookconstruction.com</t>
  </si>
  <si>
    <t>mailto:cfriend@shookconstruction.com</t>
  </si>
  <si>
    <t>Short's Mechanical</t>
  </si>
  <si>
    <t>mailto:shortsmechanical@verizon.net</t>
  </si>
  <si>
    <t>Shoup's Country Foods, Inc.</t>
  </si>
  <si>
    <t>="Shoup's is a family owned business located in Frankfort, Indiana. Our company offers catering service from country casual to simple elegance, and can accomodate guests from 100-8,000. We feature our own Pulled Pork BBQ, Porkburgers, Shoup's Mini-Hog Roast, Family recipe BBQ Sauce and Seasoning, and a variety of quality meats all available in our country retail store."</t>
  </si>
  <si>
    <t>http://www.shoupscountry.com</t>
  </si>
  <si>
    <t>mailto:mail@shoupscountry.com</t>
  </si>
  <si>
    <t>Show Coverings Inc</t>
  </si>
  <si>
    <t>mailto:n.loro@comcast.net</t>
  </si>
  <si>
    <t>Showcase Lawn Mtn.</t>
  </si>
  <si>
    <t>Soil Preparation, Planting, and Cultivating</t>
  </si>
  <si>
    <t>Shred Surgeon</t>
  </si>
  <si>
    <t>mailto:shredsurgeon@insightbb.com</t>
  </si>
  <si>
    <t>Shred-It USA LLC</t>
  </si>
  <si>
    <t>="In 2014, Shred-it merged with Cintas Document Shredding, to create a new company that operates under the Shred-it name. Operating for over 25 years, Shred-it continues to focus on delivering solutions to meet the ongoing needs of a diverse customer base, while helping them comply with stringent privacy laws: Tailored document destruction services; Secure destruction of hard drives and electronic media. Shred-it provides security-trained employees, leading edge technology and secure equipment to protect our customers' confidential information. As the trusted choice of both small businesses and large organizations, Shred-it remains the industry leader servicing sectors including governments, healthcare facilities, universities and colleges, as well as police forces, banks and intelligence agencies."</t>
  </si>
  <si>
    <t>http://www.shredit.com</t>
  </si>
  <si>
    <t>Shree Ji Bava</t>
  </si>
  <si>
    <t>mailto:gm.in404@choicehotels.com</t>
  </si>
  <si>
    <t>Shrewsberry &amp; Associates</t>
  </si>
  <si>
    <t>="Shrewsberry &amp; Associates, LLC (Shrewsberry) is a regional DBE/MBE consulting firm, founded by Bill Shrewsberry in 2001 and based in Indianapolis, Indiana. Shrewsberry was established to provide quality engineering and construction services and to recruit, train and mentor non-traditional individuals. We continue to develop an admirable portfolio of services to support government, healthcare, industrial, commercial and educational clients. Shrewsberry has developed core competencies and experience in several areas including Environmental Engineering, Environmental Compliance, Civil Engineering, Water/Wastewater Engineering, Transportation Engineering, Road and Bridge Design, Construction Inspection and Administration, Utility Coordination, Permitting, and Owner’s Representation. Additionally, our senior staff have decades of experience in critical areas of Public and Governmental Involvement, including responsibility for management of Minority and Disadvantaged Business participation "</t>
  </si>
  <si>
    <t>http://www.shrewsusa.com</t>
  </si>
  <si>
    <t>mailto:shrews@shrewusa.com</t>
  </si>
  <si>
    <t>Shryock ProMow</t>
  </si>
  <si>
    <t>mailto:ShryockProMow@aol.com</t>
  </si>
  <si>
    <t>SiR DIESEL CO. INC</t>
  </si>
  <si>
    <t>mailto:sirdiesel@earthlink.net</t>
  </si>
  <si>
    <t>SideFX</t>
  </si>
  <si>
    <t>http://getfibercement.com</t>
  </si>
  <si>
    <t>mailto:brett@getfibercement.com</t>
  </si>
  <si>
    <t>Siegel's Corporation</t>
  </si>
  <si>
    <t>http://SIEGELSUNIFORMS.COM</t>
  </si>
  <si>
    <t>mailto:sales@siegelsuniforms.com</t>
  </si>
  <si>
    <t>Sienna Architecture, Inc.</t>
  </si>
  <si>
    <t>="Our company was founded in 2000. We provide architectural services for both traditional and design-build projects. Our long term planning strategy results in flexible design solutions that accommodate our clients' changing needs. Our company focuses on creating a positive architectural image for our clients. We have experience in a wide variety of building types and are NCARB Certified and currently licensed in Indiana, Ohio and Illinois. Our company has a LEED (Leadership in Energy and Environmental Design) Accredited Professional as well as an Indiana Weatherization Auditor on staff. We are members of the Indianapolis chapter of The American Institute of Architects, The U.S. Green Building Council, RESNET® (Residential Energy Services Network) and the Fishers Chamber of Commerce, Fishers, Indiana."</t>
  </si>
  <si>
    <t>http://www.siennaarchitectureinc.com</t>
  </si>
  <si>
    <t>mailto:info@siennaarchitectureinc.com</t>
  </si>
  <si>
    <t>Sight &amp; Sound Productions, Inc.</t>
  </si>
  <si>
    <t>http://www.worldmusicsupply.com</t>
  </si>
  <si>
    <t>mailto:sales@worldmusicsupply.com</t>
  </si>
  <si>
    <t>Sights and Sounds, Inc.</t>
  </si>
  <si>
    <t>mailto:SIGHTSANDSOUNDS@SBCGLOBAL.NET</t>
  </si>
  <si>
    <t>Sigma Advanced Solutions Inc.</t>
  </si>
  <si>
    <t>mailto:ur.sigma.solution@gmail.com</t>
  </si>
  <si>
    <t>Sign Craft Industries</t>
  </si>
  <si>
    <t>http://www.buysigncraft.com</t>
  </si>
  <si>
    <t>mailto:service@buysigncraft.com</t>
  </si>
  <si>
    <t>Sign Here Ltd</t>
  </si>
  <si>
    <t>http://www.signhereltd.com</t>
  </si>
  <si>
    <t>mailto:steve@signhereltd.com</t>
  </si>
  <si>
    <t>Sign Makers Etc. LLC</t>
  </si>
  <si>
    <t>="We are a full service sign company. We provide banners, large format digital printing, vehicle lettering, trade show displays, sandblasted signs, monument signs,screen printing,formed letters,channel letters, illuminated signs,magnetic signs, ADA , architectural, yard signs, and custom real estate signs."</t>
  </si>
  <si>
    <t>mailto:sylvia@signmakersetc.com</t>
  </si>
  <si>
    <t>SignDoc Identity LLC</t>
  </si>
  <si>
    <t>http://www.signdocidentity.com</t>
  </si>
  <si>
    <t>mailto:sgayde@signdocidentity.com</t>
  </si>
  <si>
    <t>Signal Learning Center, Inc.</t>
  </si>
  <si>
    <t>http://www.signallearning.com</t>
  </si>
  <si>
    <t>mailto:inquiries@signallearning.com</t>
  </si>
  <si>
    <t>Signarama</t>
  </si>
  <si>
    <t>="Signarama is the premier provider of a wide range of full service sign and advertising services. Our experts provide comprehensive consultation to ensure your sign displays a powerful, impactful message. We offer the convenience of 24/7 online ordering combined with the expertise and knowledge of one-on-one consultations. We offer a full range of comprehensive sign and graphic solutions from vinyl banners to digital signs to vehicle wraps. We also offer consultative services on marketing, branding and messaging, allowing us to create customized solutions that are unique to each customer."</t>
  </si>
  <si>
    <t>http://signaramacarmel.com</t>
  </si>
  <si>
    <t>Signature Designs</t>
  </si>
  <si>
    <t>="Signature Designs is a full service architecture firm dedicated to providing quality service to our clients who desire a dedicated approach to design, planning, and quality of the built environment. We provide, in house, planning, design, budgeting, construction documents, bidding assistance, and construction administration. We will lead a team of experienced individuals to provide peripheral services required for construction, including, but not limited to civil, structural, mechanical and electrical engineering, survey and geotechnical services procurement, and other specialties."</t>
  </si>
  <si>
    <t>http://www.signaturedesignsllc.com</t>
  </si>
  <si>
    <t>mailto:signaturedesigns@comcast.net</t>
  </si>
  <si>
    <t>Signature Lawn Solutions</t>
  </si>
  <si>
    <t>http://www.signaturelawnsolutions.com</t>
  </si>
  <si>
    <t>mailto:chad@signaturelawnsolutions.com</t>
  </si>
  <si>
    <t>Signs of Life,LLC</t>
  </si>
  <si>
    <t>http://fastsigns.com/236</t>
  </si>
  <si>
    <t>mailto:beckyruesch@gmail.com</t>
  </si>
  <si>
    <t>Signs-R-Us</t>
  </si>
  <si>
    <t>mailto:signsrusphil@sbcglobal.net</t>
  </si>
  <si>
    <t>Silk Manor Coffee</t>
  </si>
  <si>
    <t>="Coffee roasting company located in Muncie, Indiana. One aspect that sets the company apart from others is how fresh the coffee is when delivered to client. When order is placed, coffee is then roasted and sent out the following day. Plus, coffee beans that are purchased is fair trade beans. The customer comes first with Silk Manor Coffee."</t>
  </si>
  <si>
    <t>http://www.silkmanorcoffee.com</t>
  </si>
  <si>
    <t>mailto:cathy@silkmanorcoffee.com</t>
  </si>
  <si>
    <t>Silver Hill Management Company, LLC</t>
  </si>
  <si>
    <t>="Silver Hill Technologies is an Indiana-based technology company that focuses on meeting your unique needs, not selling you a specific product line. Silver Hill Technologies was established in 2005 by Ryan Scrogham. Ryan has over 15 years of experience in project management and information technology selection and support. He has spent equal time on both sides of the table – as an external consultant and as a corporate Director of Information Technology. Ryan has successfully directed nationwide technology infrastructure rollouts, but is equally comfortable working with small local organizations. Silver Hill Technologies is proud of the experience and capabilities of our staff, but also has access to the skills and specialized proficiencies of several partners in the State of Indiana. We will gladly provide one or two of our staff or assemble a large team, as needed. We take pride in our consultative approach and responsiveness to our clients."</t>
  </si>
  <si>
    <t>http://www.gosilverhill.com</t>
  </si>
  <si>
    <t>mailto:ryan@gosilverhill.com</t>
  </si>
  <si>
    <t>Silver II LLC</t>
  </si>
  <si>
    <t>http://www.toyotaofmuncie.com</t>
  </si>
  <si>
    <t>mailto:toyotajeff@gmail.com</t>
  </si>
  <si>
    <t>Silver Lake Volunteer Fire Department</t>
  </si>
  <si>
    <t>mailto:slfd@townofsilverlake.com</t>
  </si>
  <si>
    <t>Silverback Consulting Group, Inc.</t>
  </si>
  <si>
    <t>http://www.silverbackcg.com</t>
  </si>
  <si>
    <t>mailto:tracy@silverbackcg.com</t>
  </si>
  <si>
    <t>Silversnap, Inc.</t>
  </si>
  <si>
    <t>mailto:gosilversnap@gmail.com</t>
  </si>
  <si>
    <t>Simants Consulting Services, Inc.</t>
  </si>
  <si>
    <t>="This business provides consulting services for the Information Technology Industry and IT departments within other insutries. Services provided include IT Project Management, Systems Analysis and Design, Systems Architecture, Business Analysis, Systems Integration, and Systems and software documentation. Experience in Billing systems, cellular/wireless and Telephony industries, Energy company systems, and Government functions."</t>
  </si>
  <si>
    <t>mailto:jimsimants@yahoo.com</t>
  </si>
  <si>
    <t>Simmons Building Services LLC</t>
  </si>
  <si>
    <t>http://www.simmons-services.com</t>
  </si>
  <si>
    <t>mailto:info@simmons-services.com</t>
  </si>
  <si>
    <t>Simmons Gifts</t>
  </si>
  <si>
    <t>mailto:Csimmonsgifts@aol.com</t>
  </si>
  <si>
    <t>Simple Celebrations, LLC</t>
  </si>
  <si>
    <t>http://simplecelebrations@hotmail.com</t>
  </si>
  <si>
    <t>mailto:simplecelebrations@hotmail.com</t>
  </si>
  <si>
    <t>Simple Security Solutions LLC</t>
  </si>
  <si>
    <t>mailto:Simple Security Solutions</t>
  </si>
  <si>
    <t>Simple Solutions Technical Services, Inc</t>
  </si>
  <si>
    <t>http://www.ssts.biz</t>
  </si>
  <si>
    <t>mailto:simple@indy.net</t>
  </si>
  <si>
    <t>Simplified Search, Inc.</t>
  </si>
  <si>
    <t>="Simplified Search is a recruiting search firm that offers contract, contract to hire, direct hire (contigency and retained) placement services to clients. Specializing in most professional disciplines including, information technology, engineering, accounting/finance, procurement, general management, human resources, sales and marketing and some healthcare. Locally owned in South Bend, IN."</t>
  </si>
  <si>
    <t>http://www.simplifiedsearchinc.com</t>
  </si>
  <si>
    <t>mailto:lgotha@simplifiedsearchinc.com</t>
  </si>
  <si>
    <t>Simply Cooking</t>
  </si>
  <si>
    <t>http://www.simplycooking.us</t>
  </si>
  <si>
    <t>mailto:simplycooking@prsonalchef.com</t>
  </si>
  <si>
    <t>Simply Sustainable LLC.</t>
  </si>
  <si>
    <t>="Consulting, LEED AP Homes and Green Rater verification services for third party efficiency rating systems like LEED, Energy Star and NAHB programs for developers, builders and designers of single and multifamily housing and affordable housing in the midwest. Enhanced knowledge of QAP and tax credit requirements and verification procedures."</t>
  </si>
  <si>
    <t>http://www.simplysustainable-llc.com</t>
  </si>
  <si>
    <t>mailto:ckappel@simplysustainable-llc.com</t>
  </si>
  <si>
    <t>Simplyeoffice,Inc.</t>
  </si>
  <si>
    <t>="Welcome! Discover innovative office space designed for people with imagination. Advanced furniture systems from office experts at HON®. Striking, practical and attractive design with boomerang shape work surface and award winning chairs for correct and healthy posture that can adapt to any body type. Boundary screens for privacy. Cat A lighting system that exceeds health and safety regulations for your maximum comfort. Air conditioning/heating for perfect temperature control. Contemporary and Well Equipped Meeting Facilities Meeting facilities to suit your needs: from an informal chat to a board meeting for 2 to 12 people. Advanced audio visual equipment: 32"" Tru-Flat Screen monitor, DVD and VHS players. Video conference and audio conferencing facilities Broadband Internet connection in each meeting room. Whiteboards Flipchart with complimentary paper and marker pens. Refreshments and catering available upon request. When Security is a Must La"</t>
  </si>
  <si>
    <t>http://www.simplyeoffice.com</t>
  </si>
  <si>
    <t>mailto:info@simplyeoffice.com</t>
  </si>
  <si>
    <t>Simpson Alloy Services, INC.</t>
  </si>
  <si>
    <t>Sinders Enterprises</t>
  </si>
  <si>
    <t>mailto:gsinders@hotmail.com</t>
  </si>
  <si>
    <t>SineWave Audio, Inc</t>
  </si>
  <si>
    <t>="SineWave Audio provides event audio, lighting, video, and backline production services for concerts, conferences, and events. SineWave Audio provides systems installation of audio, lighting, and video equipment for schools, theaters, and houses of worship."</t>
  </si>
  <si>
    <t>http://www.sinewaveaudio.squarespace.com</t>
  </si>
  <si>
    <t>mailto:info@sinewaveaudio.com</t>
  </si>
  <si>
    <t>Sipe</t>
  </si>
  <si>
    <t>mailto:geossrd@aol.co,</t>
  </si>
  <si>
    <t>Sir Thomas Automotiv</t>
  </si>
  <si>
    <t>Sister's Giving Birth 2 LIfe</t>
  </si>
  <si>
    <t>="S.G.B.2.L.'s mission is to revitalize the minority communities by creating, developing, educating and assisting in maintaining strong ambassadors and leaders among minority youth. The objective is to promote economic and social development in the minority communities."</t>
  </si>
  <si>
    <t>http://www.sistersgivingbirth2life.org</t>
  </si>
  <si>
    <t>mailto:sistersgivingbirth2life@gmail.com</t>
  </si>
  <si>
    <t>Sister's Sanitation Services, Inc.</t>
  </si>
  <si>
    <t>Sisters Landscaping</t>
  </si>
  <si>
    <t>mailto:pasmiller99@yahoo.com</t>
  </si>
  <si>
    <t>Site Strategics, Inc</t>
  </si>
  <si>
    <t>="Site Strategics is an Indianapolis-based Information Technology and Marketing services company that helps businesses create communication strategies that increase their bottom lines. Not only do we provide creative and custom web design solutions, but we also use proprietary technology methods, such as Site @ttractor™ — a search engine optimization service — with a focus on the SUCCESS OF YOUR SITE."</t>
  </si>
  <si>
    <t>http://www.sitestrategics.com</t>
  </si>
  <si>
    <t>mailto:info@sitestrategics.com</t>
  </si>
  <si>
    <t>SiteLine Exterior Design, Inc.</t>
  </si>
  <si>
    <t>="SiteLine Exterior Design, Inc. is a full service landscape design firm specializing in commercial and residential design-build. SiteLine Exterior Design's mission is to help our clients realize a measurable return on their landscape investment while being sensitive to project budgets, timelines and program elements. Our company has a true passion for helping our clients realize their landscape goals and dreams. This is evidenced by our lead designer’s two decades in the landscape design-build industry. Our company is focused on designs that are unique; utilize sustainable design build practices and educating our clients on the benefits of proper landscape design and maintenance. Our expertise includes municipal properties, schools, churches, corporate campuses, commercial office buildings, urban development, parks, greenways and high end residential home. We provide a high level of project management and oversight."</t>
  </si>
  <si>
    <t>http://www.siteline-design.com</t>
  </si>
  <si>
    <t>mailto:stefan@siteline-design.com</t>
  </si>
  <si>
    <t>SiteWise, Inc.</t>
  </si>
  <si>
    <t>="SiteWise Systems is a contracting company specializing in the design and installation of voice, data and video communications systems. Available services include assessment, consultation, design, installation, and training services for the following systems: building premise wiring, audio-video presentation, outside plant/customer owned cabling, CCTV video surveillance, building access control, and small/medium business telephone."</t>
  </si>
  <si>
    <t>mailto:paul@sitewisesystems.com</t>
  </si>
  <si>
    <t>Six Feet Up, Inc.</t>
  </si>
  <si>
    <t>="Founded in 1999, Six Feet Up is a woman-owned company that develops, hosts and supports sophisticated web projects, from enterprise content management and collaborative intranets to custom web apps. The company has also recently developed several products that solve content management and syndication issues for organizations that manage large networks of websites. Six Feet Up's clients include top universities and life sciences organizations, growing and distributed teams, as well as Fortune 500 companies. The company's main expertise lies in the development of content management systems, membership management solutions and eCommerce websites. Among the company's references are: Eli Lilly, Discover Magazine and University of Notre Dame. See out portfolio at http://www.sixfeetup.com/portfolio Six Feet Up operates out of Indiana and has customers in North America and Europe. For more information, please visit: http://www.sixfeetup.com"</t>
  </si>
  <si>
    <t>http://www.sixfeetup.com</t>
  </si>
  <si>
    <t>mailto:info@sixfeetup.com</t>
  </si>
  <si>
    <t>Skeens Warehouse Services, Inc.</t>
  </si>
  <si>
    <t>="We offer superior full-service janitorial for offices, warehouses and public spaces including: daily janitorial care, cleaning of carpet, expert care of tile, vct and cement flooring, warehouse set-up, interior/exterior painting, interior/exterior window cleaning, exterior power-washing, maintenance of parking lots, ect. ect."</t>
  </si>
  <si>
    <t>mailto:skeenswarehouseservicesinc@hotmail.com</t>
  </si>
  <si>
    <t>Skeff's Landscaping</t>
  </si>
  <si>
    <t>Sketch2screen Design</t>
  </si>
  <si>
    <t>="Sketch2screen Design is a Princeton, IN based graphic design and visual communications company. We work with a wide range of clients, particulary those that do not have the availability of an in-house designer. We are a small, personable, highly-focused design company that has over 15 years of combined experience in the print industry. Sketch2screen is dedicated to creating affordable, high-quality graphic design services through creative, innovative and cost-effective means for both print and the web. Our services include the following... print design website design logo design brand identity We focus on individualized service towards our clients. We are committed to only signing onto projects that we can put our passion and focus for perfection into action. Without passion, there cannot be success. We fully understand that when our clients are successful, then we are successful. We truly care about our work and invite you to view our web design portfolio."</t>
  </si>
  <si>
    <t>http://www.sketch2screen.com</t>
  </si>
  <si>
    <t>mailto:pattyvanoven@sketch2screen.com</t>
  </si>
  <si>
    <t>Skylight Leadership</t>
  </si>
  <si>
    <t>="Skylight Leadership is a Coaching and Consulting firm focused on servicing the comprehensive needs of individuals and businesses. Our team consist of Certified Coaches, Trainers, and Speakers focused on Dr. John Maxwell's leadership principles. Our mission is to develop leaders to their full potential by adding value to clients and their organization, thereby increasing the number of effective leaders worldwide. Skylight offers individual coaching, Mastermind Groups, Corporate Trainings, and Lunch &amp; Learns. Our services are available a la carte so you can get precisely what you need."</t>
  </si>
  <si>
    <t>http://www.skylightleadership.com</t>
  </si>
  <si>
    <t>mailto:info@skylightledership.com</t>
  </si>
  <si>
    <t>Skyline Comm Inc</t>
  </si>
  <si>
    <t>http://www.skylinecommunications.com</t>
  </si>
  <si>
    <t>mailto:service@addsat.com</t>
  </si>
  <si>
    <t>Skyway Concessions, Inc.</t>
  </si>
  <si>
    <t>Slater Contruction &amp; Excavating, Inc.</t>
  </si>
  <si>
    <t>mailto:ionent@bluemarble.net</t>
  </si>
  <si>
    <t>Slatile Roofing &amp; Sheet Metal Co., Inc.</t>
  </si>
  <si>
    <t>http://slatileroofing.com</t>
  </si>
  <si>
    <t>mailto:info@slatileroofing.com</t>
  </si>
  <si>
    <t>Slaybaugh Stainless</t>
  </si>
  <si>
    <t>mailto:danslay1@aol.com</t>
  </si>
  <si>
    <t>Sliktec Consultancy</t>
  </si>
  <si>
    <t>="Design | Computer Networking | Production | E-commerce | Consultancy Sliktec Consultancy Services is a new media agency with a passion for quality in everything we do. We're dedicated to providing high-quality solutions that achieve a perfect balance between creative, marketing and technical disciplines. We strive to achieve and maintain a reputation for integrity, reliability and tenacity. Nearly all of our new business is acquired through word-of-mouth and recommendation. Today, a website should do more than merely act as a digital brochure for your business. Organizations need more than a digital brochure for their website, they need solutions - web solutions. Sliktec Consultancy Services with the most recent technologies, can create any web solution that our clients require. Our strength lies in knowing your business. With each client, we take the time to study the inner workings of their organization before designing a solution. Technical ability is a crucial part of b"</t>
  </si>
  <si>
    <t>http://www.scs4ebiz.com</t>
  </si>
  <si>
    <t>mailto:info@scs4ebiz.com</t>
  </si>
  <si>
    <t>Slon, Inc.</t>
  </si>
  <si>
    <t>Slusser's Green Thumb, Inc.</t>
  </si>
  <si>
    <t>="Primarily engaged in the construction of highways (including elevated), streets, roads, airport runways, public sidewalks, or bridges. The work performed may includes new work, reconstruction, rehabilitation, and repairs. We are a specialty trade contractor engaged in activities primarily related to seeding, sodding, landscaping, wetland mitigation and remediation, erosion control, irrigation and landscaping of highways, streets and bridges."</t>
  </si>
  <si>
    <t>http://www.slussers.com</t>
  </si>
  <si>
    <t>mailto:Info@slussers.com</t>
  </si>
  <si>
    <t>Small Business Exchange, Inc.</t>
  </si>
  <si>
    <t>http://www.sbeinc.com</t>
  </si>
  <si>
    <t>mailto:sbe@sbeinc.com</t>
  </si>
  <si>
    <t>Small Engine Warehouse Inc</t>
  </si>
  <si>
    <t>http://www.smallenginewarehouse.com</t>
  </si>
  <si>
    <t>mailto:sales@smallenginewarehouse.com</t>
  </si>
  <si>
    <t>Small Unit Leadership</t>
  </si>
  <si>
    <t>="I provide leadership/management training, specializing in developing new, junior, and middle level management. The training is based on my book, Small Unit Leadership. My services include seminars or training workshops, individual leader coaching, indivdual subject coaching, leader screening/evaluation, behavioral interviewing and exit interviewing. I also have developed a presentation skills course. I am a retired Marine Lieutenant Colonel and have worked in the corporate world and owned a small business. My training approach will work in any discipline and I will tailor my training to the culture of a particular organization."</t>
  </si>
  <si>
    <t>http://smallunitleadership.com</t>
  </si>
  <si>
    <t>Small's Garden Center &amp; Dept. 9 Gifts, I</t>
  </si>
  <si>
    <t>http://www.smallsgardencenter.com</t>
  </si>
  <si>
    <t>mailto:landscaping@smallsgardencenter.com</t>
  </si>
  <si>
    <t>SmallBox Consulting Inc.</t>
  </si>
  <si>
    <t>="SmallBox looks closely at what each client’s business goals are and what each Website, SEO strategy or Internet Marketing campaign needs to achieve, and then put the right tools to work to meet and surpass those goals. Small Box partners with each client to help them grow their business, with great design, great content, great functionality and great results. In the same way, Small Box works with each client utlizing as needed- Web Design, Web Development, Search Engine Optimization (SEO), Internet Marketing and Social Media Marketing all custom tailored to meet and exceed each client's needs and goals. From smaller sites to larger multimedia and multi-functional solutions, Small Box can create Websites from scratch, enhance an existing site or assist with Internet marketing strategies, including SEO, Pay Per Click (PPC), Viral Marketing and Client Extranets."</t>
  </si>
  <si>
    <t>http://www.smallboxweb.com</t>
  </si>
  <si>
    <t>mailto:jeb@smallboxweb.com</t>
  </si>
  <si>
    <t>Smart Home Guy, LLC</t>
  </si>
  <si>
    <t>mailto:smarthomeguy@live.com</t>
  </si>
  <si>
    <t>Smart IT Staffing</t>
  </si>
  <si>
    <t>http://www.smart-itstaffing.com</t>
  </si>
  <si>
    <t>mailto:kcooper@smart-itstaffing.com</t>
  </si>
  <si>
    <t>SmartIT Staffing</t>
  </si>
  <si>
    <t>mailto:prothwell@smart-itstaffing.com</t>
  </si>
  <si>
    <t>Smartin Electric Inc</t>
  </si>
  <si>
    <t>http://www.smartinelectric.com</t>
  </si>
  <si>
    <t>mailto:smartinelectric@yahoo.com</t>
  </si>
  <si>
    <t>Smiling Cross, Inc. DBA Smile Promotions</t>
  </si>
  <si>
    <t>="Smile Promotions provides promotional and advertising specialties as well as decorated apparel of all kinds and graphic design services to clients. Official licensee of Ball State, Butler, Indiana, Indiana State, Ivy Tech, Purdue Universities as well as University of Cinncinatti. Preferred supplier by Indiana University and E-store supplier to Ohio State University. Sell promotional products and customize premiums, awards, apparel, housewares, writing instruments, computer accessories, small electronics, toys, bags, totes, luggage, office and business accessories, printed materials and institutional products for clients. Develop and maintain custom webstores for clients containing the above products customized for their specific business. Source and develop products when necessary for large volume bids such as universities and health organizations. Develop,source, market, supply, sell and distribute custom products designed to client's specifications."</t>
  </si>
  <si>
    <t>http://www.smilepromotions.com</t>
  </si>
  <si>
    <t>mailto:smileservice@smilepromotions.com</t>
  </si>
  <si>
    <t>Smiling Sun Enterprises, LLC</t>
  </si>
  <si>
    <t>="Smiling Sun Enterprises is a small, family owned business located in the reconditioned two car garage behind our home on Southport Road. On the retail side, we offer: natural gemstone jewelry, Himalayan Salt Crystal lamps, hand made tie dye, and a wide variety of unique gift items, all made from natural stones or polished semi-precious gemstone and jade. On the services side, we offer contract consulting services for project work such as strategic monitoring and reporting on state and federal legislative matters of interest to companies. We also offer administrative and management advisory and support services, and creative and business drafting, editing and writing services."</t>
  </si>
  <si>
    <t>http://www.smilingsun.biz</t>
  </si>
  <si>
    <t>mailto:cdevolglowinski@msn.com</t>
  </si>
  <si>
    <t>Smith Auction Services, LLC</t>
  </si>
  <si>
    <t>="We are a woman owned general merchandise auction service and auctioneer school. Located SW of Indianapolis in Mooresville, IN. We offer weekly auctions at our facility, onsite auction capabilities and much more. Please visit our web site for more information."</t>
  </si>
  <si>
    <t>http://www.smithauctionservices.com</t>
  </si>
  <si>
    <t>mailto:info@smithauctionservics.com</t>
  </si>
  <si>
    <t>Smith D &amp; J Trucking inc</t>
  </si>
  <si>
    <t>Smith Facilitation Group</t>
  </si>
  <si>
    <t>mailto:janagainnow@sbcglobal.net</t>
  </si>
  <si>
    <t>Smith Forklift Service</t>
  </si>
  <si>
    <t>Smith Group Communications, LLC</t>
  </si>
  <si>
    <t>="Smith Group Communications, LLC, is a provider of marketing communications services for businesses throughout the state of Indiana. Its principal, Ann C. Smith, has an extensive communications background. Her experience includes leading the corporate public relations department of a Fortune 500 company and serving in management capacities at public relations agencies in Indianapolis. In addition, she has extensive knowledge of business and news media across the state. SGC services include public relations, media relations, public affairs, planning, strategy, event management and related communications functions as well as writing and editing. Products include news releases, brochures and other marketing materials."</t>
  </si>
  <si>
    <t>http://www.smithgroupcommunications.com</t>
  </si>
  <si>
    <t>mailto:asmith@smithgroupcommunications.com</t>
  </si>
  <si>
    <t>Smith Office Equipment Co Inc.</t>
  </si>
  <si>
    <t>="In 1954, Robert J. Smith started Smith Office in Lafayette, when he began selling mechanical calculators out of his home. Fifty years later, Smith Office now has additional locations in Crawfordsville, Logansport, Peru and West Lafayette. Smith Office offers imaging equipment, office supplies, office furniture and technical support. Smith is a registered dealer of Sharp brand copiers, printers and fax equipment. The Lafayette location features a 15,000 square foot showroom and service facility. Over the years, Smith Office has always focused on providing quality office products and developing meaningful customer relationships. The company is now owned by one of Robert Smith's sons, Dan, who carries on this same tradition. ""Smith Office began at a time when business success was defined by the relationships you built with your customers,"" Dan says. ""We continue to define success the same way today."" With the advent of the ""big box"" office supply stores in recent years, Smith O"</t>
  </si>
  <si>
    <t>http://www.smithop.com</t>
  </si>
  <si>
    <t>mailto:wecare@smithop.com</t>
  </si>
  <si>
    <t>Smith Weaver Smith</t>
  </si>
  <si>
    <t>http://smithweaversmith.com</t>
  </si>
  <si>
    <t>mailto:bsmith@smithweaversmith.com</t>
  </si>
  <si>
    <t>Smith's Small Engines</t>
  </si>
  <si>
    <t>http://www.smithsse.com</t>
  </si>
  <si>
    <t>mailto:smithgravelysales@gmail.com</t>
  </si>
  <si>
    <t>Home and Garden Equipment Repair and Maintenance</t>
  </si>
  <si>
    <t>Smithville Telecom, LLC</t>
  </si>
  <si>
    <t>http://www.smithvilledigital.net</t>
  </si>
  <si>
    <t>mailto:sales@smithville.net</t>
  </si>
  <si>
    <t>Smoke Shop Tobacco Outlet</t>
  </si>
  <si>
    <t>="Premium cigars and accessories, custom label cigars and custom accessories available. Cigar lighters, clips, scissors, zippo lighters. Custom tobacco gift bags available. pipe tobacco, dip, chew, cigarettes, snuff, rolling papers, misc smoking accessories."</t>
  </si>
  <si>
    <t>mailto:tina@smokeshopcigars.com</t>
  </si>
  <si>
    <t>Tobacco Stores</t>
  </si>
  <si>
    <t>Smoot Construction, LLC</t>
  </si>
  <si>
    <t>http://www.smootconstruction.com</t>
  </si>
  <si>
    <t>mailto:tparrott@srsmoot.com</t>
  </si>
  <si>
    <t>Smoot Landscaping, LLC</t>
  </si>
  <si>
    <t>http://www.smootlandscaping.net</t>
  </si>
  <si>
    <t>mailto:contact@smootlandscaping.net</t>
  </si>
  <si>
    <t>Snacks &amp; More, LLC</t>
  </si>
  <si>
    <t>mailto:snacksandmore@earthlink.net</t>
  </si>
  <si>
    <t>Snappening, LLC</t>
  </si>
  <si>
    <t>="Snappening is the most comprehensive online service for planning your own event. After countless hours of research with consumers, professional planners and venue managers, and even more time designing and developing an online service that meets the needs of the event planning community, here it is! Snappening is your best friend, the one who knows everything about planning the perfect event! And the best news is, it's quick, it's easy. It's Event Planning, in a Snap! It's Snappening!"</t>
  </si>
  <si>
    <t>http://www.snappening.com</t>
  </si>
  <si>
    <t>mailto:info@snappening.com</t>
  </si>
  <si>
    <t>Snemis Construction</t>
  </si>
  <si>
    <t>="I am a Residential and light commercial Contractor in Porter County Indiana. I am interested in expanding to more commercial work I have built in LaPorte County Indiana also. I do interior remodeling and help in designing the layout and organizing the projects. We do residential and commercial designing for our clients and we also welcome working with architects."</t>
  </si>
  <si>
    <t>http://buildsnemis.com</t>
  </si>
  <si>
    <t>mailto:buildsnemis@aol.com</t>
  </si>
  <si>
    <t>Snyder/Patricia A.</t>
  </si>
  <si>
    <t>mailto:asnyder48@sbcglobal.net</t>
  </si>
  <si>
    <t>So. IN Body Wks, Inc</t>
  </si>
  <si>
    <t>http://www.tristateutilitysales.com</t>
  </si>
  <si>
    <t>mailto:sibwinc@aol.com</t>
  </si>
  <si>
    <t>SoHo Integration, LLC</t>
  </si>
  <si>
    <t>="SoHo Integration provides its clients computer services such as network planning, design, implementation, and support / computer and peripheral repair, upgrades, virus &amp; spyware detection, removal and prevention along with premise wiring (data cabling), system cleaning, application support and preventative maintenance programs."</t>
  </si>
  <si>
    <t>http://www.sohointegration.com</t>
  </si>
  <si>
    <t>mailto:sales@sohointegration.com</t>
  </si>
  <si>
    <t>Soapy Soap Company</t>
  </si>
  <si>
    <t>="Soapy Soap Company is a local handcrafted soap manufacturing business located in Bloomington, Indiana. We are young entrepreneurs who made a few batches of soap for fun, and we just couldn't stop! We are dedicated to providing our community with high-quality soaps, and strive to be innovators in the soapmaking field."</t>
  </si>
  <si>
    <t>http://www.soapysoapcompany.com</t>
  </si>
  <si>
    <t>mailto:info@soapysoapcompany.com</t>
  </si>
  <si>
    <t>Sobek Enterprises</t>
  </si>
  <si>
    <t>="Sobek Enterprises is a manufacturer's representative company with over 56 years experience in Electrical Power Quality products. We work through distribution channels to market the highest quality products in Indiana, Southern Ohio and Kentucky. We look forward to working with you to solve your electrical problems."</t>
  </si>
  <si>
    <t>http://www.sobekenterprises.com</t>
  </si>
  <si>
    <t>mailto:mseitz@sobekenterprises.com</t>
  </si>
  <si>
    <t>Sobek Enterprises, I</t>
  </si>
  <si>
    <t>mailto:bsobek@sobekenterprises.com</t>
  </si>
  <si>
    <t>Sobers Enterprises llc</t>
  </si>
  <si>
    <t>Social Legends, LLC</t>
  </si>
  <si>
    <t>="Social Legends assists clients in strategic philanthropy and service implementation. We integrate prosperity and purpose by working with strengthening state and local organizations, foundations, corporations, individuals, and families and helping them to leverage their diverse resources in the most efficient and effective manner. Services offered include but are not limited to: • Strategic Planning to address critical and transitional planning as well as long-term, organization-wide plans •Program Development &amp; Implementation •Fundraising Planning, Implementation &amp; Support •Board Development Planning &amp; Implementation •Human Resources support including staff training, leadership and professional development, search and recruitment, succession planning, executive coaching and organizational culture discernment and development •Technical Assistance •Evaluation &amp; Assessment •Social Enterprise development • Philanthropic assessments &amp; planning"</t>
  </si>
  <si>
    <t>http://www.sociallegends.com</t>
  </si>
  <si>
    <t>mailto:kelly@sociallegends.com</t>
  </si>
  <si>
    <t>SockTech International Inc.</t>
  </si>
  <si>
    <t>http://www.socktec.com</t>
  </si>
  <si>
    <t>mailto:admin@socktec.ocm</t>
  </si>
  <si>
    <t>Sockeye Associates, Inc,</t>
  </si>
  <si>
    <t>mailto:office@water-sciences.com</t>
  </si>
  <si>
    <t>SoftCan Technology</t>
  </si>
  <si>
    <t>="SoftCan Technology specifically serves the Food, Packaging and Equipment industries in the areas of retortable - shelf stable - plastic containers. Whether it is a retort pouch or plastic tray, cup or bottle, we can offer expert knowledgeable guidance on vendor selection, over-pressure retorting operations and creating all regulatory required records and documents (USDA/FDA). Training is offered in seal integrity testing, retort programming and thermal process design. Our goal is the FOOD SAFETY of your product."</t>
  </si>
  <si>
    <t>mailto:softcantek@aol.com</t>
  </si>
  <si>
    <t>SoftballOne, Inc</t>
  </si>
  <si>
    <t>="Year-round fastpitch instruction for youth conducted by former professional player and ex-head college coach, Cara Johnson-Hirsch. Classes and private instruction include rotational hitting, pitching, fielding, and catching. Coaching clinics and skills clinics for middle and high school programs, and travel softball clubs. Media production for instructional videos, publishing and fullfillment services. College recruiting skills videos and action photography services on-site for softball and baseball tournaments."</t>
  </si>
  <si>
    <t>http://www.softballone.com</t>
  </si>
  <si>
    <t>mailto:info@softballone.com</t>
  </si>
  <si>
    <t>Softech Solutions, LLC</t>
  </si>
  <si>
    <t>http://www.softechsol.net</t>
  </si>
  <si>
    <t>mailto:info@softechsol.net</t>
  </si>
  <si>
    <t>Software Engineering Professionals, Inc.</t>
  </si>
  <si>
    <t>http://www.sep.com</t>
  </si>
  <si>
    <t>Software Information Systems of IN LLC</t>
  </si>
  <si>
    <t>="SIS of Indiana is a technology sales organization specializing in IBM hardware and software infrastructure. Nearly 90% of our annual 18-20 million dollar revenue comes from small and medium sized customers located within the state of Indiana. Please feel free to contact me with any questions directly. Chris Henry @ chenry@thinksis.com or at 317-733-4870 ext 101"</t>
  </si>
  <si>
    <t>http://www.thinksis.com</t>
  </si>
  <si>
    <t>mailto:chenry@thinksis.com</t>
  </si>
  <si>
    <t>Sohum Hospitality</t>
  </si>
  <si>
    <t>="The Candlewood Suites – Indianapolis East, is the newest extended stay hotel in the city. Every detail of the Candlewood Suites is designed to meet the needs of the most seasoned traveler while providing the comforts of home. We are conveniently located off I-70 &amp; I-465 on Shadeland Ave just 7 minutes east of bustling “Downtown Indianapolis."""</t>
  </si>
  <si>
    <t>http://www.candlewoodsuies.com/indianapo</t>
  </si>
  <si>
    <t>mailto:sales11815@sohumhospitality.com</t>
  </si>
  <si>
    <t>Accommodation and Foodservices</t>
  </si>
  <si>
    <t>Solace Risk Management</t>
  </si>
  <si>
    <t>="We provide risk management services for public and private sectors. Through advice, counsel, opinion, and services, our goal is to assist you with mitigating, eliminating, transferring, reducing, and or avoiding risk that will create a negative impact on the profit margin of your business. We also work in concert with your brokers and insurance company to manage the relationships in the area of claims and underwriting, so that we can position you for the best rates possible. We want you to focus on your core business while we focus on those risk issues that may impact your business."</t>
  </si>
  <si>
    <t>http://www.srm-cs.com</t>
  </si>
  <si>
    <t>mailto:www.srm-cs.com</t>
  </si>
  <si>
    <t>Solar America Solutions, LLC</t>
  </si>
  <si>
    <t>http://www.solaramericasolutions.com</t>
  </si>
  <si>
    <t>mailto:info@solaramericasolutions.com</t>
  </si>
  <si>
    <t>Heating Equipment (except Electric and Warm Air Furnaces) Manufacturing</t>
  </si>
  <si>
    <t>Solar Electric Turbine Company llc</t>
  </si>
  <si>
    <t>http://www.solarelectricturbinecompany.c</t>
  </si>
  <si>
    <t>mailto:dkmelectric@msn.com</t>
  </si>
  <si>
    <t>Solar Retrofit and Restoration</t>
  </si>
  <si>
    <t>mailto:alicia.simonsson@yahoo.com</t>
  </si>
  <si>
    <t>Solo Diagnostics Incorporated</t>
  </si>
  <si>
    <t>="Solo Diagnostics Incorporated provides a comprehensive array of drug testing services. Our services include managing collections, lab testing, and MRO reviews. Results are provided through electonic reporting with the highest degree of security. In addition, we provide Awareness training, Background checks(pre-employment ONLY), DNA collections(Paternity), Wellness Programs, and Policy development for a drug -free workplace."</t>
  </si>
  <si>
    <t>http://www.solotesting.com</t>
  </si>
  <si>
    <t>mailto:solodiagnostics@aol.com</t>
  </si>
  <si>
    <t>Solo Source, LLC</t>
  </si>
  <si>
    <t>mailto:tmorales@moralesgroup.net</t>
  </si>
  <si>
    <t>Solstice Coaching &amp; Consulting, Inc.</t>
  </si>
  <si>
    <t>http://www.solsticecoach.com</t>
  </si>
  <si>
    <t>mailto:info@solsticecoach.com</t>
  </si>
  <si>
    <t>Solution Technology, Inc</t>
  </si>
  <si>
    <t>http://www.solutiontechnology.com</t>
  </si>
  <si>
    <t>Solution Tree, Inc.</t>
  </si>
  <si>
    <t>="A leading provider of K-12 educational tools and strategies that improve staff and student performance. Equip yourself with the most relevant research based products. Attend our conferences and workshops and take home practical tools immediate strategies. Our experts design and deliver customized professional development."</t>
  </si>
  <si>
    <t>http://www.solution-tree.com/</t>
  </si>
  <si>
    <t>mailto:customer.service@solution-tree.com</t>
  </si>
  <si>
    <t>Solutions Implementation, Inc.</t>
  </si>
  <si>
    <t>mailto:pamalafox@mchsi.com</t>
  </si>
  <si>
    <t>Someday Is Today, LLC</t>
  </si>
  <si>
    <t>http://www.TheThompsonGroup.net</t>
  </si>
  <si>
    <t>Somerset CPAs, P.C.</t>
  </si>
  <si>
    <t>="Our firm is a full-service certified public accounting and professional services firm made up of CPAs, business advisors and financial analysts. With over 100 professionals, we are one of the largest local certified public accounting firms in Indianapolis, Indiana. Our staff consists of certified public accountants, certified management accountants, certified financial planners, certified valuation analysts, chartered financial consultants, chartered life underwriters and other professionals who provide accounting, advisory, assurance, information solutions, litigation support, valuation, tax and wealth management services to businesses and individuals. Somerset has industry-specialized service groups dedicated to Construction &amp; A/E, Dental, Entrepreneurial, Health Care, Manufacturing and Distribution, Not-for-Profit and Real Estate."</t>
  </si>
  <si>
    <t>http://www.somersetcpas.com</t>
  </si>
  <si>
    <t>mailto:info@somersetcpas.com</t>
  </si>
  <si>
    <t>Sonar Studios</t>
  </si>
  <si>
    <t>="We are a rich media and application developer specializing in interactive knowledge distribution. We have won many awards doing what we love to do from interactive, multi-sensory theater installations to easy-to-use web tools for the creation, distribution, and tracking of internet content"</t>
  </si>
  <si>
    <t>http://www.sonarstudios.com</t>
  </si>
  <si>
    <t>mailto:mark@sonarstudios.com</t>
  </si>
  <si>
    <t>Sondhi Solutions LLC</t>
  </si>
  <si>
    <t>http://www.sondhisolutions.com</t>
  </si>
  <si>
    <t>mailto:jason@sondhisolutions.com</t>
  </si>
  <si>
    <t>Sonitrol of Evansville</t>
  </si>
  <si>
    <t>="Sonitrol of Evansville is a security provider located in Evansville IN. Our products included intrusion, service, access and camera systems. We install, monitor and provide service for all our systems. We specialize in verified audio and video systems which have been the choice in security for schools, law enforcement buildings and other government agencies."</t>
  </si>
  <si>
    <t>http://www.sonitrolev.com</t>
  </si>
  <si>
    <t>mailto:dlara@sonitrolev.com</t>
  </si>
  <si>
    <t>Soper-Smith LLC</t>
  </si>
  <si>
    <t>="Soper+Smith Advertising LLC combines a passion for excellence in finding creative solutions for our clients. We think strategically and find solutions through ""benefit-oriented"" advertising and marketing initiatives. Soper+Smith offers not only a creative edge but also an integrated, strategic approach to meet our clients' objectives and goals. We begin with a creative work plan before we ever begin the creative execution. If the creative isn't strategic, it simply won't be effective. Being a creative partner with our clients insures innovative and effective solutions that effectively find innovation and success for our client base. Our creative services include: • Strategy • Concepting • Flash / Internet • Television/radio conception and production • Corporate identity • Print • Outdoor advertising • Collateral materials"</t>
  </si>
  <si>
    <t>http://www.sopersmith.com</t>
  </si>
  <si>
    <t>mailto:info@sopersmith.com</t>
  </si>
  <si>
    <t>SorbTech, Inc.</t>
  </si>
  <si>
    <t>http://www.sorbtechinc.com</t>
  </si>
  <si>
    <t>mailto:info@sorbtechinc.com</t>
  </si>
  <si>
    <t>Sorby Design Studio</t>
  </si>
  <si>
    <t>="Sorby Design provides graphic service for print and web applications. Identifying markets and strategic positing are a fundamental component of our design process. Deign of books, corporate identities (including web design, brochures, logo, letterhead and all support materials) magazines, posters, packaging, cover art and informational materials are some of the services we offer."</t>
  </si>
  <si>
    <t>mailto:jansorby@sbcglobal.net</t>
  </si>
  <si>
    <t>Sorg-Moran Agency</t>
  </si>
  <si>
    <t>mailto:sorgmoranagency@comcast.ent</t>
  </si>
  <si>
    <t>Sos Cleaning Services LLC</t>
  </si>
  <si>
    <t>mailto:soscleaningservicesllc@yahoo.com</t>
  </si>
  <si>
    <t>Soul Family Travels Publications</t>
  </si>
  <si>
    <t>http://www.soulfamilytravels.com</t>
  </si>
  <si>
    <t>mailto:info@soulfamilytravels.com</t>
  </si>
  <si>
    <t>Sound Care Audiology, Inc.</t>
  </si>
  <si>
    <t>="Private audiology practice offering professional hearing evaluation; hearing aid consultation and dispensing; hearing aid repairs and accessories; custom hearing protection including products for musicians and shooters; custom earpieces for phone earsets/headsets, mp3 players, police radios, pilot headsets, broadcasters, etc. , and assistive listening and alerting devices for the hearing impaired."</t>
  </si>
  <si>
    <t>http://soundcareaudiology.com</t>
  </si>
  <si>
    <t>mailto:Dr.Boatz@soundcareaudiology.com</t>
  </si>
  <si>
    <t>Sound Security, LLC</t>
  </si>
  <si>
    <t>http://Soundsecurityllc.com</t>
  </si>
  <si>
    <t>mailto:ddisher@soundsecurityllc.com</t>
  </si>
  <si>
    <t>Source Computer Solutions LLC</t>
  </si>
  <si>
    <t>="We offer complete computer systems design and implementation. Custom computer OEM. Repair and maintenance of computer hardware, networks and peripherals. General management of mixed environment networks. Areas of specialty include network security and disaster recovery. ""The best Source for all of your IT needs."""</t>
  </si>
  <si>
    <t>http://sourcesolutions.biz</t>
  </si>
  <si>
    <t>mailto:tstevens@sourcesolutions.biz</t>
  </si>
  <si>
    <t>Source Detection Systems LLC</t>
  </si>
  <si>
    <t>http://www.enilabs.com</t>
  </si>
  <si>
    <t>mailto:randy@enilabs.com</t>
  </si>
  <si>
    <t>South Bend Chocolate Company</t>
  </si>
  <si>
    <t>http://www.sbchocolate.com</t>
  </si>
  <si>
    <t>mailto:orders@sbchocolate.com</t>
  </si>
  <si>
    <t>Confectionery Manufacturing from Purchased Chocolate</t>
  </si>
  <si>
    <t>South Bend Clinic</t>
  </si>
  <si>
    <t>="South Bend Clinic is a multi-physician clinic with a full functioning Audiology department to meet an individual's unique hearing and balance needs, servicing infant to geriatric patients. Services include hearing evaluations, hearing aids, cochlear implants, ENG, ABR and EcochG testing."</t>
  </si>
  <si>
    <t>http://southbendclinic.com</t>
  </si>
  <si>
    <t>South Bend Community School Corporation</t>
  </si>
  <si>
    <t>https://www.edline.net/pages/SouthBendCS</t>
  </si>
  <si>
    <t>mailto:asksbcsc@sbcsc.k12.in.us</t>
  </si>
  <si>
    <t>South Bend Contractors</t>
  </si>
  <si>
    <t>="We are a family-owned general contracting company with over twenty years of quality workmanship. We offer handyman, installation, and remodeling services. The majority of our business stems from customer referrals. We take pride in completing each and every job to the best of our abilities."</t>
  </si>
  <si>
    <t>mailto:sbendcontractors@aol.com</t>
  </si>
  <si>
    <t>South Bend Medical Foundation, Inc</t>
  </si>
  <si>
    <t>http://www.sbmf.org</t>
  </si>
  <si>
    <t>South Bend Mental Health Associates, PC</t>
  </si>
  <si>
    <t>South Bend Public Transportation Corp.</t>
  </si>
  <si>
    <t>http://www.sbtranspo.com</t>
  </si>
  <si>
    <t>Bus and Motor Vehicle Transit Systems</t>
  </si>
  <si>
    <t>South Central GWB Co</t>
  </si>
  <si>
    <t>http://WWW.SOUTHCENTRALCO.COM</t>
  </si>
  <si>
    <t>South Central GWB Co Inc</t>
  </si>
  <si>
    <t>South Central Indiana Appraisals</t>
  </si>
  <si>
    <t>mailto:mamorguson@gmail.com</t>
  </si>
  <si>
    <t>South Knox School</t>
  </si>
  <si>
    <t>http://www.sknox.k12.in.us</t>
  </si>
  <si>
    <t>South Side Silc</t>
  </si>
  <si>
    <t>mailto:Agordillo@aol.com</t>
  </si>
  <si>
    <t>mailto:agordillo@comcast.net</t>
  </si>
  <si>
    <t>South Way, Inc.</t>
  </si>
  <si>
    <t>="A WBE company offering Wholesale Distribution to the Construction Industry. Allowing the construction industry to meet their minority obligation with confidence. Offering thirty years experience in all aspects of the underground construction market.Specializing in Underground -Water, Sewer, Drainage &amp; Gas Materials as well as environmental spill containment and safety products."</t>
  </si>
  <si>
    <t>mailto:sales@southway.co</t>
  </si>
  <si>
    <t>South Western Communications, Inc.</t>
  </si>
  <si>
    <t>http://swc.net</t>
  </si>
  <si>
    <t>mailto:dskinner@swc.net</t>
  </si>
  <si>
    <t>SouthCentralRoofing</t>
  </si>
  <si>
    <t>mailto:scroof@comcast.net</t>
  </si>
  <si>
    <t>Southboy Cakes &amp; Catering</t>
  </si>
  <si>
    <t>http://www.thesouthboy.com</t>
  </si>
  <si>
    <t>mailto:derrick@thesouthboy.com</t>
  </si>
  <si>
    <t>Southeastern Indiana Interiors Inc.</t>
  </si>
  <si>
    <t>Southeastern Supply Co., Inc.</t>
  </si>
  <si>
    <t>http://www.sescoincom.com</t>
  </si>
  <si>
    <t>Building Material and Supplies Dealers</t>
  </si>
  <si>
    <t>Southeastern Trailways, Inc.</t>
  </si>
  <si>
    <t>mailto:trailways@prodigy.net</t>
  </si>
  <si>
    <t>Interurban and Rural Bus Transportation</t>
  </si>
  <si>
    <t>Southeastern Wholesale Supply</t>
  </si>
  <si>
    <t>mailto:sewholesale@earthlink.net</t>
  </si>
  <si>
    <t>Southern Hills Counseling Center, Inc.</t>
  </si>
  <si>
    <t>="Southern Hills Counseling Center was established in 1968 and serves the residents of Dubois, Perry, Spencer, Orange, and Crawford Counties in southwestern Indiana. Southern Hills is a not-for-profit community mental health center governed by an 11-member, volunteer Board of Directors. The Center employs over 140 full and part-time staff members at its five county offices and four residential facilities. Services are provided in Jasper (Dubois County), English (Crawford County), Paoli (Orange County), Tell City (Perry County), and Rockport and Dale (Spencer County). A full array of services including individual, family, and group counseling, psychological assessment, psychiatric consultation, educational programs, and rehabilitative day treatment is available throughout the five counties served by Southern Hills. Southern Hills also provides Employee Assistance Programs designed to meet the needs of employees and area businesses."</t>
  </si>
  <si>
    <t>http://www.southernhills.org</t>
  </si>
  <si>
    <t>Southern Indiana Community Health Care</t>
  </si>
  <si>
    <t>http://sichc.org</t>
  </si>
  <si>
    <t>mailto:nradcliff@sichc.org</t>
  </si>
  <si>
    <t>Southern Indiana Construction Transport</t>
  </si>
  <si>
    <t>mailto:caveq@fullnet.com</t>
  </si>
  <si>
    <t>Southern Indiana Minority Chamber</t>
  </si>
  <si>
    <t>http://www.SIMCOC.org</t>
  </si>
  <si>
    <t>mailto:SIMCOCI@aol.com</t>
  </si>
  <si>
    <t>Southern Indiana REC</t>
  </si>
  <si>
    <t>http://sirec.com</t>
  </si>
  <si>
    <t>mailto:sirec.com</t>
  </si>
  <si>
    <t>Southern Indiana Regional Alliance to Pr</t>
  </si>
  <si>
    <t>="Comfort House is a Child Advocacy Center offering services to child victims of sexual assault throught referrals from the Department of Child Services and Law Enforcement. We provide a child friendly environment and a forensic interviewer to agencies beginning investigations into child sexual assault."</t>
  </si>
  <si>
    <t>http://www.comfort-house.org</t>
  </si>
  <si>
    <t>mailto:contact@comfort-house.org</t>
  </si>
  <si>
    <t>Southern Indiana Resource Solutions, Inc</t>
  </si>
  <si>
    <t>="Custom Pallet Mfg; Plastics Grinding/Recycle; Packaging Community Rehabilitation Agency with 37 years experience providing: Vocational placement and training for adults with disabilities Residential support for adults with developmental disabilities Therapy Services for children 0-18 years SIRS Industries, our Industrial Division, offering: Custom Wood Pallets and Reels Plastics Grinding Packaging and Assembly Janitorial and Groundskeeping Services"</t>
  </si>
  <si>
    <t>http://www.sirs.org</t>
  </si>
  <si>
    <t>mailto:sirs@sirs.org</t>
  </si>
  <si>
    <t>Southern Indiana Supply, Inc.</t>
  </si>
  <si>
    <t>="Seller of High Density Polyethylene Pipe, single wall &amp; double wall, HDPE fittings, Polyethylene &amp; metal end sections, AdvanEdge &amp; Duraslot pipe. Fabricator of HDPE pipe fittings, including Catch Basins, Drop Structures, Anti-Seep Collars, Baffle Plates, Water Quality Control Structures. Corrugated Metal Pipe &amp; Fittings by special order. Other items offered: Nyloplast Drains, PVC pipe &amp; fittings, Grates - Metal &amp; Plastic, Trash Guards, Animal Guards, Septic Tanks &amp; Bioduffuser Systems, D-Boxes, SB2 gravelless pipe systems, Agricultural Drainage Riser systems, Trench Drains, Geotextiles &amp; Pins, Geogrids, Gabions &amp; Fasteners, Silt Fence, Curlex Erosion Control mats, Straw blankets, Sediment Logs, Stakes, Sod Staples, Solvent Based Marking Paints &amp; Applicators, Tile Probes, Tile Tape, other Misc. Rental of Hog Ring Guns &amp; Stringer Trailers available with purchase. Delivery available."</t>
  </si>
  <si>
    <t>mailto:sisupply@fullnet.com</t>
  </si>
  <si>
    <t>Southern Wells Community Schools</t>
  </si>
  <si>
    <t>http://www.swraiders.com</t>
  </si>
  <si>
    <t>Southlake/Tri-City Mgmt. Corporation</t>
  </si>
  <si>
    <t>http://www.geminus.org</t>
  </si>
  <si>
    <t>Southside ASIAN Sari-Sari Supermarket</t>
  </si>
  <si>
    <t>http://www.indyasiansupermarket.com</t>
  </si>
  <si>
    <t>mailto:sasssi@earthlink.net</t>
  </si>
  <si>
    <t>Southside Landfill</t>
  </si>
  <si>
    <t>mailto:rperkins@bestway-disposal.com</t>
  </si>
  <si>
    <t>Southside Vacuum Company inc.</t>
  </si>
  <si>
    <t>mailto:bmastvac@worldnet.att.net</t>
  </si>
  <si>
    <t>Southwest Bartholomew Volunteer Fire Dep</t>
  </si>
  <si>
    <t>Southwest Medical Corporation</t>
  </si>
  <si>
    <t>="Southwest Medical provides new and refurbished medical equipment to hospitals, surgery centers and school programs across the United States. We sell everything from hospital beds and stretchers to OR and surgical equipment. We can outfit any room in your hospital or simulation lab and aim to save customers 50% in costs. Our Refurbished equipment looks and functions like new, with the same warranty and service as the manufacturer. Contact us for a quote today!"</t>
  </si>
  <si>
    <t>http://swmedical.com</t>
  </si>
  <si>
    <t>mailto:caitlin.king@swmedical.com</t>
  </si>
  <si>
    <t>Southwind Carpets, Inc.</t>
  </si>
  <si>
    <t>Sowers of Seeds Counseling, Inc.</t>
  </si>
  <si>
    <t>="S.O.S. Counseling is a faith-based, not-for-profit (501c3) organization specializing in drug and alcohol abuse education and counseling. We are an abstinence based, disease concept, 12 step recovery program whose mission is to provide quality counseling to those who need it the most and can afford it the least."</t>
  </si>
  <si>
    <t>http://sowers of seeds counseling.com</t>
  </si>
  <si>
    <t>mailto:sowersofseedscounseling@yahoo.com</t>
  </si>
  <si>
    <t>Space Management, Inc.</t>
  </si>
  <si>
    <t>="Storage solutions consultants that range from mobile systems to file folders. We provide a variety of services and products to assist our clients, i.e. color coding file folders, inmate property bags, mobile and stationary storage systems. We provide the expertise and products to store anything from artwork to artillary at our client's location. We install all our systems, primarily in new construction or remodeled spaces all are factory trained."</t>
  </si>
  <si>
    <t>http://www.spacemgtinc.com</t>
  </si>
  <si>
    <t>mailto:tevans@spacemgtinc.com</t>
  </si>
  <si>
    <t>SpaceGuard Products</t>
  </si>
  <si>
    <t>http://www.spaceguardproducts.com</t>
  </si>
  <si>
    <t>mailto:sales@spaceguardproducts.com</t>
  </si>
  <si>
    <t>SpaceTech Corporation</t>
  </si>
  <si>
    <t>="SpaceTech Corporation is a custom software development company dedicated to creating intelligent software solutions and web applications with successful business results. Our award-winning web development and web design has helped clients increase revenue while saving time."</t>
  </si>
  <si>
    <t>http://www.spacetechcorp.com</t>
  </si>
  <si>
    <t>mailto:info@spacetechcorp.com</t>
  </si>
  <si>
    <t>Spalding &amp; Hilmes, PC</t>
  </si>
  <si>
    <t>http://spaldinglaw.net</t>
  </si>
  <si>
    <t>mailto:bjglass@spaldinglaw.net</t>
  </si>
  <si>
    <t>Spangle Fasteners, Inc.</t>
  </si>
  <si>
    <t>="Spangle Fasteners was established in Fort Wayne in 1974. We stock a wide variety of Industrial Supplies: Fasteners, Anchors, Cutting Tools, Abrasives, Tools, Plant &amp; Safety, &amp; Material Handling. We deliver to local companies in Northeast Indiana, and offer next day UPS delivery throughout Indiana. We have no minimum order. Hours: Monday-Friday 7am-5pm Phone: 260-484-0496 Fax: 260-482-4105 Email: spanglefasteners@msn.com ""SERVICE IS OUR SPECIALTY"""</t>
  </si>
  <si>
    <t>mailto:spanglefasteners@msn.com</t>
  </si>
  <si>
    <t>Spanish Language Success, LLC</t>
  </si>
  <si>
    <t>http://www.spanish-success.com</t>
  </si>
  <si>
    <t>Sparkle Cleaning</t>
  </si>
  <si>
    <t>Sparkling Touch, Inc.</t>
  </si>
  <si>
    <t>mailto:sparklingtouch1@yahoo.com</t>
  </si>
  <si>
    <t>Sparrow Technologies, Inc</t>
  </si>
  <si>
    <t>http://www.SparrowTechnologies, Inc.</t>
  </si>
  <si>
    <t>mailto:sales@sparrowtechinc.com</t>
  </si>
  <si>
    <t>Spatial Definitions</t>
  </si>
  <si>
    <t>="As Design Consultant and Owner of Spatial Definitions, my primary functions are space planning, with diminsioned floor plans and elevations, schematic drawings, entire sets of blue prints, finish and furnish selections. Follow up for further design consulting when needed from client. This includes Residential and Commercial spaces."</t>
  </si>
  <si>
    <t>Spatial Marvels</t>
  </si>
  <si>
    <t>http://www.spatialmarvels.com</t>
  </si>
  <si>
    <t>mailto:dmarvel@spatialmarvels.com</t>
  </si>
  <si>
    <t>Special Occasions Catering LLc</t>
  </si>
  <si>
    <t>="off-premise caterer, healthy food choices Cocktail Parties: We offer wait staff and appealing buffet, plated meals or passed hors d’oeuvres Special Occasions: Holiday Parties, Weddings, Fundraisers, Birthdays, Funerals, Showers &amp; Outdoor BBQ Picnics Formal Plated Dinner Parties: Custom menus Pharmaceutical Events: Breakfast &amp; Lunch With over 10 years of experience in catering services, formal dining, and event planning, you can relax. SOC will help you create a memorable event and allow your imagination to flow. Our professional staff will ensure that your special occasion flows efficiently and smoothly. Provide us with your special event budget and we will provide you with the greatest value of food and service."</t>
  </si>
  <si>
    <t>http://www.socindy.com</t>
  </si>
  <si>
    <t>mailto:chefkbrooks@sbcglobal.net</t>
  </si>
  <si>
    <t>Special Task Force Protection Agency LLC</t>
  </si>
  <si>
    <t>http://www.taskforceprotection.com</t>
  </si>
  <si>
    <t>mailto:info@taskforceprotection.com</t>
  </si>
  <si>
    <t>Specialized Alternatives for Families an</t>
  </si>
  <si>
    <t>http://www.safy.org</t>
  </si>
  <si>
    <t>Specialized Composic</t>
  </si>
  <si>
    <t>http://specializedcomposition.com</t>
  </si>
  <si>
    <t>mailto:amy@specializedcomposition.com</t>
  </si>
  <si>
    <t>Specialized Land Svc</t>
  </si>
  <si>
    <t>mailto:sklineman@msn.com</t>
  </si>
  <si>
    <t>Specialized Packaging Incorporated</t>
  </si>
  <si>
    <t>http://www.SpecPkg.com</t>
  </si>
  <si>
    <t>mailto:sales@specpkg.com</t>
  </si>
  <si>
    <t>Specialized Staffing Solutions, LLC</t>
  </si>
  <si>
    <t>="Specialized Staffing Solutions LLC can provide employees to fit a company’s every need. Our screening process will help us find quality people who have the required skills. Our services are designed to help maximize productivity and reduce costs. From our headquarters in South Bend, Indiana and through four offices in Indiana and Michigan, Specialized Staffing Solutions offers full-service staffing in Office Professional, Light Industrial/Manufacturing, and Technical/Professional disciplines. We differentiate ourselves from others in the staffing industry through our ability to provide quality solutions as well as cost and time savings. We know that each of our clients is unique and requires customized screening, testing and orientation to fit the individual culture. In addition, we offer a state of the art web-based program that allows each company to access information about its own account quickly and accurately, with the knowledge that it is current."</t>
  </si>
  <si>
    <t>http://www.specializedstaffing.biz</t>
  </si>
  <si>
    <t>Specialty Engineering Inc.</t>
  </si>
  <si>
    <t>mailto:sei@specialtyengineeringinc.com</t>
  </si>
  <si>
    <t>Specialty Works</t>
  </si>
  <si>
    <t>Specialty Works.inc LLC</t>
  </si>
  <si>
    <t>mailto:SPECIALTYWORKS@SBCGLOBAL.NET</t>
  </si>
  <si>
    <t>Spectrum Container</t>
  </si>
  <si>
    <t>mailto:gene@spectrumcontainer.com</t>
  </si>
  <si>
    <t>Spectrum Contractors, Inc.</t>
  </si>
  <si>
    <t>mailto:spectrumcontractor@sbcglobal.net</t>
  </si>
  <si>
    <t>Spectrum Management &amp; Development, LLC</t>
  </si>
  <si>
    <t>="Spectrum Management &amp; Development is a Certified Woman and Minority-Owned business located in Indianapolis, Indiana. We offer a full range of commercial real estate services focusing on value-add management, development and brokerage. Our exceptional team of professionals have combined experience of over 60 years. It is our goal to provide our clients with the comprehensive and technical expertise needed to meet the project goals and objectives desired. We approach each project with a fully integrated network of resources and support distinguished by unparalleled integrity and professionalism. Our scope of services gives Spectrum the flexibility to accommodate each client’s individual needs."</t>
  </si>
  <si>
    <t>mailto:ckaranja@spectrum-md.com</t>
  </si>
  <si>
    <t>Spectrum Press, Inc.</t>
  </si>
  <si>
    <t>mailto:spectrumpress@aol.com</t>
  </si>
  <si>
    <t>Spectrum Sound, Inc.</t>
  </si>
  <si>
    <t>http://www.spectrumsound.biz</t>
  </si>
  <si>
    <t>mailto:bill@spectrumsound.biz</t>
  </si>
  <si>
    <t>Spectrum Technical Group, Inc.</t>
  </si>
  <si>
    <t>http://www.spectrumtechnicalgroup.com</t>
  </si>
  <si>
    <t>mailto:spectrumtechnicalgroup@comcast.net</t>
  </si>
  <si>
    <t>Spectrum, Inc.</t>
  </si>
  <si>
    <t>mailto:Spectrum@scican.net</t>
  </si>
  <si>
    <t>Speedway Automotive Distributors</t>
  </si>
  <si>
    <t>http://www.speedwayautoparts.com</t>
  </si>
  <si>
    <t>mailto:mark@speedwayautoparts.com</t>
  </si>
  <si>
    <t>Speedway LLC</t>
  </si>
  <si>
    <t>="SuperFleet is a one card solution for all your fleet fueling and preventative maintenance needs. SuperFleet is accepted at over 7,000 locations in the US of with most locations concentrated in the Midwest and South Eastern United States. Our focus is to allow fleet manager to control their fuel cost through enhanced fleet controls and detailed fleet reporting. SuperFleet offers one of the industry’s best in class on-line account management tools, SuperFleet Manager. With the addition of SuperFleet Manager you will be able to control WHEN your fleet fuels, HOW much then can fuel. Through our enhanced fraud controls you can control WHAT type of fuel they can get and HOW much they can purchase. Industry statistics have shown that those using a Fleet Fueling program can save as much as 15% on their fuel costs. SuperFleet also has volume rebates of up to 5¢ per gallon and no cost for report or cards. This kind of saving will benefit your bottom line. SuperFleet is accepte"</t>
  </si>
  <si>
    <t>http://www.superfleet.net</t>
  </si>
  <si>
    <t>mailto:emcornish@superfleet.net</t>
  </si>
  <si>
    <t>Speedway Redi Mix, Inc.</t>
  </si>
  <si>
    <t>mailto:brian@soeedwayredimix.com</t>
  </si>
  <si>
    <t>Speedy Clean Laundry Corp.</t>
  </si>
  <si>
    <t>mailto:speedycleanlaundry@gmail.com</t>
  </si>
  <si>
    <t>Speicher Fields &amp; Associates</t>
  </si>
  <si>
    <t>http://www.speicherfields.com</t>
  </si>
  <si>
    <t>mailto:dean.speicher@speicherfields.com</t>
  </si>
  <si>
    <t>Spence Cam, Inc</t>
  </si>
  <si>
    <t>Spence Restoration Nursery</t>
  </si>
  <si>
    <t>http://www.spencenursery.com</t>
  </si>
  <si>
    <t>mailto:native@iquest.net</t>
  </si>
  <si>
    <t>Spencer County Bank</t>
  </si>
  <si>
    <t>http://www.spencercountybank.com</t>
  </si>
  <si>
    <t>mailto:scbank@spencercountybank.com</t>
  </si>
  <si>
    <t>Spencer Hardware &amp; Lumber Co.</t>
  </si>
  <si>
    <t>mailto:spencerhardware@yahoo.com</t>
  </si>
  <si>
    <t>Spencer-Owen Community Schools</t>
  </si>
  <si>
    <t>Sphere Engineering, Inc.</t>
  </si>
  <si>
    <t>mailto:chogston@sphereeng.com</t>
  </si>
  <si>
    <t>Sphere Technologies, Inc.</t>
  </si>
  <si>
    <t>http://www.spheretechinc.com</t>
  </si>
  <si>
    <t>mailto:cfrank@spheretechinc.com</t>
  </si>
  <si>
    <t>Spidel Tech Solutions, Inc.</t>
  </si>
  <si>
    <t>http://spideltech.com</t>
  </si>
  <si>
    <t>mailto:bruce@spideltech.com</t>
  </si>
  <si>
    <t>Spike Motoplex</t>
  </si>
  <si>
    <t>Spiral-Fab, Inc</t>
  </si>
  <si>
    <t>http://www.spiral-fab.com</t>
  </si>
  <si>
    <t>mailto:renee@spiral-fab.com</t>
  </si>
  <si>
    <t>Spirit of America Freight Management Sys</t>
  </si>
  <si>
    <t>="I am an independent shipping agent for Landstar and affiliated freight carrier companies. I facilitate the transportation arrangement between the shipper (company that needs goods shipped) and the carrier (Landstar or affiliated carriers). My business is 51% woman-owned and 100% African-American-owned."</t>
  </si>
  <si>
    <t>mailto:s.l.williams2@sbcglobal.net</t>
  </si>
  <si>
    <t>Sporleder Excavating</t>
  </si>
  <si>
    <t>mailto:sporlederexcavatinginc@hotmail.com</t>
  </si>
  <si>
    <t>Sport Graphics, Inc.</t>
  </si>
  <si>
    <t>http://www.sportg.com</t>
  </si>
  <si>
    <t>Sports Haven Engraving LLC</t>
  </si>
  <si>
    <t>http://www.havenpromos.com</t>
  </si>
  <si>
    <t>mailto:mail@sportshavenengraving.net</t>
  </si>
  <si>
    <t>Sports Plus Inc.</t>
  </si>
  <si>
    <t>Sportsmania Sales</t>
  </si>
  <si>
    <t>Spotless Commercial Cleaning Service LLC</t>
  </si>
  <si>
    <t>mailto:spotlessjane@gmail.com</t>
  </si>
  <si>
    <t>Spotless Janitorial Service, LLC</t>
  </si>
  <si>
    <t>mailto:spotlessjanitorialservice@yahoo.com</t>
  </si>
  <si>
    <t>Sprague's Septic</t>
  </si>
  <si>
    <t>http://www.spragueportables.com</t>
  </si>
  <si>
    <t>mailto:spragueseptic@yahoo.com</t>
  </si>
  <si>
    <t>Spragues Portapots</t>
  </si>
  <si>
    <t>="We rent out portable toilets by daily, weekly, monthly, or yearly. We also have handicapped accessable units, some special units available that have sinks an flush units. We do any type of activity that anyone has planned for holidays, family get togethers, festivals, etc. We also clean the units weekly."</t>
  </si>
  <si>
    <t>mailto:spraguesportapots@yahoo.com</t>
  </si>
  <si>
    <t>Spring Ventures Infovation LLC</t>
  </si>
  <si>
    <t>Spring ventures Inc.</t>
  </si>
  <si>
    <t>Springer Construction, Inc</t>
  </si>
  <si>
    <t>http://ww.UniversalWindowsFtWayne.com</t>
  </si>
  <si>
    <t>mailto:info@universalwindowsftwayne.com</t>
  </si>
  <si>
    <t>Springfield Enterprises, Inc.</t>
  </si>
  <si>
    <t>http://www.springfieldenterprises.com</t>
  </si>
  <si>
    <t>mailto:danmiller@springfieldenterprises.com</t>
  </si>
  <si>
    <t>Spun Metals, Inc.</t>
  </si>
  <si>
    <t>="Spun Metals produces high quality spun metal components for aerospace, military, gas turbine, and commercial industry. We specialize in challenging jobs using exotic metals, and can handle jobs large and small. In addition to hand and CNC spinning, we offer related services including certified welding, resistance seam and spot welding, wire EDM, shearing, assembly, and in-house services such as passivation and tool and die. Quality is top priority at Spun Metals. We are an ISO 9001:2000 certified company, committed to the highest manufacturing standards. We have invested in highly technical equipment such as coordinate measuring machines and a 30'' optical comparator to ensure that our customers get parts of the highest quality."</t>
  </si>
  <si>
    <t>http://www.metalspinning.com</t>
  </si>
  <si>
    <t>mailto:info@metalspinning.com</t>
  </si>
  <si>
    <t>Spurlin Super Automo</t>
  </si>
  <si>
    <t>mailto:wspurlin@juno.com</t>
  </si>
  <si>
    <t>Spy Glass Inc</t>
  </si>
  <si>
    <t>Square D Company</t>
  </si>
  <si>
    <t>="Global electrical industry leader of NEMA Type Electrical Distribution and Industrial Control Products, systems and services found in all types of residential, commercial and industrial construction, in a wide range of manufacturing and processing faciiites, and in or on the products of other manufacturers."</t>
  </si>
  <si>
    <t>http://www.squared.com</t>
  </si>
  <si>
    <t>mailto:us.schneider-electric.com</t>
  </si>
  <si>
    <t>Electrical Equipment Manufacturing</t>
  </si>
  <si>
    <t>Squared Away Plus</t>
  </si>
  <si>
    <t>Squareone Design, Inc</t>
  </si>
  <si>
    <t>="can provide any or all of the following services: planning, designing, and managing the production of visual communication through vinyl and embroidery products, banners, brochures, letterhead, corporate gifts and awards, vehicle and building graphics, signage systems, and corporate logos."</t>
  </si>
  <si>
    <t>http://www.squareoneindy.com</t>
  </si>
  <si>
    <t>mailto:info@squareoneindy.com</t>
  </si>
  <si>
    <t>Squeaky Clean Professionals Inc.</t>
  </si>
  <si>
    <t>mailto:squeakycleanprof@aol.com</t>
  </si>
  <si>
    <t>Squish Designs, LLC</t>
  </si>
  <si>
    <t>http://www.squishdesigns.com</t>
  </si>
  <si>
    <t>mailto:squish@squishdesigns.com</t>
  </si>
  <si>
    <t>SroBo LLC</t>
  </si>
  <si>
    <t>http://www.PinnacleOfIndiana.com</t>
  </si>
  <si>
    <t>mailto:jcarter@pinnacleofindiana.com</t>
  </si>
  <si>
    <t>St John Plumbing</t>
  </si>
  <si>
    <t>http://www.stjohnplumbing.com</t>
  </si>
  <si>
    <t>mailto:info@stjohnplumbing.com</t>
  </si>
  <si>
    <t>St Joseph Hospital &amp; Health Center Inc</t>
  </si>
  <si>
    <t>="St Joseph Hospital is a full service hospital that is committed to serving all persons, with special attention to those who are poor and vulnerable. Our Catholic health ministry is dedicated to spirituality centered, holistic care, that sustains and improves the health of individuals and communities regardless of religion."</t>
  </si>
  <si>
    <t>St Regis Culvert Inc</t>
  </si>
  <si>
    <t>http://www.stregisculvert.com</t>
  </si>
  <si>
    <t>mailto:cmooney@stregisculvert.com</t>
  </si>
  <si>
    <t>St. Francis Healthcare Foundation</t>
  </si>
  <si>
    <t>St. Henry Tile Co., Inc.</t>
  </si>
  <si>
    <t>="ready mix concrete producer, precast hog &amp; cattle slats, concrete beams, numerous concrete products, resale large line of hard building materials which include brick, building block, reinforcing, mortar, bagged cement, PVC pipe and accessories, drain tile, bolts, windows, vents, flue liners, patio stones, retaining wall blocks, sealers, form oil, grouts, patching and waterproofing materials, sandblasting sands, block insulation, cultured stone, tools, rentals include air compressors, compactors, power trowels, saws, quarry sand and gravel for resale and own use"</t>
  </si>
  <si>
    <t>mailto:berne_readymix@yahoo.com</t>
  </si>
  <si>
    <t>St. James Company</t>
  </si>
  <si>
    <t>="The St. James Company is a manufacturer of aluminum and vinyl composite windows. Our windows are designed with a rigid aluminum extrusion on the outside. This provides a strong maintenance free defense against the most extreme weather conditions. To the inside, a non-conductive vinyl extrusion is added. An expandable urethane foam, similar to that used in refrigerators, is then injected in the frame and sash. The urethane serves as an insulator that far surpasses the properties of wood."</t>
  </si>
  <si>
    <t>mailto:bjarboe@stjamescompany.com</t>
  </si>
  <si>
    <t>St. Joseph Paper &amp; P</t>
  </si>
  <si>
    <t>http://stjoepaper.com</t>
  </si>
  <si>
    <t>mailto:dean@stjoepaper.com</t>
  </si>
  <si>
    <t>Urethane and Other Foam Product (except Polystyrene) Manufacturing</t>
  </si>
  <si>
    <t>St. Joseph's Carmelite Home for Girls</t>
  </si>
  <si>
    <t>http://www.carmelitehome.org</t>
  </si>
  <si>
    <t>mailto:stjoecarmelite@gmail.com</t>
  </si>
  <si>
    <t>Stacy H. Sheedy &amp; Co, PC</t>
  </si>
  <si>
    <t>mailto:stacy.sheedy@sheedypc.com</t>
  </si>
  <si>
    <t>Stacy Wright</t>
  </si>
  <si>
    <t>http://www.wrightpsychologicalservices.c</t>
  </si>
  <si>
    <t>mailto:dr.wright@wrightpsychologicalservices.com</t>
  </si>
  <si>
    <t>Staff Manaagement Solutions, LLC</t>
  </si>
  <si>
    <t>="SM Solutions, LLC recruits the employees, assesses their skills*, checks their references and presents you with the best candidates for your review. We then provide a 100-day, unconditional replacement guarantee, should you or the employee decide this is not a good fit. After the 100 days, should the employee leave we will replace this position for one-half of my fee up to one year after the initial hire date. *For Clerical and Administrative positions only."</t>
  </si>
  <si>
    <t>mailto:Joywhalin@insightbb.com</t>
  </si>
  <si>
    <t>Staffing Resources, Inc</t>
  </si>
  <si>
    <t>="We are a temporary employment service. We have a division that places everything from general labor to clerical to middle management and a division that handles executive level recruitment. Our specialties are project management and temporary to direct hire recruitment."</t>
  </si>
  <si>
    <t>mailto:SLHewetson@aol.com</t>
  </si>
  <si>
    <t>Staffing Resources, LLC</t>
  </si>
  <si>
    <t>mailto:Kokomo@staffingresources1.com</t>
  </si>
  <si>
    <t>Stafforward</t>
  </si>
  <si>
    <t>http://www.stafforward.com</t>
  </si>
  <si>
    <t>StandOut,LLC</t>
  </si>
  <si>
    <t>http://www.standout-promo.com</t>
  </si>
  <si>
    <t>mailto:standout@standout-promo.com</t>
  </si>
  <si>
    <t>Standard Auto Parts of Logansport, Inc</t>
  </si>
  <si>
    <t>mailto:bruce@standardautoparts.net</t>
  </si>
  <si>
    <t>Standard Change-Makers, Inc.</t>
  </si>
  <si>
    <t>http://www.standardchange.com</t>
  </si>
  <si>
    <t>mailto:sales@standardchange.com</t>
  </si>
  <si>
    <t>Standard Fertilizer Company</t>
  </si>
  <si>
    <t>="The Standard Fertilizer Company is a full service rendering company. We have been in business since 1925 providing waste grease removal/recycling services, hide, offal and meat scraps removal/recycling services and dead stock removal/recycling services. We are dealers in Yellow Grease, Meat and Bone Meal and Beef/Deer Hides."</t>
  </si>
  <si>
    <t>http://www.standardfertilizer.com</t>
  </si>
  <si>
    <t>Rendering and Meat By-product Processing</t>
  </si>
  <si>
    <t>Standard For Success, LLC</t>
  </si>
  <si>
    <t>http://www.standardforsuccess.com</t>
  </si>
  <si>
    <t>mailto:todd@standardforsuccess.com</t>
  </si>
  <si>
    <t>Standardized Food Service Systems, Inc.</t>
  </si>
  <si>
    <t>="SFS Serves began in 1993. Diversified offering for school food service operators with solutions to food safety, sanitation and employee safety concerns. Company provides Sanitation and Safety Systems to over 1,000 schools with food service and custodial operations in Indiana, Michigan, Kentucky, and Ohio. Largest regional and national provider of Sanitation and Safety Programs to the school food service market. National network services over 10,000 schools nationally. Professional Cleaning Services for Commercial, Institutional and Residential Markets."</t>
  </si>
  <si>
    <t>http://www.sfsserves.com</t>
  </si>
  <si>
    <t>mailto:info@sfsserves.com</t>
  </si>
  <si>
    <t>Stanfield Consultants International</t>
  </si>
  <si>
    <t>="Stanfield Consultants International is a global minority contractor with over 25 years experience. We specialize in planning, designing, and evaluating equity, access, and diversity policies and programs for corporations, public and private schools, universities, military installations, government agencies, social service agencies, non-profit organizations, faith communities, and urban and rural communities. We are also specialists in planning, designing, monitoring, and evaluating strategies for recruiting and retaining racial minority faculty and academic administrators; planning, designing, and evaluating social tolerance, anti-racism, anti-disabled persons discrimination, and cultural diversity curriculum, training models, and conferences for a broad array of institutions, organizations, and communities; assisting community leaders in resolving racial, ethnic, and cultural tensions through strategic planning and communication processes; and we serve as third party mediators to reso"</t>
  </si>
  <si>
    <t>http://www.stanfieldsci.com</t>
  </si>
  <si>
    <t>mailto:stanfieldsci@gmail.com</t>
  </si>
  <si>
    <t>Stanley Agencies Inc</t>
  </si>
  <si>
    <t>http://www.stanleydetectiveagency.com</t>
  </si>
  <si>
    <t>mailto:stanleyagency@sbcglobal.net</t>
  </si>
  <si>
    <t>Stanley Convergent Security Solutions</t>
  </si>
  <si>
    <t>="Stanley Security Solutions provides electronic security solutions to commercial and governmental users. We install and service intrusion alarms, CCTV, access control and fire detection systems. We also provide door control, intercoms, and video systems to Correctional facilities."</t>
  </si>
  <si>
    <t>http://stanleysecuritysolutions.com</t>
  </si>
  <si>
    <t>Stanley Security Solutions, Inc.</t>
  </si>
  <si>
    <t>="Manufacturer, Sales, Installation and Service of Commercial Mechanical and Electronic Access Control Solutions, CCTV, Systems Integration, Software, and other low-voltage devices. Divisions include Best Access Systems, Integrator.com, Safemasters, Systems Inegration, and Senior Technologies."</t>
  </si>
  <si>
    <t>http://www.stanleysecuritysolutions.com</t>
  </si>
  <si>
    <t>Stanner Appraisal Service, Inc.</t>
  </si>
  <si>
    <t>http://howelagrangegmac.com</t>
  </si>
  <si>
    <t>mailto:ccosby@howelagrange.com</t>
  </si>
  <si>
    <t>Stanton Hearing Aid</t>
  </si>
  <si>
    <t>mailto:Raymark_99@yahoo.com</t>
  </si>
  <si>
    <t>Stanz Cheese Co Inc</t>
  </si>
  <si>
    <t>="Stanz is a broad line food service distributor located in South Bend Indiana and servicing all businesses that have a food service operation within 150 miles of South Bend. We are a family owned operation that was founded in 1923 and carry the following categories of products: produce; fresh meats and seafood; frozen products of all kinds; dairy products, chilled salad and related items; cleaning/laundry/warewashing chemicals (with 24 hour repair service); dry grocery products of all kinds; premium beverage products (with 24 hour repair service); paper/janitorial/disposables of all kinds. We are service oriented and CERTIFIED AS A WBE in Indiana"</t>
  </si>
  <si>
    <t>http://www.stanz.com</t>
  </si>
  <si>
    <t>Stapleton Enterprise</t>
  </si>
  <si>
    <t>Star Elevator</t>
  </si>
  <si>
    <t>http://starelevatorusa.com</t>
  </si>
  <si>
    <t>mailto:patrick@starelevatorusa.com</t>
  </si>
  <si>
    <t>Star Environmental, Inc.</t>
  </si>
  <si>
    <t>http://www.starenv.net</t>
  </si>
  <si>
    <t>mailto:info@starenv.net</t>
  </si>
  <si>
    <t>Star Fence, Inc.</t>
  </si>
  <si>
    <t>mailto:Holloarrowfence@aol.com</t>
  </si>
  <si>
    <t>Star Images, LLC</t>
  </si>
  <si>
    <t>="Star Images, LLC provides complete photographic and digital printing services for the MidWest. Star Images, LLC produces Giclée quality prints from your digital images. We produce prints up to 44 inches by 150 inches in size and will print your photographic image or work of art on fine art paper or canvas substrates. If you are not satisified with the print, return it to us for a full refund of your purchase price. Minimum order is only US$25."</t>
  </si>
  <si>
    <t>http://www.starimages.us</t>
  </si>
  <si>
    <t>mailto:info@starimages.us</t>
  </si>
  <si>
    <t>Star Media Group LLC</t>
  </si>
  <si>
    <t>="Star Media is a print and media design company that specializes in custom QR codes, business cards, web design, press kits, and many other services. We also assist organizations to build relationships with vendors and community partners that will progress a business to the next level."</t>
  </si>
  <si>
    <t>http://www.star-media-group.com</t>
  </si>
  <si>
    <t>mailto:starstyle317@gmail.com</t>
  </si>
  <si>
    <t>Star Products, LLC</t>
  </si>
  <si>
    <t>mailto:mbailey@starprods.com</t>
  </si>
  <si>
    <t>Star Technology, Inc.</t>
  </si>
  <si>
    <t>="Star Technology is a formulator and compounder of a wide variety of reactive adhesives, coatings and encapsulation products. The chemistries of these products span the epoxy, urethane, acrylic and water based technologies. Star Technology is a major manufacturer of balancing compounds for motor armature balancing. We also hold two US patents on UV cure epoxy technology concerning its use as a balancing compound. Call us at 800-741-7833 for more information."</t>
  </si>
  <si>
    <t>http://www.star-technology.com</t>
  </si>
  <si>
    <t>mailto:dstarkey@star-technology.com</t>
  </si>
  <si>
    <t>Star Transportation LLC</t>
  </si>
  <si>
    <t>mailto:startransportationllc@rocketmail.com</t>
  </si>
  <si>
    <t>Star Uniform</t>
  </si>
  <si>
    <t>http://www.star-uniform.com</t>
  </si>
  <si>
    <t>mailto:staruniform@frontier.com</t>
  </si>
  <si>
    <t>Starck Insurance Agency</t>
  </si>
  <si>
    <t>http://www.starckinsuranceagency.com</t>
  </si>
  <si>
    <t>mailto:truszkowski@starckinsuranceagency.com</t>
  </si>
  <si>
    <t>Starfish Office Solutions, Inc.</t>
  </si>
  <si>
    <t>http://www.starfishofficesolutions.com</t>
  </si>
  <si>
    <t>Starkey Law Group, PC</t>
  </si>
  <si>
    <t>http://www.starkey-law.com</t>
  </si>
  <si>
    <t>mailto:rts@starkey-law.com</t>
  </si>
  <si>
    <t>Starkey Personnel Inc.</t>
  </si>
  <si>
    <t>="With more than 10 years in the business we are a Personnel Service providing the full range of staffing services, including temporary, employee leasing, executive recruiting and employment consulting services. Certified professional recruiters available to you. If it involves hiring or finding people call us first."</t>
  </si>
  <si>
    <t>http://www.starkeypersonnel.com</t>
  </si>
  <si>
    <t>mailto:jstarkey@starkeypersonnel.com</t>
  </si>
  <si>
    <t>Starla West International, LLC</t>
  </si>
  <si>
    <t>="Starla West International is an Executive Presence and Business Leadership Coaching Firm helping business professionals and corporate teams become more powerful, influential, and persuasive in their environment. The SWI Team has extraordinary insight into what it takes to empower decision-makers with the right tools and resources to achieve a high level of executive performance. Leveraging their sustainable value and true potential within their organization, SWI clients learn to better manage their relationships, communicate their value, and lead people more effectively with confidence and emotional clarity. Through SWI's developmental coaching and mentoring, executive presence programs, and emotional intelligence training, they help executives maximize their leadership impact."</t>
  </si>
  <si>
    <t>http://www.starlawest.com</t>
  </si>
  <si>
    <t>mailto:info@starlawest.com</t>
  </si>
  <si>
    <t>Starlight Construction, Inc.</t>
  </si>
  <si>
    <t>Starr Realty Group</t>
  </si>
  <si>
    <t>http://www.southbendstar.com</t>
  </si>
  <si>
    <t>mailto:star@southbendstar.com</t>
  </si>
  <si>
    <t>Start To Finish, Inc.</t>
  </si>
  <si>
    <t>http://www.LandscapingByStartToFinish.co</t>
  </si>
  <si>
    <t>mailto:StartToFinish@TDS.net</t>
  </si>
  <si>
    <t>Stash Construction, Inc.</t>
  </si>
  <si>
    <t>http://www.stashconstruction.com</t>
  </si>
  <si>
    <t>mailto:doris@stashconstruction.com</t>
  </si>
  <si>
    <t>State Street Hardware</t>
  </si>
  <si>
    <t>mailto:statestreethardware@earthlink.net</t>
  </si>
  <si>
    <t>State-Line Vac Servi</t>
  </si>
  <si>
    <t>mailto:indianareline@peoplepc.com</t>
  </si>
  <si>
    <t>Statistics and Applied Engineering</t>
  </si>
  <si>
    <t>Software Reproducing</t>
  </si>
  <si>
    <t>Statom Industrial Supplies, LLC</t>
  </si>
  <si>
    <t>mailto:statomj@sbcglobal.net</t>
  </si>
  <si>
    <t>Stay Home Senior Care Inc</t>
  </si>
  <si>
    <t>="Provider of non-medical care for seniors in their own home. Services include: Light housekeeping. Laundry. Medication reminders.Local transportation. Meal transportation. Shopping. Companionship. Caregivers fully trained. They are insured and bonded. Services provided from 2hrs/day to 24hrs/day"</t>
  </si>
  <si>
    <t>mailto:stayhome1@hotmail.com</t>
  </si>
  <si>
    <t>Steam Klean of Auburn</t>
  </si>
  <si>
    <t>Stearns Plumbing Inc.</t>
  </si>
  <si>
    <t>http://plumbingmall.com</t>
  </si>
  <si>
    <t>mailto:stearns@hsonline.net</t>
  </si>
  <si>
    <t>Steel City Home Improvement, Inc.</t>
  </si>
  <si>
    <t>="Steel City Home Improvement Co is one of northern Indiana's oldest remodeling contractors. Our company was founded in 1948 and has been in continous operation every since. We take pride in our work and reputation for honest dealings. We are proud to announce that we have been recognized as one of the big 50 remodelers in the nation by Remodeling Magazine. This recognition is a result of the professionalism and integrity we have portray in the remodeling industry."</t>
  </si>
  <si>
    <t>Steel Pony Trucking, LLC</t>
  </si>
  <si>
    <t>mailto:steelponytrucking@gmail.com</t>
  </si>
  <si>
    <t>SteelTech Industrial Fabricating Corp</t>
  </si>
  <si>
    <t>="At SteelTech, our products and services are as varied as our customers’ needs. With over 100,000 sq. ft. of manufacturing space, SteelTech has the capabilities to provide custom fabricating solutions for production components, shipping containers, racking, and other metal products. In addition, with over 60 years of combined leadership experience with Fortune 500 companies, we can provide assembly services, repair, retrofit, salvage, logistics, project management and virtually any other product or service our customers require."</t>
  </si>
  <si>
    <t>http://www.steeltechcorp.com</t>
  </si>
  <si>
    <t>mailto:info@steeltechcorp.com</t>
  </si>
  <si>
    <t>Steelcore Construction Co., Inc.</t>
  </si>
  <si>
    <t>http://www.steelcoreconstruction.com</t>
  </si>
  <si>
    <t>mailto:info@steelcoreconstruction.com</t>
  </si>
  <si>
    <t>Steele Innovations, LLC</t>
  </si>
  <si>
    <t>="Steele Innovations can assist you in solidifying your skill set and face challenges head-on with our project management and AutoCAD training designed to prepare you for certification. Regardless of where you are in your career, Steele Innovations has a training program to help you develop and enhance your level of expertise. Our mission is to provide our clients with the best-in-class consulting and training for project management, AutoCAD, business planning, web marketing, and strategic planning."</t>
  </si>
  <si>
    <t>http://www.steeleinnovationsllc.com</t>
  </si>
  <si>
    <t>mailto:theresa.steele@steeleinnovationsllc.com</t>
  </si>
  <si>
    <t>SteeleTech, Inc.</t>
  </si>
  <si>
    <t>="SteeleTech has established a solid reputation in the training arena as a provider of high quality, customized technical and soft skills training and materials. In the development field, SteeleTech's software and web developers are comfortable across a range of platforms and produce solutions for businesses of every size, type and industry."</t>
  </si>
  <si>
    <t>http://www.steeletech.com</t>
  </si>
  <si>
    <t>mailto:info@steeletech.com</t>
  </si>
  <si>
    <t>Steimel Comm. Inc</t>
  </si>
  <si>
    <t>http://www.steimelcomm.com</t>
  </si>
  <si>
    <t>mailto:kennym@steimelcomm.com</t>
  </si>
  <si>
    <t>Stein-Ferguson Law Office</t>
  </si>
  <si>
    <t>="Stein-Ferguson Law Office provides high quality legal services, keeping up with the most current issues in law and the most current trends in technology. We assist the small and medium sized business owner in making the most informed legal decisions. Stein-Ferguson Law Office provides customized advice and counsel that is laced with twenty years of knowledge from “hands-on” business and technical experience. We help solve the legal issues created by today’s high technology environment, which demands an understanding of the technology and strategic needs of your business. With the highly complex world of digital data storage, digital data (computer) forensic services are offered to businesses, individuals, and other law offices."</t>
  </si>
  <si>
    <t>http://www.ksflegal.com</t>
  </si>
  <si>
    <t>mailto:Karen@ksflegal.com</t>
  </si>
  <si>
    <t>Steinberger Construction, Inc.</t>
  </si>
  <si>
    <t>http://www.sciteam.com</t>
  </si>
  <si>
    <t>mailto:ken.personett@sciteam.com</t>
  </si>
  <si>
    <t>Steinkamp Warehouses</t>
  </si>
  <si>
    <t>Steinkamp's Warehouse, Inc.</t>
  </si>
  <si>
    <t>="Steinkamp Home Center is a family-owned business serving Dubois &amp; surrounding counties in Southern Indiana with quality building supplies. Steinkamp's features premium framing and pressure treated lumber processed at its own lumber treating facility. Product lines include ThermaTru exterior doors, Andersen Windows, Jeld-Wen interior doors, GP vinyl siding, GAF &amp; Atlas roofing shingles, as well as drywall and accessories, Kichler &amp; Accolade lighting, carpet, laminate &amp; hardwood flooring, ceramic tile, paint, plumbing, and hardware. Contact our experienced sales staff to help you coordinate your choices and add extra value to your home."</t>
  </si>
  <si>
    <t>http://ehomecenter.net</t>
  </si>
  <si>
    <t>Stellar Wind Development LLC</t>
  </si>
  <si>
    <t>="Stellar Wind Development LLC specializes in research and development of complex computer hardware and software systems. Our consulting services are devoted to solving our clients problems using state of the art technology and a structured engineering approach."</t>
  </si>
  <si>
    <t>http://www.stellarwinddev.com</t>
  </si>
  <si>
    <t>mailto:info@stellarwinddev.com</t>
  </si>
  <si>
    <t>Stello Products, Inc.</t>
  </si>
  <si>
    <t>http://www.stelloproducts.com</t>
  </si>
  <si>
    <t>mailto:sales@stelloproducts.com</t>
  </si>
  <si>
    <t>mailto:todd.zellers@stelloproducts.com</t>
  </si>
  <si>
    <t>Stemen Stock Photos</t>
  </si>
  <si>
    <t>http://stemenstockphotos.com</t>
  </si>
  <si>
    <t>mailto:todd@stemenstockphotos.com</t>
  </si>
  <si>
    <t>Stenz Management Company Inc.</t>
  </si>
  <si>
    <t>mailto:BSinders@Stenzcorp.com</t>
  </si>
  <si>
    <t>Step It Up Couriers</t>
  </si>
  <si>
    <t>http://www.stepitupcouriers.com</t>
  </si>
  <si>
    <t>mailto:info@stepitupcouriers.com</t>
  </si>
  <si>
    <t>Stepanie Campbell</t>
  </si>
  <si>
    <t>mailto:lindalou@sbcglobal.net</t>
  </si>
  <si>
    <t>Stependou, Inc.</t>
  </si>
  <si>
    <t>mailto:zeeman@core.com</t>
  </si>
  <si>
    <t>Stephen Electric</t>
  </si>
  <si>
    <t>mailto:jrselectric@ureach.com</t>
  </si>
  <si>
    <t>Stephen J. Christian &amp; Associates, P.C.</t>
  </si>
  <si>
    <t>="Stephen J. Christian &amp; Associates, P.C. is a Civil Engineering firm specializing in transportation design services. The firm provides preliminary studies and construction plans for bridges and roads. Services include bridge replacement design, bridge rehabilitation design, bridge inspection, road and street design, right of way engineering, and construction observation."</t>
  </si>
  <si>
    <t>http://www.sjcassoc.com</t>
  </si>
  <si>
    <t>mailto:sjca@sjcassoc.com</t>
  </si>
  <si>
    <t>Stephens Bulldozing, Inc.</t>
  </si>
  <si>
    <t>mailto:stephensbulldozinginc@yahoo.com</t>
  </si>
  <si>
    <t>Stepping Stone Inc.</t>
  </si>
  <si>
    <t>mailto:gregcynthia713@yahoo.com</t>
  </si>
  <si>
    <t>Sterling Accounting &amp; Tax Service, Inc.</t>
  </si>
  <si>
    <t>mailto:ruth@sterlingcpa.com</t>
  </si>
  <si>
    <t>Sterling Boiler&amp; Mechanical, Inc.</t>
  </si>
  <si>
    <t>http://www.sterlingboiler.com</t>
  </si>
  <si>
    <t>mailto:rgreenwell@sterlingboiler.com</t>
  </si>
  <si>
    <t>Sterling Compliance Group, LLC</t>
  </si>
  <si>
    <t>="Sterling Compliance Group, LLC provides Financial Systems Analysis and Development, Government Contract Compliance, Process and Procedure Analysis &amp; Development, and Audit Support services to businesses. Sterling Compliance Group, LLC has experienced consultants and prides its business on customer service and satisfaction."</t>
  </si>
  <si>
    <t>http://www.sterlingcompliancegroup.com</t>
  </si>
  <si>
    <t>mailto:info@sterlingcompliancegroup.com</t>
  </si>
  <si>
    <t>Sterling Creek Software, LLC</t>
  </si>
  <si>
    <t>="Sterling Creek Software is a full-service Information Technology consulting firm with experience in a variety of industries. We provide software solutions of all sizes, including simple desktop and web-based applications, large-scale web services, turn-key automation and control systems, database consulting, and more...Sterling Creek has provided these services since 1999."</t>
  </si>
  <si>
    <t>http://www.sterlingcreek.net</t>
  </si>
  <si>
    <t>mailto:sales@sterlingcreek.net</t>
  </si>
  <si>
    <t>Sterling Insurance, Inc.</t>
  </si>
  <si>
    <t>="We offer employee benefits for small and large group employers including but not limited to the following products: Group Life, Health, Dental, Short Term and long Term Disability Insurance Products. We are contracted to sell products and represent a majority of the nationally ranked insurance carriers."</t>
  </si>
  <si>
    <t>mailto:lisa@sterlinginsgrp.com</t>
  </si>
  <si>
    <t>Sterling Regis Sherrod</t>
  </si>
  <si>
    <t>http://www.sterlingregiscleaning.com/</t>
  </si>
  <si>
    <t>mailto:sterlingregiscleaningservices@gmail.com</t>
  </si>
  <si>
    <t>SterlingWorx Inc.</t>
  </si>
  <si>
    <t>http://www.sterlingworx.com</t>
  </si>
  <si>
    <t>mailto:hr@sterlingworx.com</t>
  </si>
  <si>
    <t>Sternberg Inc.</t>
  </si>
  <si>
    <t>http://www.sternbergs.com</t>
  </si>
  <si>
    <t>mailto:bstemle@sternbergs.com</t>
  </si>
  <si>
    <t>Steuben Co. Health D</t>
  </si>
  <si>
    <t>mailto:in5001@mail.inwic.net</t>
  </si>
  <si>
    <t>Steve Buyer Group LLC</t>
  </si>
  <si>
    <t>mailto:MikeCopher@SteveBuyerGroup.com</t>
  </si>
  <si>
    <t>Steve Poindexter</t>
  </si>
  <si>
    <t>http://steeltoebootstore.com</t>
  </si>
  <si>
    <t>mailto:thebootstore@verizon.net</t>
  </si>
  <si>
    <t>Shoe Stores</t>
  </si>
  <si>
    <t>Steven L. Townsend Ent., Inc.</t>
  </si>
  <si>
    <t>mailto:johnbcomp@aol.com</t>
  </si>
  <si>
    <t>Steven R. Graves</t>
  </si>
  <si>
    <t>mailto:steven.graves@insightbb.com</t>
  </si>
  <si>
    <t>Steven R. Jenkins Company, Inc.</t>
  </si>
  <si>
    <t>http://srjco.com</t>
  </si>
  <si>
    <t>mailto:srjco@srjco.com</t>
  </si>
  <si>
    <t>Stevens Drywall Incorporated</t>
  </si>
  <si>
    <t>="Our drywall business specializes in service work. We excel at working around customers' belongings and at maintaining a dust and debris free worksite. Incorporated in 2001, we are members in good standing of both The Builder's Association of Greater Indianapolis and the Better Business Bureau."</t>
  </si>
  <si>
    <t>http://www.stevensdrywall.net</t>
  </si>
  <si>
    <t>mailto:sales@stevensdrywall.net</t>
  </si>
  <si>
    <t>Stevenson's Nature</t>
  </si>
  <si>
    <t>Stewart Management Group</t>
  </si>
  <si>
    <t>="Our services include: Organization Development Consultation, Management &amp; Supervisory Training, Meeting Facilitation, Focus Group Research, Leadership Development &amp; Ethics Training, Strategic Planning Assistance, Team Building, Performance Management Coaching, and Customer Service Training. We are a consulting, coaching and training firm that supports clients in cultivating cultures of respect, dignity and personal responsibility. All management development and supervisory training programs and consulting initiatives are based on Equity Checking®, a powerful tool for examining the impact of assumptions on critical business choices."</t>
  </si>
  <si>
    <t>http://www.stewartmanagement.com</t>
  </si>
  <si>
    <t>mailto:equitycheck@sbcglobal.net</t>
  </si>
  <si>
    <t>Stewart Title Services of Indiana</t>
  </si>
  <si>
    <t>="At Stewart we are a full service title operation offering full lines of products to serve the various segments of the real estate markets here in Indiana. We provide the following products: A full array of Search products such as, Title &amp; Encumbrance, (INDOT Standard Adopted) also, last deed of record, lien and judgment searching ranging from 10 to 50 year searches customized to meet the needs of our customers. Title Guaranty coverage’s incorporated with the Search products to provide the coverage of one of highest rated Title Insurance Underwriters in the Country. These ratings reflect Stewart's commitment to assure our policy holders they are fully protected. Stewart Title also provides a complete menu of ALTA title insurance policy products and Escrow Settlement services to handle any transaction."</t>
  </si>
  <si>
    <t>http://www.stsindiana.com</t>
  </si>
  <si>
    <t>mailto:katmiller@stewart.com</t>
  </si>
  <si>
    <t>Direct Title Insurance Carriers</t>
  </si>
  <si>
    <t>Stewart's Healthcare Consultants</t>
  </si>
  <si>
    <t>="Stewart’s Healthcare Consultants was established to provide healthcare professionals, hospitals, offices, clinics, prisons and medical offices with the tools and resources needed to improve operational efficiencies by reducing costs and eliminating the non-value added waste inherited in processes over time. Stewart’s Healthcare Consultants provides the training needed to continuously drive costs out and reduce the amount of non-value added activities while focusing 100% on patient care."</t>
  </si>
  <si>
    <t>http://stewartshealthcare.com</t>
  </si>
  <si>
    <t>mailto:info@stewartshealthcare.com</t>
  </si>
  <si>
    <t>Stidham Construction Services, LLC</t>
  </si>
  <si>
    <t>mailto:wstidham@stidhamconstructionservices.com</t>
  </si>
  <si>
    <t>Stingray Systems LLC</t>
  </si>
  <si>
    <t>http://www.buystingray.com</t>
  </si>
  <si>
    <t>mailto:tmeyer@buystingray.com</t>
  </si>
  <si>
    <t>Stone Belt Arc, Inc</t>
  </si>
  <si>
    <t>http://www.stonebelt.org</t>
  </si>
  <si>
    <t>Other Leather and Allied Product Manufacturing</t>
  </si>
  <si>
    <t>Stone Brook Springs</t>
  </si>
  <si>
    <t>mailto:stone-brook@juno.com</t>
  </si>
  <si>
    <t>Beverage Manufacturing</t>
  </si>
  <si>
    <t>Stone City Service &amp; Collision Center</t>
  </si>
  <si>
    <t>mailto:scscc@att.net</t>
  </si>
  <si>
    <t>Stone Creations Landscaping LLP</t>
  </si>
  <si>
    <t>http://www.sclllp.com</t>
  </si>
  <si>
    <t>mailto:www.kathie@sclllp.com</t>
  </si>
  <si>
    <t>Stone Tool &amp; Die Inc</t>
  </si>
  <si>
    <t>Stone's Farm Service, Inc.</t>
  </si>
  <si>
    <t>http://www.stonesfarmservice.com</t>
  </si>
  <si>
    <t>mailto:stones@stonesfarmservice.com</t>
  </si>
  <si>
    <t>Stonemill Consulting, LLC</t>
  </si>
  <si>
    <t>http://www.stonemillconsulting.com</t>
  </si>
  <si>
    <t>mailto:info@stonemillconsulting.com</t>
  </si>
  <si>
    <t>Stoneware, Inc.</t>
  </si>
  <si>
    <t>="Established in 2000, Stoneware is a manufacturer of cloud computing and classroom management software. Stoneware’s Unified Cloud Platform allows IT to provide users with access to their files, applications, and reports from a universal webDesktop. With the acquisition of LanSchool Technologies, LLC. in 2011, Stoneware provides award-winning classroom management and monitoring software known for being reliable, simple, and easy-to-use. Stoneware is a subsidiary of Lenovo, the worlds leading PC manufacturer. Headquartered in Indianapolis, Indiana, Stoneware serves clients in public, commercial, manufacturing, and health care."</t>
  </si>
  <si>
    <t>http://www.stone-ware.com</t>
  </si>
  <si>
    <t>mailto:sales@stone-ware.com</t>
  </si>
  <si>
    <t>Stor-It Mini Warehouses</t>
  </si>
  <si>
    <t>="Storage space that can be rented for residential or commercial users. Spaces range in size from 5' x 6' to 10' x 30'. Amenities offered are; on-site manager, month to month leases, 24-hour code access, and secured lighted fencing. On highway 31 by-pass next to Newports."</t>
  </si>
  <si>
    <t>Warehouse Clubs and Supercenters</t>
  </si>
  <si>
    <t>Storage Innovations and Service Co., Inc</t>
  </si>
  <si>
    <t>http://www.storageinnovationsandservice.</t>
  </si>
  <si>
    <t>mailto:shanlin@hoosierfiling.com</t>
  </si>
  <si>
    <t>StorageWorks, Inc.</t>
  </si>
  <si>
    <t>Stork Service Center, Inc.</t>
  </si>
  <si>
    <t>Storm Haven Group, Inc.</t>
  </si>
  <si>
    <t>="The primary purpose of the business is to provide Human Resources support in strategic planning, process improvement, business alignment and training. The Storm Haven team partners to provide the highest quality support in meeting customer business objectives. A secondary function of the business is to provide information technology support of systems engineering, network engineering and application development."</t>
  </si>
  <si>
    <t>mailto:turnerb@iquest.net</t>
  </si>
  <si>
    <t>Storms McMullen Electric, Inc.</t>
  </si>
  <si>
    <t>http://www.stormsmcmullen.com</t>
  </si>
  <si>
    <t>Stradtner, Rowland &amp; Associates, Inc.</t>
  </si>
  <si>
    <t>http://www.srasurveying.com</t>
  </si>
  <si>
    <t>mailto:krowland@srasurveying.com</t>
  </si>
  <si>
    <t>Straeffer Pump &amp; Supply, Inc.</t>
  </si>
  <si>
    <t>http://STRAEFFERPUMP.COM</t>
  </si>
  <si>
    <t>mailto:sales@straefferpump.com</t>
  </si>
  <si>
    <t>Strahan Associates</t>
  </si>
  <si>
    <t>="Resurfacing with an acrylic polymer cement compound of over 6000 PSI compressive strength applied over concrete, masonry, aggregate, foam and steel. We resurface warehouses, pools, driveways, sidewalks, building exterior walls, and roads. We can also do decorative patterns, such as stone or brick patterns."</t>
  </si>
  <si>
    <t>mailto:linda@strahanrecruiting.com</t>
  </si>
  <si>
    <t>Straight Forward Truck and Equipment</t>
  </si>
  <si>
    <t>mailto:straightforwardtec@live.com</t>
  </si>
  <si>
    <t>StraightLine Painting, Inc.</t>
  </si>
  <si>
    <t>mailto:kwollweber@wowway.com</t>
  </si>
  <si>
    <t>Strand Analytical Laboratories, LLC</t>
  </si>
  <si>
    <t>http://www.strandlabs.com</t>
  </si>
  <si>
    <t>mailto:tschenberg@strandlabs.com</t>
  </si>
  <si>
    <t>Strategic Auditing Solutions, LLC</t>
  </si>
  <si>
    <t>="SAS Staffing Group is a government staffing and recruitment firm that has a proven process of matching talent to the precise needs of our government clients in the areas of “ Information Technology, Clinical Healthcare, Pharmaceuticals and Administration, Case Management, Project Execution, Manufacturing, and Non technical staffing, document destruction, and staff augmentation services."</t>
  </si>
  <si>
    <t>http://www.sas-staffing.com</t>
  </si>
  <si>
    <t>mailto:info@sas-staffing.com</t>
  </si>
  <si>
    <t>Strategic Data Management, LLC</t>
  </si>
  <si>
    <t>="Information is the core of your business, what steps have you taken to ensure your company's information is available to your business? Having the right business information in the hands of the right people at the right time can give you a competitive advantage, increase your market share and improve your bottom line. Our solutions enables businesses to gain visibility into their organizations, improve sharing of information between departments, increase predictability of business outcomes, and make better business decisions. Strategic Data Management's solutions provide the following business benefits: Increases visibility into organization-wide business operations Increases business processes efficiency and effectiveness Accelerates responsiveness to business change BI Suite with flat monthly fee with no hidden fees Customers use our staff and resources to manage our BI Suite allowing their resource to concentrate on their business"</t>
  </si>
  <si>
    <t>http://www.sdmindy.com</t>
  </si>
  <si>
    <t>mailto:info@sdmindy.com</t>
  </si>
  <si>
    <t>Strategic HR Solutions, LLC</t>
  </si>
  <si>
    <t>="Human Resources Consulting Company, with expertise in Recruiting and Staffing, OFCCP Compliance, Compensation and Benefits, Diversity, Compliance and Employment Law, Employee Relations, HR Audits, Training, HR Strategy and Planning, HR Policies and Procedures, Organizational Development Performance Management"</t>
  </si>
  <si>
    <t>http://www.strategic-hrsolutions.com</t>
  </si>
  <si>
    <t>mailto:info@strategic-hrsolutions.com</t>
  </si>
  <si>
    <t>Strategic Leadership Consulting, LLC</t>
  </si>
  <si>
    <t>http://www.duochart.com</t>
  </si>
  <si>
    <t>mailto:info@duochart.com</t>
  </si>
  <si>
    <t>Strategic Management Harmony, LLC</t>
  </si>
  <si>
    <t>="Susan M. Hinds, President &amp; CEO, of Strategic Management Harmony, LLC, a newly founded firm focused on increasing transparency and revolutionizing the Business Reporting model by an integration of strategy, execution, financial results, and continuous improvement. Over 20 years of diversified financial, accounting, strategy, and business analysis experience serving in small, medium, and large, global firms in varying industries. Demonstrated experience in the functional areas of purchasing, materials management, IT, accounting, finance, credit, banking, costing, human resources, price estimating, strategic management, business planning, budgeting, auditing, EVA modeling, and business administration. Recently, Hinds led a team in the design, development, and implementation of a business intelligence model for an industry leader."</t>
  </si>
  <si>
    <t>mailto:susanhinds@seidata.com</t>
  </si>
  <si>
    <t>Strategic Management Solutions LLC</t>
  </si>
  <si>
    <t>="Strategic Management Solutions is a small business that provides Construction Management, Safety Management, Inspection, Pipe Fusion, Vacuum Excavation and Rentals to private and public sector clients. Strategic Management Solutions works hard to make every project a success, and the company prides itself on an outstanding performance, providing our customers with reliable, quality results that meet or exceed their expectations. Our employees provide over 40 years of experience in the industry. SMS is a minority and veteran-owned business."</t>
  </si>
  <si>
    <t>http://www.sms1us.com</t>
  </si>
  <si>
    <t>mailto:kbradley@sms1us.com</t>
  </si>
  <si>
    <t>Strategic Marketing</t>
  </si>
  <si>
    <t>="We are a strategic &amp; creative marketing firm offering professional communication services designed to enhance a client's advertising &amp; marketing programs by fusing marketing stratagies, technology &amp; graphic design. Our full spectrum of services includes producing radio, television and corporate training videos, as well as, launching a complete marketing plan. In addition, we specialize in ""Hispanic"" marketing and can produce a variety of tailored marketing vehicles specifically for the Latin American community. * Multimedia Production * Strategic Marketing * Event Planning * Advertising * Print Production * Hispanic Marketing Phone # 317-915-1808"</t>
  </si>
  <si>
    <t>http://www.abstrategic.com</t>
  </si>
  <si>
    <t>mailto:amalia@ab-studio.com</t>
  </si>
  <si>
    <t>Strategic Marketing &amp; Research</t>
  </si>
  <si>
    <t>="Strategic Marketing &amp; Research, Inc., is a full-service market research company that offers a complete range of services including Marketing Research Applications, Data Collection Methodologies, and Analytical Techniques that help improve marketing and overall business functions. How are you handling your strategic marketing and research? Experience SMARI."</t>
  </si>
  <si>
    <t>http://www.smari.com</t>
  </si>
  <si>
    <t>mailto:info@smari.com</t>
  </si>
  <si>
    <t>Strategic Marketing Alliance</t>
  </si>
  <si>
    <t>="WhiteHot Marketing is an Indianapolis-based consulting firm specializing in the marketing strategy, public relations and online marketing support of growing organizations. A full-service B2B and B2C agency, WhiteHot Marketing was born from an intense passion for constant growth and strategic creativity – and 20 years of professional experience in the corporate, non-profit and agency sectors. President Margaret Osborn provides high-level communications counsel and the development of marketing and business plans. Tactical capabilities include research, public relations, branding, marketing collateral development, events and strategic partnerships, Web site development, social media strategy and lead generation activities. Visit www.WhiteHot-Marketing.com for more information."</t>
  </si>
  <si>
    <t>http://www.whitehot-marketing.com</t>
  </si>
  <si>
    <t>mailto:margaret@whitehot-marketing.com</t>
  </si>
  <si>
    <t>Strategic Measurement and Evaluation, In</t>
  </si>
  <si>
    <t>http://smeasurement.com</t>
  </si>
  <si>
    <t>mailto:info@smeasurement.com</t>
  </si>
  <si>
    <t>Strategic Operations &amp; Policy Solutions</t>
  </si>
  <si>
    <t>="Healthcare consulting and Regulatory/Legislative consulting. Inclusive of operations improvement (clinical/non-clinical), large-scale project management, RFP preparation and implementation, compliance related to regulatory standards at the state and federal level and lobbying services."</t>
  </si>
  <si>
    <t>mailto:SOAPS-Inc@comcast.net</t>
  </si>
  <si>
    <t>Strategies For Tomorrow</t>
  </si>
  <si>
    <t>http://www.sftvision.com</t>
  </si>
  <si>
    <t>StrategyNest LLC</t>
  </si>
  <si>
    <t>="Headquartered in Indianapolis, Indiana and serving the global business community, StrategyNest was founded under the principle of offering our clients real-world solutions to all of their marketing and human resource management needs. Core Services. StrategyNest is a marketing and human resources consultancy firm. We offer effective support and world-class consultation when needed to help your business become more successful and to help build your brand into a household name. We are your partners for long term growth."</t>
  </si>
  <si>
    <t>http://www.strategynest.com</t>
  </si>
  <si>
    <t>mailto:info@strategynest.com</t>
  </si>
  <si>
    <t>Stratus Incorporated</t>
  </si>
  <si>
    <t>="Stratus Audio/Video specializes in the design, installation and service of private theaters, music systems, conference rooms, electronic lighting control systems, video/data networks and automation. All of our system designs use Lutron lighting control and Crestron automation products as key design elements."</t>
  </si>
  <si>
    <t>http://www.stratusaudiovideo.com</t>
  </si>
  <si>
    <t>mailto:StratusAV@aol.com</t>
  </si>
  <si>
    <t>Strebig Construction</t>
  </si>
  <si>
    <t>="We are a plan-spec/ design build, commercial/institutional/industrial General Contractor. Providing Full Service to our Clients. we have been in buisness Since 1980. We take pride in our flexibility and capabilities to perform in unlimited construction applications and enviroments. New Construction, Additions(horizontaly and verticly), Buildouts, Highrise buildouts, Historic and adaptive reuse."</t>
  </si>
  <si>
    <t>http://www.strebigconstruction.com</t>
  </si>
  <si>
    <t>mailto:randy.strebig@strebigconstruction.com</t>
  </si>
  <si>
    <t>StreetWise Promotion</t>
  </si>
  <si>
    <t>http://www.streetwisepromotions.com</t>
  </si>
  <si>
    <t>mailto:julied@swllc.com</t>
  </si>
  <si>
    <t>Streeter Lean Principles, LLC</t>
  </si>
  <si>
    <t>="Lean Business Systems Consulting: This business is designed to aid prospective clients in their pursuit of continuous improvement and waste elimination within the manufacturing and/our business processes within their operation. Lean Principles such as 5S, Standardized Work, Line Balancing, Waste Reduction, Value Stream Mapping (VSM), Material Flow, and A4 Problem Solving/DMAIC methodology are taught and implemented. Sustainment of obtained improvements is also taught insuring that cultural change is achieved."</t>
  </si>
  <si>
    <t>mailto:slpllc@comcast.net</t>
  </si>
  <si>
    <t>Streicher Construction, Inc</t>
  </si>
  <si>
    <t>http://streicherconstruction.com</t>
  </si>
  <si>
    <t>mailto:contact@streicherconstruction.com</t>
  </si>
  <si>
    <t>Stressbusters Inc</t>
  </si>
  <si>
    <t>="STRESS MANAGEMENT. MASSAGE THERAPY, RELAXATION SEMINARS, Holistic Alternative Psychology Practioner. We provide touch therapy along with relaxation techniques ( including music and lectures) Bio-feed back, weigh counseling and exercise. Workshops to manage stress after a work related incident that requires grief counseling, etc. Manageing stress in the work place, RELAXATION SEMINARS,"</t>
  </si>
  <si>
    <t>http://www.stressbustersinc.com</t>
  </si>
  <si>
    <t>mailto:stressbusters48@yahoo.com</t>
  </si>
  <si>
    <t>Strive Group, Inc.</t>
  </si>
  <si>
    <t>http://www.alwaysstrive.com</t>
  </si>
  <si>
    <t>mailto:bcammack@alwaysstrive.com</t>
  </si>
  <si>
    <t>Structured Communica</t>
  </si>
  <si>
    <t>http://www.scsionline.net</t>
  </si>
  <si>
    <t>mailto:cbiggs@scsionline.net</t>
  </si>
  <si>
    <t>Strumento llc</t>
  </si>
  <si>
    <t>="Strumento is an art materials boutique which stocks items suggested by downtown artists of all the arts, performs searches for requested items that are unusual or hard to find at a good price and assembles class materials packages. Strumento facilitates artists’ and teachers schedules by accepting after hours appointments."</t>
  </si>
  <si>
    <t>http://strumentoart.com/</t>
  </si>
  <si>
    <t>mailto:info@strumentoart.com</t>
  </si>
  <si>
    <t>Stuart Manufacturing, Inc.</t>
  </si>
  <si>
    <t>http://www.stuartmfg.com</t>
  </si>
  <si>
    <t>mailto:gpettit@stuartmfg.com</t>
  </si>
  <si>
    <t>Studio 3, Inc</t>
  </si>
  <si>
    <t>="Communication consulting company with production facilities, including studio, for film, video, DVD's, CD's, streamed media, meetings and events. The company also develops and consults in broadcast communication for TV, Cable and satelitte. Expertise in training, product information, marketing, human resources, IT and sales communications."</t>
  </si>
  <si>
    <t>http://www.productionstudio.com</t>
  </si>
  <si>
    <t>mailto:info@productionstudio.com</t>
  </si>
  <si>
    <t>Studio 57 Photography and Design</t>
  </si>
  <si>
    <t>http://www.studio57photos.com</t>
  </si>
  <si>
    <t>mailto:photography1@me.com</t>
  </si>
  <si>
    <t>Studio A of Indianapolis</t>
  </si>
  <si>
    <t>="Studio A of Indianapolis is a woman-owned business specializing in Landscape Architecture and planning. Experience of the firm is diverse, including planting plans, trail design, comprehensive plans and park and recreation master plans, site design, graphic renderings, and charrette facilitation."</t>
  </si>
  <si>
    <t>mailto:annmouser@sbcglobal.net</t>
  </si>
  <si>
    <t>Studio Veritas, Inc.</t>
  </si>
  <si>
    <t>http://www.studioveritas.com</t>
  </si>
  <si>
    <t>mailto:guy@studioveritas.com</t>
  </si>
  <si>
    <t>Sturtz Public Management Group, LLC</t>
  </si>
  <si>
    <t>Style Building Supply, Inc</t>
  </si>
  <si>
    <t>mailto:pam.lecount@stylebuildingsupply.com</t>
  </si>
  <si>
    <t>Subaru of America, Inc.</t>
  </si>
  <si>
    <t>="Subaru of America, Inc. is a wholly owned subsidiary of Fuji Heavy Industries Ltd. of Japan. Headquartered in Cherry Hill, N.J., the company markets and distributes Subaru Symmetrical All-Wheel Drive vehicles, parts and accessories through a network of nearly 600 dealers across the United States. Subaru boasts the most fuel-efficient line-up of all-wheel drive products sold in the market today based on Environmental Protection Agency (EPA) fuel economy standards. All Subaru products are manufactured in zero-landfill production plants and Subaru of Indiana Automotive Inc. is the only U.S. automobile production plant to be designated a backyard wildlife Habitat by the National Wildlife Federation. For additional information visit www.subaru.com."</t>
  </si>
  <si>
    <t>http://www.subaru.com</t>
  </si>
  <si>
    <t>mailto:tkourakos@subaru.com</t>
  </si>
  <si>
    <t>Subcon International LLC</t>
  </si>
  <si>
    <t>http://www.subconint.com</t>
  </si>
  <si>
    <t>mailto:bngaba@subconint.com</t>
  </si>
  <si>
    <t>="Company is primarily a manufacturer of signs and sign blanks with focus in road signs. We also service in the field of pavement marking (parking lots and streets) though we limit our street marking service currently to special marking and removal only. We are also supplier of traffic safety tools and equipment. Our website gives a small highlight in our capability and past accomplishments"</t>
  </si>
  <si>
    <t>Suburban Glass Service, Inc.</t>
  </si>
  <si>
    <t>http://WWW.SUBURBANGLASS.NET</t>
  </si>
  <si>
    <t>mailto:JLONG@SUBURBANGLASS.NET</t>
  </si>
  <si>
    <t>Suburban Property Inspections, Inc.</t>
  </si>
  <si>
    <t>="We perform complete home inspection services. We also perform radon testing, septic dye testing, termite (WDI) inspections, water quality testing and consultation on all these areas. We produce a computer generated report on-site complete with digital photographs. We are located in Southern Indiana/Clarksville area and have been in business over seven years. Your satisifaction is guaranteed!"</t>
  </si>
  <si>
    <t>mailto:inspector2004@sbcglobal.net</t>
  </si>
  <si>
    <t>Success Acquisition Corporation</t>
  </si>
  <si>
    <t>http://www.resolutetreatmentcenter.com</t>
  </si>
  <si>
    <t>mailto:jeff.catlett@yfcs.com</t>
  </si>
  <si>
    <t>Success Express</t>
  </si>
  <si>
    <t>http://WWW.SUCCESSEXPRESSMP.COM</t>
  </si>
  <si>
    <t>mailto:BUYINDIANA@SUCCESSEXPRESSMP.COM</t>
  </si>
  <si>
    <t>Success Schools LLC</t>
  </si>
  <si>
    <t>http://www.successbarberschool.com</t>
  </si>
  <si>
    <t>mailto:successbarberschool@hotmail.com</t>
  </si>
  <si>
    <t>Success Strategies</t>
  </si>
  <si>
    <t>="Our focus is on business improvement, and we specialize in increasing the leadership skills and success achievement of individuals throughout organizations. We provide a variety of developmental programs, such as sales, management, leadership, time strategies and customer service, depending on the needs of the organization. The bottom line is helping an organization's most important asset - their employees - develop and maintain skills and habits that will have a positive impact on their individual success, and that of their employer."</t>
  </si>
  <si>
    <t>http://www.successstrategiesinternationa</t>
  </si>
  <si>
    <t>mailto:successstrategies@insightbb.com</t>
  </si>
  <si>
    <t>Success Technologies Corporation</t>
  </si>
  <si>
    <t>="Success Technologies offers training and consultation services to non-profit agencies, governmental entities and others concerned with the welfare of vulnerable youth and families in poverty. We have worked with several states and communities nationally and are an Authorized Training Provider for Casey Family Programs."</t>
  </si>
  <si>
    <t>http://www.successtechnologies.net</t>
  </si>
  <si>
    <t>mailto:success@successtechnologies.net</t>
  </si>
  <si>
    <t>Success Trek Inc.</t>
  </si>
  <si>
    <t>="Success Trek is an award-winning organizational development firm. Our experienced, hands-on consultants partner with companies and leaders to provide organizational assessments and solution based approaches to companies looking to enhance their strategic roadmap for success. Our areas of expertise include streamlining processes, driving improved efficiencies and effectiveness, increasing employee retention, and maximizing leadership potential with judicious and experienced executive coaching. Whether large transformational changes or discreet operational improvements, Success Trek will chart a course for success that will enhance your bottom line."</t>
  </si>
  <si>
    <t>http://www.success-trek.com</t>
  </si>
  <si>
    <t>mailto:t.valade@success-trek.com</t>
  </si>
  <si>
    <t>Successories of Ind</t>
  </si>
  <si>
    <t>http://WWW.TLCSRESTAURANTS.COM</t>
  </si>
  <si>
    <t>mailto:jtwilsonx1@aol.com</t>
  </si>
  <si>
    <t>Sudden Beauty Paint</t>
  </si>
  <si>
    <t>http://mc77203@verizon.net</t>
  </si>
  <si>
    <t>mailto:mc77203@verizon.net</t>
  </si>
  <si>
    <t>Sue Blee</t>
  </si>
  <si>
    <t>="Sue Blee Designs provides full-service design services to the single-family and multi-family construction industry. These services include design, space planning and the selection and purchasing of interior and exterior building materials and interior furnishings and fixtures."</t>
  </si>
  <si>
    <t>mailto:suebleedesigns@aol.com</t>
  </si>
  <si>
    <t>Sue Blee Designs, LLC</t>
  </si>
  <si>
    <t>="My company provides a full compliment of design services to the single-family and multi-family residential construction industry. These services include design, space planning and the selection and purchase of interior and exterior building materials and interior furnishings and fixtures."</t>
  </si>
  <si>
    <t>Sullivan &amp; Poore, Inc.</t>
  </si>
  <si>
    <t>http://SullivanandPoore.Com</t>
  </si>
  <si>
    <t>mailto:SullivanandPoore.Com</t>
  </si>
  <si>
    <t>Sullivan Automotive Group</t>
  </si>
  <si>
    <t>http://www.shopsullivanauto.com</t>
  </si>
  <si>
    <t>mailto:sagoffice@comcast.net</t>
  </si>
  <si>
    <t>Sullivan Construction, Inc.</t>
  </si>
  <si>
    <t>mailto:sullitcb@kiva.net</t>
  </si>
  <si>
    <t>Sullivan County Animal Hospital</t>
  </si>
  <si>
    <t>="This business is a full-service veterinary hospital. We offer wellness exams, immunizations, medications, emergency care, laser surgery, boarding, diagnostic tests, digital x-rays, and dentistry. We also offer natural healing methods like acupuncture, therapy laser and nutrition counseling. We also make house calls."</t>
  </si>
  <si>
    <t>Sullivan Engineered Services, Inc.</t>
  </si>
  <si>
    <t>http://www.ses.net</t>
  </si>
  <si>
    <t>mailto:lsullivan@ses.net</t>
  </si>
  <si>
    <t>Sullivan Group, Inc.</t>
  </si>
  <si>
    <t>http://www.sullivangroupusa.com</t>
  </si>
  <si>
    <t>mailto:paula@sullivangroupusa.com</t>
  </si>
  <si>
    <t>Sullivan Lawn Care LLC</t>
  </si>
  <si>
    <t>mailto:sullivanlawncare@hotmail.com</t>
  </si>
  <si>
    <t>Sullivan's Equipment</t>
  </si>
  <si>
    <t>http://www.Sullivansequipment.com</t>
  </si>
  <si>
    <t>mailto:Wrecktk@sbcglobal.net</t>
  </si>
  <si>
    <t>Summersault LLC.</t>
  </si>
  <si>
    <t>http://www.summersault.com</t>
  </si>
  <si>
    <t>mailto:info@summersault.com</t>
  </si>
  <si>
    <t>Summit Computer Systems, Inc</t>
  </si>
  <si>
    <t>="Summit Computer Systems, Inc. is a full service computer manufacturing and support company founded in 1997. We partner with businesses and individuals to provide: ¦Computer Systems - we manufacture our own line of competitively priced computers ¦Service and Support ¦Summit Design Services - turnkey solution to designing and developing your web presence, complete with video marketing ¦Web Hosting and email service provider ¦Toshiba Authorized Service Provider ¦High Speed Wireless Internet – BridgeMaxx Mobil Wireless High Speed Internet Solution ¦Network Design – Cisco network infrastructure design and installation ¦VOIP – Voice over internet phone systems"</t>
  </si>
  <si>
    <t>http://www.summit-computers.com/index.ht</t>
  </si>
  <si>
    <t>mailto:csamples@summit-computers.com</t>
  </si>
  <si>
    <t>Summit Contracting and Development, Inc.</t>
  </si>
  <si>
    <t>Summit Enterpreneural Consortium,LLC.</t>
  </si>
  <si>
    <t>mailto:LGO6334@aol.com</t>
  </si>
  <si>
    <t>Summit Interpretation Services, LLC</t>
  </si>
  <si>
    <t>http://www.summitinterpretation.com</t>
  </si>
  <si>
    <t>mailto:info@summitinterpretation.com</t>
  </si>
  <si>
    <t>Summit Loss Prevention Consulting, Inc.</t>
  </si>
  <si>
    <t>="Summit Loss Prevention Consulting conducts comprehensive internal and external investigations for issues of theft, fraud, substance abuse, workplace violence and other issues facing employers. SLPC conducts security site surveys for businesses designed to identify loss and liability issues and then designs loss prevention programs to deter and reduce losses and liability exposure. SLPC conducts insurance claims investigations, surveillance and locates persons of interest for various business concerns. SLPC obtains witness statements and provides litigation assistance to law firms. SLPC conducts management and employee training seminars to raise awareness of issues such as internal theft, workplace violence, substance abuse and other related issues. We have vast experience in all areas described."</t>
  </si>
  <si>
    <t>http://www.SummitLossPrevention.com</t>
  </si>
  <si>
    <t>mailto:tjarana@summitlossprevention.com</t>
  </si>
  <si>
    <t>Summit Realty Group of Indiana Inc.</t>
  </si>
  <si>
    <t>="Commercial Real Estate Brokerage Company specializing in office and industrial, retail, land, multifamily, investments, sales, leasing, property management, project management. Headquartered in Indianapolis, Indiana - with global reach through our alliance with Cushman &amp; Wakefield."</t>
  </si>
  <si>
    <t>http://www.summitrealtygroup.com</t>
  </si>
  <si>
    <t>mailto:sqalliu@summitrealtygroup.com</t>
  </si>
  <si>
    <t>Summit Water Treatment, Inc.</t>
  </si>
  <si>
    <t>="Summit Water Treatment, Inc. is primarily responsible for water treatment chemicals and related equipment. Treatments include scale and corrosion inhibitors for boilers and cooling water systems as well as waste water treatment coagulants and flocculants. Summit also sells a variety of water treatment equipment such as water softeners, filters and reverse osmosis machines."</t>
  </si>
  <si>
    <t>http://www.summitwater.com</t>
  </si>
  <si>
    <t>mailto:info@summitwater.com</t>
  </si>
  <si>
    <t>Summitt Consulting, LLC</t>
  </si>
  <si>
    <t>="Management consulting including providing information to external parties, Project Management, Utilization Management, information systems consultation and management, employee relations and motivation, and other services as requested including networking and referrals"</t>
  </si>
  <si>
    <t>http://www.summittconsulting.com</t>
  </si>
  <si>
    <t>mailto:carolynzilm@insightbb.com</t>
  </si>
  <si>
    <t>SunLutions Energy, LLC</t>
  </si>
  <si>
    <t>="SunLutions Energy, LLC is a wholesaler and retail seller of solar electronics devices. We provide consumers with solar powered battery chargers. The chargers can be used to recharge cell phones, digital cameras, mp3 players or any small electronic device. The solar chargers have a back up system that allows it to be recharged through a computer or outlet if sunlight is not available. In the next few months we will be introducing more solar products. Please continue to visit our website or contact us at info@sunlutionsenergy.com."</t>
  </si>
  <si>
    <t>http://www.SunLutionsEnergy.com</t>
  </si>
  <si>
    <t>mailto:info@sunlutionsenergy.com</t>
  </si>
  <si>
    <t>SunRise Solar Inc</t>
  </si>
  <si>
    <t>="We show people and businesses how to save up to 30% off their cooling costs by using our SunRise Solar-Powered Attic Fan. Manufactured in Indiana, the SunRise Attic Fan is sold nationwide, including Hawaii, and several countries. Benefits include: reduced energy bills, increased life of roofing materials, increased life of HVAC equipment, and reduced problems associated with condensation, mold, mildew and frost in attic spaces. The SunRise fan comes in (2) models; one for residential use and one for commercial use. The SunRise uses no electricity.....our built-in solar panel is known as a ""mini electric generation station"" which powers the motor. The SunRise meets solar rebate requirements in states across the US."</t>
  </si>
  <si>
    <t>http://www.SunRiseSolar.net</t>
  </si>
  <si>
    <t>mailto:bill@sunrisesolar.net</t>
  </si>
  <si>
    <t>Sunco Construction Company, Inc</t>
  </si>
  <si>
    <t>="Sunco Construction Company, Inc. is dedicated to providing our clients the very best in service and value. We take a great deal of pride in knowing we deliver the most practical and functional approach in construction and renovation. At Sunco, we are passionate about the products we deliver. We strive to stay ahead of schedule, within the budget, and provide a long lasting relationship."</t>
  </si>
  <si>
    <t>http://www.suncoconstruction.com</t>
  </si>
  <si>
    <t>mailto:khopwood@suncoconstruction.com</t>
  </si>
  <si>
    <t>Sunny Acres Ent LLC</t>
  </si>
  <si>
    <t>Sunrise Coal LLC</t>
  </si>
  <si>
    <t>="Sunrise Coal LLC operates three underground coal mines and one surface coal mine, all located in Indiana. Two mines are located in Knox County, one in Sullivan County and one in Clay County. Coal is sold primarily to Indiana electric generating facilities. Coal is also sold to two Indiana manufacturing companies."</t>
  </si>
  <si>
    <t>http://www.sunrisecoal.com</t>
  </si>
  <si>
    <t>Coal Mining</t>
  </si>
  <si>
    <t>Sunrise Management, Inc.</t>
  </si>
  <si>
    <t>Sunshine Childcare</t>
  </si>
  <si>
    <t>mailto:sunshinechildcarerespite@hotmail.com</t>
  </si>
  <si>
    <t>Sunshine Maintenance Services, Inc</t>
  </si>
  <si>
    <t>http://www.smsjanitorial.com</t>
  </si>
  <si>
    <t>mailto:sunshine1@indy.rr.com</t>
  </si>
  <si>
    <t>Sunshine Plaza Inc.</t>
  </si>
  <si>
    <t>http://www.savewithsunshine.com</t>
  </si>
  <si>
    <t>mailto:mirjanapetrovic_25@hotmail.com</t>
  </si>
  <si>
    <t>Suntalents</t>
  </si>
  <si>
    <t>http://www.suntalents.com</t>
  </si>
  <si>
    <t>mailto:info@suntalents.com</t>
  </si>
  <si>
    <t>Suntalents Inc.</t>
  </si>
  <si>
    <t>Super-Red-Hot Deals, LLC</t>
  </si>
  <si>
    <t>="We provide a cost effective solution to help prevent slip and fall accidents. We treat all different types of hard surface flooring including: Marble, Ceramic Tile, Concrete and Vinyl commercial tile surfaces indoors and outdoors. Our lifetime treatment will help prevent slip and fall accidents. This product falls under the Americans Disabled Act; section 44 (Access Tax Credit) of the IRS Code that allows eligible businesses a tax credit of up to 50% of the cost to apply the treatment up to $5000."</t>
  </si>
  <si>
    <t>http://www.wet-griptech.com</t>
  </si>
  <si>
    <t>mailto:daveshieldsftw@yahoo.com</t>
  </si>
  <si>
    <t>SuperTech Business Communications, Inc.</t>
  </si>
  <si>
    <t>http://www.gosupertech.com</t>
  </si>
  <si>
    <t>mailto:nancyr@gosupertech.com</t>
  </si>
  <si>
    <t>Superior Ag Resources Cooperative, Inc.</t>
  </si>
  <si>
    <t>http://superiorag.com</t>
  </si>
  <si>
    <t>Superior Collision &amp; Paint Inc</t>
  </si>
  <si>
    <t>="Complete collision repair from minor dents and scrapes to major collision. Specializing in foreign and domestic vehicles with unibody repair, paint stripping, and computerized paint matching, along with lifetime warranty. Allen County and the surrounding areas have trusted us since 1980."</t>
  </si>
  <si>
    <t>http://www.superiorcollisionandpaint.com</t>
  </si>
  <si>
    <t>mailto:bberggoetz1@verizon.net</t>
  </si>
  <si>
    <t>Superior Construction Co., Inc.</t>
  </si>
  <si>
    <t>Superior Corporate Cleaning Service, LLC</t>
  </si>
  <si>
    <t>="As a full service, bonded and insured janitorial and office cleaning company, customer satisfaction is our number one priority. We pride ourselves on providing superior janitorial and office cleaning services. We also offer the option of non-toxic products and eco-friendly equipment to ensure a clean, healthy and safe environment for all our clients. In facility cleanliness, our clients can depend on us to provide dependable and quality oriented janitorial and office cleaning services."</t>
  </si>
  <si>
    <t>http://www.superiorcorporatecleaning.com</t>
  </si>
  <si>
    <t>mailto:info@superiorcorporatecleaning.com</t>
  </si>
  <si>
    <t>Superior Design Build dba Superior Space</t>
  </si>
  <si>
    <t>http://www.superiorspaces.com</t>
  </si>
  <si>
    <t>mailto:bob@superiorspaces.com</t>
  </si>
  <si>
    <t>Superior Employee Services</t>
  </si>
  <si>
    <t>mailto:csmith@superiormetals.us</t>
  </si>
  <si>
    <t>Superior EnvRem90,In</t>
  </si>
  <si>
    <t>http://www.ser90.com</t>
  </si>
  <si>
    <t>mailto:emma@ser90.com</t>
  </si>
  <si>
    <t>Superior Exhaust Cleaning, Inc.</t>
  </si>
  <si>
    <t>Superior Insulation Co., Inc</t>
  </si>
  <si>
    <t>mailto:superior@psci.net</t>
  </si>
  <si>
    <t>Superior Interior Cleaning</t>
  </si>
  <si>
    <t>Superior Manufacturing Division</t>
  </si>
  <si>
    <t>="Superior Water Conditioner® reduces existing scale and prevents future scale from building up in water-using equipment. The patented Superior Water Conditioner® controls lime/scale build-up in pipes and water-using equipment without the use of chemicals. The Superiorized® water will gradually reduce the existing lime/scale deposits by dissolving the accumulation, allowing it to settle out in a purgable form that can be removed from the system by bleed-off, blow-down or flushing. A recent research project sponsored by ASHRAE confirmed positive results for lime/scale control using this technology. The Superior Water Conditioner® conserves water, saves energy, and prevents pollution while lowering costs. The system has been successfully used in the residential, commercial and industrial marketplace since 1964."</t>
  </si>
  <si>
    <t>http://www.superiorwaterconditioners.com</t>
  </si>
  <si>
    <t>mailto:swcsls@aol.com</t>
  </si>
  <si>
    <t>Superior Marine Service, Inc.</t>
  </si>
  <si>
    <t>http://www.superiormarineservice.com</t>
  </si>
  <si>
    <t>mailto:sms@adsnet.com</t>
  </si>
  <si>
    <t>Superior Mattress Inc</t>
  </si>
  <si>
    <t>http://www.superiormattress.com</t>
  </si>
  <si>
    <t>mailto:sales@superiormattress.com</t>
  </si>
  <si>
    <t>Superior Oil Company, Inc.</t>
  </si>
  <si>
    <t>http://www.superioroil.com</t>
  </si>
  <si>
    <t>mailto:sochq@superioroil.com</t>
  </si>
  <si>
    <t>Superior Petroleum</t>
  </si>
  <si>
    <t>http://www.superiorpetroleum.com</t>
  </si>
  <si>
    <t>mailto:lynnb@superiorpetroleum.com</t>
  </si>
  <si>
    <t>Superior Searches, Inc</t>
  </si>
  <si>
    <t>http://www.searchesandsignings.com</t>
  </si>
  <si>
    <t>mailto:closings@searchesandsignings.com</t>
  </si>
  <si>
    <t>Superior Soda Blasting Inc</t>
  </si>
  <si>
    <t>="Mobile non-abrasive baking soda blasting that strips paint and cleans almost anything. Applications include vehicles, mold, masonry, fire restoration, graffiti and machinery. Soda blasting material is 100% biodegradable. Sand, plastic, and glass-bead blasting also available."</t>
  </si>
  <si>
    <t>Supertech, Inc.</t>
  </si>
  <si>
    <t>="Supertech produces three Radiographic Technique products. Each is calibrated to the user's machine setup. (1) PC Software to generate radiographic technique charts that meet JCAHO guides. (2) Slide Rule Technique Calculators used in over 20,000 small offices and clinics. It is also used as a teaching tool in many schools. (3) Radiographic Technique Software can be purchased and downloaded to a Palm PDA (also available for CE devices). Supertech also produces Radiopaque Rulers. Other distributed products include Teaching Phantoms for RT schools, Sectionals &amp; PIXY. Fluke/Nuclear Associates/Victoreen quality control &amp; radiation safety for all modalities. Also QC products from other name companies. Clear-Pb Mobile &amp; Modular Barriers. Clear-Pb Filters. Biodex C-Arm and Ultrasound Tables. Radiology Eyewear, Kyoto-Kagaku, Aadco, Clear Image Devices, Electronic Control Concepts, X-Rite, MRI products, CIRS, ATS Laboratories, The Phantom Laboratory, etc."</t>
  </si>
  <si>
    <t>http://www.supertechx-ray.com</t>
  </si>
  <si>
    <t>mailto:sales@supertechx-ray.com</t>
  </si>
  <si>
    <t>Supply Specialty, LLC</t>
  </si>
  <si>
    <t>http://www.supplyspecialty.com</t>
  </si>
  <si>
    <t>mailto:supplyspecialty@aol.com</t>
  </si>
  <si>
    <t>Supreme Corporation</t>
  </si>
  <si>
    <t>http://www.supremecorp.com</t>
  </si>
  <si>
    <t>mailto:royerp.allman@supremecorp.com</t>
  </si>
  <si>
    <t>Supreme Indiana Operations Inc.</t>
  </si>
  <si>
    <t>mailto:bids@supremecorp.com</t>
  </si>
  <si>
    <t>Supreme Mechanical Contractors, Inc.</t>
  </si>
  <si>
    <t>http://www.schustermechanical.com</t>
  </si>
  <si>
    <t>mailto:sales@schustermechanical.com</t>
  </si>
  <si>
    <t>Supreme Oil Company</t>
  </si>
  <si>
    <t>http://www.suprremelubricants.com</t>
  </si>
  <si>
    <t>mailto:matt@supremelubricants.com</t>
  </si>
  <si>
    <t>Surbaugh &amp; Son, Inc.</t>
  </si>
  <si>
    <t>http://www.surbaughandson.com</t>
  </si>
  <si>
    <t>mailto:bill@surbaughandson.com</t>
  </si>
  <si>
    <t>Sure Cut Lawn Services LLC</t>
  </si>
  <si>
    <t>http://www.surecutlawn.com</t>
  </si>
  <si>
    <t>mailto:kthomas@surecutlawn.com</t>
  </si>
  <si>
    <t>SureBrands, Inc.</t>
  </si>
  <si>
    <t>mailto:jenniferjacksonjohnston@yahoo.com</t>
  </si>
  <si>
    <t>Surface Pro Inc.</t>
  </si>
  <si>
    <t>="We, here at Surface Pro, are Central Indiana’s Largest certified Dupont Corian Fabricators for residential as well as commercial applications. Additionally, our certification includes the fabrication of Avonite, Formica, Gibralter, Hi Macs ,Meganite and Staron solid surface products. We provide superior quality workmanship and guarantee all aspects from the initial phase of measuring to installation. We are particularly proud of the fact that when we commit to a schedule, we adhere to the dates. References are available upon request. We look forward to working with you on your project. Please feel free to call us for any other information necessary. Sincerely, All Employees at Surface Pro Inc."</t>
  </si>
  <si>
    <t>http://www.surfaceproinc.com</t>
  </si>
  <si>
    <t>mailto:info@surfaceproinc.com</t>
  </si>
  <si>
    <t>Survey America and the TouchSource Group</t>
  </si>
  <si>
    <t>="Survey America &amp; The TouchSource Group is a full service market research company that uses the best methodology available but whenever possible incorporates the use of touch screen SurveyCenters™. We feel that the SurveyCenters provide many benefits over more conventional methodologies. We have provided touch screen and other research to a wide variety of clients for the past sixteen years and consider ourselves leaders in the use of this technology for market research data collection. Our clients include major sports franchises, trade shows, convention centers, fairs/festivals, airports, museums, hospitals and many other private and public venues."</t>
  </si>
  <si>
    <t>http://WWW.SATGINC.COM</t>
  </si>
  <si>
    <t>mailto:ppersico@satginc.com</t>
  </si>
  <si>
    <t>Susan B. May</t>
  </si>
  <si>
    <t>mailto:Susanbmay@aol.com</t>
  </si>
  <si>
    <t>Susan C. Peters</t>
  </si>
  <si>
    <t>mailto:szq8@juno.com</t>
  </si>
  <si>
    <t>Susan Houchin OD, PC</t>
  </si>
  <si>
    <t>Susan M. Kagy</t>
  </si>
  <si>
    <t>="Susan M. Kagy is a Business Consultant with the C.P.M. Certification (Certified Purchasing Manager) and P.M.P. Certification (Project Management Professional), consulting in Procurement and Project Management, Strategic Supply Analysis and Administrative Training with Business Improvement. Expertise is in Team Procurements, Supply Chain Management, Early Supply Involvement and Inventory Planning. Consultant is skilled in Contract Management and Administration, as well as training in internet based Procurement systems such as Ariba. Project Management is led using P.M.I. recommendations of Initiating the Project, Planning, Executing the Plan, Controlling and Monitoriing and Closing of the Project. Cost Reduction using Total Cost of Ownership during product lifecycle is the goal of all activities in this area."</t>
  </si>
  <si>
    <t>mailto:SusanMKagy@aol.com</t>
  </si>
  <si>
    <t>Susan M. Neal</t>
  </si>
  <si>
    <t>mailto:smn@susanneal.com</t>
  </si>
  <si>
    <t>Susan Spilly-Lee</t>
  </si>
  <si>
    <t>="Provide professional contract management, meeting and event planning, and managing counseling sites, volunteers and professionals as they work with clients. Experienced in training, training design, and public education and speaking to all sizes of groups."</t>
  </si>
  <si>
    <t>mailto:susangsl@aol.com</t>
  </si>
  <si>
    <t>Sustainable Catalyst Partners, LLC</t>
  </si>
  <si>
    <t>="Sustainable Catalyst Partners LLC is a sustainability planning &amp; consulting firm that assists our clients in understanding the breadth of sustainability principles, creating more sustainable policies and operations, and identifying and solving problems for a more profitable, equitable and sustainable outcome. We bring a holistic, triple bottom line perspective to the challenges facing local governments, colleges and universities, healthcare systems, corporations, and neighborhood organizations. We understand these challenges and the importance of asking the right questions, uncovering the issues, and involving the right individuals and groups. We engage our clients to educate, inspire, and set goals for a more sustainable future for their organization. By leading our clients through a comprehensive process to understand their unique concerns, we help them identify opportunities, set meaningful goals, choose valid indicators and communicate their objectives and plan effectively."</t>
  </si>
  <si>
    <t>https://www.facebook.com/#!/SustainableC</t>
  </si>
  <si>
    <t>mailto:allyson@scp-llc.com</t>
  </si>
  <si>
    <t>Sutton Heating &amp; Cooling, Inc.</t>
  </si>
  <si>
    <t>="Since 1965, Sutton Heating &amp; Cooling provides quality sales and services of residential and commercial heating, cooling, and plumbing. We service and sale all makes and models. Serving Knox county and surrounding areas. We our NATE certified (North American Technician Excellence, Inc.) We are also a Carrier Factory Authorized Dealer."</t>
  </si>
  <si>
    <t>http://heatingandcoolingbysutton.com</t>
  </si>
  <si>
    <t>mailto:suttonhvac@sbcglobal.net</t>
  </si>
  <si>
    <t>Sutton-Garten Co.</t>
  </si>
  <si>
    <t>="Sutton-Garten Co. is a full service welding distributor established in 1918. S &amp; G's focus is in simi-automatic and automatic welding systems as well as providing competitive pricing on gases, consumables and welding and cutting equipment. S &amp; G also offers in-house repair and service on all welding and cutting equipment and an extensive rental fleet of equipment."</t>
  </si>
  <si>
    <t>http://www.suttongarten.com</t>
  </si>
  <si>
    <t>mailto:swerner@suttongarten.com</t>
  </si>
  <si>
    <t>Suzanne Wheeler</t>
  </si>
  <si>
    <t>mailto:suzwh1@netzero.com</t>
  </si>
  <si>
    <t>Suzett Moffitt</t>
  </si>
  <si>
    <t>="Suzy Q Cleaning Service clean offices of any size and labortories,hallway,stairway,kitchenetts,take empty trash and despense of it. Dust, vacuum, and clean any adjoining areas. Also,clean house to move in and out. Will clean up after construction sites, parking areas,pick up debris outside of building. Clean apartment after move in,or out. Will sub-contract company out."</t>
  </si>
  <si>
    <t>mailto:suzettmoffitt@yahoo.com</t>
  </si>
  <si>
    <t>Swearingen Environmental Services, LLC</t>
  </si>
  <si>
    <t>="Specialty Earth Sciences, LLC (SESCIENCES) is a soil and ground water environmental remediation focused company, providing custom designed environmental treatment equipment and site specific remedial implementation. SESCIENCES tailors every remedial project and/or environmental remediation system fabrication to address the intricacies that make each corrective action site unique. Our uncompromised attention to detail and work quality has resulted in the majority of our business being repeat clientele."</t>
  </si>
  <si>
    <t>http://www.sesciences.com</t>
  </si>
  <si>
    <t>mailto:engineering@sesciences.com</t>
  </si>
  <si>
    <t>Sweet Poppin's LLC</t>
  </si>
  <si>
    <t>="Sweet Poppin's, LLC manufactures gourmet flavored chocolate covered popcorn in a variety of flavors such as Pralines &amp; Cream, Lemon Pound Cake, Strawberry Cheesecake, etc. We not only manufacture the product but sell it in our retail location (opening Feb 2010) and wholesale as well. Our product is perfect for Corporate Gifts &amp; Baskets, Fund Raising, Wedding/Anniversary and Baby Showers. It can be colored and/or flavored to fit our clients needs."</t>
  </si>
  <si>
    <t>http://www.sweetpoppins.com</t>
  </si>
  <si>
    <t>mailto:swtpoppins@att.net</t>
  </si>
  <si>
    <t>Sweeties GT LLC</t>
  </si>
  <si>
    <t>http://www.sweetiesgt.com</t>
  </si>
  <si>
    <t>mailto:info@sweetiesgt.com</t>
  </si>
  <si>
    <t>Sweetin &amp; Bleeke P.C.</t>
  </si>
  <si>
    <t>="Sweetin &amp; Bleeke P.C., is an AV-rated law firm serving clients throughout Indiana from its office in Indianapolis. The emphasis of our practice is on insurance defense, including general liability, medical malpractice, and worker's compensation defense; insurance coverage and insurance fraud investigation; business and corporate law; construction law and litigation; and general civil litigation at the trial and appellate levels, both state and federal."</t>
  </si>
  <si>
    <t>http://www.sweetinbleeke.com</t>
  </si>
  <si>
    <t>mailto:doris@sweetinbleeke.com</t>
  </si>
  <si>
    <t>Swift Mako Software, Inc.</t>
  </si>
  <si>
    <t>http://miletrackgps.com</t>
  </si>
  <si>
    <t>mailto:sales@miletrackgps.com</t>
  </si>
  <si>
    <t>Swinney Brothers Exc</t>
  </si>
  <si>
    <t>mailto:megbert@swinneybrothers.com</t>
  </si>
  <si>
    <t>Swiss Alps Printing &amp; Office Supplies</t>
  </si>
  <si>
    <t>mailto:saprinttk@yahoo.com</t>
  </si>
  <si>
    <t>Swithers and Associates, LLC</t>
  </si>
  <si>
    <t>="Anti-terrorism and protective services for critical infrastructure, security engineering audits, security guard and investigative agents, special protective services for high profile individuals, safe house procurement, U.S. Department of Defense security contractor, intelligence and and counter-intelligence analytical support, classified program support."</t>
  </si>
  <si>
    <t>http://www.sasus.net</t>
  </si>
  <si>
    <t>mailto:info@sasus.net</t>
  </si>
  <si>
    <t>Switzerland County</t>
  </si>
  <si>
    <t>http://switzerland-county.com</t>
  </si>
  <si>
    <t>mailto:auditor@switzerlandcountycourthouse.org</t>
  </si>
  <si>
    <t>Sycamore Cleaning Services LLC</t>
  </si>
  <si>
    <t>="Commercial cleaning company. Services include (but are not limited to): Office cleaning, Sales office and model house cleaning, pool house restroom cleaning and restocking, window washing, move in/move out rental cleaning, post construction clean up, community common area trash pick up and removal, community clubhouse cleaning prior/post scheduled rental."</t>
  </si>
  <si>
    <t>mailto:sycamorecsllc@tds.net</t>
  </si>
  <si>
    <t>Sycamore Commercial Lending</t>
  </si>
  <si>
    <t>="Helping businesses with; Accounts Receivable loans, equipment leasing, sale and lease back programs, business acquisition financing, debt restructuring, commercial bridge loans, church financing, medical practice financing and working capital, specialty truck financing, and easy pay credit card advaces."</t>
  </si>
  <si>
    <t>http://www.sycamorecl.com</t>
  </si>
  <si>
    <t>mailto:info@sycamorecl.com</t>
  </si>
  <si>
    <t>All Other Non-Depository Credit Intermediation</t>
  </si>
  <si>
    <t>Sycamore Distribution Partners</t>
  </si>
  <si>
    <t>="Sycamore Distribution Partners is an office product sales and buying consortium. It is represented by five local Indiana Office Supply dealers to bring national account pricing to multiple location institutions through utilizing local dealers in the state of Indiana. We provide a sophisticated hosted order system, our distribution network provides next day delivery to our customer's locations and we provide a local presence in our community. When you buy local,it keeps money and jobs in our community and help our local communities thrive."</t>
  </si>
  <si>
    <t>http://www.sycamoredistribution.com</t>
  </si>
  <si>
    <t>mailto:dori@sycamoredistribution.com</t>
  </si>
  <si>
    <t>Symmetric Management Services, LLC</t>
  </si>
  <si>
    <t>mailto:rrepp@charlestownoffices.com</t>
  </si>
  <si>
    <t>Symmetry Medical Othy</t>
  </si>
  <si>
    <t>http://www.symmetrymedical.com</t>
  </si>
  <si>
    <t>Symphony Bank</t>
  </si>
  <si>
    <t>="A Community Bank founded by 17 local men and women who share a common vision to build a bank that adds value to the community and serves its needs. Symphony Bank will offer a full line of both retail and commercial products and services to consumers, professionals, and businesses. At Symphony Bank, Clients will be able to choose the delivery channel most convenient to them: traditional teller window setting; private or semi-private rooms; or, electronic access through the Internet."</t>
  </si>
  <si>
    <t>http://www.symphonybank.com</t>
  </si>
  <si>
    <t>mailto:concierge@symphonybank.com</t>
  </si>
  <si>
    <t>SynGeo Technics, Inc.</t>
  </si>
  <si>
    <t>http://www.syngeotechnics.com</t>
  </si>
  <si>
    <t>mailto:cheri@syngeotechnics.com</t>
  </si>
  <si>
    <t>Synergia Staffing Services</t>
  </si>
  <si>
    <t>="Synergia Staffing Services is a leading provider for search and recruitment services to Indiana businesses. As talented and seasoned recruiters, we deliver exceptional candidates that will align with your organization's vision and enhance your team productivity."</t>
  </si>
  <si>
    <t>mailto:synergiastaffing@hotmail.com</t>
  </si>
  <si>
    <t>Synergy Construction</t>
  </si>
  <si>
    <t>Synergy Marketing Group, Inc.</t>
  </si>
  <si>
    <t>="Synergy Marketing Group, Inc. takes a business approach to marketing, advertising and public relations. Our team of experienced professionals provides ongoing strategic counsel as well as hands-on support to help our clients generate awareness, build credibility, create demand and meet revenue objectives. We leverage quantifiable marketing processes and proven best practices to deliver measurable results. Synergy specializes in strategic marketing which includes market research, brand development, Web site development, advertising, graphic design, public relations, media relations, sales support, lead generation, search engine optimization (SEO), e-mail marketing and Internet marketing. We have broad-based expertise across a variety of business-to-business and consumer industries. Synergy is a certified Woman-owned Business Enterprise (WBE) by the State of Indiana. To learn more about the company, please call 317-205-9690 or visit www.synergy-mg.com."</t>
  </si>
  <si>
    <t>http://www.synergy-mg.com</t>
  </si>
  <si>
    <t>mailto:marc@synergy-mg.com</t>
  </si>
  <si>
    <t>Synergy Pest Control Systems, Inc.</t>
  </si>
  <si>
    <t>http://www.synergypestcontrol.com</t>
  </si>
  <si>
    <t>mailto:info@synergypestcontrol.com</t>
  </si>
  <si>
    <t>Synergy Telcom</t>
  </si>
  <si>
    <t>mailto:les.walker@synergy-tel.com</t>
  </si>
  <si>
    <t>Synovia</t>
  </si>
  <si>
    <t>http://www.synovia.com</t>
  </si>
  <si>
    <t>mailto:sales@synovia.com</t>
  </si>
  <si>
    <t>Synthesis Incorporated</t>
  </si>
  <si>
    <t>http://www.synthinc.com</t>
  </si>
  <si>
    <t>Syracuse-Wawasee Park Foundation</t>
  </si>
  <si>
    <t>="The Syracuse –Wawasee Trail System is a network of walking / bicycling trails encompassing the town of Syracuse, Syracuse Lake and Lake Wawasee. Some of the trails are already completed, while others are either under construction or still in the planning stage. The trail system is administered by a Trail committee of the Syracuse-Wawasee Park Foundation, a not for profit corporation."</t>
  </si>
  <si>
    <t>http://www.syracusewawaseetrails.com/</t>
  </si>
  <si>
    <t>mailto:ed@syracusewawaseetrails.com</t>
  </si>
  <si>
    <t>Nature Parks and Other Similar Institutions</t>
  </si>
  <si>
    <t>Systematic Solutions</t>
  </si>
  <si>
    <t>="Systematic Solutions, Inc. provides Information Technology consultants. Services include interviewing Subject Matter Experts (SME's), producing Systems Documentation, Process Flow, Process Diagrams, and Process Narratives which are required for Sarbanes-Oxley Documentation. Other services include I/T Process Improvement, Business Analysis, building/maintaining Microsoft Access Databases and System Design, Analysis &amp; Development. Systematic Solutions, Inc. was incorporated in Indiana in 1984."</t>
  </si>
  <si>
    <t>http://www.sysol.com</t>
  </si>
  <si>
    <t>mailto:DoritaInBVI@aol.com</t>
  </si>
  <si>
    <t>Systems Design and Analysis, Inc.</t>
  </si>
  <si>
    <t>="Systems Design And Analysis (SDA), Inc. is an Indiana based engineering company providing engineering and management support services to military and commercial customers. SDA was established as a small business in 1986 providing systems engineering, electronic circuit design and analysis, software development, technical documentation, test equipment, and program management support. SDA currently provides engineering and management support to the Naval Surface Warfare Center (NSWC), Crane through a small business contract and teaming relationships with other companies."</t>
  </si>
  <si>
    <t>http://www.sdaindy.com</t>
  </si>
  <si>
    <t>mailto:jgarten@sdaindy.com</t>
  </si>
  <si>
    <t>Systems Process, Inc.</t>
  </si>
  <si>
    <t>http://www.decisiondriven.com</t>
  </si>
  <si>
    <t>mailto:fitch@decisiondriven.com</t>
  </si>
  <si>
    <t>T &amp; L Sales, Inc.</t>
  </si>
  <si>
    <t>="TurboStart BatteryXpress houses over 15,000 batteries in stock. Our product line covers every battery type available. If for some reason we do not carry the product you are looking for we can special order products to fit your needs. Please contact for further information."</t>
  </si>
  <si>
    <t>http://www.batteryxpress.com</t>
  </si>
  <si>
    <t>mailto:sales@batteryxpress.com</t>
  </si>
  <si>
    <t>T &amp; M Precision, Inc.</t>
  </si>
  <si>
    <t>="We are a machine shop located in Versailles, Indiana. We make quality parts to customer specifications. We have been in business since 1991, incorporated in 2004. Tony has 30 years experience in the machining field. We do turning, milling, and some fabrication. We work with steel, stainless steel, aluminum, brass, copper, phenolic, Teflon, nylon, tin. Most of the work we do now is for military and aerospace use. We provide quality, precision parts to our customers. We provide our customers with a finished part. If the print calls for special processing of the parts, special hardware to be installed, welding, or painting, we provide parts that meet all of the customer requirements."</t>
  </si>
  <si>
    <t>http://www.tandmprecision.com</t>
  </si>
  <si>
    <t>mailto:tmprecision@comcast.net</t>
  </si>
  <si>
    <t>T &amp; M and Sons</t>
  </si>
  <si>
    <t>mailto:Todd_Huffer@sbcglobal.net</t>
  </si>
  <si>
    <t>T &amp; R NEAL AIRMASTER, INC</t>
  </si>
  <si>
    <t>http://AIRMASTER.NET</t>
  </si>
  <si>
    <t>mailto:AIRMASTER@INDY.RR.COM</t>
  </si>
  <si>
    <t>T &amp; R Pavement Markings, Inc.</t>
  </si>
  <si>
    <t>T &amp; S Contracting, Inc.</t>
  </si>
  <si>
    <t>mailto:TSCONTRACTING@AOL.COM</t>
  </si>
  <si>
    <t>T &amp; T COLLISION CENTER</t>
  </si>
  <si>
    <t>mailto:TRAVISTNTCOLLISION@GMAIL.COM</t>
  </si>
  <si>
    <t>T &amp; T Janitorial Services, LLC</t>
  </si>
  <si>
    <t>http://tandtindy.com</t>
  </si>
  <si>
    <t>mailto:t.tjanitorial@yahoo.com</t>
  </si>
  <si>
    <t>T &amp; T TIRE REMOVAL LLC</t>
  </si>
  <si>
    <t>T &amp; W Supply Co., Inc.</t>
  </si>
  <si>
    <t>T J Nowak Supply Co</t>
  </si>
  <si>
    <t>="We are a multi-faceted industrial and commercial supply company providing technical expertise, sales and service for products related to personnel safety, fire extinguishers, alarm, security, CCTV, access control and suppression systems, welding machines, supplies, tools, robotics, industrial gasses, garments, equipment, tools, air-paks and accessories related to the fire service community and Jon and barricade rentals."</t>
  </si>
  <si>
    <t>http://www.tjnowak.com</t>
  </si>
  <si>
    <t>T Moore Enterprises LLC</t>
  </si>
  <si>
    <t>mailto:emailtme@yahoo.com</t>
  </si>
  <si>
    <t>T and T Enterprises</t>
  </si>
  <si>
    <t>http://www.steppgrp.com</t>
  </si>
  <si>
    <t>mailto:steppgrp@sbcglobal.net</t>
  </si>
  <si>
    <t>T&amp;J Landscape Services</t>
  </si>
  <si>
    <t>http://tjlandscapeinc.com</t>
  </si>
  <si>
    <t>mailto:info@tjlandscapeinc.com</t>
  </si>
  <si>
    <t>T&amp;L Investigations LLC</t>
  </si>
  <si>
    <t>T&amp;R Contractors INC.</t>
  </si>
  <si>
    <t>mailto:TandRinc@yahoo.com</t>
  </si>
  <si>
    <t>T-C Inc.</t>
  </si>
  <si>
    <t>="T-C provides construction services in two area: construction related and professional services. We provide construction services in the areas of CCTV, Cleaning of Utility Lines, Manhole Rehab, Grouting, Smoke Testing, Cured-in-Place Point Repairs, Lateral Lining, Lateral Grouting and Dye Testing. We also provide Construction Management services, act as an Owner's Technical Rep and have the resources to provide Construction Staking and related services."</t>
  </si>
  <si>
    <t>http://www.t-c-inc.com</t>
  </si>
  <si>
    <t>mailto:INFO@T-C-INC.COM</t>
  </si>
  <si>
    <t>T-G ENTERPRISES LIMITED</t>
  </si>
  <si>
    <t>="Concrete services; highway, street, and bridge construction Poured concrete foundations and structure contractors Excavation for foundations including backfilling and stone placement Pour and Finish interior and exterior flatwork Stamped Concrete Concrete Repair and Replacement Curbs and Paving"</t>
  </si>
  <si>
    <t>http://www.gloydconcrete</t>
  </si>
  <si>
    <t>mailto:sales@gloydconcrete.com</t>
  </si>
  <si>
    <t>T-Time Designs, Inc</t>
  </si>
  <si>
    <t>http://t-timedesigns.com</t>
  </si>
  <si>
    <t>mailto:terry@t-timedesigns.com</t>
  </si>
  <si>
    <t>T. C. GRAPHICS</t>
  </si>
  <si>
    <t>mailto:TCRAWFORD@SPITFIRE.NET</t>
  </si>
  <si>
    <t>T. L. Wagner, Professional Corporation</t>
  </si>
  <si>
    <t>mailto:tlwpc@comcast.net</t>
  </si>
  <si>
    <t>T.I.S., Inc.</t>
  </si>
  <si>
    <t>http://tisbook.com</t>
  </si>
  <si>
    <t>T.M AND T.M CARPET, TILES CLEANERS LLC</t>
  </si>
  <si>
    <t>mailto:tm_tmcleaners@yahoo.com</t>
  </si>
  <si>
    <t>T.R. Barnett &amp; Associates, Inc.</t>
  </si>
  <si>
    <t>="T.R. Barnett &amp; Associates, Inc. is a training and communications consulting business, providing leadership and management training for business, industry, and nonprofit organizations. Also provides team building and supervisory skills training, as well as speaking and presentation skills. Also offers retreat and meeting planning and facilitation."</t>
  </si>
  <si>
    <t>mailto:trbarnett@insightbb.com</t>
  </si>
  <si>
    <t>T4 Inc</t>
  </si>
  <si>
    <t>TABCO BUSINESS FORMS</t>
  </si>
  <si>
    <t>http://TABCO.COM</t>
  </si>
  <si>
    <t>TAC Americas</t>
  </si>
  <si>
    <t>="Schneider Electric is the global leader in energy management. Expert Services in the following markets: Energy Efficiency, Industrial Solutions, Machine Control, Integrated Power and Control Solutions, Lighting and Whole-Home Control, Buildings Solutions, Water Wastewater, Renewable Energy, Demand Reponse Solutions, Power Management Solutions, and HVAC and Pump Systems Product lines include: Juno Lighting, Square D, Pelco, APC, TAC, Merlin Gerin, Telemecanique, and many more"</t>
  </si>
  <si>
    <t>http://www.schneider-electric.com/us</t>
  </si>
  <si>
    <t>mailto:john.christie@schneider-electric.com</t>
  </si>
  <si>
    <t>TAM Consulting Group, LLC</t>
  </si>
  <si>
    <t>="Results oriented business with proven successes managing technical projectes on large and small projects. Strong background in mechanical, plumbing, electrical, and information technologies. Project experience includes hospitality, health care, and utilities. Specialties include Mechanical, Electrical, Plumbing, Integrated Technologies and Infrastructure. Experience truly makes a difference."</t>
  </si>
  <si>
    <t>http://www.tamconsultinggroup.net</t>
  </si>
  <si>
    <t>mailto:thomas.boyd@tamconsultinggroup.net</t>
  </si>
  <si>
    <t>TASK FORCE DETECTIVE AGENCY, INC.</t>
  </si>
  <si>
    <t>http://www.taskforceunit.com</t>
  </si>
  <si>
    <t>mailto:JRodri2452@sbcglobal.net</t>
  </si>
  <si>
    <t>TAYLOR POWER SOLUTIONS INC</t>
  </si>
  <si>
    <t>http://www.taylorpowersolutions.com</t>
  </si>
  <si>
    <t>mailto:michelledtes@gmail.com</t>
  </si>
  <si>
    <t>TBJ'S Stroke of CRC</t>
  </si>
  <si>
    <t>="TBJ’S CRC stand for Thanks Be God Through Jesus Christ Stroke of Soul Concession Restaurant Convention Service is a for-profit service business and will be located in Henderson, Kentucky. It is a unique business which will provide a Henderson Small Business Center, mobile concession operation, restaurant operation and emergency mobile kitchen unit operation all rolled up into one."</t>
  </si>
  <si>
    <t>http://tbjsstokeofsoulcrc.webs.com</t>
  </si>
  <si>
    <t>mailto:mrwilliamjjohnson@gmail.com</t>
  </si>
  <si>
    <t>TBK Construction Video, LLC</t>
  </si>
  <si>
    <t>mailto:teresal2@msn.com</t>
  </si>
  <si>
    <t>TBR USA Inc</t>
  </si>
  <si>
    <t>="Manufacturer of large plastic products for the transportation industry. With a large facility and large part rotary thermorming machine we vacuum form ABS and polycarbonate for the automotive industry. WIth full CAD/CAM facilities in house we can design, tool up for and produce any product from start to finish. We would be interested in custom forming work in any industry for parts that are finished larger than 3 ft square up to 7ft square."</t>
  </si>
  <si>
    <t>http://www.tbrusa.com</t>
  </si>
  <si>
    <t>mailto:info@tbrusa.com</t>
  </si>
  <si>
    <t>TC Electric Inc</t>
  </si>
  <si>
    <t>="TC Electric Inc plas to become a leading provider of electrical contracting for the Indiana DOT market. TC Electric provides electrical services with anything that has to do with the road ways, i.e. Traffic Signals, Highway Lighting and Intelligent Traffic Systems."</t>
  </si>
  <si>
    <t>mailto:TCElectric2011@gmail.com</t>
  </si>
  <si>
    <t>TCM Northwest Indiana, Inc.</t>
  </si>
  <si>
    <t>mailto:blakeinformation@yahoo.com</t>
  </si>
  <si>
    <t>TDX Inc</t>
  </si>
  <si>
    <t>mailto:tdx.tony@insightbb.com</t>
  </si>
  <si>
    <t>TEAM 150, INC</t>
  </si>
  <si>
    <t>mailto:MAIL@TEAM150.COM</t>
  </si>
  <si>
    <t>TEC CONSTRUCTION &amp; D</t>
  </si>
  <si>
    <t>http://www.teccm.com</t>
  </si>
  <si>
    <t>mailto:jrodhiambo@teccm.com</t>
  </si>
  <si>
    <t>TEC Solutions, Inc.</t>
  </si>
  <si>
    <t>http://www.tec-online.net</t>
  </si>
  <si>
    <t>mailto:tcarpenter@tec-onlie.net</t>
  </si>
  <si>
    <t>TECH Electronics of Indiana</t>
  </si>
  <si>
    <t>http://www.techelectronics.com</t>
  </si>
  <si>
    <t>mailto:jeff.watson@techelectronics.com</t>
  </si>
  <si>
    <t>TECH MED INDUSTRIES LP</t>
  </si>
  <si>
    <t>http://www.pmrtechmed.com</t>
  </si>
  <si>
    <t>mailto:rsapp@pmrtechmed.com</t>
  </si>
  <si>
    <t>TECHNOLOGY EXPERTS, INC.</t>
  </si>
  <si>
    <t>="Technology Experts, Inc. is a full service, full life-cycle management and information technology engineering consulting firm that is built on close of quarter of century of information technology experience, at U.S. corporate, higher education, K-12 Education, government and private educational institutions. We offer a wide variety of services to meet every need and requirement. We have talented electrical engineers, designers, skillful programmers and effective management to provide cost effective and timely solution to meet all customer requirements. The Firm's expertise extends beyond traditional information technology, into risk management staffing, and business management."</t>
  </si>
  <si>
    <t>http://www.techxpts.com</t>
  </si>
  <si>
    <t>mailto:info@techxpts.com</t>
  </si>
  <si>
    <t>TECHNOLOGY SALES, LLC</t>
  </si>
  <si>
    <t>http://WWW.TECHNOLOGYSALESLLC.US</t>
  </si>
  <si>
    <t>mailto:ROGERD@TECHNOLOGYSALESLLC.US</t>
  </si>
  <si>
    <t>TEDESCO HAIR SALON</t>
  </si>
  <si>
    <t>TEG Architects LLC</t>
  </si>
  <si>
    <t>http://www.teg123.com</t>
  </si>
  <si>
    <t>mailto:info@teg123.com</t>
  </si>
  <si>
    <t>TEMCO dba Global Emergency Products</t>
  </si>
  <si>
    <t>http://www.gep3.com</t>
  </si>
  <si>
    <t>mailto:mscholl@gep3.com</t>
  </si>
  <si>
    <t>TEMPLE &amp; TEMPLE EXC &amp; PAVING</t>
  </si>
  <si>
    <t>mailto:jasonu@templeandtemple.com</t>
  </si>
  <si>
    <t>TESCO, LLC</t>
  </si>
  <si>
    <t>http://www.TotalEQ.com</t>
  </si>
  <si>
    <t>mailto:TotalEQ@gmail.com</t>
  </si>
  <si>
    <t>TFP INC</t>
  </si>
  <si>
    <t>TG Witchie, Inc.</t>
  </si>
  <si>
    <t>Drinking Places (Alcoholic Beverages)</t>
  </si>
  <si>
    <t>TGL Indy, LLC.</t>
  </si>
  <si>
    <t>="How's your glove life? I sell specialty gloves and personal safety products. Including, but not limited to, hard hats, safety glasses, safety vests, raincoats, dust masks, first aid cabinets and much more. I am able to supply your company with an engaging and fun buying experience. I personally deliver and save you money on shipping! How's your glove life?"</t>
  </si>
  <si>
    <t>http://www.theglovelady.com/indy</t>
  </si>
  <si>
    <t>mailto:indy@theglovelady.com</t>
  </si>
  <si>
    <t>TGRF Excavation, Inc.</t>
  </si>
  <si>
    <t>mailto:paulette-tgrfinc@comcast.net</t>
  </si>
  <si>
    <t>THE ANDERSON GROUP CONSULTING LLC</t>
  </si>
  <si>
    <t>http://www.tagconsult.com</t>
  </si>
  <si>
    <t>mailto:vrice@tagconsult.com</t>
  </si>
  <si>
    <t>THE BUY WITH BENBERRY REALTY GROUP, LLC</t>
  </si>
  <si>
    <t>http://WWW.BUYWITHBENBERRY.COM</t>
  </si>
  <si>
    <t>mailto:KEYA@BUYWITHBENBERRY.COM</t>
  </si>
  <si>
    <t>THE CONSULTANTS CONSORTIUM INC</t>
  </si>
  <si>
    <t>http://www.e-tcc.com</t>
  </si>
  <si>
    <t>mailto:info@e-tcc.com</t>
  </si>
  <si>
    <t>THE DALTON'S inc.</t>
  </si>
  <si>
    <t>mailto:ldalton49@earthlink.net</t>
  </si>
  <si>
    <t>THE DRAINMAN INC.</t>
  </si>
  <si>
    <t>="Established in 1984 by John Phillips, The Drainman , Inc has been serving the greater Indianapolis metropolitan region for over 3 decades. We have more than 15 employees and each is committed to the same standard that John set for the company when it was founded. High quality service you can afford"</t>
  </si>
  <si>
    <t>http://www.thedrainmaninc.com</t>
  </si>
  <si>
    <t>mailto:support@thedrainmaninc.com</t>
  </si>
  <si>
    <t>THE ENGRAVER</t>
  </si>
  <si>
    <t>="ESTABLISHED IN 1980, A FAMILY OWNED GIFT AND AWARDS RETAIL STORE. ITEMS STOCKED INCLUDE TROPHIES, PLAQUES, CLOCKS, CORPORATE AWARDS, DESK ITEMS, BRONZE CASTINGS, PLASTIC SIGNS, AND RIBBONS. GIFT ITEMS FOR ALL OCCASIONS. MANY ITEMS CAN BE PERSONALIZED. IN HOUSE MECHANICAL AND LASER ENGRAVING OF TEXT AND LOGOS."</t>
  </si>
  <si>
    <t>mailto:THE.ENGRAVER@VERIZON.NET</t>
  </si>
  <si>
    <t>THE FREE ENTERPRISE SYSTEM, INC</t>
  </si>
  <si>
    <t>http://www.freeenterprisesystem.com</t>
  </si>
  <si>
    <t>mailto:lstough@freeenterprisesystem.com</t>
  </si>
  <si>
    <t>THE FREIJE COMPANY</t>
  </si>
  <si>
    <t>http://www.thefreijecompany.com</t>
  </si>
  <si>
    <t>mailto:pshanklin@thefreijecompany.com</t>
  </si>
  <si>
    <t>THE HEAVYWEIGHTS, Inc.</t>
  </si>
  <si>
    <t>http://www.THEHEAVYWEIGHTS.com</t>
  </si>
  <si>
    <t>mailto:kellis@theheavyweights.com</t>
  </si>
  <si>
    <t>http://www.theheavyweights.com</t>
  </si>
  <si>
    <t>THE HENRY CO., INC</t>
  </si>
  <si>
    <t>http://henrycompany.com</t>
  </si>
  <si>
    <t>mailto:henryco@comnetcom.net</t>
  </si>
  <si>
    <t>THE KERR GROUP, LLC</t>
  </si>
  <si>
    <t>="THE KERR GROUP, LLC specializes in organizational development, i.e., incorporation, management systems, process mapping, policies and procedures, contract compliance, staff development and training. Business upport services are also available: desktop publishing, printing and business writing. THE KERR GROUP, LLC delivers personalized professional service....Always."</t>
  </si>
  <si>
    <t>http://www.thekerrgroup.net</t>
  </si>
  <si>
    <t>mailto:thekerrgroup@msn.com</t>
  </si>
  <si>
    <t>THE LIEBERMAN GROUP LLC</t>
  </si>
  <si>
    <t>http://LTNOW.COM</t>
  </si>
  <si>
    <t>mailto:INFO@LTNOW.COM</t>
  </si>
  <si>
    <t>THE MERIT GROUP LLC</t>
  </si>
  <si>
    <t>="At The Merit Group we engineer business and communicate brands with seamless execution using strategic planning, innovation and implementation as our driving forces. We offer several core deliverables: Our Services… Small Business Development Business Development Corporate Strategy Non-profit Development Campaign Planning Professional Training Minority Certifications Consulting &amp; Coaching Educational Program Development Marketing Strategy Social Media Development Brand Communication Field and Inside Sales Strategy"</t>
  </si>
  <si>
    <t>http://www.themeritgroupindy.com</t>
  </si>
  <si>
    <t>mailto:info@themeritgroupindy.com</t>
  </si>
  <si>
    <t>THE ROSK GROUP INC</t>
  </si>
  <si>
    <t>="THE ROSK GROUP, INC. offers a total concept of architectural, engineering planning, developmental, and other market related services, including but not limited to, the following: • Architectural Design – Programming • Cost Estimates • Engineering Design • Promotional Drawings - Illustrations • Interior Design • Absentee Owner/Designer Representation • Space and Master Planning • CAD Capabilities, Computer Graphics, Planning and Design • Site Planning • Consultation – Drafting Service"</t>
  </si>
  <si>
    <t>http://www.roskgroup.com</t>
  </si>
  <si>
    <t>mailto:trg@roskgroup.com</t>
  </si>
  <si>
    <t>THE SPANISH CONNECTION, LLC</t>
  </si>
  <si>
    <t>http://twww.thespanishconnection.biz</t>
  </si>
  <si>
    <t>mailto:ansieber@ix.netcom.com</t>
  </si>
  <si>
    <t>THE SUMMERS INVESTMENTMENT GROUP LLC.</t>
  </si>
  <si>
    <t>http://www.summersinvestment.com</t>
  </si>
  <si>
    <t>mailto:esummers@summersinvestment.com</t>
  </si>
  <si>
    <t>THE UNIFORM HOUSE</t>
  </si>
  <si>
    <t>http://www.uniformhouse.com</t>
  </si>
  <si>
    <t>mailto:customerservice@uniformhouse.com</t>
  </si>
  <si>
    <t>THE WADE GROUP, INC</t>
  </si>
  <si>
    <t>="The foundation of any strong business is a well-conceived and executed business plan. The Wade Group has been helping new and start up businesses around the country create business plans that help raise capital, maximize employee effort, and develop optimum operational efficiency."</t>
  </si>
  <si>
    <t>http://WWW.WADEGROUPS.COM</t>
  </si>
  <si>
    <t>mailto:info@wadegroups.com</t>
  </si>
  <si>
    <t>THE WESTERLY GROUP INC</t>
  </si>
  <si>
    <t>="The Westerly Group, Inc. specializes in design, planning and consultation for historic preservation including Section 106 surveys and analysis, HABS-HAER-HALS, National Register nominations, Historic surveys, Historic Structures Reports, Cultural Landscape Reports and Adaptive Use Design"</t>
  </si>
  <si>
    <t>http://westerlygroup.com</t>
  </si>
  <si>
    <t>mailto:wgimadison@aol.com</t>
  </si>
  <si>
    <t>THOMAS &amp; REED, LLC</t>
  </si>
  <si>
    <t>mailto:sreed@trllc-cpa.com</t>
  </si>
  <si>
    <t>THOMAS DODGE-CHRYSLER-JEEP OF HIGHLAND</t>
  </si>
  <si>
    <t>http://www.thomasdodgechryslerjeepofhigh</t>
  </si>
  <si>
    <t>mailto:steve.kizaric@gmail.com</t>
  </si>
  <si>
    <t>THOMAS HONDA &amp; KAWASAKI</t>
  </si>
  <si>
    <t>THOMAS532 HERRMAN</t>
  </si>
  <si>
    <t>THOMKO DISTRIBUTION</t>
  </si>
  <si>
    <t>http://www.thomko.com</t>
  </si>
  <si>
    <t>THOMPSON DISTRIBUTION COMPANY, INC</t>
  </si>
  <si>
    <t>http://www.thomdist.com</t>
  </si>
  <si>
    <t>mailto:marcusj@thomdist..com</t>
  </si>
  <si>
    <t>THRONE PROPERTY RESTORATION SERVICE</t>
  </si>
  <si>
    <t>TIDY janitorial services</t>
  </si>
  <si>
    <t>mailto:devontecollins19@live.com</t>
  </si>
  <si>
    <t>RV (Recreational Vehicle) Parks and Recreational Camps</t>
  </si>
  <si>
    <t>TIFCO Logistics LLC</t>
  </si>
  <si>
    <t>mailto:tifcologistics@aol.com</t>
  </si>
  <si>
    <t>TILL GROUP, LLC</t>
  </si>
  <si>
    <t>http://www.firesafetycompany.net</t>
  </si>
  <si>
    <t>mailto:djfiresafety@yahoo.com</t>
  </si>
  <si>
    <t>TIMOTHY S. FORD</t>
  </si>
  <si>
    <t>mailto:tmtransport_excavating@yahoo.com</t>
  </si>
  <si>
    <t>TJ Corporation</t>
  </si>
  <si>
    <t>mailto:jnjquartermoon@yahoo.com</t>
  </si>
  <si>
    <t>TK Electric LLC</t>
  </si>
  <si>
    <t>="TK Electric LLC is experienced in all types of electrical installation including new and remodel retail, commercial, and industrial. Our certified electricians have been doing business in IN and IL for over 25 years. Major past projects include retail chains such as Kohl's, Sport Mart, Vitamin World, Disney &amp; Warner Bros and over 1,000 The Limited stores and subsidiaries."</t>
  </si>
  <si>
    <t>mailto:tkelectric@sbcglobal.net</t>
  </si>
  <si>
    <t>TK Services, Inc.</t>
  </si>
  <si>
    <t>mailto:Kellywaldron@hotmail.com</t>
  </si>
  <si>
    <t>TKO Graphix</t>
  </si>
  <si>
    <t>="TKO Graphix is a 3M authorized graphics manufacturer that specializes in large format graphics. Vehicle Graphics, Wall Murals, Banners and Floor Graphics are just a few of the products we manufacture in house. We also have one of the largest traveling installation crews in the country. Thank you, Glenn Burris Natl. Acct. Mgr. TKO Graphix"</t>
  </si>
  <si>
    <t>http://www.tkographix.com</t>
  </si>
  <si>
    <t>mailto:gburris@tkographix.com</t>
  </si>
  <si>
    <t>TL Cheatum</t>
  </si>
  <si>
    <t>http://www.bee-bees.com</t>
  </si>
  <si>
    <t>mailto:sales@bee-bees.com</t>
  </si>
  <si>
    <t>Men's and Boys' Cut and Sew Apparel Contractors</t>
  </si>
  <si>
    <t>TL Services</t>
  </si>
  <si>
    <t>http://www.tlservices.com</t>
  </si>
  <si>
    <t>mailto:vic.pongonis@tlservices.com</t>
  </si>
  <si>
    <t>TL Supply Co LLC</t>
  </si>
  <si>
    <t>mailto:tim.lander@tlsupply.com</t>
  </si>
  <si>
    <t>TLC Interior Decorating Services</t>
  </si>
  <si>
    <t>mailto:tlcinteriordecorating@gmail.com</t>
  </si>
  <si>
    <t>TLC Promotions, LLC</t>
  </si>
  <si>
    <t>http://www.TLCpromos.com</t>
  </si>
  <si>
    <t>mailto:sherry@TLCpromos.com</t>
  </si>
  <si>
    <t>TLM Group, LLC</t>
  </si>
  <si>
    <t>mailto:tlmgroup@ymail.com</t>
  </si>
  <si>
    <t>TLS By Design, LLC</t>
  </si>
  <si>
    <t>http://www.tlsbydesign.com</t>
  </si>
  <si>
    <t>mailto:sales@tlsbydesign.com</t>
  </si>
  <si>
    <t>TM Supply, LLC</t>
  </si>
  <si>
    <t>mailto:tnorman@indy.rr.com</t>
  </si>
  <si>
    <t>TM SysTech LLC</t>
  </si>
  <si>
    <t>="providing the professional service for the following areas, (1) development of travel demand and traffic simulation model, including user interface and software system development, (2) long-range transportation plan study, (3) corridor plan and traffic impact studies, (4) cost/benefit analysis for transportation projects, (5) traffic safety study, (6) Geographic Information System (GIS) application and mapping, including spatial analysis, geo-coding and GIS programming, (7) traffic and socio-economic data processing, for example census data processing, (8) statistic data analysis, (9) land-use model."</t>
  </si>
  <si>
    <t>http://www.tm-systech.com</t>
  </si>
  <si>
    <t>mailto:yzhang@tm-systech.com</t>
  </si>
  <si>
    <t>TMA Enterprises Inc. DBA Embroidme</t>
  </si>
  <si>
    <t>http://www.embroidme-avon.com</t>
  </si>
  <si>
    <t>mailto:info@embroidme-avon.com</t>
  </si>
  <si>
    <t>Schiffli Machine Embroidery</t>
  </si>
  <si>
    <t>TMC Contractors Inc.</t>
  </si>
  <si>
    <t>mailto:tmccontractors@aol.com</t>
  </si>
  <si>
    <t>TMG CONSTRUCTION GROUP</t>
  </si>
  <si>
    <t>http://www.tmgcg.com</t>
  </si>
  <si>
    <t>mailto:mjm@tmgcg.com</t>
  </si>
  <si>
    <t>TMG Construction Management, Inc.</t>
  </si>
  <si>
    <t>="TMG Construction Management, Inc. is a full-service commercial general contracting and construction management company specializing in restaurant and retail projects throughout Indiana. We are a small firm that uses our ability to be efficient, flexible, and responsive to develop lasting partnerships with our clients and provide unparalleled service. We take personal pride and responsibility for each and every project, leveraging a strong team of individuals and subcontractors who place the same high value on excellence."</t>
  </si>
  <si>
    <t>http://www.tmgcm.com/</t>
  </si>
  <si>
    <t>mailto:info@tmgcm.com</t>
  </si>
  <si>
    <t>TMG Staffing Corp</t>
  </si>
  <si>
    <t>="We are an Indiana based,woman owned , small business providing recruiting services throughout Indiana and the Midwest. We have over 50 years of experience in locating,evaluating and placing professionals in manufacturing, accounting, human resources, technical, executive management and healthcare. We have served both public and private entities."</t>
  </si>
  <si>
    <t>http://www.themorleygroup.com</t>
  </si>
  <si>
    <t>mailto:smorley@themorleygroup.com</t>
  </si>
  <si>
    <t>TMS DBA Essential Employment</t>
  </si>
  <si>
    <t>mailto:heather@essentialemployment.net</t>
  </si>
  <si>
    <t>TMS Safety Services</t>
  </si>
  <si>
    <t>mailto:troymsmith@frontier.com</t>
  </si>
  <si>
    <t>TNT Construction</t>
  </si>
  <si>
    <t>TOC Logistics International</t>
  </si>
  <si>
    <t>="TOC Logistics International is a rapidly expanding logistics management organization that provides innovative supply chain solutions through a worldwide network of operations centers and strategic partnerships. Developed from well-respected North American consolidation experts and a definitive market need, TOC Logistics has quickly become an industry leading expert in global consolidation programs, supply chain optimization and third party logistics services emphasizing visibility, continuous improvement and cost reduction."</t>
  </si>
  <si>
    <t>http://www.toclogistics.com</t>
  </si>
  <si>
    <t>mailto:Quotes@TOCLogistics.com</t>
  </si>
  <si>
    <t>Marine Cargo Handling</t>
  </si>
  <si>
    <t>TODD ALLEN DESIGN, I</t>
  </si>
  <si>
    <t>http://TADESIGN.COM</t>
  </si>
  <si>
    <t>mailto:SILALLEN@TADESIGN.COM</t>
  </si>
  <si>
    <t>TOM RAPER RVs</t>
  </si>
  <si>
    <t>http://WWW.TOMRAPER.COM</t>
  </si>
  <si>
    <t>mailto:DCLARK@TOMRAPER.COM</t>
  </si>
  <si>
    <t>TOM'S LAWN &amp; GARDEN</t>
  </si>
  <si>
    <t>mailto:MMTOMS@FULLNET.COM</t>
  </si>
  <si>
    <t>TOO CLEAN</t>
  </si>
  <si>
    <t>http://www.myspace.com/eternity2062</t>
  </si>
  <si>
    <t>mailto:eternity2062@aol.com</t>
  </si>
  <si>
    <t>TOP QUALITY GLASS &amp; MIRROR CO. INC</t>
  </si>
  <si>
    <t>http://www.topqualityglass.com</t>
  </si>
  <si>
    <t>mailto:swatts@topqualityglass.com</t>
  </si>
  <si>
    <t>TORRES INSURANCE AGENCY, INC.</t>
  </si>
  <si>
    <t>http://www.torresins.net</t>
  </si>
  <si>
    <t>mailto:torresinsurance@torresins.net</t>
  </si>
  <si>
    <t>TORUS Machining, Inc</t>
  </si>
  <si>
    <t>TOUCH OF LOVE HOME CARE LLC</t>
  </si>
  <si>
    <t>="Touch of Love Home Care is a Personal Service Agency that is licensed, bonded, and insured in the State of Indiana to provide in-home assistance with you and/or your loved ones daily activities. Our mission as a company is to provide excellent companion and attendant care services which fosters a team working environment that devotes time and experience to cultivate our clients' needs, wants and health. Professional care with a loving touch is what we stand by!!!! Our Services Includes: Attendant Care: Assistance with hygiene: bathing, showering, dressing Assistance with ambulation/mobility: walker, cane, wheelchair Attendant/Homemaker Care: Housekeeping: laundry, pet care, bathroom, kitchen, trash removal, vacuum, dusting, change of linens.... Errands: Grocery, Primary Physician Appt, Bank, etc... Meal Preparation Med Reminders ""will not administer"" Encourage Activities: walks, board games, etc... We are accepting all Waiver, Choice, TITIII, and private pay clients. Fo"</t>
  </si>
  <si>
    <t>http://www.touchoflovehomecare.org</t>
  </si>
  <si>
    <t>TOXICOLOGY INC</t>
  </si>
  <si>
    <t>http://www.toxinc.com</t>
  </si>
  <si>
    <t>mailto:contact@toxinc.com</t>
  </si>
  <si>
    <t>TRABCU Inc</t>
  </si>
  <si>
    <t>http://www.gillmanhomecenter.com</t>
  </si>
  <si>
    <t>mailto:cville@gillmanhomecenter.com</t>
  </si>
  <si>
    <t>TRACE Automotive, Inc.</t>
  </si>
  <si>
    <t>mailto:traceautomotive@yahoo.com</t>
  </si>
  <si>
    <t>TRACY BROWN &amp; ASSOCIATES</t>
  </si>
  <si>
    <t>="We put years of global experience to work reducing complexities in supply chains, making it faster, more agile and less costly. All while providing environmentally responsible solutions. We specialize in; Global Trade Management of exports and imports, supply chain strategies, risk management, sourcing and procurement strategies, international trade operation &amp; compliance, and freight forwarding. Total Logistics Services, operating every aspect of your supply chain, from contract negotiation, compliance and transportation through tracking, warehousing, distribution, and 3PL assessment. Consulting Services, providing analysis and recommendations for streamlining procedures, optimizing networks, sourcing, removing waste, and implementing innovative ways to reduce costs and improve the customer experience. IT Solutions that enhance tracking and global visibility to help your company become a truly demand-driven organization."</t>
  </si>
  <si>
    <t>http://www.tracybrownassociates.com</t>
  </si>
  <si>
    <t>TRAMMELL TRUCKING</t>
  </si>
  <si>
    <t>http://Trammell Trucking</t>
  </si>
  <si>
    <t>mailto:trammelltram@yahoo.com</t>
  </si>
  <si>
    <t>TRANSPORT CONNECTION</t>
  </si>
  <si>
    <t>http://www.transportpackagingsolutions.c</t>
  </si>
  <si>
    <t>mailto:balkire@transportpackagingsolutions.com</t>
  </si>
  <si>
    <t>TRANSPORT ROW INC.</t>
  </si>
  <si>
    <t>http://www.transportrow.com</t>
  </si>
  <si>
    <t>mailto:victoria@transportrow.com</t>
  </si>
  <si>
    <t>TRANSPORTATION CONSULTING &amp; MANAGEMENT</t>
  </si>
  <si>
    <t>="TC&amp;M is made up of airport, airline and aviation experts with significant experience in the industry, working with airports across the USA and abroad. We have built a client base that includes major airlines and both large and small airport authorities. The firm provides strategic consulting services to clients on major capital development programs and projects that are a vital part of today's dynamic aviation industry."</t>
  </si>
  <si>
    <t>http://www.tcandm.com</t>
  </si>
  <si>
    <t>mailto:info@tcandm.com</t>
  </si>
  <si>
    <t>TRC</t>
  </si>
  <si>
    <t>TREBOR &amp; NERAK ENT.</t>
  </si>
  <si>
    <t>="BARNIE'S COFFEE &amp; TEA IS A RETAIL STORE, WHICH SELLS BULK AND PACKAGED COFFEE, TEA, MUGS, GRINDERS AND OTHER RELATED ITEMS. OUR PRODUCTS MAKE WONDERFUL EMPLOYEE AND FAMILY GIFTS AND BARNIE'S CAN SHIP ORDERS ANYWHERE IN THE COUNTRY. WE SPECIALIZE IN FLAVORED COFFEE BY THE POUND; BUT WE ALSO HAVE NUMEROUS GIFT PACKS, WHICH OFFER A VARIETY OF SMALLER ""SAMPLES"" OF OUR PRODUCTS! IF YOU'RE IN INDIANAPOLIS, STOP BY THE CASTLETON SQUARE MALL FOR A CUP OF COFFEE AND A PASTRY! WHILE YOU'RE THERE, DON'T FORGET TO TAKE A FEW POUNDS HOME!"</t>
  </si>
  <si>
    <t>TRI TIRE INC DBA FRIERMOOD TIRE</t>
  </si>
  <si>
    <t>mailto:friermoodtire@comcast.net</t>
  </si>
  <si>
    <t>TRI-CITY C.C.M.H.C., INC.</t>
  </si>
  <si>
    <t>="At Tri-City Comprehensive Community Mental Health Center we work extensively with individuals needing care and treatment for mental health issues or substance abuse. Professionals at Tri-City have provided a full range of comprehensive services close to home since 1971. The mission of our organization is the prevention and treatment of behavioral health problems through the provision of effective, affordable and accessible treatment, education and training programs for members of the communities we serve."</t>
  </si>
  <si>
    <t>http://www.tricitycenter.org</t>
  </si>
  <si>
    <t>TRI-COUNTY EQUIPMENT</t>
  </si>
  <si>
    <t>="Our primary business is construction, farm, and lawn &amp; garden equipment sales and service. We handle Bobcat, Kubota, AGCO, Land Pride, Great Plains, Krause &amp; Kawasaki brands of tractors, skid steer loaders, trailers, mowers, dirt equipment, utility vehicles, atv's, excavators, and other misc farm &amp; contractors equipment."</t>
  </si>
  <si>
    <t>http://tri-countyequip.com</t>
  </si>
  <si>
    <t>mailto:tcedj@tds.net</t>
  </si>
  <si>
    <t>TRIKO INC</t>
  </si>
  <si>
    <t>http://WWW.TRIKOSUPPLY.COM</t>
  </si>
  <si>
    <t>mailto:TRIKOINC@SBCGLOBAL.NET</t>
  </si>
  <si>
    <t>TRINITY CONSULTING &amp; COUNSELING, INC</t>
  </si>
  <si>
    <t>="Christian Counseling Group providing home-based, and outpatient counseling services to children, adolescents and families. Providing drug and alcohol education, parenting skills training, transportation services, habilitation services, respite (short term). Also provide services to medicaid patients."</t>
  </si>
  <si>
    <t>mailto:trinityccinc</t>
  </si>
  <si>
    <t>TRINITY MECHANICAL LLC</t>
  </si>
  <si>
    <t>mailto:trinitymech@msn.com</t>
  </si>
  <si>
    <t>TRIPATH INC</t>
  </si>
  <si>
    <t>mailto:info@tripathsolutions.com</t>
  </si>
  <si>
    <t>TRIPLE R TRUCKING LLC</t>
  </si>
  <si>
    <t>mailto:deniseandrod@verizon.net</t>
  </si>
  <si>
    <t>TROJAN PLUMBING LLC</t>
  </si>
  <si>
    <t>mailto:trojanplumbing@yahoo.com</t>
  </si>
  <si>
    <t>TRONITECH CENTRAL LLC</t>
  </si>
  <si>
    <t>="We have over 25 years experience satisfying the needs of thousands of customers. We provide access to the most productive data management products and services with unparalleled expertise...so you can concentrate on the important stuff - your business. ~On-line, near-line and off-line services: Imaging solutions, COLD storage, CD-ROM, and Microfiche. ~Service bureau: Off-site data warehousing/retrieval and document scanning. ~VaultView ASP software solutions: Acorde, Intact and Report Manager (also available in-house). Three unique imaging solutions hosted on-line at Tronitech. ~Hardware Sales: Systems, scanners, scanner maintenance and reader/printers. ~Engineering and consulting services"</t>
  </si>
  <si>
    <t>http://www.tronitech.com</t>
  </si>
  <si>
    <t>mailto:cbardach@tronitech.com</t>
  </si>
  <si>
    <t>TROYER THE GROUP INC</t>
  </si>
  <si>
    <t>http://troyergroup.com</t>
  </si>
  <si>
    <t>TRUCK CITY OF GARY, INC.</t>
  </si>
  <si>
    <t>http://www.truckcityofgary.com</t>
  </si>
  <si>
    <t>mailto:www.truckcityofgary.com</t>
  </si>
  <si>
    <t>TRUCK SERVICE INC.</t>
  </si>
  <si>
    <t>http://WWW.TRKSVC.COM</t>
  </si>
  <si>
    <t>mailto:DMEYER@TRKSVC.COM</t>
  </si>
  <si>
    <t>TSC Inc.</t>
  </si>
  <si>
    <t>http://www.tscev.com</t>
  </si>
  <si>
    <t>mailto:mthacker@tscev.com</t>
  </si>
  <si>
    <t>TSI Auto Repair and Sales</t>
  </si>
  <si>
    <t>mailto:carolmay63@yahoo.com</t>
  </si>
  <si>
    <t>TSI Technology Group</t>
  </si>
  <si>
    <t>http://www.tsitech.com</t>
  </si>
  <si>
    <t>TSL Enterprises, Inc.</t>
  </si>
  <si>
    <t>http://www.meyertruckeq.com</t>
  </si>
  <si>
    <t>mailto:gkuper@meyertruckeq.com</t>
  </si>
  <si>
    <t>TSS Capitol Group, LLC</t>
  </si>
  <si>
    <t>mailto:jessaca@tsscapitolgroup.com</t>
  </si>
  <si>
    <t>TSW Utility Solutions, Inc</t>
  </si>
  <si>
    <t>http://tswutility.com</t>
  </si>
  <si>
    <t>mailto:office@tswutility.com</t>
  </si>
  <si>
    <t>TSystems</t>
  </si>
  <si>
    <t>="We provide Software Development/Database Administration consulting services. Our area of expertise include client/server and web development using VB .NET and SQL Server. We also provide business analysis data/object modeling and project management services pertaining to the Software Development Life Cycle. We follow OO design and programming principles and UML's object modeling methodology."</t>
  </si>
  <si>
    <t>mailto:jtsystems@hotmail.com</t>
  </si>
  <si>
    <t>TT Maintenance and Contracting Inc.</t>
  </si>
  <si>
    <t>TUCKER:S CONSTRUCTION</t>
  </si>
  <si>
    <t>http://www.lettuckerconstruction.com</t>
  </si>
  <si>
    <t>mailto:tuck_contruction@sbcglobal.net</t>
  </si>
  <si>
    <t>TVWebCity, LLC</t>
  </si>
  <si>
    <t>="Lead clients in the development, production and distribution of their corporate, commercial or community information in a professional and original framework; 2) serve the need for easy, on-demand video access to community resources through the development of individual corporate Web channels and local programming; and to develop, provide and encourage an interactive network media platform for the public, advertisers and clients to link to one another through shared interests."</t>
  </si>
  <si>
    <t>http://tvwebcity.com</t>
  </si>
  <si>
    <t>TWAY COMPANY, INC</t>
  </si>
  <si>
    <t>http://www.twaycompany.com</t>
  </si>
  <si>
    <t>mailto:dawn@twaycompany.com</t>
  </si>
  <si>
    <t>Other Construction Material Wholesalers</t>
  </si>
  <si>
    <t>TWB &amp; Associates Inc</t>
  </si>
  <si>
    <t>="Management consultants: strategic &amp; organizational planning, finance, HR (ads, resume review, interviews, background checks), policy development, project management Change management. Water development for rural and small water systems. Environmental engineering; engineering &amp; compliance; remediation"</t>
  </si>
  <si>
    <t>http://www.evabenconsultants.com</t>
  </si>
  <si>
    <t>mailto:pevans@evabenconsultants.com</t>
  </si>
  <si>
    <t>TWG Human Resource Consulting</t>
  </si>
  <si>
    <t>mailto:rwhitf4348@sbcglobal.net</t>
  </si>
  <si>
    <t>TWIN RIVERS MEDICAL LABORATORY, INC</t>
  </si>
  <si>
    <t>http://WWW.TRMLAB.COM</t>
  </si>
  <si>
    <t>mailto:cbostic@trmlab.com</t>
  </si>
  <si>
    <t>TWO GC INC</t>
  </si>
  <si>
    <t>TWeatherford, Inc.</t>
  </si>
  <si>
    <t>="TWeatherford is aligned around a single, focused business model: innovation. TWeatherford takes its breadth and depth of insight on issues, processes and operations across a variety of industries, and invents and applies technology to help solve its clients' most intractable business and competitive problems. Although we remain committed, as ever, to lead the development of state-of-the-art technologies, and the products and service offerings built around them, we measure ourselves today by how well we help clients solve their biggest and most pressing problems. TWeatherford offers a unique set of consulting and technology services, which include an integral product development system, PDM (product data management) and PLM (Product Lifecycle Management). We offer breakthrough technology and focus on supporting lean product development. Whatever your company's needs in product development — design, engineering, manufacturing, collaboration or outsourcing — TWeatherford can help. "</t>
  </si>
  <si>
    <t>http://www.tweatherford.com</t>
  </si>
  <si>
    <t>mailto:cindieh@tweatherford.com</t>
  </si>
  <si>
    <t>TYRONE TRACY SR AND LAVERNA TRACY</t>
  </si>
  <si>
    <t>="TY'S MAINTENANCE AND CLEANNIN SERVICE IS SET UP TO DO A WIDE VARIETY OF SERVICES OUR SELVES IN ADDITION TO CONTRACTING OUTSIDE. OUR PROGRAM INCLUDS BUT IS NOT LIMITED TO CONSTRUCTION LAWN CARE DRY WALL PAINTING HAULING FIRE EXTINGUISHER MAINTENANCE ETC IF WE CAN'T PROVIDE THE SERVICE OUR SELVES WE HAVE GREAT CONTRACTORS WHO CAN!"</t>
  </si>
  <si>
    <t>mailto:LAVERNA4229@SBCGLOBAL.NET</t>
  </si>
  <si>
    <t>Taber Crane Construction Services Corp.</t>
  </si>
  <si>
    <t>http://www.tabercrane.com</t>
  </si>
  <si>
    <t>Take Back Control LLC</t>
  </si>
  <si>
    <t>="Take Back Control is a substance abuse agency that serve the client. Each individual is provided with an treatment plan addressing their specific needs. We aim to provide intense services at a reasonable cost while supporting the family dynamic. We understand that no one is the same."</t>
  </si>
  <si>
    <t>mailto:takebackcontrolLLC@yahoo.com</t>
  </si>
  <si>
    <t>Talk to Me Firewood</t>
  </si>
  <si>
    <t>Talor Concrete &amp; Block</t>
  </si>
  <si>
    <t>Tamla Tatum</t>
  </si>
  <si>
    <t>="Professional Skills Development Training basically trains individuals with the 7 Habits of Highly Effective People by Frankline Covey coupled with other job related skills. T-n-T Professional Services provides consulting in the areas of marketing, public relations, management, and human resources."</t>
  </si>
  <si>
    <t>mailto:TTatumhbtg@aol.com</t>
  </si>
  <si>
    <t>Tandem/Neal Associates</t>
  </si>
  <si>
    <t>="Your team at Tandem/Neal has years of experience serving, and recruiting, in a variety of industries, including Healthcare, Banking, Finance/Accounting, Information Technology, Manufacturing and Engineering, among others. We are your resource for local and nationwide searches, and in many cases can provide interim resources on a contractual basis."</t>
  </si>
  <si>
    <t>http://www.tandemneal.com</t>
  </si>
  <si>
    <t>mailto:info@tandemneal.com</t>
  </si>
  <si>
    <t>Tandy's Trucking &amp; Excavating, Inc.</t>
  </si>
  <si>
    <t>mailto:tandystrucking@msn.com</t>
  </si>
  <si>
    <t>Tanglevine Crossing</t>
  </si>
  <si>
    <t>Tangram, Inc.</t>
  </si>
  <si>
    <t>="Tangram is a non-profit, 501(c)(3) community benefit, United Way organization based in Indianapolis, Indiana. Tangram supports individuals with disabilities and their families to plan and sustain ways to live actively and independently within their communities. The quality of services provided by Tangram are developed and driven by the mission of the organization. Tangram provides direct service to more than 200 individuals with developmental disabilities in Boone, Hancock, Johnson, Hamilton and Marion counties. Our services include Behavioral Consulting Services, Community Living Services, Employment Services, Supervised Group Living, and Business Resource Services. Through these services, we help close the gap between people with and without disabilities."</t>
  </si>
  <si>
    <t>http://www.thetangramway.org</t>
  </si>
  <si>
    <t>mailto:statefunding@thetangramway.org</t>
  </si>
  <si>
    <t>Tank Cleaning Consultants, Inc.</t>
  </si>
  <si>
    <t>http://www.tankcleaningconsultants.com</t>
  </si>
  <si>
    <t>mailto:bill@tankcleaningconsultants.com</t>
  </si>
  <si>
    <t>Tank Industry Consul</t>
  </si>
  <si>
    <t>="Tank Industry Consultants is a consulting engineering firm specializing in tank evaluation, project representation, and specification and design of storage tanks. In fact, TIC has been involved in the maintenance of over 6,000 tanks! TIC has assembled a staff that brings engineering, management, and administrative experience from the contractor’s, engineer’s, and owner’s points of view. Our management and support staffs include individuals who have had many years of experience with large tank fabricators. Many of our field technicians were paint and erection crew foremen, and many are NACE Certified Coatings Inspectors. In all, the staff of TIC has over 600 years experience in the storage tank industry. This expertise is available to give independent opinion concerning the condition of tanks, prepare detailed technical specifications, and assess the quality of the recom-mended work. TIC is a QP 5 Certified Inspection Company."</t>
  </si>
  <si>
    <t>http://www.tankindustry.com</t>
  </si>
  <si>
    <t>mailto:info@tankindustry.com</t>
  </si>
  <si>
    <t>Tanksley &amp; Associates</t>
  </si>
  <si>
    <t>mailto:dtanksley@sbcglobal.net</t>
  </si>
  <si>
    <t>Taped Editions, Inc.</t>
  </si>
  <si>
    <t>="We lease and sell audiobook collections (CD, Playaway, MP3, Playview, Book Paks) to public, school, military, hospital and corporate libraries. In addition, we provide audiobook supplies and used audios at a deep discount. Aludios are shelf-ready packaged in library containers."</t>
  </si>
  <si>
    <t>http://www.teilandmarkaudio.com</t>
  </si>
  <si>
    <t>mailto:sales@tapededitions.com</t>
  </si>
  <si>
    <t>Targeted Case Mgmnt</t>
  </si>
  <si>
    <t>mailto:tcmcmr@aol.com</t>
  </si>
  <si>
    <t>Targeted Services,PC</t>
  </si>
  <si>
    <t>="I specialized in providing accounting, payroll, tax and consulting services to not-for-profit agencies. Consulting services include QuickBooks setup and training; fiscal and human resource policy and procedures manuals; and Board of Director and staff development and training. I pride myself on helping my clients make more efficient and effective use of their resources."</t>
  </si>
  <si>
    <t>mailto:targetedservcies@myvine.com</t>
  </si>
  <si>
    <t>Tatman, Inc</t>
  </si>
  <si>
    <t>="Commercial printing services providing all types of printed product including but not limited to, manuals, newsletters, forms, price sheets, instructions, NCR, tags, labels, marketing materials, envelopes, business cards, design services and fulfillment services for small businesses/companies and major corporations nationally and internationally"</t>
  </si>
  <si>
    <t>http://cpsprints.com</t>
  </si>
  <si>
    <t>mailto:cps@cpsprints.com</t>
  </si>
  <si>
    <t>Tatman, Inc.,</t>
  </si>
  <si>
    <t>="General sheetfed commercial printer utilizing offset and digital presses to produce, forms, envelopes, labels, marketing materials, manufacturing materials, etc. Services include, mailing, fulfillment and inventory management of printed materials. We are Hub Zone business and UL Certified for med-tech and similar industries."</t>
  </si>
  <si>
    <t>Taylor Bros. Construction Co., Inc.</t>
  </si>
  <si>
    <t>http://www.tbcci.com</t>
  </si>
  <si>
    <t>mailto:main@tbcci.com</t>
  </si>
  <si>
    <t>Taylor Concrete &amp; Block LLC, Inc</t>
  </si>
  <si>
    <t>="Taylor Concrete &amp; Block, Inc. operates in the commercial and residential sector of cement block and concrete masonry services, targeting residential builders, general contractors, and independent homeowners to include: cement block foundations and walls; decorative concrete slabs, sidewalks, porches, patios, driveways, garage floors, and pools."</t>
  </si>
  <si>
    <t>mailto:gaddiekj@email.uc.edu</t>
  </si>
  <si>
    <t>Taylor Development Corp</t>
  </si>
  <si>
    <t>http://www.ttaylorcorp.com</t>
  </si>
  <si>
    <t>mailto:ttaylor@ttaylorcorp.com</t>
  </si>
  <si>
    <t>Taylor Distributors of IN, Inc.</t>
  </si>
  <si>
    <t>http://www.taylorindiana.com</t>
  </si>
  <si>
    <t>mailto:info@taylorindiana.com</t>
  </si>
  <si>
    <t>Taylor Home Center</t>
  </si>
  <si>
    <t>="We have been in business for 30 years in the same location.We serve the tri-state area and also do Government jobs for Star Devolepment called IHCDA Housing Rehabilitation Program. George Taylor started the business 30 years ago in a small barn in his back yard and what started out as a small investment has turned into a large investment for Connersville and the State of Indiana. George is an honest caring person who only thinks about his fellow man and wants to do as much as he can for his City and State. We will continuously strive to make Taylor Home Center what is is today and to help out wherever we are needed!"</t>
  </si>
  <si>
    <t>http://taylorbarns.com</t>
  </si>
  <si>
    <t>mailto:taylorhomecenter@verizon.net</t>
  </si>
  <si>
    <t>Taylor Made Exteriors</t>
  </si>
  <si>
    <t>="Taylor Made Exteriors is an experienced, long standing construction company. TME has experience with roofing, additions, new home construction, agriculture barns, offices, and general contracting. TME ensures professionalism, quality and craftsmanship on each job."</t>
  </si>
  <si>
    <t>mailto:taylormadeexteriors@yahoo.com</t>
  </si>
  <si>
    <t>Taylor Siefker Williams Design Group</t>
  </si>
  <si>
    <t>="Our services include landscape architecture, community planning, urban design, visioning and strategic planning. Our principals bring 40 years of collective experience in crafting long-term planning solutions and meaningful public realm design. The Taylor Siefker Williams Design Group is a collaboration of creative and innovative landscape architects and planners who believe that quality design, strategic planning and bold vision are among the most long-lasting and powerful instruments of healthy, thriving communities. Whether it is a comprehensive or downtown plan, a streetscape or trail design, infrastructure enhancements or bicycle facilities, open space planning or placemaking, we believe that the best decisions begin with bold ideas and a comprehensive understanding of the community as a whole."</t>
  </si>
  <si>
    <t>http://www.TSWDesignGroup.com</t>
  </si>
  <si>
    <t>mailto:awilliams@TSWDesignGroup.com</t>
  </si>
  <si>
    <t>Taylormade Publishinging Foundation</t>
  </si>
  <si>
    <t>="We are one stop publication firm for media, web base applications, printing, and other marjeting services. We provide corporate awards, graphics, printing, eletronic media broadcasting and printed services. We have a services that a specialized for the people with disibilities. We are able to convert information and adpated for most appications. We are private Indiana based company."</t>
  </si>
  <si>
    <t>http://www.cism.biz</t>
  </si>
  <si>
    <t>mailto:sales@cism.biz</t>
  </si>
  <si>
    <t>Printing and Writing Paper Wholesalers</t>
  </si>
  <si>
    <t>Taylorsville Tire Company Inc.</t>
  </si>
  <si>
    <t>Tazco Readymix Concrete</t>
  </si>
  <si>
    <t>mailto:tazco1@frontier.com</t>
  </si>
  <si>
    <t>Tea Rose Event Management</t>
  </si>
  <si>
    <t>Teach Sharp LLC</t>
  </si>
  <si>
    <t>="Teach Sharp LLC is an online professional development delivery system for educational institutions and companies to building the capacity of teachers and other professionals to benefit the people they serve. Teach Sharp LLC also provides assessment consultation and an assessment delivery system (pre and post) for high school courses."</t>
  </si>
  <si>
    <t>http://www.teachsharp.com</t>
  </si>
  <si>
    <t>mailto:support@teachsharp.com</t>
  </si>
  <si>
    <t>Teagarden Construction LLC</t>
  </si>
  <si>
    <t>http://www.teagardenconstruction.com</t>
  </si>
  <si>
    <t>mailto:lance@teagardenconstruciton.com</t>
  </si>
  <si>
    <t>Team Clean</t>
  </si>
  <si>
    <t>="Team Clean provides professional cleaning services in four main areas. The first is Commercial Janitorial Services to businesses. This service is performed on an as-needed basis, determined by the company. The second is Residential or Move-In/Move-Out Cleaning Services, in which we come to the home and perform a complete cleaning. The third is Post-Construction Cleaning, in which we clean up after the trades (plumber, electrician) have come through. The fourth is that of Job Site Clean-Up. In this, we clear out debris, remove and haul trash, and clear out the lot."</t>
  </si>
  <si>
    <t>mailto:teamclean@earthlink.net</t>
  </si>
  <si>
    <t>Team Cruiser Conversion Company</t>
  </si>
  <si>
    <t>="Team Cruiser Conversion Co., Inc. has manufactured and processed trucks and recreational vehicles by customizing, fitting and finishing them to meet various customer and municipality specifications. We provide industrial electrical and safety devices as needed. In addition, we carry a full line of repair, service and maintenance heavy truck parts."</t>
  </si>
  <si>
    <t>http://www.teamcruiser.com</t>
  </si>
  <si>
    <t>mailto:cbarney@teamcruiser.com</t>
  </si>
  <si>
    <t>Team Energy, Inc.</t>
  </si>
  <si>
    <t>="Team Energy is an independent energy broker for commercial and industrial customers. Team Energy matches energy suppliers best suited to our customers. Our independence allows us to put your interest first rather than that of the energy company or the utility. Our focus in on Indiana and Natural Gas however we have experience in many other states."</t>
  </si>
  <si>
    <t>http://www.team-energy.com</t>
  </si>
  <si>
    <t>mailto:tbrown@team-energy.com</t>
  </si>
  <si>
    <t>Team Image, llc</t>
  </si>
  <si>
    <t>="•Screen Printing Production Services •Embroidery &amp; Digitizing Production Services •Graphic Design Services •Cad Cut &amp; Heat Seal Name &amp; Number Services •Contract Screen Printing &amp; Embroidery Services •Dealers of several name brand apparel lines •Over 25 years of experience"</t>
  </si>
  <si>
    <t>http://www.teamimage.org</t>
  </si>
  <si>
    <t>mailto:customerservice@teamimage.org</t>
  </si>
  <si>
    <t>Team Quality Construction</t>
  </si>
  <si>
    <t>Team Quality Services, Inc.</t>
  </si>
  <si>
    <t>="Team Quality Services provides quality support to our customers to help them improve quality both outgoing to their customers and incoming from their suppliers. These services include: Six Sigma training and Certification, Technical Representation, Quality Engineering Support, Supplier Quality Engineers, Third Party Inspection, Certification, Containment and Rework. We work hard to improve your quality."</t>
  </si>
  <si>
    <t>http://www.teamqualityservices.com</t>
  </si>
  <si>
    <t>mailto:info@teamqualityservices.com</t>
  </si>
  <si>
    <t>Team Triax By D'Marco Marcs Inc</t>
  </si>
  <si>
    <t>mailto:TeamTriaxInc@gmail.com</t>
  </si>
  <si>
    <t>Tecana LLC</t>
  </si>
  <si>
    <t>mailto:czavaleta@tecanallc.com; rzavaleta@tecanallc.com</t>
  </si>
  <si>
    <t>Tech Defenders, Inc.</t>
  </si>
  <si>
    <t>http://www.techdefenders.com</t>
  </si>
  <si>
    <t>mailto:brian.ohara@techdefenders.com</t>
  </si>
  <si>
    <t>Tech Experts</t>
  </si>
  <si>
    <t>="Tech Experts is a service-based technology company which specializes in affordable and high quality commercial consulting. We are a locally-owned Hoosier company who makes it priority number one to keep our customers informed about trending technology and their associated impact cost. We offer customized computer solutions to every client. Our very specific set of suppliers/distributors across the world allows us to offer our clients, in addition to our service, a wide-variety of products NOT commonly found in our competitors' stores. Tech experts offers technology-based educational sessions to better inform our clients and community of upcoming Internet-based threats, instruct on open source software usage and also work with our local school corporations to help students and faculty improve their proficiency with technology."</t>
  </si>
  <si>
    <t>http://www.mytechexpert.co</t>
  </si>
  <si>
    <t>mailto:techexpertfrank@gmail.com</t>
  </si>
  <si>
    <t>TechForce Technology, Inc.</t>
  </si>
  <si>
    <t>http://www.tf-technology.com</t>
  </si>
  <si>
    <t>mailto:kim.hoang@tf-technology.com</t>
  </si>
  <si>
    <t>TechManet</t>
  </si>
  <si>
    <t>="Professional IT Consulting Services, Curam Application &amp; Development Support, Project &amp; Implementation Management. Enterprise Application, Development and Infrastructure Support, Services Delivery, VoIP Telephony Support &amp; Engineering. Training Development &amp; Delivery."</t>
  </si>
  <si>
    <t>http://techmanet.com</t>
  </si>
  <si>
    <t>mailto:info@tmfive.com</t>
  </si>
  <si>
    <t>Techbrokers</t>
  </si>
  <si>
    <t>http://Techbrokers.us</t>
  </si>
  <si>
    <t>mailto:donnadalton@c3bb.com</t>
  </si>
  <si>
    <t>Technasoft, LLC</t>
  </si>
  <si>
    <t>="Technasoft provides the following software development services: Creation and modification of software applications using Visual Basic 4 to .NET. Database development using SQL Server technologies, MS Access, MySQL. WebSite Development Using ASP.NET and HTML. We provide complete software solution from Concept to implementation."</t>
  </si>
  <si>
    <t>http://www.technasoft.com</t>
  </si>
  <si>
    <t>mailto:sales@technasoft.com</t>
  </si>
  <si>
    <t>Technical Controls / Solutions INc.</t>
  </si>
  <si>
    <t>http://TCSforcomfort.com</t>
  </si>
  <si>
    <t>mailto:Nancy@tscforcomfort.com</t>
  </si>
  <si>
    <t>Technical Laboratory Associates, Inc.</t>
  </si>
  <si>
    <t>http://www.TLAWEB.com</t>
  </si>
  <si>
    <t>mailto:Ron@TLAWEB.com</t>
  </si>
  <si>
    <t>Technical Solutions LLC</t>
  </si>
  <si>
    <t>="Technical Solutions LLC Installing and servicing tomorrows technology...... today! Providing One-Solution to our customersI Servicing business communities in the midwest. Specializing in Communications, Computer, Phone Solutions &amp; A/V, and Electrical. Your opportunity to discover the total solution for your business environment awaits you. Servicing.... Microsoft, IBM, Dell, Compaq, HP, Sony, Cisco, Intel, Avaya, and Nortell, Bogen, Valcom, Crestron, and all other manufactures"</t>
  </si>
  <si>
    <t>http://www.1tss.com</t>
  </si>
  <si>
    <t>mailto:admin@1tss.com</t>
  </si>
  <si>
    <t>Technical Solutions lLC</t>
  </si>
  <si>
    <t>http://WWW.1TSS.COM</t>
  </si>
  <si>
    <t>Technical Youth</t>
  </si>
  <si>
    <t>="Technical Youth, dba Brooksource combines a solid staffing foundation with the information technology expertise of college undergraduates and graduates as well as those the have experience and been in the field for several years. On the IT side, Technical Youth addresses the full range of desktop/LAN and application development-related services that scale to our customers’ most urgent needs. Brooksource handles all levels of infrastructure management, back-end e-commerce and web design, and full life cycle support in database and application development."</t>
  </si>
  <si>
    <t>http://www.technicalyouth.com / www.br</t>
  </si>
  <si>
    <t>mailto:coakley@brooksource.com</t>
  </si>
  <si>
    <t>Technology &amp; Network Services, Inc.</t>
  </si>
  <si>
    <t>="TNS is a full service technology and network management services company offering IP connectivity solutions through wired, land line, wireless and satellite access points. TNS is BOTH vendor and platform neutral allowing us to find the BESTsolution(s) for our clients."</t>
  </si>
  <si>
    <t>mailto:tns1@indy.rr.com</t>
  </si>
  <si>
    <t>Technology Consultants, LLC</t>
  </si>
  <si>
    <t>="Independent technology consulting for telecommunications infrastructure; Fiber Optics design and testing; design of High Speed Ethernet Networking systems, Computer Centers and Wireless Networks; Voice and Data systems evaluations; Project management; OTDR and final compliance testing; Detailed telecommunications specifications provided as required. Staff includes BICSI certified RCDD &amp; OSP Designer and commercially licensed FCC Engineer"</t>
  </si>
  <si>
    <t>mailto:Temenoff@verizon.net</t>
  </si>
  <si>
    <t>Technology Dynamics</t>
  </si>
  <si>
    <t>="Technology Dynamics connects people and resources within buildings and throughout the world. Since 1996, our expertise assures that clients receive the full benefit of technology. We are a professional services consulting firm. Information technology is the circulation system for an organization and we diagnose, prescribe, and manage technology to keep information flowing."</t>
  </si>
  <si>
    <t>http://www.techdyn.net</t>
  </si>
  <si>
    <t>Technology Electric</t>
  </si>
  <si>
    <t>="We are a Union electrical contractor (IBEW) that performs electrical work of all natures. We do service calls, electrical demolition, electrical design/build projects, and light commercial electrical work. We also do some heavy commercial work and residential work."</t>
  </si>
  <si>
    <t>mailto:stucki14@sbcglobal.net</t>
  </si>
  <si>
    <t>Technology Experts, Inc.</t>
  </si>
  <si>
    <t>="Technology Experts, Inc. is a full service, full life-cycle management and information technology engineering consulting firm that is built on close of quarter of century of information technology experience, at U.S. corporate, higher education, K-12 Education, government and private educational institutions. We offer a wide variety of services to meet every need and requirement. We have talented electrical engineers, designers, skillful programmers and effective management to provide cost effective and timely solution to meet all customer requirements. The Firm's expertise extends beyond traditional information technology, into risk management staffing, and business management. Technology Experts, Inc. also delivers comprehensive web services ranging from custom web site design to development of complex internet systems. We base our offerings on understanding of our clients’ business requirements. We combine best business benchmarks, technology knowledge, competence, and pr"</t>
  </si>
  <si>
    <t>Technology Partnership Group</t>
  </si>
  <si>
    <t>="Technology Partnership Group, Inc. is an information technology consulting company that specializes in developing and implementing information management systems and applications for state and local government programs. Headquartered in Indianapolis, Indiana and certified as a Women’s Business Enterprise (WBE), the company has extensive knowledge of the policies and operations of a variety of highly-regulated public sector programs; comprehensive experience in the transfer, design, development, testing, training and implementation of large mission-critical automated systems; and a thorough understanding of a variety of federal and state system requirements. Since our founding in 1992, the company has worked with the states of California, Illinois, Indiana, Kentucky, Michigan, Minnesota, Nebraska, North Carolina, Ohio, Oklahoma, South Carolina, Virginia and Wisconsin as a prime contractor or subcontractor."</t>
  </si>
  <si>
    <t>http://www.techpg.com</t>
  </si>
  <si>
    <t>mailto:info@techpg.com</t>
  </si>
  <si>
    <t>Technology Resource Services</t>
  </si>
  <si>
    <t>http://www.trsinet.com</t>
  </si>
  <si>
    <t>mailto:gsingh@trsinet.com</t>
  </si>
  <si>
    <t>Technology Sales</t>
  </si>
  <si>
    <t>http://www.technologysales.us</t>
  </si>
  <si>
    <t>mailto:info@technologysales.us</t>
  </si>
  <si>
    <t>Tecton Corporation</t>
  </si>
  <si>
    <t>Tecumseh Corrugated</t>
  </si>
  <si>
    <t>http://www.tcbox.com</t>
  </si>
  <si>
    <t>Teens In Action</t>
  </si>
  <si>
    <t>mailto:teens-in-action@hotmail.com</t>
  </si>
  <si>
    <t>Tek Gurus Inc</t>
  </si>
  <si>
    <t>="Tek Gurus, Inc. specializes in the area of business intelligence solutions delivery and provides information technology consulting services to companies throughout Indiana. By employing only the most skilled and experienced consultants using the latest technology, Tek Gurus, Inc. is able to provide expert solutions for companies in a wide variety of industry verticals including Application Development, Data Warehousing (DW), Business Intelligence, and Project management within the health and life sciences industries."</t>
  </si>
  <si>
    <t>http://www.tekgurus.com</t>
  </si>
  <si>
    <t>mailto:bradbruno@tekgurus.com</t>
  </si>
  <si>
    <t>Tekhni Inc.</t>
  </si>
  <si>
    <t>="Patrick D. Meharry creates professionally etched glass pieces for both private and business sectors. Pieces are created using sandblasting techniques and several different resist materials including vinyl and photo sensitive films as well as other proprietary materials and techniques. Patrick works with clients to select just the right artwork for their project - choosing artwork from existing collections or completely customizing it for a specific project."</t>
  </si>
  <si>
    <t>http://www.tekhni.com</t>
  </si>
  <si>
    <t>mailto:pdm@iquest.net</t>
  </si>
  <si>
    <t>Tel Tec Inc.</t>
  </si>
  <si>
    <t>http://www.teltecinc.com</t>
  </si>
  <si>
    <t>TelSpan, Inc.</t>
  </si>
  <si>
    <t>="Since 1995, Indianapolis-based TelSpan has been a worldwide, primary provider of audio (telephone-based) TeleConferencing services and internet-based WebConferencing and WebCollaboration services, with association and corporate clients located throughout the US and the world. TelSpan's services are designed for ease-of-use and ease-of-access, with particular emphasis upon Conference participant connectivity technologies used by the general public. Audio TeleConferencing services include reservationless and scheduled audio TeleConferences as well as full-service Operator assistance for organizations who prefer Operators to hold seminars, to conduct Question-and-Answer (Q&amp;A) sessions, to collect attendee names, and/or to dial national and international participants, among other duties. WebConferencing/WebCollaboration is supported by TelSpan's own internal WebSupport staff who provide demonstrations, training and live support."</t>
  </si>
  <si>
    <t>http://www.telspan.com</t>
  </si>
  <si>
    <t>mailto:Sales@TelSpan.com</t>
  </si>
  <si>
    <t>Telamon Corporation</t>
  </si>
  <si>
    <t>="Transition Resources Corporation has been the provider of employment and training services to migrant and seasonal farm workers in Indiana since 1987, and expanded employment and training services to the general population in Region 10 (Clark, Crawford, Floyd, Harrison, Scott and Washington counties)."</t>
  </si>
  <si>
    <t>http://www.telamon.org</t>
  </si>
  <si>
    <t>mailto:kgordon@transitionresources.org</t>
  </si>
  <si>
    <t>="Telamon Corporation is a value-added reseller of telecommunications goods and services. Telamon provides communications equipment integration and installation, Material Management, Engineering, Warehousing, Product fulfillment, Kitting, Broadband Management Services, Business Process and IT Outsourcing Services."</t>
  </si>
  <si>
    <t>http://www.telamon.com</t>
  </si>
  <si>
    <t>mailto:info@telamon.com</t>
  </si>
  <si>
    <t>TeleManage Training</t>
  </si>
  <si>
    <t>="TeleManage Training provides training workshops and eLearning courses designed to give telecom managers, directors, analysts and specialists the information, education, knowledge and tools they need to make an impact in their telecom environment. Courses include topics on service inventory management, cost control, contract negotiations, budget management, bill audits, MAC's and much, much more. Attendees will leave with proven processes and methodologies as well as best practices learned over the last 15 years in more than 5,000 telecom environments."</t>
  </si>
  <si>
    <t>http://www.telemanagetraining.com</t>
  </si>
  <si>
    <t>mailto:tlybrook@telemanagetraining.com</t>
  </si>
  <si>
    <t>Telecom Resources</t>
  </si>
  <si>
    <t>http://www.Tel-Res.com</t>
  </si>
  <si>
    <t>Telecom Solutions, Inc.</t>
  </si>
  <si>
    <t>="We are a family owned and operated telecommunications broker. We buy and sell unused and refurbished telecommunications equipment. The product lines that we offer are Siemens/Rolm, Avaya/Lucent, Northern Telecom/Nortel as well as many other peripherals. See our website for more product information: www.telecom-solution.com"</t>
  </si>
  <si>
    <t>http://www.telecom-solution.com</t>
  </si>
  <si>
    <t>mailto:brendas@telecom-solution.com</t>
  </si>
  <si>
    <t>Teleconnect, Inc.</t>
  </si>
  <si>
    <t>="We Provide Business Mailing lists, Consumer Mailing lists, and Internet Business databases for Direct Mailing, Telemarketing, and Database Marketing Operations worldwide. We have been in the Direct Marketing Database Business since 1991 and on the net since 1996. Your consumer mailing list or business mailing list can be provided in any format you desire: E-Attachment Files, Disks, CD-ROM, Peel &amp; Stick Mailing labels, Cheshire Mailing Labels, Paper Manuscripts, and in software formats of your choice."</t>
  </si>
  <si>
    <t>http://www.teleconect.com</t>
  </si>
  <si>
    <t>mailto:marty@teleconect.com</t>
  </si>
  <si>
    <t>Teledge Group, Inc.</t>
  </si>
  <si>
    <t>="Teledge Group specializes in telecom service inventories and identifying what services you have, exactly where those services are located and what those services cost. Teledge Group identifies all voice, data, wireless and internet services and delivers a comprehensive inventory that gives the recepient a new look at their services that can result in significant cost reductions and efficiencies."</t>
  </si>
  <si>
    <t>http://www.teledgegroup.com</t>
  </si>
  <si>
    <t>mailto:mail@teledgegroup.com</t>
  </si>
  <si>
    <t>Telematrix LLC</t>
  </si>
  <si>
    <t>="Telematrix Digital Media has been disigning innovative and engaging communication materials for our customers since 1979. Our experience in creating powerful training, marketing and corporate communications is put the test everyday by customers nationwide."</t>
  </si>
  <si>
    <t>http://www.telematrix.com</t>
  </si>
  <si>
    <t>mailto:hallman@telematrix.com</t>
  </si>
  <si>
    <t>Tell Me What To Say, LLC</t>
  </si>
  <si>
    <t>="Letter writing &amp; personal consulting for ministry organizations or individuals. Mediation services for domestic relations mediation. Individual Counseling services. All services provided by Kathy Guy, Licensed Mental Health Counselor, Licensed Addictions Counselor."</t>
  </si>
  <si>
    <t>http://www.TellMeWhat2Say.com</t>
  </si>
  <si>
    <t>mailto:TellMeWhat2Say@gmail.com</t>
  </si>
  <si>
    <t>Telligen Indiana, LLC</t>
  </si>
  <si>
    <t>Telliss, LLC</t>
  </si>
  <si>
    <t>http://www.telliss.com</t>
  </si>
  <si>
    <t>mailto:info@telliss.com</t>
  </si>
  <si>
    <t>Temco Enterprises, LLC</t>
  </si>
  <si>
    <t>http://temcoroofing.com</t>
  </si>
  <si>
    <t>mailto:temcoroofing5709@gmail.com</t>
  </si>
  <si>
    <t>Templeton Myers Inc</t>
  </si>
  <si>
    <t>http://www.bctindy.com</t>
  </si>
  <si>
    <t>Temporary Repair LLC</t>
  </si>
  <si>
    <t>="Nationwide emergency TARP team. Woman owned business that deploys team of military veterans nationwide to catastrophic weather events to provide roof and exterior wall tarping. Streamlined online scheduling, dispatch and payment processes. Customer receives electronic images of the damage prior to the tarp install."</t>
  </si>
  <si>
    <t>http://www.temporaryrepair.com</t>
  </si>
  <si>
    <t>mailto:info@temporaryrepair.com</t>
  </si>
  <si>
    <t>Temporary Staffing</t>
  </si>
  <si>
    <t>="Our company is a privately owned and female owned business based out of Fort Wayne, Indiana. We have 11 offices throughout the state of Indiana. Our primary focus is to assist in the staffing of positions of all varieties. From clerical to industrial to technical, we pride ourselves in our customer-service driven business practices. We strive to continuously improve in all areas and to provide safe and healthy career opportunities to residence of the state of Indiana."</t>
  </si>
  <si>
    <t>mailto:aclimie@proresources.net</t>
  </si>
  <si>
    <t>TenBarge Seed &amp; Turfgrass Supplies</t>
  </si>
  <si>
    <t>http://www.tenbargeseeds.com</t>
  </si>
  <si>
    <t>mailto:jenny@tenbargeseeds.com</t>
  </si>
  <si>
    <t>Tennant's Industrial</t>
  </si>
  <si>
    <t>http://tennantsdredging.weebly.com</t>
  </si>
  <si>
    <t>mailto:kathie_tennant@msn.com</t>
  </si>
  <si>
    <t>Teresa Quant-Callender</t>
  </si>
  <si>
    <t>Teria bradshaw</t>
  </si>
  <si>
    <t>mailto:Prestige.Image@yahoo.com</t>
  </si>
  <si>
    <t>Terpstras Sales and Service</t>
  </si>
  <si>
    <t>http://www.Terpstrasales.com</t>
  </si>
  <si>
    <t>mailto:Terpstrasales@juno.com</t>
  </si>
  <si>
    <t>TerraPro, LLC</t>
  </si>
  <si>
    <t>="TerraPro is a full service maintenance company based in Indianapolis, Indiana, specializing in street, parking lot, and construction power sweeping, as well as pressure washing and snow removal. We have served property managers and construction companies, as well as municipalities and retailers in the central Indiana."</t>
  </si>
  <si>
    <t>http://www.terraproservice.com</t>
  </si>
  <si>
    <t>mailto:info@terraproservice.com</t>
  </si>
  <si>
    <t>Terraco, Inc.</t>
  </si>
  <si>
    <t>mailto:terraco@rocketmail.com</t>
  </si>
  <si>
    <t>Terrance Hooks</t>
  </si>
  <si>
    <t>="Trans 1 Graphix Corp. specializes in vinyl graphic installation for vehicles (buses, trucks, cars), retail graphics (window graphics, backlit signage, wall murals) and store fixture installation (floor fixtures to wall mounts), as well as out-of-home advertising sales. We are 3M trained and Oracal certified to apply vinyl graphic material on all substrates. We are a member of the USSC (United States Sign Council)."</t>
  </si>
  <si>
    <t>http://trans1graphix.com</t>
  </si>
  <si>
    <t>mailto:t1graphix@hrtc.net</t>
  </si>
  <si>
    <t>Terre Haute Catholic Charities Food Bank</t>
  </si>
  <si>
    <t>http://www.catholiccharitiesterrehaute.o</t>
  </si>
  <si>
    <t>Terre Haute Ford Inc</t>
  </si>
  <si>
    <t>="Terre Haute Ford is the Wabash Valley's leading Ford and Kia dealer. We have a highly trained staff to serve all of your transportations needs. Our Service Technicians have over 1200 hours in training in just the past year and a half. We have invested in the latest in diagnostic equipment for both Ford and Kia. Our Sales staff in highly trained in all the latest product knowledge. We are open M-F 8 to 8 in Sales and M-F 8-5 in Parts and Service and Saturdays 8 to 5PM in both sales,parts and service."</t>
  </si>
  <si>
    <t>http://www.terrehautefordonline.com</t>
  </si>
  <si>
    <t>mailto:www.terrehautefordonline.com</t>
  </si>
  <si>
    <t>Terre Haute Home Health Care Products</t>
  </si>
  <si>
    <t>Terre Haute Regional Hospital</t>
  </si>
  <si>
    <t>Terre Haute Rural King Supply, Inc.</t>
  </si>
  <si>
    <t>http://www.ruralking.com</t>
  </si>
  <si>
    <t>mailto:customer_service@ruralking.com</t>
  </si>
  <si>
    <t>Terri D. Communications, Inc.</t>
  </si>
  <si>
    <t>http://www.terridcommunications.com</t>
  </si>
  <si>
    <t>mailto:terri@terridcommunications.com</t>
  </si>
  <si>
    <t>Terrie M. Buxton</t>
  </si>
  <si>
    <t>mailto:aussiegeoffb@att.net</t>
  </si>
  <si>
    <t>Territorial Engineering, LLC</t>
  </si>
  <si>
    <t>Terry Moore</t>
  </si>
  <si>
    <t>http://www.nonviolentalternatives.com</t>
  </si>
  <si>
    <t>mailto:info@nonviolentalternatives.com</t>
  </si>
  <si>
    <t>Terstep Company, Inc.</t>
  </si>
  <si>
    <t>mailto:bids@terstep.com</t>
  </si>
  <si>
    <t>Terzaghi Limited</t>
  </si>
  <si>
    <t>Terzo &amp; Bologna, Inc.</t>
  </si>
  <si>
    <t>http://WWW.TERZO.COM</t>
  </si>
  <si>
    <t>mailto:indyquotes@in.terzo.com</t>
  </si>
  <si>
    <t>Tess Green</t>
  </si>
  <si>
    <t>="St. James Public Relations exists to help clients achieve their communication goals with clear, concise and imaginative strategies using a variety of media. Services remain cost-effective to allow even small businesses or individuals to have access to results-driven public relations counsel. Depending on the needs of your program, we will put together a team of designers, photographers, web consultants and other experts to get the job done. Services cover a broad spectrum from brochures, news kits, community relations, to special events , video production coordination and web site content."</t>
  </si>
  <si>
    <t>mailto:tgreen@stjamespr.com</t>
  </si>
  <si>
    <t>Teton Corporation</t>
  </si>
  <si>
    <t>http://www.tetoncorporation.com</t>
  </si>
  <si>
    <t>mailto:www.tetoncorporation.com</t>
  </si>
  <si>
    <t>Tews Accounting LLC</t>
  </si>
  <si>
    <t>mailto:mtewsaccounting@sbcglobal.net</t>
  </si>
  <si>
    <t>Tex-Com Inc</t>
  </si>
  <si>
    <t>="We are a 24 hour live answering service providing a range of telecommunications services for all types of businesses. Founded in 1936 as the Doctor’s Exchange, American Inbound has been providing communication solutions for over 65 years. Our continuing effort to provide the highest level of service to our clients has allowed us to become one of the largest telephone answering services in the country. (We have a backup UPS power system with a 20KVA generator supporting that to provide 24 hour messaging with or without power.) We understand that every call is the most important call we can take for our customers. “We never take a day off so that you can” Try us for 30 days, if you are not completely satisfied we will refund your money!!!!! Standard Telephone Answering Service (Standard service includes taking a name, number, and brief message then dispatching the call by any one of the following methods: *Fax, *Email, *Digital page, *Alpha Page, *Cell phone, *Office, or *Home phone"</t>
  </si>
  <si>
    <t>http://www.americaninbound.com</t>
  </si>
  <si>
    <t>Texas Refinery Corp.</t>
  </si>
  <si>
    <t>="Since 1922, Texas Refinery has earned a respected reputation by continually providing the highest quality products and the best service to our customers. Eight decades of experience have produced these products formulated to protect roofs, metal surfaces, masonry, exterior and interior walls, asphalt surfaces, lumber dry kilns, and concrete surfaces from deterioration caused by the elements of time and nature. For more than 83 years, the TRC name has been synonymous with quality and value. We feel confident you will be pleased with Texas Refinery products."</t>
  </si>
  <si>
    <t>http://www.texasrefinery.com</t>
  </si>
  <si>
    <t>mailto:pcsales@texasrefinery.com</t>
  </si>
  <si>
    <t>Texon II, Inc</t>
  </si>
  <si>
    <t>http://www.texon2.com</t>
  </si>
  <si>
    <t>mailto:wayne_kotulic@yahoo.com</t>
  </si>
  <si>
    <t>Textrix Solutions Inc</t>
  </si>
  <si>
    <t>="Textrix is a 8(a), woman-owned, minority owned company (pending cert). Textrix Solutions is a leader in web and software development, design, migration and implementation of Information Technology business solutions. We have partnered with clients ranging from billion-dollar, global retailers to manufacturers and leaders in healthcare, providing cutting-edge technology solutions to realize their objectives. Our team of expert IT Consultants, SharePoint &amp; .NET software architects, business analysts, project managers, Interactive web designers and developers have a proven track record in creating solutions that are extensible, scalable and specialized for each client’s needs. Leading our team are two top-notch consultants. Ed Barta, Chief Government Officer, holds Top Secret Security clearance with over 9 years as a Comm Officer in the US Air Force. Before joining Textrix, he solved business problems for Fortune 500 companies as a BPM with IBM. He also served as lead consult"</t>
  </si>
  <si>
    <t>http://www.textrixsolutions.com</t>
  </si>
  <si>
    <t>mailto:info@textrixsolutions.com</t>
  </si>
  <si>
    <t>Thanhardt-Burger Cor</t>
  </si>
  <si>
    <t>http://thanhardtburger.com</t>
  </si>
  <si>
    <t>mailto:inquiry@thanhardtburger.com</t>
  </si>
  <si>
    <t>That Extra Line</t>
  </si>
  <si>
    <t>mailto:plreidenbach@juno.com</t>
  </si>
  <si>
    <t>Thatcher Foundations Inc.</t>
  </si>
  <si>
    <t>="We perform Earth Retention, Marine Construction &amp; Deep Foundations. Thatcher has been in the construction business for over 60 years. The backbone of Thatcher is our employees. We take great pride in our employees, and in turn some of our employees are 3rd generation. Our engineering background (including PE, SE, PhD) of the officers and key personnel has resulted in innovative solutions to job problems, as well as the development of specialized equipment. We have completed over 3000 successful jobs. We have worked with or for every major steel mill and refinery, and every large general contractor in the area. Our Jobs can range from $5,000 all the way to $10,000,000 in value. We will design-build directly with the owner, or function as a Sub Contractor."</t>
  </si>
  <si>
    <t>http://www.thatcherfoundations.com</t>
  </si>
  <si>
    <t>mailto:jwysockey@thatcherfoundations.com</t>
  </si>
  <si>
    <t>The 543 Group, Inc.</t>
  </si>
  <si>
    <t>="We are a FULL-SERVICE marketing consultancy and advertising agency, with resources in Strategy &amp; Planning, Creative Direction, Design, Development, Media Planning &amp; Placement, Interactive Solutions, and Project Management &amp; Coordination. There is no marketing or interactive assignment we cannot handle."</t>
  </si>
  <si>
    <t>http://www.543group.com</t>
  </si>
  <si>
    <t>mailto:chchristie@543group.com</t>
  </si>
  <si>
    <t>The Academic Edge, Inc.</t>
  </si>
  <si>
    <t>="Next-Generation Educational Media Development AEI produces award-winning, next generation learning and informational media for a wide array of clients including federal government divisions, major universities, and businesses. Rather than simply being a production house, AEI has the expertise and talent to take projects from initial conception to completion. No matter whether a project requires straight media development, extensive early design assistance, ongoing expert review, or focus group and field trial evaluation, AEI has the experience and nationally recognized expertise available to ensure success."</t>
  </si>
  <si>
    <t>http://www.academicedge.com</t>
  </si>
  <si>
    <t>mailto:info@academicedge.com</t>
  </si>
  <si>
    <t>The Adeo Group, LLC</t>
  </si>
  <si>
    <t>="The Adeo Group, LLC provides consulting and training services in the organizational development area, including: Customer Relationship Management (CRM) strategies, custom in-house training solutions, technology planning, organizational assessment and analysis, focus group facilitation, grant writing/fund development, information management, workforce development and more. Give us a call at 888-275-2336 or email us at information@theadeogroup.com. The Adeo Group, LLC - where people and organizations go to grow!"</t>
  </si>
  <si>
    <t>http://www.theadeogroup.com</t>
  </si>
  <si>
    <t>mailto:information@theadeogroup.com</t>
  </si>
  <si>
    <t>The American Group of constructors, Inc.</t>
  </si>
  <si>
    <t>http://www.tagconstructors.com</t>
  </si>
  <si>
    <t>mailto:rowen@tagconstructors.com</t>
  </si>
  <si>
    <t>The Anson Group, LLC</t>
  </si>
  <si>
    <t>="The Anson Group is an FDA (Food and Drug Administration) regulatory consulting firm that provides medical technology clients with expert opinions and strategies for navigating federal regulations and requirements. Our areas of expertise include Drugs &amp; Biologics, Medical Devices, Combination Products, Connected Health and Technology Commercialization. Anson's seasoned staff and extensive network of contractors provide world-class experience, knowledge and professionalism in all of these areas."</t>
  </si>
  <si>
    <t>http://www.ansongroup.com</t>
  </si>
  <si>
    <t>mailto:jcarufel@ansongroup.com</t>
  </si>
  <si>
    <t>The Arsh Group Inc.</t>
  </si>
  <si>
    <t>="Planning, landscape architecture and environmental services consulting firm. The firm has capacity to perform in the areas of master planning, community development, site selection studies, site planning, construction management, wetland mitigation, impact statements and regulatory permits."</t>
  </si>
  <si>
    <t>http://www.arshgroup.com</t>
  </si>
  <si>
    <t>mailto:tarshami@arshgroup.com</t>
  </si>
  <si>
    <t>The BBK Group, Inc.</t>
  </si>
  <si>
    <t>="Communications services are a mission-critical tool for your business. Every transaction begins and ends by touching some element in your communication system. Voice, data, cellular, and Internet services are vital. They're also unmanageably complex and increasingly expensive. The BBK Group offers a wide range of telecommunication management services. We help you bring order to your telecom bills, and become your ""single call resource"" for business telecommunications needs. Our relationships with leading service providers allow us to design a voice, data, or cellular solution that helps you save money and enhances your communications package. Explore our services and discover how we can help your business."</t>
  </si>
  <si>
    <t>http://www.bbkgroup.net</t>
  </si>
  <si>
    <t>mailto:info@bbkgroup.net</t>
  </si>
  <si>
    <t>The Bachman Partnership, P.C.</t>
  </si>
  <si>
    <t>mailto:tbpmail@thebachmanpartnership.com</t>
  </si>
  <si>
    <t>The Bageler &amp; His Wife, LLP</t>
  </si>
  <si>
    <t>mailto:chelseytorres@gmail.com</t>
  </si>
  <si>
    <t>The Baynes Group</t>
  </si>
  <si>
    <t>http://www.thebaynesgroup.com</t>
  </si>
  <si>
    <t>The Beat Goes On Inc</t>
  </si>
  <si>
    <t>mailto:robarb42@msn.com</t>
  </si>
  <si>
    <t>The Best Is Yet To Come Company</t>
  </si>
  <si>
    <t>="The Best Is Yet To Come Company, is a non-profit 501c3 organization primarily (a mentoring program providing services to young women and men) exists to provide charitable services worldwide to impoverished communities. Our focus is on those young single women and men who are dropped outs, abused, homeless, neglected that cannot afford the simple basic necessities. We take people off the streets and mentor, empower, teach, trained, and guide them back on the right track in finishing their education. We provide a mentoring services or program to help mentor to young women, men, and their families."</t>
  </si>
  <si>
    <t>http://www.biytc.jatinconline.com</t>
  </si>
  <si>
    <t>mailto:washingtontlw16@yahoo.com</t>
  </si>
  <si>
    <t>The Bid Connection</t>
  </si>
  <si>
    <t>Meat and Meat Product Merchant Wholesalers</t>
  </si>
  <si>
    <t>The Big Green Express, Inc</t>
  </si>
  <si>
    <t>http://thebiggreenexpress.com</t>
  </si>
  <si>
    <t>mailto:sally@thebiggreenexpress.com</t>
  </si>
  <si>
    <t>The Bostwick-Braun Co.</t>
  </si>
  <si>
    <t>http://bbindustrialsupply.com</t>
  </si>
  <si>
    <t>mailto:industrial@bostwick-braun.com</t>
  </si>
  <si>
    <t>The Box Shoppe, Inc.</t>
  </si>
  <si>
    <t>The Bradford Trade Company</t>
  </si>
  <si>
    <t>mailto:bradford_trade@yahoo.com</t>
  </si>
  <si>
    <t>The Buyers Agency, LLC</t>
  </si>
  <si>
    <t>="The Buyers Agency, LLC is an independent real estate brokerage, committed to providing outstanding services to buyers ONLY. Exclusive Buyer Agengy's (EBAs) work solely for buyers, avoiding the conflicts of interest inherent in the traditional seller-oriented purchase transactions. This unique relationship of committed trust and care assures buyers the best possible home buying experience. We are widely recognized as the preeminent real estate company in Indianapolis, Indiana. We are known for developing quality working relationships with our clientele; relationships based on respect, integrity, and trust."</t>
  </si>
  <si>
    <t>http://www.buyersagencyllc.com</t>
  </si>
  <si>
    <t>mailto:homeexpert@live.com</t>
  </si>
  <si>
    <t>The CASIE Center, Inc.</t>
  </si>
  <si>
    <t>http://www.casiecenter.org</t>
  </si>
  <si>
    <t>mailto:casie@michiana.org</t>
  </si>
  <si>
    <t>The CISCO Companies</t>
  </si>
  <si>
    <t>http://www.ciscoseeds.com</t>
  </si>
  <si>
    <t>Farm Product Raw Material Wholesalers</t>
  </si>
  <si>
    <t>The Cake Bake Shop, INC.</t>
  </si>
  <si>
    <t>http://www.thecakebakeshop.com</t>
  </si>
  <si>
    <t>mailto:gwendolyn@thecakebakeshop.com</t>
  </si>
  <si>
    <t>The Calvin Agency</t>
  </si>
  <si>
    <t>http://www.thecalvinagency.com</t>
  </si>
  <si>
    <t>mailto:KFalconer@thecalvinagency.com</t>
  </si>
  <si>
    <t>The Candy Emporium</t>
  </si>
  <si>
    <t>http://www.thecandyemporium.com</t>
  </si>
  <si>
    <t>mailto:info@thecandyemporium.com</t>
  </si>
  <si>
    <t>Confectionery and Nut Stores</t>
  </si>
  <si>
    <t>The Career Index, Inc</t>
  </si>
  <si>
    <t>http://www.thecareerindex.com</t>
  </si>
  <si>
    <t>mailto:nflam@thecareerindex.com</t>
  </si>
  <si>
    <t>The Caring Corner LLC</t>
  </si>
  <si>
    <t>http://www.thecarecorner.com</t>
  </si>
  <si>
    <t>mailto:contact@thecarecorner.com</t>
  </si>
  <si>
    <t>The Carson Brown Group, Inc</t>
  </si>
  <si>
    <t>http://www.carsonbrowngroup.com</t>
  </si>
  <si>
    <t>mailto:info@carsonbrowngroup.com</t>
  </si>
  <si>
    <t>The Caulk-it co. LLC</t>
  </si>
  <si>
    <t>http://www.thecaulkitco.com</t>
  </si>
  <si>
    <t>mailto:thecaulkitco@gmail.com</t>
  </si>
  <si>
    <t>The Center for Mental Health, Inc.</t>
  </si>
  <si>
    <t>http://www.cfmh.org</t>
  </si>
  <si>
    <t>mailto:landersj@cfmh.org</t>
  </si>
  <si>
    <t>The Chauffeur Indy</t>
  </si>
  <si>
    <t>="The Chauffeur Indy was founded in April 2010 in Indianapolis Indiana. It is our mission to provide the most pleasant and courteous experience for your transportation needs.Our experienced chauffeurs are here to serve you with punctual and courteous service. Our chauffeurs are committed to the safety and security of all clients and are familiar with routes and road conditions in Indianapolis and surrounding areas. The Chauffeur Indy is passionate about serving its clients with the most comfortable and stylish driving experience possible."</t>
  </si>
  <si>
    <t>http://www.thechauffeurindy.com</t>
  </si>
  <si>
    <t>mailto:thechauffeurindy@gmail.com</t>
  </si>
  <si>
    <t>The Cherry Shop</t>
  </si>
  <si>
    <t>mailto:thecherryshop@comcast.net</t>
  </si>
  <si>
    <t>The Children's Campus</t>
  </si>
  <si>
    <t>http://www.childrenscampus.org</t>
  </si>
  <si>
    <t>mailto:info@childrenscampus.org</t>
  </si>
  <si>
    <t>The Chimney Guys</t>
  </si>
  <si>
    <t>mailto:the-chimney-guys@hotmail.com</t>
  </si>
  <si>
    <t>The Clayton Group, LLC</t>
  </si>
  <si>
    <t>mailto:theclaytongroup@comcast.net</t>
  </si>
  <si>
    <t>The Cleaning People</t>
  </si>
  <si>
    <t>mailto:TheCleaningPeople2010@yahoo.com</t>
  </si>
  <si>
    <t>The Cleaning Team, Inc.</t>
  </si>
  <si>
    <t>The Closing Table Inc</t>
  </si>
  <si>
    <t>mailto:victoryindy.bellamy@gmail.com</t>
  </si>
  <si>
    <t>The Colville Agency</t>
  </si>
  <si>
    <t>http://www.agencymarketinggroup.com</t>
  </si>
  <si>
    <t>mailto:mary@agencymarketinggroup.com</t>
  </si>
  <si>
    <t>The Complete Listing LLC</t>
  </si>
  <si>
    <t>http://www.thecompletelisting.com</t>
  </si>
  <si>
    <t>mailto:bryce@thecompletelisting.com</t>
  </si>
  <si>
    <t>The Corps Enterprise</t>
  </si>
  <si>
    <t>="A Marine Corps veteran owned and managed company that provides premium grade cleaning services to commercial, residential, and construction markets at very, very ,very competitive prices. What makes us different is our attention to detail and our management involvement in inspection and customer satisfaction."</t>
  </si>
  <si>
    <t>mailto:powellrs@marinecorps.com</t>
  </si>
  <si>
    <t>The Corps-Veterans In Piping LLC.</t>
  </si>
  <si>
    <t>="(SDVOSB) Mechanical sub-contractor proficient in layout,fabricarion,and installation of verious piping systems. Proficient in commercial and heavy industry piping. Power &amp; process piping, heating &amp; cooling systems, hydrolic piping, utilities piping, numatic piping, heavy rigging, confined space, fresh air, new construction, maintiance, TAR support."</t>
  </si>
  <si>
    <t>mailto:tc.vip1371@gmail.com</t>
  </si>
  <si>
    <t>The Corsaro Group, Inc.</t>
  </si>
  <si>
    <t>http://www.corsarogroup.com</t>
  </si>
  <si>
    <t>mailto:karen@corsarogroup.com</t>
  </si>
  <si>
    <t>The Curare Group</t>
  </si>
  <si>
    <t>http://www.physicianrecruiting.com</t>
  </si>
  <si>
    <t>mailto:info@physicianrecruiting.com</t>
  </si>
  <si>
    <t>The Darby Group LLC</t>
  </si>
  <si>
    <t>="The Darby Group provides the services of commercial and residential construction. We are a woman/minority owned business who employs residents of Indiana. The Darby Group also provides the buying and selling of real estate towards the development of housing in rural and surrounding areas."</t>
  </si>
  <si>
    <t>mailto:tajdarby@gmail.com</t>
  </si>
  <si>
    <t>The Dash - L.L.C.</t>
  </si>
  <si>
    <t>="A full service marketing, public relations and advertising agency. Providing media planning and buying, strategic marketing plans and consultation, graphic and web design, research, printing, public relations/affairs, event planning and multi-cultural programs."</t>
  </si>
  <si>
    <t>mailto:amber@defineyourdash.com</t>
  </si>
  <si>
    <t>The Davey Tree Expert Company</t>
  </si>
  <si>
    <t>="Davey is the only national or regional firm that is truly full service. We provide the widest range of landscape and horticultural services nationwide of any landscape company. This is due to our very strong capabilities in the tree care segment industry. We can provide the following services: tree surgery, tree transplanting, tree removal, plant health care, pest management, grounds maintenance, landscape installation, irrigation, snow removal, tree preservation, tree inventories, ecological studies and surveys, studies/permits, ecological restoration, invasive species mapping, vegetation mapping, treatment, vegetation management/treatment, GIS service, asset management, stump grinding, fertilization, emergency disaster services and wild fire defensible space planning. Our corporate offices in Ohio also house the Davey Institute, a cutting-edge research and development facility."</t>
  </si>
  <si>
    <t>http://www.davey.com</t>
  </si>
  <si>
    <t>mailto:peter.sorensen@davey.com</t>
  </si>
  <si>
    <t>The Dean of Green LLC</t>
  </si>
  <si>
    <t>http://www.thedeanofgreen.com/</t>
  </si>
  <si>
    <t>mailto:philmim@sbcglobal.net</t>
  </si>
  <si>
    <t>The Dentist Choice</t>
  </si>
  <si>
    <t>The Design Crate LLC</t>
  </si>
  <si>
    <t>http://www.thedesigncrate.com</t>
  </si>
  <si>
    <t>mailto:thedesigncrate@gmail.com</t>
  </si>
  <si>
    <t>The Diamond-Treatment</t>
  </si>
  <si>
    <t>The Diving Den, LLC</t>
  </si>
  <si>
    <t>="The Diving Den, LLC is a retail scuba diving store located in Lafayette, Indiana. As an authorized dealer for scuba equipment maintenance, service, and repair of gear can be provided as well as tank inspections. PADI certified instruction is available for a wide range of scuba interests. The Diving Den holds the lease for all scuba activity at France Park, Logansport, Indiana."</t>
  </si>
  <si>
    <t>http://www.divingden.com</t>
  </si>
  <si>
    <t>mailto:Larry@divingden.com</t>
  </si>
  <si>
    <t>The Dodson Group, Inc</t>
  </si>
  <si>
    <t>="Business services in three major catagories: Supplies: office supplies, IT supplies, janitorial supplies, school supplies, toner supplies. Telecom: VOIP, T1's, data circuts, teleconferencing, web conferencing. Shipping: next day, second day, ground, international services."</t>
  </si>
  <si>
    <t>http://www.saveitnow.com</t>
  </si>
  <si>
    <t>mailto:david.cerny@saveitnow.com</t>
  </si>
  <si>
    <t>The Drywall Doctor Inc.</t>
  </si>
  <si>
    <t>="Our company provides serivce to residential customers from small drywall repairs at an affordable cost with efficency and quality. We provide the same service to Home construction contractors providing a complete drywall package of materials and labor on drywall and paint. We are capable of handling commercial construction on a large scale too. We truely are a company providing service for a wide variety of customers at affordable pricing and top quality work."</t>
  </si>
  <si>
    <t>mailto:thedrywalldoctor@att.net</t>
  </si>
  <si>
    <t>The EMF Group LLC</t>
  </si>
  <si>
    <t>http://www.emfgroup.co/</t>
  </si>
  <si>
    <t>mailto:info@emfgroup.co</t>
  </si>
  <si>
    <t>The Eastwood Company</t>
  </si>
  <si>
    <t>mailto:tammy@theEastwoodcompany.net</t>
  </si>
  <si>
    <t>The Entrepreneur's Aide, LLC</t>
  </si>
  <si>
    <t>mailto:apatel@theentrepreneursaide.com</t>
  </si>
  <si>
    <t>The Expert Tees</t>
  </si>
  <si>
    <t>="There are so many t-shirt companies on the internet these days. It is hard to know who will provide the best garment at the best value. We believe in customer service, not just the sale. We provide as much information as we can on our site but we always welcome the opportunity to talk to our customers. Even if you just want to chat!"</t>
  </si>
  <si>
    <t>http://www.theexperttees.com</t>
  </si>
  <si>
    <t>mailto:amanda@theexperttees.com</t>
  </si>
  <si>
    <t>Family Clothing Stores</t>
  </si>
  <si>
    <t>The Farnsworth Group</t>
  </si>
  <si>
    <t>="Full-service, custom research with actionable insights. Serving the construction, hardware, home improvement and lawn &amp; garden industries for 25 years. The Farnsworth Group also owns and operates Stone Research Services, which is a research call center that serves the home improvement, building materials, hardware, education, government, medical and restaurant industries."</t>
  </si>
  <si>
    <t>http://www.thefarnsworthgroup.com</t>
  </si>
  <si>
    <t>mailto:info@thefarnsworthgroup.com</t>
  </si>
  <si>
    <t>The Fix Repair Shop</t>
  </si>
  <si>
    <t>http://www.TheFixRepairShop.com</t>
  </si>
  <si>
    <t>mailto:mark@thefixrepairshop.com</t>
  </si>
  <si>
    <t>The Flower Cart of Pendleton, Inc.</t>
  </si>
  <si>
    <t>http://flowercartofpendleton.com</t>
  </si>
  <si>
    <t>mailto:flowercartlady@gmail.com</t>
  </si>
  <si>
    <t>The Flying Cupcake, LLC</t>
  </si>
  <si>
    <t>="We are Indiana's oldest and largest specialty cupcake bakery. We can provide custome cupcakes, cakes, and cookies for any event or catering need. We can serve as few as 12 guests and as many as 4000. We have been voted as Indy's favorite cupcake bakery every year since opening. Let us cater your event!"</t>
  </si>
  <si>
    <t>http://www.theflyingcupcakebakery.com</t>
  </si>
  <si>
    <t>mailto:theflyingcupcakebakery@gmail.com</t>
  </si>
  <si>
    <t>Baked Goods Stores</t>
  </si>
  <si>
    <t>The Ford Group</t>
  </si>
  <si>
    <t>="Established in 1986, The Ford Group is a multi-disciplinary communications firm specializing in Marketing Communications, Advertising, Graphic Design, Organizational Development and Special Event Publicity. With over 18 years of experience, clients served vary from sole proprietorships, to large corporations to municipalies and non-profit organizations. We have also created a niche in the market by tailoring key core services to meet the specific needs of new business start-ups and small to medium sized businesses generally less than 10 years old."</t>
  </si>
  <si>
    <t>mailto:fordgrp@netzero.com</t>
  </si>
  <si>
    <t>The Frame Shoppe</t>
  </si>
  <si>
    <t>="Specializing in custom picture framing since 1989. The shop staffs two full-time picture framers certified with the Professional Picture Framers Association. In addition, we also staff three part time employees. In our design department, we have over 600 mat colors and 3000 wood and metal frames from which to chose for framing projects. In the spring of 2006, we purchased a CO2 laser engraver to meet all your custom engraving needs."</t>
  </si>
  <si>
    <t>http://frameshoponline.com</t>
  </si>
  <si>
    <t>mailto:information@frameshoponline.com</t>
  </si>
  <si>
    <t>The Franklin Paterson Company</t>
  </si>
  <si>
    <t>="The Franklin Paterson Company uses its extensive project management expertise and specific business knowledge in the Financial, Manufacturing, Media, Healthcare and Retail areas; to fully understand the business problem our clients would like to use technology to resolve. Our goal is to design and build solutions that deliver a measurable competitive advantage. We use a straightforward yet innovative approach to technology and project staffing solutions that is at once high quality, inventive and cost effective. Our technology or hiring solutions will meet the goals and business objectives of your business today, but are flexible enough to evolve as your business grows."</t>
  </si>
  <si>
    <t>http://franklinpaterson.com</t>
  </si>
  <si>
    <t>mailto:apply@franklinpaterson.com</t>
  </si>
  <si>
    <t>The Fred Scott Group, Inc</t>
  </si>
  <si>
    <t>http://www.thescottgroup.com</t>
  </si>
  <si>
    <t>The Geekette Tech</t>
  </si>
  <si>
    <t>="I have a computer degree through ITT Technical Institute, and I am certified in writing and now studying for certifications. I am a member of the National Technical Honor Society (NTHS). I provide affordable computer repairs ranging from the following: * Virus Removal * Data Recovery * Hardware Repairs/Setup * Screen Replacements * Operating System Installation/Upgrades * Tablet Setup/Configuration * Phone Repairs/Setup/Configurations * Technical Writing Don't you see your issue listed? Contact me. I can provide remote and on-site services. I am happy to provide a free consultation to evaluate the repairs if The Geekette Tech performs the repair. I can travel to you (within 15 miles for an additional fee), or you travel to me. I look forward to speaking to you and working together to resolve your issue(s). --The Geekette Tech"</t>
  </si>
  <si>
    <t>http://www.thegeekettetech.com</t>
  </si>
  <si>
    <t>mailto:support@thegeekettetech.com</t>
  </si>
  <si>
    <t>The Girls Thing</t>
  </si>
  <si>
    <t>The Glenrock Company</t>
  </si>
  <si>
    <t>http://www.glenrockcompany.com</t>
  </si>
  <si>
    <t>The Global Industries,LLC</t>
  </si>
  <si>
    <t>="Global is a wholesale distributor of construction related safety supplies. We furnish everything needed to build, rennovate or remediate. We have the materials for you. We sell respirators, protective clothing, asbestos, mold and lead based paint removal supplies too. Call us first! If we can't get the item for you, we'll tell you who can. 317.782.1800. Thank you for your interest."</t>
  </si>
  <si>
    <t>mailto:Theglobalcompany@aol.com</t>
  </si>
  <si>
    <t>The Great American Landscape, Inc.</t>
  </si>
  <si>
    <t>mailto:thegreatamericanlandscape@msn.com</t>
  </si>
  <si>
    <t>The Greater Go</t>
  </si>
  <si>
    <t>="The Greater Go facilitates positive travel experiences for individuals with special needs and those who travel with them. We ensure that each individual’s travel needs are met and we advocate for safe, fun and affordable travel for all. In addition to special needs travel we also arrange travel for any consumer (with or without special needs) and a portion of the travel commissions are put in a special fund to explore and identify the most accessible travel locations for all people with mobility needs. Traveling with The Greater Go provides a way to “give back” while traveling for business or treating yourself to a vacation."</t>
  </si>
  <si>
    <t>http://www.thegreatergo.com</t>
  </si>
  <si>
    <t>mailto:rkirby@thegreatergo.com</t>
  </si>
  <si>
    <t>The Grossbauer Group, Inc.</t>
  </si>
  <si>
    <t>="As providers of comprehensive, integrated marketing communications services for two decades, The Grossbauer Group serves a loyal local and national client base that includes private companies, service-oriented organizations, professional associations, and both large and small businesses. Our diverse team members collaborate in a high-energy creative environment to provide branding, graphic design, advertising, media relations, creative writing, Web programming, social media implementation, Search Engine Optimization (SEO) consulting, analytics review, Google ad management, video production, print production, e-mail campaigns, and marketing metrics. Our philosophy is to partner with clients, become familiar with their audiences and needs, and help to build successful, persuasive communications."</t>
  </si>
  <si>
    <t>http://www.grossbauer.com</t>
  </si>
  <si>
    <t>mailto:sarah@grossbauer.com</t>
  </si>
  <si>
    <t>The H2H Group, LLC</t>
  </si>
  <si>
    <t>="The H2H Group, LLC is a full-service integrated marketing communications organization with three specialty divisions: business-to-business marketing communications, public relations/training, and artist management and entertainment marketing. H2H is committed to producing results in a client-centric environment. Specialists from advertising, marketing communications, public relations, promotions, direct response and internet marketing all work together to strategize, share ideas and create the best outcomes to achieve superior results for H2H clients."</t>
  </si>
  <si>
    <t>http://www.theh2hgroup.com</t>
  </si>
  <si>
    <t>mailto:partners@theh2hgroup.com</t>
  </si>
  <si>
    <t>The Hammer Legal Group</t>
  </si>
  <si>
    <t>http://www.TheHammerLegalGroup.com</t>
  </si>
  <si>
    <t>mailto:Meridth@TheHammerLegalGroup.com</t>
  </si>
  <si>
    <t>The Harvest Group</t>
  </si>
  <si>
    <t>mailto:mcwilliamsii@harvestgroupsecurity.org</t>
  </si>
  <si>
    <t>The Hill Co., Inc.</t>
  </si>
  <si>
    <t>http://www.thehillco.com</t>
  </si>
  <si>
    <t>mailto:main@thehillco.com</t>
  </si>
  <si>
    <t>The Honeywell Foundation, Inc.</t>
  </si>
  <si>
    <t>="The Honeywell Foundation, Inc. is a 501(c)3 dedicated to the enhancement of social, recreational, and cultural opportunities for the people of Wabash County and the State of Indiana. The mission of the Foundation is realized through its operations of the Honeywell Center. The Center is home to enriching programs and events featured either in the beautiful Ford Theater, Clark Gallery or one of our many meeting spaces. In addition to programs provided at the Center, the Honeywell Foundation offers educational programs in schools in our region. The Honeywell Foundation was created by one of Wabash’s own, Mr. Mark C. Honeywell. Mr. Honeywell co-founded the very successful Honeywell, Inc. Mr. Honeywell was a powerful, world-renown industrialist. He built the Honeywell Center -- a gathering place for the community as well as a venue to experience arts and culture. Honeywell’s gift continues today as we annually welcome more than 150,000 visitors to our one-of-a-kind facility!"</t>
  </si>
  <si>
    <t>http://www.honeywellcenter.org</t>
  </si>
  <si>
    <t>The Housewife</t>
  </si>
  <si>
    <t>https://thehousewife.org/</t>
  </si>
  <si>
    <t>mailto:admin@thehousewife.org</t>
  </si>
  <si>
    <t>The Howard E. Nyhart Company, Inc.</t>
  </si>
  <si>
    <t>http://www.nyhart.com</t>
  </si>
  <si>
    <t>The Hydraulic Connection, Inc.</t>
  </si>
  <si>
    <t>="The Hydraulic Connection, Inc. sells new and rebuilt hydraulic cylinders, pumps, motors, steering units, solenoid valves, hydrovacs/brake boosters for many types of equipment (i.e. material handling, mobile hydraulic, construction, agricultural, in-plant machinery &amp; more). We make hydraulic hoses, and sell a variety of fittings, adapters, pipe couplers, quick disconnects and seals. Our machine shop is able to manufacture new cylinders, rods, tubes, eyes, clevis’, glands &amp; related parts."</t>
  </si>
  <si>
    <t>mailto:Hyd.Conn@gmail.com</t>
  </si>
  <si>
    <t>The IDM Group, LLC</t>
  </si>
  <si>
    <t>http://www.TheIDMGroup.com</t>
  </si>
  <si>
    <t>mailto:info@theidmgroup.com</t>
  </si>
  <si>
    <t>The Independent Living Center</t>
  </si>
  <si>
    <t>="Educating, Empowering, Enabling and Equipping people with disabilities and their families for life, liberty and pursuit of happiness, by achieving independence and inclusion through advocacy, skills training, support, technology, information, and referral."</t>
  </si>
  <si>
    <t>http://www.ilcein.org</t>
  </si>
  <si>
    <t>mailto:jimm@ilcein.org</t>
  </si>
  <si>
    <t>The Indiana Patient Safety Center, Inc.</t>
  </si>
  <si>
    <t>mailto:tkennedy@hallrender.com</t>
  </si>
  <si>
    <t>The Indiana Plan For Equal Employment, I</t>
  </si>
  <si>
    <t>="The Indiana Plan is a pre-apprenticeship construction training/awareness program designed to recruit women, minorities, dislocated workers, etc for the building and construction trades apprenticeship programs. Participants attend classes and job placment is available through the Indiana Plan. placement is provided"</t>
  </si>
  <si>
    <t>http://www. indianaplan.org</t>
  </si>
  <si>
    <t>mailto:jadkins@indianaplan.org / holiver@indianaplan.org</t>
  </si>
  <si>
    <t>The Indiana State Council of the ENA</t>
  </si>
  <si>
    <t>http://indianaena.org</t>
  </si>
  <si>
    <t>The Indianapolis Star</t>
  </si>
  <si>
    <t>http://www.gannett.com</t>
  </si>
  <si>
    <t>The Indy Business Incubator, LLC</t>
  </si>
  <si>
    <t>="IBI, LLC. is a female owned, minority business entity that will specialize in Business/Employment consulting, employee training and employment placement for individuals that are re-entering and/or entering the workforce for the first time. The agency is designed to be that business incubator to provide business solutions for State and Local entities as well as existing businesses that seek to use the servicse that IBI offers."</t>
  </si>
  <si>
    <t>The InterDesign Group, Inc.</t>
  </si>
  <si>
    <t>="Established in 1975, InterDesign provides comprehensive professional services for Higher Education, K12 Education, Senior Living/Long-Term Care, Libraries, Churches and Government/Municipalities. Our highly qualified and experienced professional staff emphasizes collaboration and teamwork in their relationships with clients, consultants and contractors. Each design team is led by a project manager offering specialized experience ensuring a high degree of communication, coordination and continuity for projects. We draw upon the in-house expertise of our staff of professionals including architects, landscape architects, interior designer and construction administrators. Services: Architecture Landscape Architecture Master Planning Educational Specification Sustainable Design Space Programming LEED Certification Interior Design/Space Planning Design-Build Criteria Development ADA Compliance Contract Administration Project Representation Facilities Assessment Strategic Plan"</t>
  </si>
  <si>
    <t>http://interdesign.com</t>
  </si>
  <si>
    <t>mailto:bwagner@interdesign.com</t>
  </si>
  <si>
    <t>The J Jeffrey Company</t>
  </si>
  <si>
    <t>mailto:jenniferjeffreylpac@gmail.com</t>
  </si>
  <si>
    <t>The Janitors Supply Co., Inc.</t>
  </si>
  <si>
    <t>http://www.janitorssupplyco.com</t>
  </si>
  <si>
    <t>mailto:salesdesk@janitorssupplyco.com</t>
  </si>
  <si>
    <t>The Johnson Organization, LLC</t>
  </si>
  <si>
    <t>="We are a strategic real estate developement company that focuses on small commercial office space. We lease small office suites at a reasonable price and partner with small businesses that want a professional office space at a reasonable price. With this model, we help small businesses keep overhead low, but present themselves in a professional manner."</t>
  </si>
  <si>
    <t>mailto:jjohnson@solutionsbyrj.com</t>
  </si>
  <si>
    <t>The Julian Center, Inc.</t>
  </si>
  <si>
    <t>="The Julian Center’s mission is to provide counseling, safe shelter, case management, advocacy, and education for survivors of domestic violence, sexual assault, and other life crises. Through outreach and consultation, we also seek to educate the community about the issue of domestic violence and sexual assault and its impact on all our lives. Our programs and services are designed to contribute to a significant reduction in the incidence of domestic violence and sexual assault, to support survivors in healing, and to help break the intergenerational cycle of abuse."</t>
  </si>
  <si>
    <t>http://www.juliancenter.org</t>
  </si>
  <si>
    <t>mailto:info@juliancenter.org</t>
  </si>
  <si>
    <t>The Karges Furniture Company, Inc.</t>
  </si>
  <si>
    <t>http://www.karges.com</t>
  </si>
  <si>
    <t>mailto:kargesinfo@karges.com</t>
  </si>
  <si>
    <t>The Kisaa Corporation</t>
  </si>
  <si>
    <t>http://www.enginuitymanagement.com</t>
  </si>
  <si>
    <t>mailto:info@enginuitymanagement.com</t>
  </si>
  <si>
    <t>The Knight Group</t>
  </si>
  <si>
    <t>http://www.myknightgroup.com</t>
  </si>
  <si>
    <t>The Ladder Inc.</t>
  </si>
  <si>
    <t>="The Ladder Inc. is a training and inspiration al non-profit developed by a survivor or severe PTSD as a result of a tragic jet crash. It teaches critical thought and reason, crisis management and strategies to change in order to fulfill the needs of re-entry action planning, trauma/stress event action management and life change strategies."</t>
  </si>
  <si>
    <t>http://www.theladderinc.com</t>
  </si>
  <si>
    <t>The Lancaster Group</t>
  </si>
  <si>
    <t>mailto:roslynnlancaster@sol.com</t>
  </si>
  <si>
    <t>The Lantern Group LLC</t>
  </si>
  <si>
    <t>http://www.universitysleep.com</t>
  </si>
  <si>
    <t>mailto:paul@universitysleep.com</t>
  </si>
  <si>
    <t>The Laven Insurance Agency, Inc.</t>
  </si>
  <si>
    <t>="Laven insurance Agency is a well-established, full-service insurance agency. Started in 1927, we have been serving Michiana's insurance needs for 3 generations. Representing many major Insurance carriers such as SAFECO, Ohio Casualty Group, Indiana insurance, Drive (by Progressive), Anthem, Aflac and many others - we are able to tailor policies to meet our customer's individual needs."</t>
  </si>
  <si>
    <t>http://www.insurancemichiana.com</t>
  </si>
  <si>
    <t>mailto:laven@insurancemichiana.com</t>
  </si>
  <si>
    <t>The Law Offices of Diamond Z. Hirschauer</t>
  </si>
  <si>
    <t>http://www.dzhlaw.com</t>
  </si>
  <si>
    <t>mailto:dzhirschauer@dzhlaw.com</t>
  </si>
  <si>
    <t>The Lawn King</t>
  </si>
  <si>
    <t>mailto:earthcompanion@wmconnect.com</t>
  </si>
  <si>
    <t>The Logo Warehouse</t>
  </si>
  <si>
    <t>="The Logo Warehouse is a minority, woman-owned, ASI-Certified, Custom Imprinting Promotional Product and Apparel Business; housing thousands of Advertising Specialties. You will be introduced to many new services and trends that The Logo Warehouse has to offer such as: •Promotional Products -“Go Green” products (eco-friendly/organic cotton), calendars, pens, awards, lapel pins, drinkware, bags, t-shirts, athletic apparel/equipment, office supplies, corporate and organization apparel/uniforms, inflatables, and many more……. •Promotional Services - Discount pricing, unlimited quantities, unlimited products, samples, virtual proofs, screen-print, embroidery, engraving, signage, art design, quick turnaround, and rush orders •Promotional Events -Awareness Campaigns, golf outings, special events, holidays, safety programs, corporate banquets, weddings, family gatherings, and the list goes on……….."</t>
  </si>
  <si>
    <t>http://www.thelogowarehouse.com</t>
  </si>
  <si>
    <t>mailto:thelogowarehouse@bellsouth.net</t>
  </si>
  <si>
    <t>The Lok Out Shop</t>
  </si>
  <si>
    <t>="Full service Locksmith in business over 20 years (all types of security products locks. high security locks, rekey locks, lost keys, locks installed, keyless access systems, access control, exit devices sales, repaired installed, safes sales, combo changed, opened repaired, video survailance systems, sales installed, security consultant, anything to do with security we can do it"</t>
  </si>
  <si>
    <t>http://www.lokoutshop.com</t>
  </si>
  <si>
    <t>mailto:randy@lokoutshop.com</t>
  </si>
  <si>
    <t>The MEK Group, Inc.</t>
  </si>
  <si>
    <t>="The MEK Group provides a strategic range of business and economic development services that deploy targeted marketing tactics to achieve measurable results. MEK generates strategic awareness, fosters real brand development and drives business growth. MEK's seasoned and award-winning staff leverage interactive and traditional media -- including management consulting, Creative services, public relations, marketing, and public/governmental affairs to achieve client objectives. Please visit www.mekgrp.com for more information."</t>
  </si>
  <si>
    <t>http://www.mekgrp.com</t>
  </si>
  <si>
    <t>mailto:msnyder@themekgroup.com</t>
  </si>
  <si>
    <t>The MacArthur Group, Inc</t>
  </si>
  <si>
    <t>mailto:mterry@netdirect.net</t>
  </si>
  <si>
    <t>The Mainz Group LLC</t>
  </si>
  <si>
    <t>="ZOOM Information Systems develops transportation software and systems solutions for City, County and State governments, DOTs and the traveling public. This includes both on-board and back-end development of Intelligent Transportation Systems (ITS), Vehicle Connectivity and Tracking Systems (AVL), Imaging-Based Infrastructure Data Collection and Analysis Tools and The Next Generation Rest Area technology platform. We focus on the following areas: Real-Time Transportation Data Gathering, Fusion and Analysis Fleet Vehicle Connectivity, Tracking and Management (AVL) Highway Infrastructure Imaging and Data Collection, Content Distribution to a veriety of displays and The Next Generation Rest Area"</t>
  </si>
  <si>
    <t>http://www.zoominfosystems.com</t>
  </si>
  <si>
    <t>mailto:info@zoominfosystems.com</t>
  </si>
  <si>
    <t>The Man Who Washes Windows, LLC</t>
  </si>
  <si>
    <t>="The Man Who Washes Windows LLC - Delivers premier Window Cleaning and Glass Restoration services for residential, commercial, and post-construction clientele - Fully-insured - An environmentally-conscious contractor who utilizes only biodegradable, earth-friendly products - Interiors &amp; Exteriors of windows &amp; doors, storm windows &amp; screens, solar panels &amp; skylights Glass Restoration: - Distortion-free scratch removal - Removal of hard water stains, oxidation, paint, cement, corrosion, &amp; etching - Sealing of glass to prevent staining and oxidation while protecting your investment"</t>
  </si>
  <si>
    <t>mailto:themanwhowasheswindows@gmail.com</t>
  </si>
  <si>
    <t>The Marriage Center, LLC</t>
  </si>
  <si>
    <t>="The Marriage Center's mission is to improve mental and emotional health of families. Our programs include anger management, relationship counseling, addiction assessment and education, divorce diversion, and family development. For ""at risk families"", we provide structured parenting skill development experiences with an emphasis on anger management, substance abuse education and communication. The program is a means to provide parents whose children are “at risk” or have been abused or neglected with tools to assist them in the tasks of disciplining, understanding, and bonding with their children."</t>
  </si>
  <si>
    <t>http://www.themarriagecenter.org</t>
  </si>
  <si>
    <t>mailto:info@themarriagecenter.org</t>
  </si>
  <si>
    <t>The Masthead Group</t>
  </si>
  <si>
    <t>="Certified Public Accountants and Performance Management Consultants. Provide accounting and assurance services, including audits of financial records and statements. Provide consulting services on establishing performance management and measurement systems that are linked to business strategy; and translated throughout the organization. Utilize The Balanced Scorecard, and The HR Scorecard as management and measurement systems that are utilized by all organizational personnel. Utilize cause-and-effect relationships to link strategy, customer and business processes, employee skills, to overall financial goals."</t>
  </si>
  <si>
    <t>http://themastheadgroup.com</t>
  </si>
  <si>
    <t>mailto:rfpiccolo@themastheadgroup.com</t>
  </si>
  <si>
    <t>The Media Guy LLC.</t>
  </si>
  <si>
    <t>http://www.themediaguy.net</t>
  </si>
  <si>
    <t>mailto:marc@themediaguy.net</t>
  </si>
  <si>
    <t>The Meeting Place</t>
  </si>
  <si>
    <t>="The Meeting Place is a neighborhood bar located on the near eastside of Indianapolis. There are two levels, the bottom level may be rented out for various occations. Available entertainment includes: darts, billards, video game, wide-screen TV, jute box. Available refreshments: domestic and import beer, wine-based mixed drinks/shots, soft drinks, bar food."</t>
  </si>
  <si>
    <t>The Miteru Group, LLC</t>
  </si>
  <si>
    <t>="The Miteru Group is a WOSB that provides HR consulting, business management, education &amp; training, dispute resolution and case management services. We also offer business development services to assist entrepreneurs become successful. Our goal is to empower individuals and small businesses to succeed in the business environment."</t>
  </si>
  <si>
    <t>mailto:miteru@sbcglobal.net</t>
  </si>
  <si>
    <t>The Moreland Group, LLC</t>
  </si>
  <si>
    <t>="The Moreland Group is a full service meeting and event planning company offering services to Corporations, Associations and individuals who need coordination assistance with hotel rooms, unique venues, meeting space, ground transportation, speakers, teambuilding, catering, design, decor, creative off site programs, etc..."</t>
  </si>
  <si>
    <t>http://www.themorelandgroup.com</t>
  </si>
  <si>
    <t>mailto:rm@themorelandgroup.com</t>
  </si>
  <si>
    <t>The Morgan Enterprises LLC</t>
  </si>
  <si>
    <t>="CAPOW is a promotional branding firm. Capow’s emphasis is on consulting with businesses about branding their company logo and educating organizations on the how to brand their logo so that is follows through with the brand that they already have established. CAPOW’s goal is to help organizations have fun with their logo branding. There are so many different options for promoting brands and it is important that just the right items be chosen for each particular need. We will personally work with you to develop just the right product for you with embroidery, screen print, rhinestone and promotional products. Capture the Power of your Brand with CAPOW!"</t>
  </si>
  <si>
    <t>http://www.CapowBrand.com</t>
  </si>
  <si>
    <t>mailto:kristie@CapowBrand.com</t>
  </si>
  <si>
    <t>The Mortgage Network</t>
  </si>
  <si>
    <t>http://www.mortgagenetworkinc.com</t>
  </si>
  <si>
    <t>mailto:thedderich@mortgagenetworkinc.com</t>
  </si>
  <si>
    <t>The Moss Group LLC DBA EmbroidMe</t>
  </si>
  <si>
    <t>="We can embroider or screen print products locally allowing for lower shipping costs, faster turnaround and more responsive service. We can customize many of the Name Brands you have grown to trust. We can design an item with YOUR Logo using our Advanced Virtual Sample Technology. We can handle the entire job for you - from start to finish. We can create a FREE online company store to help you sell logoed merchandise to your audience."</t>
  </si>
  <si>
    <t>http://www.embroidme-indianapolis.com</t>
  </si>
  <si>
    <t>mailto:indynorth@embroidme.com</t>
  </si>
  <si>
    <t>The Mower Outlet Plus LLC</t>
  </si>
  <si>
    <t>mailto:themoweroutletplus@gmail.com</t>
  </si>
  <si>
    <t>The Myka Lynn Corporation</t>
  </si>
  <si>
    <t>http://www.mykalynn.com</t>
  </si>
  <si>
    <t>mailto:sales@mykalynn.com</t>
  </si>
  <si>
    <t>The Naked Solution, LLC</t>
  </si>
  <si>
    <t>mailto:wes.blair@thenakedsolution.com</t>
  </si>
  <si>
    <t>The New Radar, LLC</t>
  </si>
  <si>
    <t>="Provider of social media, web, mobile/SMS, email, SEO (Search Engine Optimization) marketing, web design, graphic design, networking and consulting. Connecting social organizations, businesses and individuals using various green, digital mediums. Offer low cost, high return marketing strategies and opportunities."</t>
  </si>
  <si>
    <t>http://www.thenewradar.com</t>
  </si>
  <si>
    <t>mailto:thenewradar@thenewradar.com</t>
  </si>
  <si>
    <t>The New York Blower Company</t>
  </si>
  <si>
    <t>http://www.nyb.com</t>
  </si>
  <si>
    <t>mailto:nyb@nyb.com</t>
  </si>
  <si>
    <t>The Nichole Hughey Company, LLC</t>
  </si>
  <si>
    <t>mailto:tristatebuildingsupplies@gmail.com</t>
  </si>
  <si>
    <t>The North Salem State Bank</t>
  </si>
  <si>
    <t>="North Salem State Bank is a locally owned, community bank based in North Salem, Indiana. North Salem State Bank was founded in 1923 and is committed to providing its customers and its communities quality products and services through a dedicated and professional staff."</t>
  </si>
  <si>
    <t>http://www.nssb.cc</t>
  </si>
  <si>
    <t>mailto:nssbinfo@nssb.cc</t>
  </si>
  <si>
    <t>The Nyhart Company</t>
  </si>
  <si>
    <t>="Alliance Benefit Group of Indiana is an employee owned firm that specializes in consulting and administration to retirement plans. We also provide group health care actuarial services, flexible spending account administration and human resources consulting."</t>
  </si>
  <si>
    <t>http://www.abgindiana.com</t>
  </si>
  <si>
    <t>mailto:thomas.totten@abgindiana.com</t>
  </si>
  <si>
    <t>The Office Shop Inc</t>
  </si>
  <si>
    <t>="The Office Shop is your source for thousands of office supplies, office products and services. We strive to be the best in the business by bringing our representatives to your office for personal and professional consultation. See our complete line of machines, furniture and supplies. The Office Shop is also your source for thousands of promotional products and custom printing. Promote you business or reward customers and employees with quality merchandise bearing your company logo."</t>
  </si>
  <si>
    <t>http://www.officeshop.net</t>
  </si>
  <si>
    <t>mailto:info@officeshop.net</t>
  </si>
  <si>
    <t>The Olive Group, LLC</t>
  </si>
  <si>
    <t>="The Olive Group provides reliable, high quality information technology consulting services, including; software development, data management, system administration, system analysis, and system design. Located in Carmel, Indiana, the Olive Group can fill your consulting needs in Indianapolis, throughout the Central Indiana area, the Midwest, or anywhere in the country. We provided services for a wide range of businesses, from small to Fortune 500. Our clients include Thomson Electroncs, Sallie Mae, TIS College Bookstores, Baker Hill Corporation, ITT Technical Institute, and AmeriGroup. We are also proud to work with local charities to help make our community a better place. The Olive Group is proud to donate website development and web hosting for Meals On Wheels of Hamilton County."</t>
  </si>
  <si>
    <t>http://www.olive-group.com/</t>
  </si>
  <si>
    <t>mailto:gina@olive-group.com</t>
  </si>
  <si>
    <t>The Omnifire Group</t>
  </si>
  <si>
    <t>="The OmniFire Group is a woman and minority owned group of web development professionals. We have expertise in custom application development and UI Development, including JavaScript, PHP, and .Net. We also have Project Management and Graphic Design services and are skilled in Digital Marketing. We are in the process of registering as a"</t>
  </si>
  <si>
    <t>http://omnifiregroup.com</t>
  </si>
  <si>
    <t>mailto:nicki@omnifiregroup.com</t>
  </si>
  <si>
    <t>The Organized Assistant, LLC</t>
  </si>
  <si>
    <t>http://www.theorganizedassistant.org</t>
  </si>
  <si>
    <t>mailto:katie@theorganizedassistant.org</t>
  </si>
  <si>
    <t>The Outside Source, Inc</t>
  </si>
  <si>
    <t>="Bean Graphics provides creative design, advertising/marketing and web services. We specialize in visual communications through all major categories of design including, but not limited to, advertising campaigns, stationary design, branding, identity design (logos), marketing materials, marketing strategies, unique and creative web site design and development, package design, multi-media development, etc."</t>
  </si>
  <si>
    <t>http://www.beangraphics.com</t>
  </si>
  <si>
    <t>mailto:design@beangraphics.com</t>
  </si>
  <si>
    <t>The Peachtree Group, Inc.</t>
  </si>
  <si>
    <t>http://www.thepeachtreegroup.com</t>
  </si>
  <si>
    <t>The Performance Companies</t>
  </si>
  <si>
    <t>http://www.performancep.com</t>
  </si>
  <si>
    <t>mailto:paula@performancep.com</t>
  </si>
  <si>
    <t>The Pettiner Agency</t>
  </si>
  <si>
    <t>mailto:LeadSinger@aol.com</t>
  </si>
  <si>
    <t>The Phoenix Alliance</t>
  </si>
  <si>
    <t>http://www.inskyview.com</t>
  </si>
  <si>
    <t>mailto:sales@inskyview.com</t>
  </si>
  <si>
    <t>The Planet of Bargains, Inc.</t>
  </si>
  <si>
    <t>="We sell customized refurbished computer equipment at deeply discounted prices. As a direct result of our affiliation with a Non-profit organization, we are able to offer these deeply discounted prices to our clients. Our Non-profit affiliate receives donated computers and uses the proceeds to help families that have been affected by job-loss, foreclosure, disablility, and a number of other recessionary affects."</t>
  </si>
  <si>
    <t>The Pointe! - Indiana, Inc.</t>
  </si>
  <si>
    <t>http://thepointeindiana.com</t>
  </si>
  <si>
    <t>mailto:jbmerrill@cinci.rr.com</t>
  </si>
  <si>
    <t>The Preston Joan Group, Inc.</t>
  </si>
  <si>
    <t>="Human Resource Consulting Company that provides expertise in all Human Resource functions excluding staffing. Services include: Benefits, Employee Relations, exit interview &amp; analysis, mediation, employee assistance, focus studies, compensation administration &amp; design, coaching &amp; mentoring, legal compliance assistance, job descriptions, forms, employee handbooks and policy manuals, benchmarking, training, diversity issues, and all related functions tailored to meet your individualized business needs."</t>
  </si>
  <si>
    <t>http://www.prestonjoan.com</t>
  </si>
  <si>
    <t>mailto:j.dortch@prestonjoan.com</t>
  </si>
  <si>
    <t>The Print Place, Inc</t>
  </si>
  <si>
    <t>mailto:tppaaron@earthlink.net</t>
  </si>
  <si>
    <t>The Professional Resource Group of India</t>
  </si>
  <si>
    <t>="PRG is a specialized provider of Management Consulting Services, specifically geared towards Human Resources Management. This includes recruiting services, background checks and verifications, predictive assessments, credentialing, medical collections, and more."</t>
  </si>
  <si>
    <t>http://www.prg-indy.com</t>
  </si>
  <si>
    <t>mailto:info@prg-indy.com</t>
  </si>
  <si>
    <t>The Registration System LLC</t>
  </si>
  <si>
    <t>The Registry, Inc.</t>
  </si>
  <si>
    <t>http://WWW.RESTRYSTAFFING.COM</t>
  </si>
  <si>
    <t>mailto:CAREERS@REGISTRYSTAFFING.COM</t>
  </si>
  <si>
    <t>The Resource Development Group LLC</t>
  </si>
  <si>
    <t>="We work with companies in highly competitive industries who wish they could raise their price and be more profitable. Our clients say that by helping them to maximize their performance in the areas of planning, people and processes they are better able to attract and maintain a large, loyal customer base."</t>
  </si>
  <si>
    <t>http://www.resourcedevelopmentgroup.com</t>
  </si>
  <si>
    <t>mailto:jerry@resourcedevelopmentgroup.com</t>
  </si>
  <si>
    <t>The Ridge Company</t>
  </si>
  <si>
    <t>http://ridgeap.com</t>
  </si>
  <si>
    <t>mailto:dhegyi@ridgeap.com</t>
  </si>
  <si>
    <t>The Romweber Company</t>
  </si>
  <si>
    <t>="The RomWeber Company is furniture company in Batesville, IN that was founded in 1879. We sell to many major retailers in Indiana as well as through the US and Canada. RomWeber manufacturers wooden products, most of which is case goods, tables and bedroom furniture."</t>
  </si>
  <si>
    <t>http://www.romweber.com</t>
  </si>
  <si>
    <t>mailto:sales@romweber.com</t>
  </si>
  <si>
    <t>The Rough Notes Company Inc</t>
  </si>
  <si>
    <t>http://www.roughnotes.com</t>
  </si>
  <si>
    <t>mailto:rnc@roughnotes.com</t>
  </si>
  <si>
    <t>The Rug Factory, Inc</t>
  </si>
  <si>
    <t>="We sell all flooring types. Carpet, tile, porcelain, ceramic, marble, congoleum, laminate, hardwood, area rugs, and specialize in one of a kind area rugs. Guaranteed professional installation is also available. We also do binding and serging of area rugs, as well as repairing, and dry cleaning"</t>
  </si>
  <si>
    <t>The Sanders Group of Indianapolis, Inc.</t>
  </si>
  <si>
    <t>http://sandersnet.com</t>
  </si>
  <si>
    <t>mailto:lar@sandersnet.com</t>
  </si>
  <si>
    <t>The Schuttler Consulting Group</t>
  </si>
  <si>
    <t>="Accounting, Business and Personal Tax Preparation, Business and Strategic Planning, Certified Public Accountant, Compilation of Financial Statements, Proforma Financial Statements, QuickBooks Training and Implementation, Over 20 Years of Experience, Located in Downtown Indianapolis"</t>
  </si>
  <si>
    <t>The Skillman Corporation</t>
  </si>
  <si>
    <t>http://www.skillman.com</t>
  </si>
  <si>
    <t>mailto:skillman@skillman.com</t>
  </si>
  <si>
    <t>The Speech Tree Corp</t>
  </si>
  <si>
    <t>http://www.thespeechtree.com</t>
  </si>
  <si>
    <t>mailto:info@thespeechtree.com</t>
  </si>
  <si>
    <t>The Spy Place</t>
  </si>
  <si>
    <t>http://www.thespyplace.com</t>
  </si>
  <si>
    <t>mailto:sales@thespyplace.com</t>
  </si>
  <si>
    <t>The Streetview Group</t>
  </si>
  <si>
    <t>="The Streetview Group, Inc. is a marketing consulting organization that provides a range of marketing and communication services, including marketing strategy development, advertising and public relations services, graphic design, collateral and interactive media development, and customer satisfaction measurement programs."</t>
  </si>
  <si>
    <t>http://www.streetviewgroup.com</t>
  </si>
  <si>
    <t>mailto:rudetao@comcast.net</t>
  </si>
  <si>
    <t>The Touloukian Supply Inc.</t>
  </si>
  <si>
    <t>http://www.touloukiansupply.com</t>
  </si>
  <si>
    <t>mailto:sales@touloukiansupply.com</t>
  </si>
  <si>
    <t>The Towel Man</t>
  </si>
  <si>
    <t>http://www.thetowelman.com</t>
  </si>
  <si>
    <t>Linen and Uniform Supply</t>
  </si>
  <si>
    <t>The Townsend Corporation</t>
  </si>
  <si>
    <t>The Travel Agent, Inc.</t>
  </si>
  <si>
    <t>="The Travel Agent Inc. is the premier travel agent in the north Indianapolis, Carmel and Zionsville areas. We are certified specialists for Australia, New Zealand, South Africa, Disney, Scotland, Canada, Jamaica, Scandinavia, Bahamas and Master Cruise Counselors for cruises world wide based in Carmel for 25 years and we are truly ""specialists in the art of Travel"". As the internet becomes a wonderful resource for general information, we take this information several steps further and still remain committed to be the best personalized resource for reliability. We provide a local presence as one of Indianapolis's top 10 travel agencies in the city and we stand alone in our knowledge and expertise for all parts of the world. Believe what you read on our website and call us for a private consultation."</t>
  </si>
  <si>
    <t>http://www.thetravelagentinc.com</t>
  </si>
  <si>
    <t>mailto:info@thetravelagentinc.com</t>
  </si>
  <si>
    <t>All Other Traveler Accommodation</t>
  </si>
  <si>
    <t>The UPS Store</t>
  </si>
  <si>
    <t>http://www.theupsstorelocal.com/3743</t>
  </si>
  <si>
    <t>mailto:store3743@theupsstore.com</t>
  </si>
  <si>
    <t>The Ultimate Touch</t>
  </si>
  <si>
    <t>mailto:johnclardy@sbcglobal.net</t>
  </si>
  <si>
    <t>The Uncommon Corner Bookstore, Inc</t>
  </si>
  <si>
    <t>http://www.uncommoncorner.com</t>
  </si>
  <si>
    <t>mailto:info@uncommoncorner.com</t>
  </si>
  <si>
    <t>The Uniform Shoppe</t>
  </si>
  <si>
    <t>mailto:lucyunifrm@aol.com</t>
  </si>
  <si>
    <t>The United Services Group, Inc.</t>
  </si>
  <si>
    <t>http://www.midwestwaterjet.com</t>
  </si>
  <si>
    <t>mailto:sales@midwestwaterjet.com</t>
  </si>
  <si>
    <t>The Vac Shack</t>
  </si>
  <si>
    <t>="The Vac Shack is ready to meet the demands of its customers. We have access to many janitorial supplies. We also can get most vacuum brands to our door in 2-3 business days. We repair all brands of vacuums and sell all brands. We carry many bags,belts,and small parts on hand , if we do not have what you need we can order them and get it here in 2-3 business days. We do sell many great used vacuums also. Our hours are 10-5:30 MTTF Sat 10-3pm."</t>
  </si>
  <si>
    <t>mailto:vacman1128@yahoo.com</t>
  </si>
  <si>
    <t>The Verbal Edge</t>
  </si>
  <si>
    <t>="The Verbal Edge equips individuals and groups to communicate with optimum effectiveness. We partner with corporations to develop effective verbal and non-verbal communication methods that enhance productivity, self-confidence, reputation, professionalism, mutual understanding and the bottom line. The Verbal Edge accomplishes this by assessing clients' interpersonal, presentation, and communication strengths and weaknesses and working closely with clients to: • Envision their desired changes and goals • Determine their existing strengths • Eliminate their verbal and non verbal roadblocks to effective communication • Develop enduring communication strengths Through workshops, seminars, one-on-one and/or on-site group coaching, we equip clients with: • Exceptional speaking and presentation techniques • Confident and mistake-proof grammar and punctuation usage • Succinct, attention-grabbing and action-inducing words and phrases. The Verbal Edge offers assessments that e"</t>
  </si>
  <si>
    <t>http://www.theVerbalEdge.com</t>
  </si>
  <si>
    <t>mailto:elizabeth@theverbaledge.com</t>
  </si>
  <si>
    <t>The WIT (Women In Transition) House</t>
  </si>
  <si>
    <t>="We, as a society, often take personal freedom for granted. However, there are times when situations arise that make us aware of our freedom fragility – such as incarceration. During these difficult times, we realize the importance of both maintaining such freedoms and regaining those freedoms should we lose them. Sometimes, loss of freedom becomes a rallying cry for a great cause. The WIT (Women in Transition) is an answer to that cry. The WIT House is a not-for-profit organization established to help women recently released from prison. We established the WIT House to provide assistance for any women who are in a transitional phase of life whom need additional assistants to provide a safe environment for themselves. We will provide services any woman that has a strong desire to make a better life for their self. Our services are available to any women without discrimination as to race, religion, color, age, national origin, or marital status."</t>
  </si>
  <si>
    <t>mailto:withouse1@comcast.net</t>
  </si>
  <si>
    <t>The Wellness Workshop</t>
  </si>
  <si>
    <t>="The Wellness Workshop offers a variety of health and wellness services. Individual Health Coaching,Small Group Health Coaching,Registered Dietitian Consult,Weight Loss Programs,Exercise and Fitness Counseling,Health Education Tobacco Cessation Program (Sept 2013),Custom Health / Wellness Workshops,Registered Nurse Consultation"</t>
  </si>
  <si>
    <t>http://www.wellnessworkshop.co</t>
  </si>
  <si>
    <t>mailto:hello@wellnessworkshop.co</t>
  </si>
  <si>
    <t>The Whale Hunters</t>
  </si>
  <si>
    <t>http://thewhalehunters.com</t>
  </si>
  <si>
    <t>mailto:tom@thewhalehunters.com</t>
  </si>
  <si>
    <t>The Whimsical Whisk, Inc</t>
  </si>
  <si>
    <t>="We are Indianapolis's first pastry company, making everything from scratch using butter only, whole eggs, pure granulated sugar etc. We are a custom pastry company. Voted Best Custom and Best Cookie Company in Indianapolis. We provide corporate logos cookies to large and small businesses as well as as pastry gift boxes. We provide pastries for corporate and residential customers for events."</t>
  </si>
  <si>
    <t>http://www.whimsicalwhisk.com</t>
  </si>
  <si>
    <t>mailto:clare@whimsicalwhisk.com</t>
  </si>
  <si>
    <t>The Whole Person LLC</t>
  </si>
  <si>
    <t>="I guide open-minded individuals along their holistic journey, helping them feel healthier and more energetic. To achieve this, I assess nutritional status (and suggest ways to improve nutrition with the food they cook), offer integrative bodywork, and suggest homeopathic/herbal remedies. Specifically, I offer services to moms with young children who are dealing with chronic rashes and runny noses, particularly when the usual approach hasn't worked or is an undesirable method. I also offer services to busy moms of older children - women who are struggling to keep up with those busy children, women who don't have the energy to do what they want let alone the tasks they need to accomplish."</t>
  </si>
  <si>
    <t>https://naturopath.pro</t>
  </si>
  <si>
    <t>mailto:jen@naturopath.pro</t>
  </si>
  <si>
    <t>The Wild Bookstore, LLC</t>
  </si>
  <si>
    <t>http://gotothewild.com</t>
  </si>
  <si>
    <t>mailto:gotothewild@sbcglobal.net</t>
  </si>
  <si>
    <t>Book, Periodical and Music Stores</t>
  </si>
  <si>
    <t>The Window Valet, LLC</t>
  </si>
  <si>
    <t>="The Window Valet takes a new customer-convenient approach to servicing and installing window treatments. The Window Valet not only offers beautiful high-quality custom blinds, drapes, shades, shutters, and top treatments, but also offers on-site repairs and cleaning at cost-effective prices. Adding to that convenience, The Window Valet offers free on-site consultations, and brings our fully equipped showroom to your location."</t>
  </si>
  <si>
    <t>http://www.thewindowvalet.com/indianapol</t>
  </si>
  <si>
    <t>mailto:service@thewindowvalet.com</t>
  </si>
  <si>
    <t>The Winning Stitch</t>
  </si>
  <si>
    <t>mailto:thewinningstitch@yahoo.com</t>
  </si>
  <si>
    <t>The Wireless Connection, LLC</t>
  </si>
  <si>
    <t>The Worden Group, Inc.</t>
  </si>
  <si>
    <t>mailto:neal@wordengroup.com</t>
  </si>
  <si>
    <t>The Wright Connection LLC</t>
  </si>
  <si>
    <t>="The Wright Connection LLC is a technical consulting business that helps people solve their “computing” issues, with personal and professional support and training. Our niche is home and small office environments with specialties including Computer/Technology Consulting, PC/Laptop, Tablet, Phone and Network Setup, Training &amp; Troubleshooting, Virus/ Spyware Removal, Hardware/Software Installation, Upgrades, Reconfigures, Remote Assistance and more. Our customer base is diverse and varies from home users to small business owners who don’t have an IT staff. We specialize in home and small office environments. Our rates are reasonable and satisfaction is guaranteed. As you can see by our motto...""do it Wright the first time"", we believe in providing quality service."</t>
  </si>
  <si>
    <t>http://www.thewrightconnection.com</t>
  </si>
  <si>
    <t>mailto:michelle@thewrightconnection.com</t>
  </si>
  <si>
    <t>The de la Torre Law Office LLC</t>
  </si>
  <si>
    <t>="We are attorneys who are dedicated to serving clients with diligence, enthusiasm, and precision. Our experience from both large and small law firms as well as public sector settings allow us to provide our clients with creative and individualized approaches to all their legal needs."</t>
  </si>
  <si>
    <t>http://www.dltlawoffice.com</t>
  </si>
  <si>
    <t>The eBiz Shop, LLC</t>
  </si>
  <si>
    <t>="Solutions4ebiz specializes in web-based solutions for the Tourism industry and Customer Relationship Management (CRM) solutions for a variety of industries. Both solutions include an integrated online ordering system developed and hosted by the company. A full-service hosting facility with 24 x 7 support allows the company to manage and host the solutions it provides, when required."</t>
  </si>
  <si>
    <t>http://www.solutions4ebiz.com</t>
  </si>
  <si>
    <t>mailto:info@solutions4ebiz.com</t>
  </si>
  <si>
    <t>TheSafetySmiths</t>
  </si>
  <si>
    <t>="TheSafetySmiths.org offers education and training for almost every profession. Our online Continue Education Classes are offered at some Traditional Universities. We have classes that are both fun &amp; helpful, we guarentee it!!! TheSafetySmiths.org's mission is to educate people and businesses on the importance of evaluating, revising along with the implementation of safety skills and programs that help us prepare for, prevent, in addition to respond to urgent situations."</t>
  </si>
  <si>
    <t>http://theSafetySmiths.org</t>
  </si>
  <si>
    <t>mailto:info@theSafetySmiths.org</t>
  </si>
  <si>
    <t>Theodore Davenport</t>
  </si>
  <si>
    <t>="We provide web design and hosting services, high-definition video production, and management consulting services. Our websites are prepared to withstand changing internet standards, our video is ready for the HD revolution, and our team has over 30 years of management and technology consulting services. Our managing Director was formerly a Director at Ernst &amp; Young LLP in their Management Consulting division. Our experience includes working with fortune 500 companies, small businessess in both the for-profit and non-profit sectors, and State and Federal Government agencies. Call us for your next business, technology, or video solution!"</t>
  </si>
  <si>
    <t>http://www.unchartedpixels.com</t>
  </si>
  <si>
    <t>mailto:info@unchartedpixels.com</t>
  </si>
  <si>
    <t>Theoris, Inc.</t>
  </si>
  <si>
    <t>="Theoris is a services and software company. Services include Application Development/Integration, Project Management, IT Staffing/Temporary Services, Business Intelligence and FDA compliance. Software provides Enterprise Visualization with any data source."</t>
  </si>
  <si>
    <t>http://www.theoris.com</t>
  </si>
  <si>
    <t>mailto:jcunningham@theoris.com</t>
  </si>
  <si>
    <t>Theracare, Inc.</t>
  </si>
  <si>
    <t>http://www.theracareinc.com</t>
  </si>
  <si>
    <t>Therapeutic Innovations, Inc</t>
  </si>
  <si>
    <t>mailto:therapy@dcwi.com</t>
  </si>
  <si>
    <t>Thermal Supply Fire Stop Systems LLC</t>
  </si>
  <si>
    <t>mailto:tsfirestop@yahoo.com</t>
  </si>
  <si>
    <t>ThermalTech Engineering, Inc.</t>
  </si>
  <si>
    <t>http://www.thermaltech.com</t>
  </si>
  <si>
    <t>mailto:info@thermaltech.com</t>
  </si>
  <si>
    <t>Thermo Diagnostics</t>
  </si>
  <si>
    <t>="We audit steam system problems and find solutions. Typical problems are sterilizer wet packs and spitting steam humidifiers. Poor steam quality from the boiler or piping problems can be the cause. We specialize in finding the solution. We also offer training, steam system audits, and general steam troubleshooting."</t>
  </si>
  <si>
    <t>http://www.thermo-diagnostics.com</t>
  </si>
  <si>
    <t>mailto:info@thermo-diagnostics.com</t>
  </si>
  <si>
    <t>Thermo Diagnostics Company LLC</t>
  </si>
  <si>
    <t>Thiemann Office Prod</t>
  </si>
  <si>
    <t>http://www.thiemannop.com</t>
  </si>
  <si>
    <t>mailto:anne@thiemannop.com</t>
  </si>
  <si>
    <t>Thieneman Construction, Inc.</t>
  </si>
  <si>
    <t>http://WWW.THIENEMANCONSTRUCTION.COM</t>
  </si>
  <si>
    <t>mailto:hannah.lee@thienemanconstruction.com</t>
  </si>
  <si>
    <t>Thieneman Homes, Inc.</t>
  </si>
  <si>
    <t>http://www.thienemanhomesinc.com</t>
  </si>
  <si>
    <t>Think Smarter Consulting LLC</t>
  </si>
  <si>
    <t>="Think S.M.A.R.T.E.R. Consulting, L.L.C. is a recently established consulting firm that places a strong emphasis on educating, empowering and enlightening our clients on both a business and personal level. Services Provided Include: •Grant Writing •Grant Research •Business Management Coaching •Strategic Planning •Entrepreneurship Coaching •Executive Coaching •501(c)3 Tax-exempt Status Assistance •Board Development •Teambuilding •Community Organization •Sponsorship Request Letters •Resume Writing •Cover Letter Writing •Higher Education Transition Coach •Study Skills Coach •Motivation &amp; Esteem Building Coach •Basic Computer Skills Training •Self Love, Affirmation &amp; Appreciation Coach •Stress Management Coach •Career Transition Coach •Non Profit/For Profit Business Entity Establishmen"</t>
  </si>
  <si>
    <t>http://www.thinksmarterconsultingllc.com</t>
  </si>
  <si>
    <t>mailto:thinksmarterconsulting@gmail.com</t>
  </si>
  <si>
    <t>Think Tank Software Development</t>
  </si>
  <si>
    <t>http://www.thinktankntg.com</t>
  </si>
  <si>
    <t>mailto:jgagan@thinktankntg.com</t>
  </si>
  <si>
    <t>Third Coast Spice Co</t>
  </si>
  <si>
    <t>mailto:Lisa@thirdcoastspice.com</t>
  </si>
  <si>
    <t>This Old Farm, Inc</t>
  </si>
  <si>
    <t>="This Old Farm operates as a Food Hub or local foods distribution company working to aggregate and distribute locally raised meat and produce. This Old Farm's mission is to support the family farm by processing, marketing, and distributing locally raised, wholesome meat, produce, and value-added food. This Old Farm also does contract food processing."</t>
  </si>
  <si>
    <t>http://www.thisoldfarminc.com</t>
  </si>
  <si>
    <t>mailto:jessica@thisoldfarm</t>
  </si>
  <si>
    <t>Animal (except Poultry) Slaughtering</t>
  </si>
  <si>
    <t>Thistle and Moss, LLC</t>
  </si>
  <si>
    <t>="At Thistle &amp; Moss, our mission is to make your vision for your wedding or special event a reality. With creativity, expertise, and professionalism, we provide full-scale floral design for events ranging from weddings to corporate events to those in residential settings. By getting to know each customer, we customize our designs to evoke your personality and style as well as your vision for your event. Our style is paired with the highest attention to detail to ensure that your wedding, event, or arrangement is distinctive, beautiful, and uniquely yours."</t>
  </si>
  <si>
    <t>http://www.thistleandmoss.com</t>
  </si>
  <si>
    <t>mailto:megan@thistleandmoss.com</t>
  </si>
  <si>
    <t>Thomas A. Warthen</t>
  </si>
  <si>
    <t>Thomas C. Rea</t>
  </si>
  <si>
    <t>="Business Computer support Network management Computer and Network Consulting Installation of PCs Installation of Servers Design and Installation of Networks Cabling Consulting Microsoft Exchange Support Internet support Data Backup support Windows Server 2003 Setup and support Terminal services installation Hewlett-Packard Authorized Partner"</t>
  </si>
  <si>
    <t>http://www.tomrea.com</t>
  </si>
  <si>
    <t>mailto:tomrea@tomrea.com</t>
  </si>
  <si>
    <t>Thomas E. Brown</t>
  </si>
  <si>
    <t>mailto:tbrown@asapident.com</t>
  </si>
  <si>
    <t>Thomas E. Edwards,OD</t>
  </si>
  <si>
    <t>mailto:thmedwards@aol.com</t>
  </si>
  <si>
    <t>Thomas George Podell</t>
  </si>
  <si>
    <t>="T. George Podell &amp; Company Inc. Has been serving the Michiana region since 1975. We are a leader in industrial cleaning and recycling equipment. We specialize in power washer sales, service and rentals, mobile cleaning systems, sand blasting, metal pretreatment systems, and masonry restoration. Proudly providing cleaning and contracting solutions for over 30 years. www.tgeorgepodell.com"</t>
  </si>
  <si>
    <t>http://www.tgeorgepodell.com</t>
  </si>
  <si>
    <t>mailto:contact@tgeorgepodell.com</t>
  </si>
  <si>
    <t>Thomas Honeycutt</t>
  </si>
  <si>
    <t>http://www.tlhsolutions.net</t>
  </si>
  <si>
    <t>mailto:info@tlhsolutions.net</t>
  </si>
  <si>
    <t>Thomas James Productions</t>
  </si>
  <si>
    <t>="Entertainment technology equipment sales and rentals. Including but not limited to: Special Effects Equipment, Stage &amp; Film Lighting, Sound Equipment, Set Pieces, Props, Production Supplies, Production Crews. Servicing theatres, schools, universities all types of venues for conventions, special events or parties. Call or email for more detailed information."</t>
  </si>
  <si>
    <t>mailto:info@thomasjamesproductions.com</t>
  </si>
  <si>
    <t>Thomas Mecanical Services Inc.</t>
  </si>
  <si>
    <t>http://tmsigroupinc@sbcglobal.net</t>
  </si>
  <si>
    <t>mailto:thomasmech@sbcglobal.net</t>
  </si>
  <si>
    <t>Thomas Office Machin</t>
  </si>
  <si>
    <t>="Full-service office equipment dealer focused on product, services and supplies. Sell/Service: copiers/fax/printers/shredders/typewriters/adding machines/paper handling/toners/ribbons. We are an authorized Canon copier dealer, HP, Okidata and Lexmark printer dealer, Muratec fax dealer."</t>
  </si>
  <si>
    <t>http://www.thomasoffice.com</t>
  </si>
  <si>
    <t>mailto:gary@thomasoffice.com</t>
  </si>
  <si>
    <t>Thomas P. Miller and Associates</t>
  </si>
  <si>
    <t>="Thomas P. Miller and Associates (TPMA) is an innovative economic development, human capital development and higher education productivity consulting firm that enhances the economic value of communities, educational institutions and companies by aligning people, technology and initiatives. Working nationally with executive directors, CEOs, civic leaders and educators, TPMA draws on best practices and proven methods to develop cost-effective programs that help organizations become competitive."</t>
  </si>
  <si>
    <t>http://www.tpma-inc.com</t>
  </si>
  <si>
    <t>mailto:info@tpma-inc.com</t>
  </si>
  <si>
    <t>Thomas R Cook</t>
  </si>
  <si>
    <t>="M/E Design Services provides mechanical, plumbing and electrical engineering services to architects, building owners, engineers and contractors. Our firm specializes in commercial, institutional and multi-family buildings. System design services include HVAC, plumbing, fire safety, building controls, power, emergency back-up systems, lighting and utility coordination."</t>
  </si>
  <si>
    <t>http://www.m-e-design.net</t>
  </si>
  <si>
    <t>mailto:memail@m-e-design.net</t>
  </si>
  <si>
    <t>Thomas Risher</t>
  </si>
  <si>
    <t>="Put the right people into the right jobs. Reduce costly employee turnover and eliminate other “people problems”. Each assessment product is designed to meet the specific business needs of our clients by a specialized Product Development Team. We Measure The Total Person Identify people with integrity and work ethic who are reliable and drug-free Give managers the information they need to improve the productivity of the people they manage Build more-effective teams using profile performance assessments Provide valuable 360° feedback with the CheckPoint 360º Feedback tool Make your company’s customer service exceptional Improve the productivity and profitability of your call center"</t>
  </si>
  <si>
    <t>mailto:tlrisherpdc@comcast.net</t>
  </si>
  <si>
    <t>Thompson Analytics, LLC</t>
  </si>
  <si>
    <t>="Economic and demographic research &amp; analysis. Sometimes managers and public policy decision makers have difficulty setting effective research objectives. This is often compounded by the difficulties associated with determining the best approach to take. We can help! Examples of work we do: Economic... *Economic impact studies (using IMPLAN) *Benchmarking local or regional economies *Employment &amp; industry trend analysis Demographic... *Population projections (broken down by age, sex, race, etc., as needed) *School enrollment projections *Other customized demographic analysis Does your research operation need help completing part(s) of a large-scale project? Relieve some stress by ""farming out"" some of your work to us! Vince Thompson, President of Thompson Analytics, LLC, is the former state demographer for Indiana -- Indiana's representative to the Census Bureau's Federal-State Cooperative Program for Population Estimates &amp; Projections, 2003-2007."</t>
  </si>
  <si>
    <t>http://www.ThompsonAnalyticsLLC.com</t>
  </si>
  <si>
    <t>mailto:vince@thompsonanalytics.net</t>
  </si>
  <si>
    <t>Thompson/Kerr Displa</t>
  </si>
  <si>
    <t>http://thompsonkerr.com</t>
  </si>
  <si>
    <t>mailto:jthompson@thompsonkerr.com</t>
  </si>
  <si>
    <t>Thor Projects LLC</t>
  </si>
  <si>
    <t>http://www.thorprojects.com</t>
  </si>
  <si>
    <t>mailto:rbogue@thorprojects.com</t>
  </si>
  <si>
    <t>Thornton Bros Concrete</t>
  </si>
  <si>
    <t>http://www.thorntonbrothersconcrete.com</t>
  </si>
  <si>
    <t>mailto:jason@thorntonbrothersconcrete.com</t>
  </si>
  <si>
    <t>ThoughtBurst, inc</t>
  </si>
  <si>
    <t>="A new consulting company which focuses on helping our clients plan for, execute and manage significant transformation efforts, particularly in the area of customer/client related solutions. Incorporated in 2010 in Indiana, ThoughtBurst has access to a large pool of very experienced consultants. Our target market is primarily organizations in the Financial Services, Healthcare, Telecommunications and State Government sectors."</t>
  </si>
  <si>
    <t>http://www.thought-burst.com</t>
  </si>
  <si>
    <t>mailto:andy.pritchard@thought-burst.com</t>
  </si>
  <si>
    <t>Threaded Rod Company</t>
  </si>
  <si>
    <t>="Manufacturer of all thread rod and accessory products. Products include low carbon plain and plated rod as well as B7, stainless, brass, aluminum rods. Products also include anchor bolts and studs. Also manufacture hot dip galvanized threaded rod, anchor bolts and studs"</t>
  </si>
  <si>
    <t>http://www.threadedrod.com</t>
  </si>
  <si>
    <t>mailto:hwallen@threadedrod.com</t>
  </si>
  <si>
    <t>Three Hills Consulting LLC</t>
  </si>
  <si>
    <t>mailto:threehillsconsulting@yahoo.com</t>
  </si>
  <si>
    <t>Three I Engineering, Inc.</t>
  </si>
  <si>
    <t>="A consulting engineering and architectural design company employing approximately 55 people. We specialize in industrial and medical facilities. We offer complete in-house design services related to the building/construction industry. We are also involved in industrial process design."</t>
  </si>
  <si>
    <t>http://www.threeieng.com</t>
  </si>
  <si>
    <t>mailto:dtieken@threeieng.com</t>
  </si>
  <si>
    <t>Three Oaks,Inc</t>
  </si>
  <si>
    <t>="Three Oaks has varied experiences and knowledge in many aspects of construction. Three Oakes has been challenged to become an effienct, resourceful and a diverse company. Our experiences include new and existing homes,commercial, landscaping, site work,hardscaping, trucking and erosion control. We are always evolving and becoming better at providing quality services. ."</t>
  </si>
  <si>
    <t>mailto:threeoaks11@gmail.com</t>
  </si>
  <si>
    <t>Three Rivers Archery Supply, Inc.</t>
  </si>
  <si>
    <t>http://3RiversArchery.com</t>
  </si>
  <si>
    <t>mailto:info@3riversarchery.com</t>
  </si>
  <si>
    <t>Three-Twenty West, Inc</t>
  </si>
  <si>
    <t>Threehawks Cleaning Services, LLC</t>
  </si>
  <si>
    <t>="Threehawks Cleaning Services, LLC is a family owned business. With over 10 years experience we serve all of your commercial, industrial, and residential needs. We are bonded and insured. Threehawks Cleaning Service is dedicated to your satisfaction. We offer a wide array of cleaning services including: home, office, construction, commercial, and industrial. Our professional staff is available to work around your schedule. We supply our own equipment and cleaning products so that we can offer you the most detailed and worry-free service possible."</t>
  </si>
  <si>
    <t>http://www.threehawkscleaning.com/</t>
  </si>
  <si>
    <t>mailto:threehawkscleaning@yahoo.com</t>
  </si>
  <si>
    <t>Thrive3, Inc.</t>
  </si>
  <si>
    <t>http://www.thrive3.com</t>
  </si>
  <si>
    <t>mailto:lloyd@thrive3.com</t>
  </si>
  <si>
    <t>Thru All Family Cleaning LLC</t>
  </si>
  <si>
    <t>mailto:winonadavis50@yahoo.com</t>
  </si>
  <si>
    <t>Thurston Engineering</t>
  </si>
  <si>
    <t>http://www.thurstonengineering.com</t>
  </si>
  <si>
    <t>mailto:joe12629@aol.com</t>
  </si>
  <si>
    <t>TiCam Enterprises, LLC</t>
  </si>
  <si>
    <t>http://www.livewireconsultinggroup.com</t>
  </si>
  <si>
    <t>mailto:clientservices@livewireconsultinggroup.com</t>
  </si>
  <si>
    <t>Tiffany Auto Transport LLC</t>
  </si>
  <si>
    <t>mailto:tiffanyautotransport@yahoo.com</t>
  </si>
  <si>
    <t>Tigart Laser System</t>
  </si>
  <si>
    <t>="Since 1984 a laser cutting job shop for steel, stainless and aluminum parts, both flat and 3 dimensional as well as square and round tubes. Sophisticated Cenit FasTRIM 3 dimensional software makes quick work of fixture design and formed cutting. Equipment includes a 3000 watt Bystronic and a 3500 watt Prima, both with 60"" x 120"" tables. Tigart offers welding and forming as well. ISO9001:2000 certification pending."</t>
  </si>
  <si>
    <t>http://www.tigartlaser.com</t>
  </si>
  <si>
    <t>mailto:inquiry@tigartlaser.com</t>
  </si>
  <si>
    <t>Tiger Concrete Const</t>
  </si>
  <si>
    <t>mailto:tigerconcrete@sbcglobal.net</t>
  </si>
  <si>
    <t>Tiger Solutions International LLC</t>
  </si>
  <si>
    <t>="We have three divisions - Services - Human Resources, Safety, Ergonomics, Language Services, Interpretation, Translation. Construction- Products - Office Supplies, Safety supplies, Janitorial and Sanitation supplies, Industrial supplies, tools. We provide three distinct areas of quality support to meet your needs!1.Services include HR/Risk Mgmt/Languages 2. Construction GC/Renovation/Environmental Remediation 3. Products Office/Equipment/Safety/Janitorial/Sanitation/ Industrial Details for each Division Available SMEs in each Division &amp; Business Unit Current sales/service activity in all Divisions for private and government entities. Best pricing possible to meet your budget!"</t>
  </si>
  <si>
    <t>http://www.tigersolutionsinternational.c</t>
  </si>
  <si>
    <t>mailto:gregm@tigersolutionsinternational.com</t>
  </si>
  <si>
    <t>TigerFish Communications, LLC</t>
  </si>
  <si>
    <t>="TigerFish Communications is a hosted VoIP (Voice over Internet Protocol) service. Our phone system is great for small or large businesses as well as school systems. Because TigerFish’s hosted VoIP is eligible for Priority 1 E-rate discounts, we can deliver big savings to schools in time, resources, and capital. All features of our phone system are location independent…transfer, intercom and ring groups function as if the phone user is in the next office, when in reality they may be in the next town, or even another state. Our online suite of PBX administrative tools gives our customers a whole new dimension of control. Create users, change voicemail boxes and add ring groups with a click of the mouse. Find me/follow me, voicemail to email, call forwarding and intercom are just a few of the numerous advanced features that are included at no extra charge."</t>
  </si>
  <si>
    <t>http://www.tigerfishgroup.com</t>
  </si>
  <si>
    <t>mailto:info@tigerfishgroup.com</t>
  </si>
  <si>
    <t>TigerTown Designs</t>
  </si>
  <si>
    <t>="Customized graphic design, printing, and production of signage, banners, magnetics, decals, business cards, and other promotional materials. Can use existing logos and graphics or design unique visuals to meet the consumer's needs. Customized T-shirt and apparel design and printing of large and small quantities with very quick turnaround. (Usually less than 72 hours for small orders) Extremely beneficial to cost-conscious organizations and those needing orders done quickly."</t>
  </si>
  <si>
    <t>mailto:tigertown@insightbb.com</t>
  </si>
  <si>
    <t>Tim &amp; Daughters Inc.</t>
  </si>
  <si>
    <t>="Our business was founded by my Father in 1976. It has been owned and operated by our family since. We began building residential homes and slowly progressed to commercial building as well. We are a general contractor and do most any kind of construction. From housing rehabilitation to hoteland restaurant building, residential roofing to commercial flat roofing, residentail painting to industrial safety code painting, we can do just about all aspects of construction and enjoy any new challenges."</t>
  </si>
  <si>
    <t>mailto:timanddaughtersinc@sbcglobal.net</t>
  </si>
  <si>
    <t>Tim Morris Construction, Inc.</t>
  </si>
  <si>
    <t>Tim Sidwell</t>
  </si>
  <si>
    <t>mailto:portablast@yahoo.com</t>
  </si>
  <si>
    <t>Timber Ox, Inc</t>
  </si>
  <si>
    <t>http://www.timberoxgreen.com</t>
  </si>
  <si>
    <t>mailto:shannon@timberoxgreen.com</t>
  </si>
  <si>
    <t>Timberline Rack &amp; Storage, Inc.</t>
  </si>
  <si>
    <t>http://www.TimberlineRack.com</t>
  </si>
  <si>
    <t>mailto:info@TimberlineRack.com</t>
  </si>
  <si>
    <t>Time Line Publishing, Inc.</t>
  </si>
  <si>
    <t>mailto:jmatly@corpprinting.com</t>
  </si>
  <si>
    <t>Time Savers Premium Payroll Co.</t>
  </si>
  <si>
    <t>http://www.tspponline.com</t>
  </si>
  <si>
    <t>mailto:Laura@tspponline.com</t>
  </si>
  <si>
    <t>Time Warner Telecom of Indiana, LP</t>
  </si>
  <si>
    <t>http://www.twtelecom.com</t>
  </si>
  <si>
    <t>mailto:jerry.hallett@twtelecom.com</t>
  </si>
  <si>
    <t>Time to Cut</t>
  </si>
  <si>
    <t>http://timetocut1@sbcglobal.net</t>
  </si>
  <si>
    <t>mailto:timetocut1@sbcglobal.net</t>
  </si>
  <si>
    <t>Timothy G. Miller</t>
  </si>
  <si>
    <t>http://Millers Police &amp; Fire Equipment</t>
  </si>
  <si>
    <t>Timothy Juergensen</t>
  </si>
  <si>
    <t>="Timothy Juergensen helps organizations collaboratively set challenging business, operational and cultural solutions; and develop and internalize core, strategic, leadership and operational improvement competencies and skills. Mr. Juergensen enables clients to cultivate an organizational culture of pride, ownership an accountability that consistently drives high performance, sustainable business results and continuous improvement. Mr Juergensen also works to improve and connect stakeholder relationships, communication practices, performance skills, organizational support systems, and accountability directly to the achievement of operational and strategic goals."</t>
  </si>
  <si>
    <t>mailto:djuergens@jcginc.net</t>
  </si>
  <si>
    <t>Tina Mahern Events,</t>
  </si>
  <si>
    <t>http://www.mahernevents.com</t>
  </si>
  <si>
    <t>mailto:tina@mahernevents.com</t>
  </si>
  <si>
    <t>Tinder Company</t>
  </si>
  <si>
    <t>http://tinderco.com</t>
  </si>
  <si>
    <t>mailto:jtinder@tinderco.com</t>
  </si>
  <si>
    <t>Tint King LLC</t>
  </si>
  <si>
    <t>="Tint King has been serving greater Indiana by installing commercial, residential, and automotive films since 1993. Tint King offers over 100 different films for any type of application or need (i.e. energy efficient solar film, privacy film, safety film, UV fade control film, and specialty decorative film such as stained glass, etched, and frost to name a few). In addition, we also provide computer cut design and graphics tinting. No job is too small or too large for our experienced staff."</t>
  </si>
  <si>
    <t>mailto:indytintking@yahoo.com</t>
  </si>
  <si>
    <t>Tinted Wave Inc.</t>
  </si>
  <si>
    <t>Tip Scott</t>
  </si>
  <si>
    <t>http://tipscottarchitects.com</t>
  </si>
  <si>
    <t>mailto:tip@tipscottarchitects.com</t>
  </si>
  <si>
    <t>Tippecanoe County Child Abuse Prevention</t>
  </si>
  <si>
    <t>http://www.heartfordhouse.org</t>
  </si>
  <si>
    <t>mailto:heartfordhouse@verizon.net</t>
  </si>
  <si>
    <t>Tippecanoe Truck Service, Inc.</t>
  </si>
  <si>
    <t>http://tippecanoetruckservice.com</t>
  </si>
  <si>
    <t>mailto:tippytruck@hotmail.com</t>
  </si>
  <si>
    <t>Tippmann Heating and Air, LLC</t>
  </si>
  <si>
    <t>http://www.6256680.com</t>
  </si>
  <si>
    <t>mailto:service@6256680.com</t>
  </si>
  <si>
    <t>Tipton County Auditor</t>
  </si>
  <si>
    <t>Tipton Electric Motor Services, Inc</t>
  </si>
  <si>
    <t>="At Tipton Electric Motor Services, we are dedicated to providing our customers with the highest quality new electric motors, and rebuilding services which offer performance and reliability superior to the original equipment specifications. We offer a wide range of new motors for virtually any application, featuring products by Leeson, Baldor and Elektrim. We can redesign winding configurations for various voltage and speed requirements, where specifications allow. Tipton Electric Motors sells a complete line of pool and spa pumps as well as repair services. We repair servos and control systems. We manufacture new and remanufactured Rotary Phase Converters ranging in idler motor sizes from 5 HP to 40 HP! Call today and let us help you meet all your electric motor , motor control, and equipment needs!"</t>
  </si>
  <si>
    <t>http://tiptonelectricmotors.com</t>
  </si>
  <si>
    <t>mailto:motorsales@tiptonelctricmotors.com</t>
  </si>
  <si>
    <t>Tireville Inc.</t>
  </si>
  <si>
    <t>http://www.tireville.com</t>
  </si>
  <si>
    <t>mailto:info@tireville.com</t>
  </si>
  <si>
    <t>Tissue Source, LLC</t>
  </si>
  <si>
    <t>http://www.tissue-source.com</t>
  </si>
  <si>
    <t>mailto:info@tissue-source.com</t>
  </si>
  <si>
    <t>Titan Construction &amp; Engineering Service</t>
  </si>
  <si>
    <t>http://www.TitanConstructionServices.com</t>
  </si>
  <si>
    <t>mailto:info@TitanConstructionServices.com</t>
  </si>
  <si>
    <t>Titan Electric Co.</t>
  </si>
  <si>
    <t>="At Titan Electric Co. we strive for customer satisfaction in the residential, commercial, and industrial electrical contracting industry. Our attention to details and putting safety first set us aside from our competition. Computerized billing and scheduling insure our customers' projects coming in on time and on or under budget."</t>
  </si>
  <si>
    <t>http://www.TitanElectricCo.com</t>
  </si>
  <si>
    <t>mailto:robtitanelec@sbcglobal.net</t>
  </si>
  <si>
    <t>Todd Communications, Inc.</t>
  </si>
  <si>
    <t>http://www.toddcommunicationsinc.com</t>
  </si>
  <si>
    <t>mailto:tlange@toddcommunicationsinc.com</t>
  </si>
  <si>
    <t>Todd Greene</t>
  </si>
  <si>
    <t>mailto:toddgreeneroofing@sbcglobal.net</t>
  </si>
  <si>
    <t>Todd's Septic Tank</t>
  </si>
  <si>
    <t>Together Everyone Achieves More, Inc.</t>
  </si>
  <si>
    <t>Together We Can Recovery Management Ctr</t>
  </si>
  <si>
    <t>="Design and implement substance abuse education and programs, braille transcription education and all other programs as it related to the at-risk- populations. These population includes criminal justice, families, adolescents, adult women with children just to name a few."</t>
  </si>
  <si>
    <t>http://www.togetherconsultantsinc.org</t>
  </si>
  <si>
    <t>mailto:armaridge@sbcglobal.net</t>
  </si>
  <si>
    <t>Together We Can, LLC</t>
  </si>
  <si>
    <t>="Together We Can Consulting, LLC work with community, faith based and behavioral health organizations to improve service effectiveness through capacity building, strategic planning, compliance/quality control strategies, education and trainings. In addition, Together We Can, LLC will provide individual substance abuse counseling to MAT client as well individuals and families who suffer with Substance Abuse Disorders."</t>
  </si>
  <si>
    <t>mailto:reutz@comcast.net</t>
  </si>
  <si>
    <t>Togo Express LLC</t>
  </si>
  <si>
    <t>="Togo Express, LLC (Togo) is a dedicated team of trucking and logistics professionals who believe our clients’ needs come first. With a focus on transportation management and customer satisfaction, Togo strives to advance freight on time, every time. ""Where you want it. When you need it.? The Togo mission is to work with our customers to make freight, transport, and logistics needs as seamless as possible. Togo’s goal is to offer customized solutions to assist in transporting freight more competitively. Along with a fleet of company trucks and dedicated owner operators, only the highest quality, pre-qualified carriers will be utilized. Togo has access to vans, flatbeds, refrigerated trailers, and other specialized equipment, to meet all freight needs. Our freight network of carriers is fully insured, trained, and proficient in what they do."</t>
  </si>
  <si>
    <t>http://www.togolog.com</t>
  </si>
  <si>
    <t>mailto:mboodt@togolog.com</t>
  </si>
  <si>
    <t>Togo Logistics LLC</t>
  </si>
  <si>
    <t>Tolliver Forensic Services, LLC</t>
  </si>
  <si>
    <t>mailto:TolliverD@aol.com</t>
  </si>
  <si>
    <t>Tom &amp; Zee Hunt, Inc</t>
  </si>
  <si>
    <t>http://servpro-of-laporte.com</t>
  </si>
  <si>
    <t>mailto:dhodges@servpro-of-laporte.com</t>
  </si>
  <si>
    <t>Tom Lewis Corporation</t>
  </si>
  <si>
    <t>mailto:tomlewiscorp@yahoo.com</t>
  </si>
  <si>
    <t>Tom Misener</t>
  </si>
  <si>
    <t>="We can do all things relating to telephones and computers-- from moving a phone, to moving an entire phone system. We maintain and relocate ADSL's, paging systems, high-speed data lines, and computers. Computer networking can be very complex, yet New Wrinkle Communications can link all your computers to a LAN and/or the WEB. Let us review the phone charges for your multi-line system. It is possible your service charges can be changed to save you money each month. New Wrinkle has saved thousands of dollars in phone billing for its customers, and we may be able to do the same for you!"</t>
  </si>
  <si>
    <t>http://New-Wrinkle.com</t>
  </si>
  <si>
    <t>mailto:New.Wrinkle@verizon.net</t>
  </si>
  <si>
    <t>Tom O'Brien Chrysler Jeep Dodge Ram</t>
  </si>
  <si>
    <t>http://www.tomobrienindy.com</t>
  </si>
  <si>
    <t>mailto:parts_north@obrienauto.com</t>
  </si>
  <si>
    <t>http://obrienauto.com</t>
  </si>
  <si>
    <t>mailto:dhutton@obrienauto.com</t>
  </si>
  <si>
    <t>Tom Tepe Autocenter, INC</t>
  </si>
  <si>
    <t>http://tomtepeauto.com</t>
  </si>
  <si>
    <t>Tom Wood Nissan dba Tom Wood Subaru</t>
  </si>
  <si>
    <t>http://www.tomwood.com</t>
  </si>
  <si>
    <t>Tomato Fish Marketing, LLC</t>
  </si>
  <si>
    <t>="Tomato Fish Marketing is a WBE certified outsourced marketing and consulting company. We deliver knowledgeable, experienced and results-driven communications. We specialize in marketing planning, e-marketing initiatives, website optimization, and a full service menu of branding and target marketing solutions."</t>
  </si>
  <si>
    <t>http://www.tomatofishmktg.com</t>
  </si>
  <si>
    <t>mailto:bderam@tomatofishmktg.com</t>
  </si>
  <si>
    <t>Tommy D's Windows, Doors and More, Inc.</t>
  </si>
  <si>
    <t>http://tommyds.us/</t>
  </si>
  <si>
    <t>mailto:tommyds@bloomingtonsupply.com</t>
  </si>
  <si>
    <t>TonerTek, Inc. B.O.M Inc.</t>
  </si>
  <si>
    <t>mailto:sales@tonertek.com</t>
  </si>
  <si>
    <t>Tonn and Blank Construction, LLC.</t>
  </si>
  <si>
    <t>http://www.tonnandblank.com</t>
  </si>
  <si>
    <t>Tony's Homework Inc.</t>
  </si>
  <si>
    <t>http://www.tonyshomework.com</t>
  </si>
  <si>
    <t>mailto:info@tonyshomework.com</t>
  </si>
  <si>
    <t>Tonya Conrad</t>
  </si>
  <si>
    <t>mailto:gogreennow81@yahoo.com</t>
  </si>
  <si>
    <t>Top Dog Lawn Care Inc</t>
  </si>
  <si>
    <t>http://www.topdoglawncare.com</t>
  </si>
  <si>
    <t>mailto:topdoglawncare@google.com</t>
  </si>
  <si>
    <t>Top Dog Sealcoating, Inc.</t>
  </si>
  <si>
    <t>mailto:topdogsealcoating@yahoo.com</t>
  </si>
  <si>
    <t>Top Dog personal dev</t>
  </si>
  <si>
    <t>mailto:Topdogpds@aol.com</t>
  </si>
  <si>
    <t>Top Line Consulting</t>
  </si>
  <si>
    <t>=" Top Line Consultant is a locally owned and operated management consulting company focused on the development of a strong business structure for our future business partners. We deliver this by providing business management consulting and professional management services. Our approach to management is different from today’s common method of management. Instead of managing business from the middle to the bottom of the income statement, we manage from the Top Line of the income statement down to the bottom line to properly asses the business. We listen to our partner’s ideas and goals for the business coupled with the assessed situation and attempt to bring them together in a manageable way. In the face of a changing economy Top Line Consultant can help deal with both new and old business dilemmas by offering an electrifying plan to ignite business."</t>
  </si>
  <si>
    <t>mailto:toplineconsulting@earthlink.net</t>
  </si>
  <si>
    <t>Top Notch Lawn And Landscape</t>
  </si>
  <si>
    <t>="Top Notch Lawn And Landscape is a full service design, installation, and maintenance landscaping company that offers service to residential and commercial clients. In business since 1999, Top Notch Lawn And Landscape ensures each client the high quality service they deserve by building relationships and providing personal attention to eacg project."</t>
  </si>
  <si>
    <t>http://teamtopnotch.biz</t>
  </si>
  <si>
    <t>mailto:info@teamtopnotch.biz</t>
  </si>
  <si>
    <t>Top Quality Data, LLC</t>
  </si>
  <si>
    <t>http://www.topqualitydata.com</t>
  </si>
  <si>
    <t>mailto:info@topqualitydata.com</t>
  </si>
  <si>
    <t>Top Shelf Acoustics, LLC</t>
  </si>
  <si>
    <t>="About US Located in Indianapolis, Indiana USA with manufacturing facilities in China Over 20 years of combined expertise with voice communications products We specialize in customer service on product deliverables, program and product management, logistics, and supply chain management Manufacture and deliver voice communication components and sub assemblies based on your acoustic and mechanical requirements Continuous sales and logistics support with OEMs and ODMs Our lean operating principles allow for flexibility based on your various needs, reduction in product costs, and personalized and attentive support Access to experienced top Acoustical Engineering support"</t>
  </si>
  <si>
    <t>http://www.topshelfacoustics.com</t>
  </si>
  <si>
    <t>mailto:sales@topshelfacoustics.com</t>
  </si>
  <si>
    <t>Top Value Fabrics</t>
  </si>
  <si>
    <t>="Welcome to Top Value Fabrics, a leading international supplier of industrial and recreational fabrics for thirty-seven years. Our products include Canvas, Nylon, Polyester, Vinyls, and Blended Fabrics for Industrial, Marine, Recreational, Print Media, and Active/Outerwear applications. We are a wholesaler, converter and manufacturer of goods and sell by the full roll. Our experienced sales consultants partner with our customers to determine the fabric solutions that are right for their applications, taking into account price, quality and the fabric capabilities needed. Contact us today to learn more about sample availability and the solutions we can provide for you."</t>
  </si>
  <si>
    <t>http://www.topvaluefabrics.com</t>
  </si>
  <si>
    <t>mailto:IN@tvfinc.com</t>
  </si>
  <si>
    <t>Top-Notch Building Maintenance</t>
  </si>
  <si>
    <t>Topeka Capital Markets Inc.</t>
  </si>
  <si>
    <t>="Topeka Capital Markets is a full-service broker-dealer offering agency-only trading of domestic and international equities for a wide range of institutional investors. Our talented team of traders, sales traders, and research analysts has an average of nearly 15 years of experience. Each member of our team shares Topeka’s commitment to delivering extraordinary service and exceptional results for our clients."</t>
  </si>
  <si>
    <t>http://www.topekacapitalmarkets.com</t>
  </si>
  <si>
    <t>mailto:mj@topekacapitalmarkets.com</t>
  </si>
  <si>
    <t>Toric Engineering, Inc.</t>
  </si>
  <si>
    <t>http://www.toriceng.com</t>
  </si>
  <si>
    <t>Torrenga Engineering, Inc.</t>
  </si>
  <si>
    <t>="Torrenga Engineering, Inc. is a professional engineering consulting firm. We specialize in civil engineering projects including road, drainage, subdivision, sewer system, and water system designs. Our affiliated company, Torrenga Surveying, LLC provides a complete range of surveying, topographic and construction staking services. Our company is celebrating 50 years of continuous operations and our staff has a cumulative experience of more than 170 years, all with this and our affiliated firm."</t>
  </si>
  <si>
    <t>http://www.torrenga.com</t>
  </si>
  <si>
    <t>mailto:gary.torrenga@torrenga.com</t>
  </si>
  <si>
    <t>Tortilleria Angelita LLC</t>
  </si>
  <si>
    <t>="The Tamale Place produces, from scratch, authentic and natural Mexican food. We make fresh masa (after washing and grinding the corn) each morning and we use it to make our hand-made tamales, tortillas for tacos, and fresh tortilla chips. The Tamale Place prides itself on all natural food - all the time."</t>
  </si>
  <si>
    <t>http://www.thetamaleplace.com/</t>
  </si>
  <si>
    <t>mailto:thetamaleplace@sbcglobal.net</t>
  </si>
  <si>
    <t>Toshiba Business Solutions, (USA), Inc.</t>
  </si>
  <si>
    <t>="Whatever your need, whatever the size of your company, Toshiba is here to help you work more efficiently and securely. We offer a wide range of products, from high-speed color MFPs to super-efficient black and white printers to scanners and fax machines to software and solutions."</t>
  </si>
  <si>
    <t>http://www.business.toshiba.com</t>
  </si>
  <si>
    <t>Tot Shots Photography Inc.</t>
  </si>
  <si>
    <t>http://totshotsgallery.com</t>
  </si>
  <si>
    <t>mailto:crystal@totshotsgallery.com</t>
  </si>
  <si>
    <t>Total Accounting Solutions, Inc.</t>
  </si>
  <si>
    <t>http://www.tas-in.com/</t>
  </si>
  <si>
    <t>mailto:info@tas-in.com</t>
  </si>
  <si>
    <t>Total Benefit Solutions llc</t>
  </si>
  <si>
    <t>http://www.tbsllc.net</t>
  </si>
  <si>
    <t>mailto:jbaxter@tbsllc.net</t>
  </si>
  <si>
    <t>Total Builders Concept &amp; Supply Co.</t>
  </si>
  <si>
    <t>="General construction, construction management, construction building materials and supplies, Administrative Management and General Consulting Services, Other Construction Material Merchant Wholesalers, Commercial and Institutional Building Construction, and Wood Kitchen Cabinet and Countertop Manufacturing"</t>
  </si>
  <si>
    <t>mailto:c.totalbuilders@sbcglobal.net</t>
  </si>
  <si>
    <t>Total Development Construction Inc.</t>
  </si>
  <si>
    <t>http://www.totaldevconstruction.com</t>
  </si>
  <si>
    <t>mailto:totaldevelopment@comcast.net</t>
  </si>
  <si>
    <t>Total Disposal, Inc.</t>
  </si>
  <si>
    <t>http://www.totaldisposal.com</t>
  </si>
  <si>
    <t>mailto:info@totaldisposal.com</t>
  </si>
  <si>
    <t>Total Exterminating</t>
  </si>
  <si>
    <t>http://www.total-pestcontrol.com</t>
  </si>
  <si>
    <t>mailto:dan@total-pestcontrol.com</t>
  </si>
  <si>
    <t>Total Response, Inc.</t>
  </si>
  <si>
    <t>http://www.jacksongroup.com</t>
  </si>
  <si>
    <t>Total Reward Solutions, LLC</t>
  </si>
  <si>
    <t>http://totalrsolutions.com/</t>
  </si>
  <si>
    <t>mailto:cassandra@totalrsolutions.com</t>
  </si>
  <si>
    <t>Total Shred Solutions, LLC</t>
  </si>
  <si>
    <t>http://www.totalshredsolutions.com</t>
  </si>
  <si>
    <t>mailto:marc@totalshredsolutions.com</t>
  </si>
  <si>
    <t>Total Solutions LLC</t>
  </si>
  <si>
    <t>mailto:gijohnson@sbcglobal.net</t>
  </si>
  <si>
    <t>Total Surface Solutions LLC</t>
  </si>
  <si>
    <t>mailto:lca47715@yahoo.com</t>
  </si>
  <si>
    <t>Total Systems, Inc.</t>
  </si>
  <si>
    <t>="Improving business through technology solutions - primarily in document management, customer relationship management, contact management, project management, closed-loop email marketing, business intelligence, automated business alerts, computer telephony integration (CTI)"</t>
  </si>
  <si>
    <t>http://www.totalsystemsinc.com</t>
  </si>
  <si>
    <t>mailto:info@totalsystemsinc.com</t>
  </si>
  <si>
    <t>Touch Me Info-Pods Inc</t>
  </si>
  <si>
    <t>="Info-Pods are a network of interactive guides to what's happening in our city. These street-level touch screens act as virtual concierges, on duty 24/7. The Info-Pods design and program consolidates our community assets, and allow us to share our diverse, yet collective community pride on one interactive screen. Info-Pods are the place to find fun at your fingertips.Info-Pods assist economic development by highlighting our community partnerships and showcasing our Hoosier pride. Info-Pods support Indy's profits and non-profits by increasing the range, reach, and frequency of cooperative community branding."</t>
  </si>
  <si>
    <t>http://www.TouchMeInfoPods.com/demo</t>
  </si>
  <si>
    <t>Touch Of Love Home Care, L.L.C.</t>
  </si>
  <si>
    <t>mailto:touchoflovehc1@aol.com</t>
  </si>
  <si>
    <t>Touch of Love Home Care,LLC</t>
  </si>
  <si>
    <t>="Touch of Love Home Care, LLC is prominently 50% minority and 50% women owned. At Touch of Love Home Care, LLC we strive to accommodate and pleased are clients in any way. Myself and my partner Carmen McCloud have former experience in the care of others from infants to adults. What we provide is professional care with a loving touch!"</t>
  </si>
  <si>
    <t>http://www.touchoflove.com</t>
  </si>
  <si>
    <t>mailto:touchoflovehhc@att.net</t>
  </si>
  <si>
    <t>Touched Be Blessed Services</t>
  </si>
  <si>
    <t>http://www.touchedbeblessed.com</t>
  </si>
  <si>
    <t>mailto:sales@touchedbeblessed.com</t>
  </si>
  <si>
    <t>Touched Be Blessed Services INC</t>
  </si>
  <si>
    <t>="Touched Be Blessed Services, Incorporated is a 21st century Information Communications Technology (ICT) Service provider, which offers Professional Information Communication Technology Resources within four core Service Area’s; Universal Web Development, Hosting which includes Domain Registration, Graphic Design, and Business Consulting. Small Businesses are the very foundation of economic growth, but in many cases lack access to the resources and support to make their Vision come alive. TBBS aims to stand in the gap offering affordable professional quality services to small businesses locally and globally, with a primary focus on helping business owners which so happens to have a disability."</t>
  </si>
  <si>
    <t>Touchstone Measuerment Service LLC</t>
  </si>
  <si>
    <t>http://www.touchstone.net</t>
  </si>
  <si>
    <t>mailto:johnc@touchstone.net</t>
  </si>
  <si>
    <t>Touchstone Wellness Center, Inc.</t>
  </si>
  <si>
    <t>="Touchstone Wellness Center, Inc. offers a wide range of STRESS MANAGEMENT Training Programs, for corporate and institutional groups of all sizes. We provide specific topic programs as brief as 30 minutes, depth programs covering 5 full days, and everything in between. We are happy to customize our programs to address your specific needs. Our programs emphasize the TRANSFER OF MEANINGFUL SKILLS to the participants in their efforts to manage stress at work and at home. Longer programs provide multiple skills, and effort is taken to assist participants in taking these skills away with them for active use. We offer follow-up programs tailored to fit your organizations' schedules and needs. Our principal trainer is Joseph Boike, who holds a degree from Indiana University in Applied Psychophysiology, and has over 20 years experience working with individuals and groups in the stress management field. He has lead corporate training programs since 1998. Several well-known clients"</t>
  </si>
  <si>
    <t>http://www.touchstonewellness.com</t>
  </si>
  <si>
    <t>mailto:wellness@bloomington.in.us</t>
  </si>
  <si>
    <t>Tovar Snow Professionals, Inc.</t>
  </si>
  <si>
    <t>http://www.tovarsnow.com/</t>
  </si>
  <si>
    <t>Tow Zone Trailer</t>
  </si>
  <si>
    <t>mailto:winkiej@aol.com</t>
  </si>
  <si>
    <t>Town &amp; Country CDJ, Inc.</t>
  </si>
  <si>
    <t>="We are a certified 5-Star full-line dealer in Chrysler products, and provide Government Procurement and State Contract (QPA) pricing to all political subdivisions in the State of Indiana. We offer Dodge Charger/Magnum Police Pursuit Vehicles, as well as Dodge Ram Trucks, and SUV's from Dodge and Jeep. Call us for your best government fleet pricing."</t>
  </si>
  <si>
    <t>mailto:sroberts@bloomingtonford.net</t>
  </si>
  <si>
    <t>Town &amp; Country Construction, Inc.</t>
  </si>
  <si>
    <t>mailto:tcpaving@netnitco.net</t>
  </si>
  <si>
    <t>Town Transportation</t>
  </si>
  <si>
    <t>mailto:towntrans@yahoo.com</t>
  </si>
  <si>
    <t>Town of Cicero</t>
  </si>
  <si>
    <t>Town of Rockville</t>
  </si>
  <si>
    <t>Town of Shipshewana</t>
  </si>
  <si>
    <t>Town of Versailles</t>
  </si>
  <si>
    <t>Tracaron Designs Inc.</t>
  </si>
  <si>
    <t>http://www.houzz.com/ideabooks/users/car</t>
  </si>
  <si>
    <t>mailto:tracaron@aol.co</t>
  </si>
  <si>
    <t>Track Services, Inc.</t>
  </si>
  <si>
    <t>http://www.trackservices.net</t>
  </si>
  <si>
    <t>mailto:clindley@trackservices.net</t>
  </si>
  <si>
    <t>Traffic Control Specialists, Inc</t>
  </si>
  <si>
    <t>mailto:tcs@tcspecialists.net</t>
  </si>
  <si>
    <t>Traffic Engineering, Inc.</t>
  </si>
  <si>
    <t>="Traffic Engineering, Inc. established in 1997, is a professional Traffic Engineering firm located just west of Indianapolis. Services include traffic engineering and transportation planning studies, roundabout analysis/design, traffic signal design, pedestrian studies, and traffic data collection services. Traffic Engineering, Inc. is committed to providing both exceptional and creative solutions. We provide governing bodies, engineering firms, and developers with comprehensive analyses of existing and projected traffic scenarios. We have prepared hundreds of analyses ranging from fast food drive-thru restaurants to huge mixed-use developments. Through feasibility analysis, our clients are able to identify potential problem areas earlier in the design process and modify plans accordingly. Traffic Engineering Inc. was created in response to an absence of creativity within the field of traffic engineering. We strive to maintain a reputation of creativity meshed with logic—contact"</t>
  </si>
  <si>
    <t>http://www.trafficengineering.com</t>
  </si>
  <si>
    <t>mailto:cms@trafficengineering.com</t>
  </si>
  <si>
    <t>Trailblazers, LLC</t>
  </si>
  <si>
    <t>="Providing construction, community development, facilities management consulting services. Trailblazers is made up of individuals who have had distinguished careers in getting significant projects accomplished. In our group, you will find: •Community Development Specialists •Local, State and Regional Organizers •Developers •Construction Managers •Vendors to the Construction Industry"</t>
  </si>
  <si>
    <t>http://www.trailblazersllc.com</t>
  </si>
  <si>
    <t>mailto:debbiew@trailblazersllc.com</t>
  </si>
  <si>
    <t>TrainCom Ventures, LLC</t>
  </si>
  <si>
    <t>http://TrainComVentures.Com</t>
  </si>
  <si>
    <t>mailto:blmclane01@gmail.com</t>
  </si>
  <si>
    <t>TrainerConnect.co</t>
  </si>
  <si>
    <t>="TrainerConnect is a Training, People Performance and Organizational Development Firm building collaborative partnerships with clients and through the assessment of their employee and organizational needs, develop and deliver customizable and sustainable training solutions for their organization. With our team of subject matter experts and training Providers, TrainerConnect provides Instructor-led facilitation, e-learning programming and content development across multi-industry verticals. We perform post-training evaluations of employee transformation and on-going continuous improvement activities with our clients to address future skill gap challenges, professional development opportunities and organizational performance and alignment. Our firm also provides Community Enrichment and Professional Development seminars, motivational conferences and workshops in leadership, employee engagement arts and appreciation, cultural awareness topics and more."</t>
  </si>
  <si>
    <t>http://www.trainerconnect.co</t>
  </si>
  <si>
    <t>mailto:cwilson@trainerconnect.co</t>
  </si>
  <si>
    <t>Training Paws</t>
  </si>
  <si>
    <t>http://TrainingPaws.web.officelive.com</t>
  </si>
  <si>
    <t>mailto:TrainingPaws@live.com</t>
  </si>
  <si>
    <t>Training for Excellence Inc.</t>
  </si>
  <si>
    <t>mailto:ddmodlin@yahoo.com</t>
  </si>
  <si>
    <t>Tramco, Inc.</t>
  </si>
  <si>
    <t>mailto:tunneldigger@msn.com</t>
  </si>
  <si>
    <t>Trans-Plants Inc.</t>
  </si>
  <si>
    <t>mailto:trans.plants@att.net</t>
  </si>
  <si>
    <t>TransWide Consultants, Inc.</t>
  </si>
  <si>
    <t>mailto:transwide@earthlink.net</t>
  </si>
  <si>
    <t>Transatlantic Traders, Inc.</t>
  </si>
  <si>
    <t>="Import/export company providing many products and services to various governmental agencies, including DOD and State. We have a successful record of providing equipment ranging from military support, to computer hardware and software, to heavy equipment like fire trucks and aircraft surveillance. we've also provided computer troubleshooting services and hardware/software upgrades and maintenance, as well as data security and restoration, web and Internet development, and other I/T related services."</t>
  </si>
  <si>
    <t>http://www.transatlantictrading.com</t>
  </si>
  <si>
    <t>mailto:info@transatlantictrading.com</t>
  </si>
  <si>
    <t>Transfer Media, LLC</t>
  </si>
  <si>
    <t>="Media (Audio &amp; Video) transfer, restoration and conversion company located in Indianapolis, IN. Archival-grade transfers and mass-digitization services available for many audio and video tape formats. Specializing in restoring audio and video from aging and damaged tapes. Lab-grade ""baking"" facilities available."</t>
  </si>
  <si>
    <t>http://www.transfermedia.tv</t>
  </si>
  <si>
    <t>mailto:info@transfermedia.tv</t>
  </si>
  <si>
    <t>Transformations By Wieland, Inc.</t>
  </si>
  <si>
    <t>="Transformations manufactures high quality, upholstered furniture with the unique features and benefits of “renewability”. Utilizing a patented system, all products can be disassembled/reassembled with no tools or special skills, and the fabric can be removed and replaced. Merging the strength and durability of contract furniture with the beauty and comfort of residential furniture, Transformations products are perfect for environments that desire beauty and comfort, while demanding durability and sustainable value."</t>
  </si>
  <si>
    <t>http://www.transformationsfurniture.com</t>
  </si>
  <si>
    <t>mailto:info@trfurniture.com</t>
  </si>
  <si>
    <t>Institutional Furniture Manufacturing</t>
  </si>
  <si>
    <t>Transhield, Inc.</t>
  </si>
  <si>
    <t>="Manufacturer of protective coverings for recreational, military and industrial entities. We have several different types of shrinkable fabric tailored to your business needs including corrosion resistant, UV protected, moisture retention. Our three-layer fabric is a patented polyethylene shrink stretch film."</t>
  </si>
  <si>
    <t>http://www.transhield-usa.com</t>
  </si>
  <si>
    <t>mailto:mattpeat@transhield-usa.com</t>
  </si>
  <si>
    <t>Transitional Assistance Services, Inc</t>
  </si>
  <si>
    <t>="Transitional Assistance Services (TAS) is a community-based, nonprofit mental health organization offering an array of services to young people and their families. Our specialty is assisting adolescents and children in reintegrating into their school, family and community following their participation in structured care programs and non-traditional school settings. Our mission is to help adolescents experience a seamless transition that is culturally sensitive, promotes equal opportunities to learn, and increases attitudes, beliefs and behaviors regarding self-worth, the need to obtain an education, and living drug-free lives. TAS’ services are provided through research-based models that support best practice strategies that make available optimal learning results. Our methods for evaluation are both qualitative and quantitative to assist in defining results and the need for program adaptation. All of our services are holistic to maximize our success rate in assisting our clients, "</t>
  </si>
  <si>
    <t>http://www.taservices.org</t>
  </si>
  <si>
    <t>mailto:tas@taservices.org</t>
  </si>
  <si>
    <t>Translations InterAmerica, Inc.</t>
  </si>
  <si>
    <t>mailto:montsezuck@ameritech.net</t>
  </si>
  <si>
    <t>Transpay Merchant Services, Inc.</t>
  </si>
  <si>
    <t>http://www.gotranspay.com</t>
  </si>
  <si>
    <t>mailto:brent.banninga@gmail.com</t>
  </si>
  <si>
    <t>Credit Card Issuing</t>
  </si>
  <si>
    <t>Transplants-Inc.</t>
  </si>
  <si>
    <t>mailto:trans-plants@att.net</t>
  </si>
  <si>
    <t>Transportation Consulting Engineers, LLC</t>
  </si>
  <si>
    <t>="Civil engineering services to private, state and local governments for the design of sitework, highways and bridges, including repairs, replacement, reconstruction on new alignment. We listen to our clients concerns and develop innovative and economical solutions to their problems. We strive to produce a high quality product within the clients budget and in a timely manner."</t>
  </si>
  <si>
    <t>http://tce-engr.com</t>
  </si>
  <si>
    <t>mailto:tce@tce-engr.com</t>
  </si>
  <si>
    <t>Travel Management Company, LTD</t>
  </si>
  <si>
    <t>="Travel Management Company passengers experience exceptional service, consistent pricing and the ultimate in luxury travel with each flight on one of the company’s 70-plus private jets. With access to more than 5,500 airports throughout the United States, Mexico, Canada and the Caribbean, our travelers find convenient air travel meeting their exact specifications. Demonstrating a sharp focus on clients’ security and privacy, TMC boasts an ARG/US Platinum rating and has earned Wyvern Wingman status, two of the industry’s highest safety grades. When you fly with TMC, you have the comfort of knowing that each of our highly trained expert pilots is committed to meeting TMC’s standards of excellence in safety, professionalism and customer service."</t>
  </si>
  <si>
    <t>http://www.tmcjets.com</t>
  </si>
  <si>
    <t>mailto:quotes@tmcjets.com</t>
  </si>
  <si>
    <t>Travelectra, Inc.</t>
  </si>
  <si>
    <t>="Travelectra commits (with verification and audit) that any resulting contract will be serviced by Indiana FTE employees for travel management services. We are committed to the economic impact of our state customers and providing a tax benefit through employment and opportunity."</t>
  </si>
  <si>
    <t>http://www.travelectra.com</t>
  </si>
  <si>
    <t>mailto:travel.support@travelectra.com</t>
  </si>
  <si>
    <t>Travis Davis Neurological Foundation, In</t>
  </si>
  <si>
    <t>mailto:travistdavis1966@yahoo.com</t>
  </si>
  <si>
    <t>Traylor Enterprises LLC</t>
  </si>
  <si>
    <t>http://www.SAF-T-AID.com</t>
  </si>
  <si>
    <t>mailto:aetraylor@comcast.net</t>
  </si>
  <si>
    <t>Traylor Enterprises, LLC</t>
  </si>
  <si>
    <t>Traynor &amp; Associates, Inc.</t>
  </si>
  <si>
    <t>http://www.traynorassociates.com</t>
  </si>
  <si>
    <t>mailto:Joe@TraynorAssociates.com</t>
  </si>
  <si>
    <t>Tre' Club Designs</t>
  </si>
  <si>
    <t>="Innovative graphic design professional prepared to add experience, fresh graphic creativity to your team to generate superior quality advertising and promotional operations, using advanced technologies and mutual devising strategies. Main concentration is in the area of pre-media design and production of electronic artwork. Complete works in logo creation &amp; branding, promotions &amp; advertisement/marketing, apparel design and corporate/business stationary."</t>
  </si>
  <si>
    <t>http://www.trcampbell.carbonmade.com</t>
  </si>
  <si>
    <t>mailto:tre.club.designs@gmail.com</t>
  </si>
  <si>
    <t>Treadstone LLC</t>
  </si>
  <si>
    <t>="Treadstone LLC is a leading manufacturer of premium recycled rubber products for landscaping and various applications. The recycled rubber products offered by Treadstone offer a unique, high quality alternative to wood. These cost effective options are also environmentally friendly. Treadstone reduces valuable landfill space by recycling hundreds of thousands of scrap industrial tires annually. Find out more about us by visiting our website- treadstonellc.com today! Or contact us at treadstone@treadstonellc.com."</t>
  </si>
  <si>
    <t>http://treadstonellc.com</t>
  </si>
  <si>
    <t>mailto:dsanderson@treadstonellc.com</t>
  </si>
  <si>
    <t>Tree of Life Bks Inc</t>
  </si>
  <si>
    <t>http://tolbookstores.com</t>
  </si>
  <si>
    <t>mailto:pminnich@tolbookstores.com</t>
  </si>
  <si>
    <t>TreeMasters, Inc.</t>
  </si>
  <si>
    <t>http://www.treemendousday.com</t>
  </si>
  <si>
    <t>mailto:info@treemendousday.com</t>
  </si>
  <si>
    <t>Treesh Logo Communications Corp</t>
  </si>
  <si>
    <t>Trendy Minds, Inc.</t>
  </si>
  <si>
    <t>="Trendy Minds is a full-service advertising/creative agency. We specialize in brand consulting, interactive services, media solutions and promotional merchandise. Whether you need an organized advertising campaign or a unique product to promote your business, we are here to help."</t>
  </si>
  <si>
    <t>http://www.trendyminds.com</t>
  </si>
  <si>
    <t>mailto:info@trendyminds.com</t>
  </si>
  <si>
    <t>Tri Green Tractor LLC</t>
  </si>
  <si>
    <t>http://www.trigreentractor.com</t>
  </si>
  <si>
    <t>Tri Noble</t>
  </si>
  <si>
    <t>="Our mission is to lead by excellence. We have been providing our cleaning services to the Northern Indiana &amp; North West Ohio area’s since 1988. We offer Office cleaning services, Window cleaning (including high rise buildings) &amp; post construction clean up. The clientele we service, currently, include professional offices, medical facilities (including hospitals), store fronts, restaurants, department stores, factories and other miscellaneous stores and offices. We take great pride in the quality and professionalism of our work, it is not just what we do, it’s who we are."</t>
  </si>
  <si>
    <t>http://Trinoble.net</t>
  </si>
  <si>
    <t>mailto:trinoble@juno.com</t>
  </si>
  <si>
    <t>Tri State Maintenance, Inc.</t>
  </si>
  <si>
    <t>="Full service property management service company, providing janitorial service as the core of our business to property owners and property managers. In addition, we provide snow removal, landscaping, window washing, floor care and cleaning. Family owned and operated, serving the state of Indiana"</t>
  </si>
  <si>
    <t>http://www.tristatemaintenance.net</t>
  </si>
  <si>
    <t>mailto:info@tristatemaintenance.net</t>
  </si>
  <si>
    <t>Tri State Utility Sales and Service, Inc</t>
  </si>
  <si>
    <t>mailto:tsussinc@aol.com</t>
  </si>
  <si>
    <t>Commercial and Service Industry Machinery Manufacturing</t>
  </si>
  <si>
    <t>Tri-Brothers Security</t>
  </si>
  <si>
    <t>="Based in Camby, Indiana, Tri-Brothers Security is a locally owned and operated security services company. Our executive team has over 20 years of combined experience in the security industry. We have an excellent reputation in Indiana and pride ourselves on providing clients with locally recruited and trained uniformed security officer, vehicle patrols and client specific security programs. Tri-Brothers also provides safety and security consulting to its clients."</t>
  </si>
  <si>
    <t>http://www.tribrotherssecurity.com</t>
  </si>
  <si>
    <t>mailto:jeremymorris@tribrotherssecurity.com</t>
  </si>
  <si>
    <t>Tri-Corp Wireless, Inc.</t>
  </si>
  <si>
    <t>="Tri-Corp Wireless is a Sprint/Nextel Dealer. We provide cellular services and Wireless Aircards for Gov, General Business and perssonal use. Tri-Corp Wireless si located in NW Indiana, we have 7 locations throughout Laporte County, Porter County and Lake County Indiana. We have out side sales reps for B to B sales and service. Our stores carry a wide variety of handset as well as accessories. Several of our locations are Service centers that can repair or replace broken or damaged handsets. We take pride in our outstanding staff and their personal product knowledge. Stop by a Tri-Corp store if you have any questions."</t>
  </si>
  <si>
    <t>http://www.tricorpwireless.com</t>
  </si>
  <si>
    <t>mailto:rhonda@tricorpwireless.com</t>
  </si>
  <si>
    <t>Tri-County Builders Co., INC.</t>
  </si>
  <si>
    <t>="Tri-County Builders Co., INC. was founded in 1982. Since that time, the company has seen steady growth and earned a respectable reputation in the construction field. We are located in Bedford, IN and perform work throughout the central and southern portions of the state. We are a General Contractor specializing in Commercial, Industrial, and Government contracts. We compete in all areas of contracting including plan and specification work, design/build projects, as well as maintenance contracts. We perform demolition, excavation, waterline, sewerline, lift station, concrete, rough and finish carpentry, steel erection, and other types of construction too numerous to mention."</t>
  </si>
  <si>
    <t>mailto:dougkellams@tricountybldrs.com</t>
  </si>
  <si>
    <t>Tri-County Rental</t>
  </si>
  <si>
    <t>http://www.tri-countyrental.com</t>
  </si>
  <si>
    <t>Tri-County Steel INC</t>
  </si>
  <si>
    <t>mailto:dkellams@tima.com</t>
  </si>
  <si>
    <t>Tri-Mark Marine, Inc.</t>
  </si>
  <si>
    <t>mailto:bsief01@gmail.com</t>
  </si>
  <si>
    <t>Tri-Star Filtration, Inc.</t>
  </si>
  <si>
    <t>="Tri-Star Filtration, Inc. is a distributor of high quality finishing equipment and filtration products used in the industrial, automotive, wood finishing and commercial industries. We are distributors for some of the industries most respected names, including AAF International, C.A. Technologies, Research Products, Filtration Group, and Paint Pockets. We can provide cost savings solutions for all your finishing, air make up and H.V.A.C. needs with high quality products at competitive prices. For more information about Tri-Star Filtration, Inc. call us directly at (317) 337-0940."</t>
  </si>
  <si>
    <t>http://www.tristarfiltration.net</t>
  </si>
  <si>
    <t>mailto:TSFTracyH@gmail.com</t>
  </si>
  <si>
    <t>Tri-Star Mfg Co.</t>
  </si>
  <si>
    <t>="Tri-Star Mfg Co. is primarily a Cut &amp; Sew Manufacturing Operation that produces a variety of standard &amp; custom sewn products for the Early Childhood Industry and the Recreation &amp; Leisure Industry, as well as Contract Sewing Projects and Programs for a variety of businesses and product categories. Product examples include Childrens Rest Cots &amp; Rest Mats, Exercise &amp; Tumbling Mats, Wall Mats, Bean Bag Chairs, Mat Storage Units and various accessories including sheets, blankets, Non-Toxic Cleaners and Disinfectants. Additional product examples include Spa Covers &amp; Spa Accessories, BBQ Grill Covers, Boat Covers &amp; Cushions, Pool Table Covers, Boat &amp; Golf Cart Enclosurers, Furniture &amp; Patio Furniture Reupholstery, Special Covers and Custom Made Products per the customer's specifications."</t>
  </si>
  <si>
    <t>http://www.tristarmfg.com</t>
  </si>
  <si>
    <t>mailto:tristarmfg@verizon.net</t>
  </si>
  <si>
    <t>Tri-State Addressing Machine Co. Inc.</t>
  </si>
  <si>
    <t>Tri-State Bearing Co. Inc.</t>
  </si>
  <si>
    <t>http://tristate-bearing.com</t>
  </si>
  <si>
    <t>mailto:tsbweb@tristate-bearing.com</t>
  </si>
  <si>
    <t>Tri-State Carpet Cleaning &amp; Janitorial S</t>
  </si>
  <si>
    <t>mailto:IBTLU710@aol.com</t>
  </si>
  <si>
    <t>Tri-State Food Bank, Inc.</t>
  </si>
  <si>
    <t>="Tri-State Food Bank solicits and distributes marketable surplus food to non-profit agencies that serve the needy in a 33-county area of the tri-state. We serve as the channel through which donors may be assured of good warehousing practices, equitable distribution, and accountability to the member agencies as well as to the needy. We educate the public about the nature of and the solutions to the problems of hunger and encourage donors to practice the good stewardship of donating, not dumpling, usable surplus food."</t>
  </si>
  <si>
    <t>http://www.tristatefoodbank.org</t>
  </si>
  <si>
    <t>mailto:mblair@tristatefoodbank.org</t>
  </si>
  <si>
    <t>Tri-State Module Inc</t>
  </si>
  <si>
    <t>http://www.tristatemodule.com</t>
  </si>
  <si>
    <t>mailto:info@tristatemodule.com</t>
  </si>
  <si>
    <t>Tri-state diesel and auto center llc</t>
  </si>
  <si>
    <t>http://tbolen_toddbolen@yahoo.com</t>
  </si>
  <si>
    <t>mailto:tbolen_toddbolen@yahoo.com</t>
  </si>
  <si>
    <t>TriBond Farms Inc</t>
  </si>
  <si>
    <t>http://www.hhfarms.net</t>
  </si>
  <si>
    <t>mailto:hhfarms@hhfarms.net</t>
  </si>
  <si>
    <t>TriState Mobile Home Parts and Service</t>
  </si>
  <si>
    <t>mailto:tristate18@seidata.com</t>
  </si>
  <si>
    <t>Triac Electrical Contractors</t>
  </si>
  <si>
    <t>mailto:triacelectric@ymail.com</t>
  </si>
  <si>
    <t>Triad Public Relations Inc.</t>
  </si>
  <si>
    <t>="Triad Public Relations focuses on serving primarily healthcare, professional services, technology and non-profit organizations through strategic communications planning, crisis communications and issues management, media relations, communications training and employee communications."</t>
  </si>
  <si>
    <t>http://www.triadpr.net</t>
  </si>
  <si>
    <t>mailto:info@triadpr.net</t>
  </si>
  <si>
    <t>Trias Global LLC</t>
  </si>
  <si>
    <t>="Trias Global is a global network orchestration and Knowledge management firm that deploys an efficient and optimized platform of solutions for our clients. Trias Global specializes in business development and international trade through a robust technology platform. Our solutions include providing managed and utility infrastructure services that enable our clients to improve business continuity and promote the growth of their ICT infrastructure."</t>
  </si>
  <si>
    <t>http://www.triasglobal.com</t>
  </si>
  <si>
    <t>mailto:adware@triasglobal.com</t>
  </si>
  <si>
    <t>Trice Strategic Consulting</t>
  </si>
  <si>
    <t>="Provides strategic communications solutions to businesses, non-profits and educational institutions/intities. Services include communications strategic planning, public relations, marketing, nontechnical writing, strategic event planning, crisis communications, reputation management and internal communications consulting."</t>
  </si>
  <si>
    <t>http://tricestrategies.com</t>
  </si>
  <si>
    <t>mailto:patzetta@tricestrategies.com</t>
  </si>
  <si>
    <t>Trico Solutions</t>
  </si>
  <si>
    <t>http://tricosolutionsinc.com</t>
  </si>
  <si>
    <t>mailto:jt@tricosolutionsinc.com</t>
  </si>
  <si>
    <t>Trico Trucking</t>
  </si>
  <si>
    <t>mailto:fsydney@aol.com</t>
  </si>
  <si>
    <t>Tridelt Construction Incorporated</t>
  </si>
  <si>
    <t>http://TrideltConstruction.com</t>
  </si>
  <si>
    <t>mailto:info@trideltconstruction.com</t>
  </si>
  <si>
    <t>Trifecta Business Resources LLC</t>
  </si>
  <si>
    <t>="Trifecta Business Resources provides management and employee consulting, mentoring/coaching and training solutions to organizations to increase volume, profitability and sustainability. Specializing in results-driven employee engagement, customer service and business transition customized programs."</t>
  </si>
  <si>
    <t>http://www.ellenmann.com</t>
  </si>
  <si>
    <t>mailto:ellen@ellenmann.com</t>
  </si>
  <si>
    <t>Trilegion Inc.</t>
  </si>
  <si>
    <t>="Contracting and consulting company that focuses on Training, exercises, simulations, audits, and evaluations in Business Recovery, Preparedness programs, Incident Management, Crisis Communication, Supply Chain resiliency, Emergency response, Emergency and disaster Preparedness, Vulnerability assessments, tactical and strategic recovery, program management, security evaluations, and After Action Reviews"</t>
  </si>
  <si>
    <t>http://www.trilegion.com</t>
  </si>
  <si>
    <t>mailto:triscari@trilegion.com</t>
  </si>
  <si>
    <t>Trillium Workforce Consultants LLC</t>
  </si>
  <si>
    <t>mailto:l.fetters@sbcglobal.net</t>
  </si>
  <si>
    <t>Trinity Group. Inc.</t>
  </si>
  <si>
    <t>http://www.trinitygroupinc.net</t>
  </si>
  <si>
    <t>mailto:tgi@trinitygroupinc.net</t>
  </si>
  <si>
    <t>Trinity Photography, LLC</t>
  </si>
  <si>
    <t>http://www.trinityphotography.biz</t>
  </si>
  <si>
    <t>mailto:sales@trinityphotography.biz</t>
  </si>
  <si>
    <t>Trinity Recycling, Inc</t>
  </si>
  <si>
    <t>="Trinity Recycling, Inc. is a certified member of the AAA-NAID (National Association of Information Destruction). Trinity Recyclig, Inc. has the capability to destroy sensitive documents such as: HR reports, profit &amp; loss statements, balance sheets , employee's documents, bank records and microfilm, mirofiche, x-rays and computers all of these mentioned to a size of 2"" x 2"""</t>
  </si>
  <si>
    <t>http://www.trinityrecycling.us</t>
  </si>
  <si>
    <t>mailto:derekc@trinityrecycling.us</t>
  </si>
  <si>
    <t>Trinity Solutions</t>
  </si>
  <si>
    <t>http://www.trisolcorp.com</t>
  </si>
  <si>
    <t>mailto:cedric@trisolcorp.com</t>
  </si>
  <si>
    <t>Trinity Staffing Solutions, INC.</t>
  </si>
  <si>
    <t>="Trinity Staffing Solutions was established with the goal of providing quality temporary workers and personalized service to its customers. Carefully thought out and researched strategies for applicant testing, recruiting, retention, training and customer satisfaction has helped Trinity Staffing Solutions become a successful staffing agency in the Indianapolis area. We can provide qualified temporary help, temp-to-hire, and direct placement referrals for any office services and light industrial position. Trinity unconditionally guarantees that our employees are qualified to perform the duties which they are assigned and that the work will be performed in an acceptable manner."</t>
  </si>
  <si>
    <t>Trinity Vending Serv</t>
  </si>
  <si>
    <t>mailto:trinityvending@sbcglobal.net</t>
  </si>
  <si>
    <t>TrinityTruck&amp;Trailer Supply LLC</t>
  </si>
  <si>
    <t>mailto:trinitysupply@juno.com</t>
  </si>
  <si>
    <t>Triple R Marketing</t>
  </si>
  <si>
    <t>http://triplermarketing.norwood.com</t>
  </si>
  <si>
    <t>mailto:triplermarketing@comcast.net</t>
  </si>
  <si>
    <t>Triple S Development, LLC</t>
  </si>
  <si>
    <t>="Triple S Development, LLC is a real estate development and general contracting company. Triple S Development, LLC was formed in July, 2003. The members include; Patricia L. Keller (Managing Member), Stanley R. Keller Sr (Member), and Stanley R. Keller Jr (Member). The owners of this Limited Liability Company have over 100 combined years of experience in the real estate development and construction industries. This experience consists of residential, commercial, and multifamily housing development, ownership and construction. Triple S Development, LLC provides hands on construction knowledge including total site development, all phase of concrete construction and single family homes. Triple S Development, LLC originated when a family decided that they wanted to create something more than just buildings. Using unique ideas, team work, and compassion we hope that our work will inspire others to reach their ambition."</t>
  </si>
  <si>
    <t>http://www.triplesdevelopment.com</t>
  </si>
  <si>
    <t>mailto:patricia@triplesdevelopment.com</t>
  </si>
  <si>
    <t>Triplett Striping Inc.</t>
  </si>
  <si>
    <t>http://tsipaving.net</t>
  </si>
  <si>
    <t>mailto:maria_triplett@sbcglobal.net</t>
  </si>
  <si>
    <t>Triton School Corporation</t>
  </si>
  <si>
    <t>http://www.triton.k12.in.us</t>
  </si>
  <si>
    <t>Triumph Communication</t>
  </si>
  <si>
    <t>mailto:jleonard@triumphcomm.net</t>
  </si>
  <si>
    <t>Triumph Construction LLC</t>
  </si>
  <si>
    <t>mailto:pam.lecount@triumphconst.com</t>
  </si>
  <si>
    <t>Triumvirate Enterprises</t>
  </si>
  <si>
    <t>="We are an Indiana based Veteran Owned Small Business. Our uniform series is called “Protocol” and is manufactured by Triumvirate Enterprises under strict supervision of our demanding quality control team which performs with unusual accuracy, thoroughness while achieving the highest standard of excellence. We take great pride in the engineering of or uniforms based on direct input from our clients, paying specific attention to their needs and creating solutions for the future for the law enforcement, first responder, security and maintenance professionals working in the field. Triumvirate maintains a very large volume of uniforms at our corporate office in Indianapolis, IN. This also allows us to accommodate smaller and first time orders in a very timely manner Our goal is quite simple. It is to deliver a superior quality product while maintaining extraordinary customer service to our clients in our high paced and ever changing global market place."</t>
  </si>
  <si>
    <t>http://www.getuniforms.com</t>
  </si>
  <si>
    <t>mailto:bmorris@triumvirateent.com</t>
  </si>
  <si>
    <t>Tronitech Document Management, LLC</t>
  </si>
  <si>
    <t>="We have over 25 years experience satisfying the needs of thousands of customers. We provide access to the most productive data management products and services with unparalleled expertise...so you can concentrate on the important stuff - your business. ~On-line, near-line and off-line services: Imaging solutions, COLD storage, CD-ROM, and Microfiche. ~Service bureau: Off-site data warehousing/retrieval and document scanning. ~VaultView ASP software solutions: Oracle, Onbase and Report Manager (also available in-house). Three unique imaging solutions hosted on-line at Tronitech. ~Hardware Sales: Systems, scanners, scanner maintenance and reader/printers. ~Engineering and consulting services"</t>
  </si>
  <si>
    <t>mailto:sholleman2@tronitech.com</t>
  </si>
  <si>
    <t>Tronitech Preservation and Retrieval</t>
  </si>
  <si>
    <t>mailto:markenau@tronitech.com</t>
  </si>
  <si>
    <t>Trophy House</t>
  </si>
  <si>
    <t>http://www.thetrophyhouse.com</t>
  </si>
  <si>
    <t>mailto:317-783-9396</t>
  </si>
  <si>
    <t>Trost Corporation</t>
  </si>
  <si>
    <t>http://www.trocor.com</t>
  </si>
  <si>
    <t>mailto:info@trocor.com</t>
  </si>
  <si>
    <t>Troy Risk, Inc.</t>
  </si>
  <si>
    <t>="Environmental consulting and engineering, soil and ground water remediation, Phase I and Phase II site assessment reports, environmental audits, geotechnical engineering, mobile laboratory, drilling services, landfill management, Brownfields investigations, vapor intrusion assessment and mitigation."</t>
  </si>
  <si>
    <t>http://www.troyrisk.com</t>
  </si>
  <si>
    <t>mailto:dneeley@troyrisk.com</t>
  </si>
  <si>
    <t>Troyer Foods, Inc.</t>
  </si>
  <si>
    <t>="Broadline Food Distributor servicing IN, MI, OH, KY, IL. We stock over 5,000 items in our Goshen Warehouse, including: Poultry, Beef, Pork, Seafood, Paper Goods, Janitorial Supplies, Deli, and Bakery items. We offer daily deliveries and currently serve over 2,000 customers."</t>
  </si>
  <si>
    <t>http://troyers.com</t>
  </si>
  <si>
    <t>mailto:troyers@troyers.com</t>
  </si>
  <si>
    <t>Tru II You, LLC</t>
  </si>
  <si>
    <t>="Tru II You Barber &amp; Beauty Salon is an established business backed by more than 18 years of experience. We are a barbershop and beauty salon in Indianapolis that specializes in affordable services for multi-ethnic clients. We also have a variety of personal care &amp; beauty products available as well."</t>
  </si>
  <si>
    <t>mailto:dgrundy@dbisp.net</t>
  </si>
  <si>
    <t>Tru-Cut, Inc.</t>
  </si>
  <si>
    <t>http://www.trucutinc.com</t>
  </si>
  <si>
    <t>mailto:sales@trucutinc.com</t>
  </si>
  <si>
    <t>Tru-Flex Metal Hose Corp.</t>
  </si>
  <si>
    <t>http://www.tru-flex.com</t>
  </si>
  <si>
    <t>mailto:truflex@tru-flex.com</t>
  </si>
  <si>
    <t>TruGreen Limited Partnership</t>
  </si>
  <si>
    <t>http://www.trugreen.com/</t>
  </si>
  <si>
    <t>mailto:markrollman@trugreenmail.com</t>
  </si>
  <si>
    <t>TruStar Solutions, Inc.</t>
  </si>
  <si>
    <t>="TruStar Solutions is the partner of choice in providing customized e-recruiting solutions through unbiased relationships with the best providers in the industry. We act as an advisor, solutions provider, and single point of contact to help businesses realize their vision of a proactive, organization-shaping recruiting process. We start by developing a recruiting strategy that leverages the best practices in the industry, not just the most popular products and services. Our solutions are built to fit within budget constraints, and optimize spend to be successful in recruiting the best candidates for your organization. We also work with our clients to assess the current situation and recognize any gaps. Together, we create a solution that fills those gaps and in the end, our clients reap the benefits of a customized, world-class recruiting process. With an eye to the future, our products and services continue to evolve to reflect the best practices in the recruiting industry."</t>
  </si>
  <si>
    <t>http://www.trustarsolutions.com</t>
  </si>
  <si>
    <t>mailto:info@trustarsolutions.com</t>
  </si>
  <si>
    <t>Truck Country of Indiana</t>
  </si>
  <si>
    <t>http://www.truckcountry.com</t>
  </si>
  <si>
    <t>mailto:michaelcrowe@truckcountry.com</t>
  </si>
  <si>
    <t>True Chem, Inc.</t>
  </si>
  <si>
    <t>="We provide water treatment for potable water systems, boiler systems, cooling systems and industrial wastewater treatment in the commercial and industrial market. We supply treatment, chemical control systems and engineering services related to these systems."</t>
  </si>
  <si>
    <t>http://www.truechem.net</t>
  </si>
  <si>
    <t>mailto:truechem@truechem.net</t>
  </si>
  <si>
    <t>True Native Consulting, LLP</t>
  </si>
  <si>
    <t>http://www.truenativeconsulting.com</t>
  </si>
  <si>
    <t>True Temp Heating and Air Cond. Inc.</t>
  </si>
  <si>
    <t>http://www.truetemp.net</t>
  </si>
  <si>
    <t>mailto:truetemp@truetemp.net</t>
  </si>
  <si>
    <t>True Temp Heating/AC</t>
  </si>
  <si>
    <t>="Providing HVAC and Mechanical services to the Indianapolis area and surrounding counties. We provide commercial services in the hotel and restaurant industry as well as service,repair and install residential hvac system be it replacement or new construction. We provide free estimates and are listed with the BBB for the last 6 yrs with 0 complaints."</t>
  </si>
  <si>
    <t>mailto:shodge@truetemp.net</t>
  </si>
  <si>
    <t>TrueLite Of Ind., In</t>
  </si>
  <si>
    <t>mailto:truelite@sbcglobal.net</t>
  </si>
  <si>
    <t>Trueblood Lubricants, LLC</t>
  </si>
  <si>
    <t>http://www.truebloodlubricants.com</t>
  </si>
  <si>
    <t>mailto:pete.trueblood@truebloodlubricants.com</t>
  </si>
  <si>
    <t>Trusted Resource &amp; Service Solutions</t>
  </si>
  <si>
    <t>="At Trusted Resource &amp; Service Solutions we offer an array of supplies and services to our clients. Our services include, window washing, general cleaning services (indoor and outdoor), vending including break room snacks and complementary items. We also offer office and cleaning supplies ranging from paper clips and toiletries up to copy paper and office and break room furniture. In short our business is here to accommodate your business in any and every way possible. We look forward to having your business! Thank you, Tony R. Sanders Jr. President &amp; CEO TRUSTED RESOURCE &amp; SERVICE SOLUTIONS LLC"</t>
  </si>
  <si>
    <t>mailto:trs_solutions@yahoo.com</t>
  </si>
  <si>
    <t>Trustees of Indiana University</t>
  </si>
  <si>
    <t>="Founded in 1820, Indiana University is one of the largest and most diverse public research institutions in the United States. On eight campuses around the state, 7,000 faculty members contribute to IU's excellence in the humanities, social sciences, music, fine arts, international studies, and the sciences as well as to the university's outstanding professional schools in business, dentistry, education, law, medicine, nursing, optometry, and public and environmental affairs."</t>
  </si>
  <si>
    <t>http://www.research.iu.edu</t>
  </si>
  <si>
    <t>mailto:resdev@indiana.edu</t>
  </si>
  <si>
    <t>Truver Inc.</t>
  </si>
  <si>
    <t>http://www.baneclene.com</t>
  </si>
  <si>
    <t>Tryon HR Solutions,</t>
  </si>
  <si>
    <t>Tubby Hubby LLC</t>
  </si>
  <si>
    <t>Tuckiana Services, Inc.</t>
  </si>
  <si>
    <t>http://www.tuckiana.com</t>
  </si>
  <si>
    <t>mailto:restorit@insightbb.com</t>
  </si>
  <si>
    <t>Tugtel Communications, Inc.</t>
  </si>
  <si>
    <t>http://www.tugtel.com</t>
  </si>
  <si>
    <t>mailto:corporate@tugtel.com</t>
  </si>
  <si>
    <t>Tully Recruiting, LLC</t>
  </si>
  <si>
    <t>http://www.tullyrecruiting.com</t>
  </si>
  <si>
    <t>mailto:lisa@tullyrecruiting.com</t>
  </si>
  <si>
    <t>Tulox Plastics Corp.</t>
  </si>
  <si>
    <t>Plastics Pipe, Pipe Fitting, and Unsupported Profile Shape Manufacturing</t>
  </si>
  <si>
    <t>Tundra Refrigeration</t>
  </si>
  <si>
    <t>mailto:Tundraref@aol.com</t>
  </si>
  <si>
    <t>Turfgrass Inc.</t>
  </si>
  <si>
    <t>="Turfgrass Inc. provides erosion control services and products including but not limited to seeding, silt fence, inlet protection, hydroseeding, straw mulching &amp; crimping, coconut wattles, and other proceedures and devices used to keep waterways clear of soil and sediment pollution and to prevent soil erosion."</t>
  </si>
  <si>
    <t>mailto:TurfgrassInc@comcast.net</t>
  </si>
  <si>
    <t>Turi's Heavenly Heating &amp; Air, LLC</t>
  </si>
  <si>
    <t>mailto:stlcoolair@wowway.com</t>
  </si>
  <si>
    <t>Turientine and Associates LLC</t>
  </si>
  <si>
    <t>mailto:aturientine@indy.rr.com</t>
  </si>
  <si>
    <t>TurnKey Home Network</t>
  </si>
  <si>
    <t>http://www.TurnKeyHomeNetworks.com</t>
  </si>
  <si>
    <t>mailto:Info@TurnKeyHomeNetworks.com</t>
  </si>
  <si>
    <t>Turner Construction Company Indiana LLC</t>
  </si>
  <si>
    <t>http://www.turnerconstruction.com/indian</t>
  </si>
  <si>
    <t>mailto:tsummers@tcco.com</t>
  </si>
  <si>
    <t>TurnerPerformanceTruckingLLC</t>
  </si>
  <si>
    <t>mailto:r.turner37@yahoo.com</t>
  </si>
  <si>
    <t>Turning Point Consulting, Inc.</t>
  </si>
  <si>
    <t>="Turning Point Consulting is an executive level coaching and consulting firm. The firm was founded by and most services are provided by Patti Ayars, a nationally recognized expert for excellence in managing the people side of the business and in leading successful change. Turning Point forms an outcome-based partnership with you to accelerate your progress in achieving the results you want to achieve. Services include: executive coaching, 360 feedback &amp; development planning, strategy development &amp; coaching in implementing your strategy, Human Resource strategy development, customized executive meeting design &amp; facilitation and public speaking on change management."</t>
  </si>
  <si>
    <t>http://www.turningpoint-consulting.com</t>
  </si>
  <si>
    <t>mailto:payars@turningpoint-consulting.com</t>
  </si>
  <si>
    <t>Turnkey Mechanical</t>
  </si>
  <si>
    <t>http://www.turnkeymech.com</t>
  </si>
  <si>
    <t>mailto:turnkeycorp@earthlink.net</t>
  </si>
  <si>
    <t>Turtle Island Wind and Solar LLC</t>
  </si>
  <si>
    <t>Tuscan MosaicsInc.</t>
  </si>
  <si>
    <t>http://www.tuscanmosaics.com</t>
  </si>
  <si>
    <t>mailto:courtneyseghetti@hotmail.com</t>
  </si>
  <si>
    <t>Tuttles Nursery &amp; Landscape Inc</t>
  </si>
  <si>
    <t>http://www.tuttlesnursery.com</t>
  </si>
  <si>
    <t>TwinMed, LLC</t>
  </si>
  <si>
    <t>="Twin Med is your single source for a full range of nursing home supplies at the best possible prices. Twin Med is your one-stop shop for: Incontinence Products, Surgical Dressings, gloves, IV Therapy, Ostomy, Physical Therapy, products, Diabetic Supplies, Housekeeping, Linens, Enteral &amp; Feeding Products, DME, Diagnostics, Wound Care, Respiratory Supplies, Urological, OTC. Our PPD Program is a tremendously successful program that utilizes a cost management approach. Based on a capitation formula, the PPD enables facilities to budget and track costs much more efficiently. This program is revolutionizing the way long-term care facilities purchase their products."</t>
  </si>
  <si>
    <t>http://tmedonline.com</t>
  </si>
  <si>
    <t>mailto:dhansen@twinmedinc.com</t>
  </si>
  <si>
    <t>Two Cubed Solutions, LLC</t>
  </si>
  <si>
    <t>Two Fillies Logistics, LLC</t>
  </si>
  <si>
    <t>mailto:twofilliesllc@aol.com</t>
  </si>
  <si>
    <t>Tyler Boats, Inc.</t>
  </si>
  <si>
    <t>http://tylerboats.net</t>
  </si>
  <si>
    <t>mailto:jtyler.tylerboats@roadrunner.com</t>
  </si>
  <si>
    <t>Tylor &amp; Blkburn Batt</t>
  </si>
  <si>
    <t>mailto:dekabatteryindianapolis@earthlink.net</t>
  </si>
  <si>
    <t>Tyner's Electric Motor Repair</t>
  </si>
  <si>
    <t>="We repair electric motors, single phase and three phase. We maintain a small, but well equipped shop that allows us to maintain a low overhead, which means that we have the means to keep our prices far lower than the competition. We also pick up and deliver all motors that we repair. We also buy scrap motors for recycling @ $1.00 per horsepower."</t>
  </si>
  <si>
    <t>Tyree Supply Company</t>
  </si>
  <si>
    <t>mailto:jtyree1@VERIZON.NET</t>
  </si>
  <si>
    <t>Hardware Wholesalers</t>
  </si>
  <si>
    <t>Tyseal Systems</t>
  </si>
  <si>
    <t>mailto:ty.seal@sbcglobal.net</t>
  </si>
  <si>
    <t>Tyson Corporation</t>
  </si>
  <si>
    <t>="Tyson Corporation, headquartered in Indianapolis, Indiana, the leader in design, manufacturing, deliveryand installation of portable andpermanent Mobile and Modular Commercial Structures, has been in business for over 40years. Our difference is not only that we sell what we build, but that we control and manage the entire process. Tyson Corporation employees are involved in every step of the process. From the first contact, through engineering, code clearance, manufacturing, site development, installation, and warranty,you have one source to call. You are not dealing with sub contractors, you are dealing with Tyson Corporation employees. Tyson Corporation manufactures and installs temporary and permanent portable, custom modular buildings. We also have a long line of products including mobile offices, portable classrooms and educational facilities, storage containers and ultras."</t>
  </si>
  <si>
    <t>http://www.tysoncorporation.com</t>
  </si>
  <si>
    <t>mailto:sales@tysoncorporation.com</t>
  </si>
  <si>
    <t>Tyson, Hanes &amp; Eppley, LLC</t>
  </si>
  <si>
    <t>="Dale Carnegie Training® excels at helping companies improve performance by maximizing the growth of its people. Our professional training is for decision-makers, leaders, executives and managers and covers a variety of topics including: * Public Speaking * Communications * Self-Improvement * Sales * Leadership and Management * Change Management * Customer Service * Hiring and Retention Strategies"</t>
  </si>
  <si>
    <t>http://dcarnegietraining.com</t>
  </si>
  <si>
    <t>mailto:david@osborneconsultingllc.com</t>
  </si>
  <si>
    <t>U S Machinery LLC</t>
  </si>
  <si>
    <t>mailto:joe@usmachinery.com</t>
  </si>
  <si>
    <t>U S Machinery, LLC</t>
  </si>
  <si>
    <t>http://www.usmachinery.com</t>
  </si>
  <si>
    <t>U got it Maid!</t>
  </si>
  <si>
    <t>http://www.ugot-itmaid.com</t>
  </si>
  <si>
    <t>mailto:ugot_itmaid@hotmail.com</t>
  </si>
  <si>
    <t>U-go Electric Co. Inc.</t>
  </si>
  <si>
    <t>="We are an electrical company based out of Gary, IN. There is no job too big or too small for us to handle. All of our electricicans are experienced and motivated people. Our line of work includes residential, commercial, and industrial. Our residential homes range from 1500 sq ft to 20,000 sq ft"</t>
  </si>
  <si>
    <t>http://ugoelectric.com</t>
  </si>
  <si>
    <t>mailto:ugoelectric@hotmail.com</t>
  </si>
  <si>
    <t>U. S. Foodservice</t>
  </si>
  <si>
    <t>="U.S. Foodservice, Inc., dba US Foods (Indianapolis Division) located at 12301 Cumberland Rd, Fishers, IN 46038 is a full line foodservice distributor supplying Indiana restaurants, hospitals, other healthcare facilities, lodging, government and education facilities and other institutions offering foodservice operations with a full line of grocery, frozen and refridgerated products, produce as well as disposables, chemicals, and foodservice equipement and supplies."</t>
  </si>
  <si>
    <t>http://www.usfoods.com</t>
  </si>
  <si>
    <t>mailto:dennis.garrett@usfood.com</t>
  </si>
  <si>
    <t>U. S. Aggregates</t>
  </si>
  <si>
    <t>http://www.usagg.com</t>
  </si>
  <si>
    <t>U. S. Contractors, Inc.</t>
  </si>
  <si>
    <t>="United Services, DKI (a div. of US Contractors, Inc.) is a speciality contractor involved in Fire, Water, and Weather damage restoration work. Many of the jobs we receive are referred to us from the property owner's insurance company, and are insurance claims. We are a Preferred Contractor for several insurance companies. United Services can also perform Emergency Services and Board-ups 24 hours - 7 days a week. Other services we provide are; Insurance Appraisals, Umpire Services, and Mold Remediation. United Services has on staff a Certified Restorer and Certified Mold Remediators. We have a professionally trained, knowledgeable staff."</t>
  </si>
  <si>
    <t>mailto:tbroertjes@usdki.com</t>
  </si>
  <si>
    <t>U.S. Final Pass, Inc.</t>
  </si>
  <si>
    <t>="U.S. Final Pass was formed to allow greater healthcare access for all people. Because cost of healthcare is directly affected by surfeit profit margins of medical equipment and supply manufacturers, our service was created to help hospitals obtain pricing below buying group pricing without affecting group negotiated line item pricing. Reducing operating costs enable hospitals to allocate savings to patient care. Our non-profit arm, U.S. Final Pass Compliance, monitors whether or not savings brought by U.S. Final Pass to hospitals are actually passed on to patients. USFinalPass.com creates an environment of truer competition amongst vendors via an online bidding format."</t>
  </si>
  <si>
    <t>http://www.usfinalpass.com</t>
  </si>
  <si>
    <t>mailto:RutherBudhi@usfinalpass.com</t>
  </si>
  <si>
    <t>U.S. Police Supply</t>
  </si>
  <si>
    <t>http://www.uspolicesupply.com</t>
  </si>
  <si>
    <t>mailto:bill@ususupply.com</t>
  </si>
  <si>
    <t>U.S. Student Loan Adjustments</t>
  </si>
  <si>
    <t>="U.S. Student Loan Adjustments will provide services to high school ,college, and post college students. The Staff at The U.S. Student Loan Adjustment will provide participants the opportunity to receive, admissions consulting, loan counseling, and student loan rehabilitation. The student loan rehabilitation is designed to get the loan out of default"</t>
  </si>
  <si>
    <t>http://www.usloanadjustment.com</t>
  </si>
  <si>
    <t>mailto:ussla@usloanadjustment.com</t>
  </si>
  <si>
    <t>U.S. Uniform&amp;Supply</t>
  </si>
  <si>
    <t>http://www.ususupply.com</t>
  </si>
  <si>
    <t>mailto:sales@ususupply.com</t>
  </si>
  <si>
    <t>UDAT</t>
  </si>
  <si>
    <t>mailto:vacking44@hotmail.com</t>
  </si>
  <si>
    <t>UHS Midwest Center for Youth and Familie</t>
  </si>
  <si>
    <t>http://www.midwest-center.com</t>
  </si>
  <si>
    <t>mailto:michael.perry@uhsinc.com</t>
  </si>
  <si>
    <t>UL LLC</t>
  </si>
  <si>
    <t>http://www.ul.com/water</t>
  </si>
  <si>
    <t>mailto:waterquality@ul.com</t>
  </si>
  <si>
    <t>UN Communications, Inc.</t>
  </si>
  <si>
    <t>http://www.uncommunications.com</t>
  </si>
  <si>
    <t>mailto:dpurvis@uncommunications.com</t>
  </si>
  <si>
    <t>UNIQUE ENTERPRISES CO., INC</t>
  </si>
  <si>
    <t>UNITED CONSULTING</t>
  </si>
  <si>
    <t>="UNITED CONSULTING is a locally owned, full service engineering and architectural design company, which was established in 1965. Our staff includes professional engineers, architects, planners, environmental specialists, construction inspectors, right-of-way specialists, technicians, surveyors and associates. As a result, our firm is in a position to provide the entire range of professional services to carry infrastructure and building projects from conceptual development through construction. Our staff has excellent educational and professional credentials, and a broad base of practical professional experience. This coupled with our firm's commitment to customer service, has resulted in our proven track record of completing projects on schedule and within budgets."</t>
  </si>
  <si>
    <t>http://www.ucindy.com</t>
  </si>
  <si>
    <t>mailto:info@ucindy.com</t>
  </si>
  <si>
    <t>UNITED STATES DOSIMETRY TECHNOLOGY, INC</t>
  </si>
  <si>
    <t>="Personnel dosimetry badge services for X-ray radiation monitoring and dose reporting for hospitals, doctors, dentists, chiropractors, veterinarians, agricultural (soil density and moisture), industrial (weld and container inspection), construction (road and highway paving), and homeland security applications."</t>
  </si>
  <si>
    <t>http://www.usdtech.com</t>
  </si>
  <si>
    <t>mailto:usdt2@cs.com</t>
  </si>
  <si>
    <t>URASKY SPECIALIZED TRANSPORTATION, LLC</t>
  </si>
  <si>
    <t>http://www.uraskyspecialized.com</t>
  </si>
  <si>
    <t>mailto:ust@uraskyspecialized.com</t>
  </si>
  <si>
    <t>URS CORPORATION</t>
  </si>
  <si>
    <t>="Since 1903, URS Corporation has provided a diverse clientele with planning, architectural, engineering design and construction services for projects in the surface transportation, air transportation, facilities, industry and environmental markets. With over 26,000 talented professionals in 300 offices throughout 20 countries serving government agencies and private clients, URS can be “local” almost everywhere. The URS Indianapolis office offers full support for transportation design, environmental services and facilities design. URS Corporation has been ranked by Engineering News-Record as the #1 firm in the Top 500 Design Firms."</t>
  </si>
  <si>
    <t>http://www.urscorp.com</t>
  </si>
  <si>
    <t>mailto:dawn_replogle@urscorp.com</t>
  </si>
  <si>
    <t>URSCHEL LABORATORIES INC</t>
  </si>
  <si>
    <t>http://www.urschel.com</t>
  </si>
  <si>
    <t>mailto:info@urschel.com</t>
  </si>
  <si>
    <t>US Greenworks LLC</t>
  </si>
  <si>
    <t>="Recycled granite pavers are created using left-over material from stone fabricators in the Northwest Indiana and Chicagoland area. We then use patented machinery to manufacture the waste into pavers and decorative tiles of various shapes and sizes. This prevents millions of pounds of waste material from going into landfills each year."</t>
  </si>
  <si>
    <t>http://www.RecycledGranite.com</t>
  </si>
  <si>
    <t>mailto:julierizzo@comcast.net</t>
  </si>
  <si>
    <t>US Plastic Lumber Company</t>
  </si>
  <si>
    <t>="TRIMAX is a wholly owned subsidiary of US Plastic Lumber specializing in the manufacture of both standard and structural plastic lumber. Serving markets in the Transportation, Furniture, Wholesale Lumber, and Residential Lumber. Our products include custom lineal shapes as well as standard nominal lumber manufactured from recycled high density polyethylene. Our products are resistant to chemical damage, moisture, rot, cracking and insects. TRIMAX products are manufactured from environmentally freindly materials and are themselves 100% recyclable. We also manufacture a structural lumber product using recycled fiberglass to reinforce the lineal shapes, generally used in project based application such as piers, boarkwalks and fendering systems. Common uses for our product include, residential decking, commercial project decking, marine docks, outdoor furniture, and liner products for the transportation industry."</t>
  </si>
  <si>
    <t>http://www.trimaxbp.com</t>
  </si>
  <si>
    <t>mailto:info@trimaxbp.com</t>
  </si>
  <si>
    <t>US WATER SYSTEMS INC</t>
  </si>
  <si>
    <t>="US WATER SYSTEMS does everything with water... except walk on it. About 60% of our business is Commercial/Industrial water solutions, such as water softening, de-ionization, reverse osmosis, chlorination, ozonation, ultraviolet disinfection and filtration. We design/build all types of C/I systems and are manufacturers or master distributors of every product we sell. 40% of our business is residential treatment, including softening and reverse osmosis. We specialize in problem water that other companies stay away from, problems like lead, arsenic, bacteria, tannins, sulfur, iron and high TDS. We are distributors for FLOWMATIC, GE/OSMONICS, WEDECO UV, STENNER PRO, PRO PRODUCTS and OMNIPURE."</t>
  </si>
  <si>
    <t>http://www.uswatersystems.com</t>
  </si>
  <si>
    <t>mailto:mark@uswatersystems.com</t>
  </si>
  <si>
    <t>USA CONSTRUCTION COMPANY INC.</t>
  </si>
  <si>
    <t>USA Up Star, LLC</t>
  </si>
  <si>
    <t>="USA Up Star, LLC will sell from web based commerce for paint coatings, epoxies, solvents, microbial, other hazardous materials, green technology coatings, related sundries (roller covers, roller, tape, and caulk), and green technology products in the same industry."</t>
  </si>
  <si>
    <t>USASIA LLC</t>
  </si>
  <si>
    <t>USI Consultants, Inc.</t>
  </si>
  <si>
    <t>="USI Consultants Inc. was incorporated in the State of Indiana in 1976 (as United Surveying, Inc.) and is licensed to practice engineering, surveying, and mapping within the State of Indiana, the State of Illinois, and the Commonwealth of Kentucky. USI Consultants, Inc. is involved in the design, surveying, and construction engineering of civil engineering and transportation related projects. Our professional services include: TRANSPORTATION AND CIVIL ENGINEERING CONSTRUCTION PROJECT MANAGEMENT AND INSPECTION RIGHT-OF-WAY ENGINEERING AND SERVICES DESIGN SURVEYS CONSTRUCTION STAKING LEGAL SURVEYS"</t>
  </si>
  <si>
    <t>http://www.usiconsultants.com</t>
  </si>
  <si>
    <t>mailto:rsnider@usiconsultants.com</t>
  </si>
  <si>
    <t>UV Solutions LLC</t>
  </si>
  <si>
    <t>mailto:cstewart@hbainc.com</t>
  </si>
  <si>
    <t>Uebelhor &amp; Sons Chev</t>
  </si>
  <si>
    <t>http://uebelhorandsons.com</t>
  </si>
  <si>
    <t>mailto:chopf@uebelhorandsons.com</t>
  </si>
  <si>
    <t>Ulrich Chemical, Inc</t>
  </si>
  <si>
    <t>http://www.ulrichchem.com</t>
  </si>
  <si>
    <t>Ultimate Decks by Chermark LLC</t>
  </si>
  <si>
    <t>http://www.chermarkllc.com</t>
  </si>
  <si>
    <t>mailto:erica@chermarkllc.com</t>
  </si>
  <si>
    <t>UltraCoat, Inc.</t>
  </si>
  <si>
    <t>http://ultracoatinc.com</t>
  </si>
  <si>
    <t>mailto:byron@ultracoatinc.com</t>
  </si>
  <si>
    <t>Unconventional Solutions, Inc.</t>
  </si>
  <si>
    <t>http://www.unconventionalsolutions.biz</t>
  </si>
  <si>
    <t>mailto:office@unconventionalsolutions.biz</t>
  </si>
  <si>
    <t>Under Construction Enterprises Inc</t>
  </si>
  <si>
    <t>="Fire Alarms, CCTV, Low Voltage Electrical; Electrical Contractors; Security Systems Services (except Locksmiths); Electrical Contractors and Other Wiring Installation Contractors; New Single-Family Housing Construction (except For-Sale Builders); New Multifamily Housing Construction (except For-Sale Builders); Residential Remodelers; Flooring Contractors; Commercial and Institutional Construction, Framing Contractors, Masonry Contractors, Glass and Glazing Contractors, Roofing Contractors, Siding Contractors, Other Foundation Structure and Building Exterior Contractors, Other Building Equipment Contractors, Painting and Wall Covering Contractors, Tile and Terrazzo Contractors, Finish Carpentry Contractors, Other Building Finishing Contractors, Site Preparation Contractors, All Other Specialty Trade Contractors, Electrical Apparatus and Equipment, Wiring Supplies, LED Lighting and Related Equipment Merchant Wholesaler"</t>
  </si>
  <si>
    <t>http://www.ucenterprises.com</t>
  </si>
  <si>
    <t>mailto:ray@ucenterprises.com</t>
  </si>
  <si>
    <t>Underground Pipe &amp; Valve, Inc.</t>
  </si>
  <si>
    <t>http://www.upvinc.com</t>
  </si>
  <si>
    <t>mailto:dcarey@upvinc.com</t>
  </si>
  <si>
    <t>Understanding CooPeration, LLC</t>
  </si>
  <si>
    <t>="Helping Each Other Together By.... We are matching small businesses and unemployed people to help each other, in any manner possible. i.e. temporary employment, project employment, advertising utilizing the unemployed my matching their skills, experience, trades, certifications and Licensing with the needs of small businesses by using our website and personal attention by actively and closely working with both parties."</t>
  </si>
  <si>
    <t>mailto:Picaboboy0320@aol.com</t>
  </si>
  <si>
    <t>Underwood Architecture</t>
  </si>
  <si>
    <t>="Architectural Design, 80% commercial, 20% residential, project types include corporate, child care, multi-family residential, historic restoration, educational, retail, and civic. Services include feasibility studies, master planning, architectural design, construction drawings, specifications, construction observation, and opinions of probable cost."</t>
  </si>
  <si>
    <t>mailto:tanner@underwood-architecture.com</t>
  </si>
  <si>
    <t>Underwriters Laboratories Inc.</t>
  </si>
  <si>
    <t>mailto:nathan.r.trowbridge@ul.com</t>
  </si>
  <si>
    <t>Unified Informatics LLC</t>
  </si>
  <si>
    <t>Unified Solutions, LLC</t>
  </si>
  <si>
    <t>="Unified Solutions, LLC is a behavioral health agency providing counseling services to children, adolescents, adults and their families. Through home-based and school-based services, Unified Solutions provides an integrated approach to various problems affecting children, adolescents and adults of any age."</t>
  </si>
  <si>
    <t>http://www.unifiedsolutionsindiana.org</t>
  </si>
  <si>
    <t>mailto:amanda@unifiedsolutionsindiana.org</t>
  </si>
  <si>
    <t>Unik Cleaning Service Corportion</t>
  </si>
  <si>
    <t>="Unik Cleaning specialized in cleaning offices building, churches, medical facilities, daycares, schools, restaurants and floorcare. For the convenience of our customers, Unik Cleaning Service will offer consistency and flexibility to our customers and extraordinary services to increase number of clients served every year through superior sevice."</t>
  </si>
  <si>
    <t>http://www.unikcleaning.com</t>
  </si>
  <si>
    <t>mailto:ewmartin7@yahoo.com</t>
  </si>
  <si>
    <t>Union Hardware Company, Inc.</t>
  </si>
  <si>
    <t>Union Hospital, Inc.</t>
  </si>
  <si>
    <t>http://www.uhhg.org</t>
  </si>
  <si>
    <t>Union Office Services, Inc.</t>
  </si>
  <si>
    <t>http://absscreening.com</t>
  </si>
  <si>
    <t>mailto:info@absscreening.com</t>
  </si>
  <si>
    <t>Union Site Supply, LLC</t>
  </si>
  <si>
    <t>="Supplier of construction site material including but not limited to building material, soil &amp; aggregrate material, concrete pipe &amp; culverts, manhole supplies, utility &amp; electrical supplies, water meters, water &amp; waste water supplies &amp; sanitary waste supplies."</t>
  </si>
  <si>
    <t>mailto:unionsitesupply@aol.com</t>
  </si>
  <si>
    <t>Unique Caulking of Indiana, LLC</t>
  </si>
  <si>
    <t>Unique Management Services, Inc.</t>
  </si>
  <si>
    <t>http://www.unique-mgmt.com</t>
  </si>
  <si>
    <t>mailto:info@unique-mgmt.com</t>
  </si>
  <si>
    <t>Unique Masonry Stucco Coating, LLC</t>
  </si>
  <si>
    <t>mailto:mr.crivera@hotmail.com</t>
  </si>
  <si>
    <t>Unique Printing &amp; Labels, Inc.</t>
  </si>
  <si>
    <t>="Unique Printing &amp; Labels, Inc. is an Indiana company that provides full service printing including: offset printing (brochures, business cards, envelopes, etc), flexographic roll label printing, signs, banners, vehicle graphics, outdoor graphics among other things. We also supply envelopes, papers, and other print related items. We have over 30 years of experience in printing and manufacture the above items all under one roof in central Indiana."</t>
  </si>
  <si>
    <t>http://uniqueprinting.com</t>
  </si>
  <si>
    <t>mailto:unique@uniqueprinting.com</t>
  </si>
  <si>
    <t>United Air Works, Inc.</t>
  </si>
  <si>
    <t>mailto:unitedairworks@yahoo.com</t>
  </si>
  <si>
    <t>United Art and Education</t>
  </si>
  <si>
    <t>="The finest selection of art materials and related products at the best possible price! Dependable service, quality materials, quick turnaround, fast shipping! Also visit our super stores in Indianapolis, Mishawaka and Fort Wayne! Addresses on our website or call 800.322.3247."</t>
  </si>
  <si>
    <t>http://www.unitednow.com</t>
  </si>
  <si>
    <t>mailto:info@unitednow.com</t>
  </si>
  <si>
    <t>United Building Cent</t>
  </si>
  <si>
    <t>http://www.ubc.bz</t>
  </si>
  <si>
    <t>mailto:ellettsville.in@ubc.bz</t>
  </si>
  <si>
    <t>United Data Company Inc</t>
  </si>
  <si>
    <t>mailto:undata@hughes.net</t>
  </si>
  <si>
    <t>United Dewatering and Construction, Inc.</t>
  </si>
  <si>
    <t>mailto:susanbou@sbcglobal.net</t>
  </si>
  <si>
    <t>United Digital Solutions, LLC</t>
  </si>
  <si>
    <t>mailto:mycsa@comcast.net</t>
  </si>
  <si>
    <t>United Dynamics, Inc</t>
  </si>
  <si>
    <t>http://www.ussudi.com</t>
  </si>
  <si>
    <t>mailto:udi@ussudi.com</t>
  </si>
  <si>
    <t>United Fabrication &amp; Maintenance Service</t>
  </si>
  <si>
    <t>United Group Services, LLC.</t>
  </si>
  <si>
    <t>mailto:ugservices@sbcglobal.net</t>
  </si>
  <si>
    <t>United Group Solutions, LLC</t>
  </si>
  <si>
    <t>http://www.ugsindy.com</t>
  </si>
  <si>
    <t>mailto:office@ugsindy.com</t>
  </si>
  <si>
    <t>United Industrial &amp; Welding</t>
  </si>
  <si>
    <t>mailto:jesse@uiw-supply.com</t>
  </si>
  <si>
    <t>United Oil Corporation</t>
  </si>
  <si>
    <t>mailto:unitedoil@hoosierlink.net</t>
  </si>
  <si>
    <t>Gasoline Stations</t>
  </si>
  <si>
    <t>United Parcel Service Inc</t>
  </si>
  <si>
    <t>="UPS is the world's largest full service logistics provider for all sizes of shipments; from express letters to freight, including domestic and international offering with air, ground, rail and ocean options. *Special programs available for all Indiana State agencies, entities and affiliates; including public higher education, community colleges, municipalities, K-12 and ARF locations…Contact Patrick Boyce at pboyce@ups.com"</t>
  </si>
  <si>
    <t>http://www.ups.com</t>
  </si>
  <si>
    <t>mailto:enterprisesupport@ups.com</t>
  </si>
  <si>
    <t>United Parcel Service, Inc.</t>
  </si>
  <si>
    <t>="United Parcel Service, Inc. (“UPS”) is the world’s largest package delivery company, a leader in the U.S. less-than-truckload industry, and a global leader in supply chain management. We were founded in 1907 as a private messenger and delivery service in Seattle, Washington. Today, we deliver packages each business day for 1.8 million shipping customers to 6.1 million consignees in over 200 countries and territories. In 2008, we delivered an average of 15.5 million pieces per day worldwide, or a total of 3.92 billion packages. Total revenue in 2008 was $51.5 billion. Our primary business is the time-definite delivery of packages and documents worldwide. In recent years, we have extended our service portfolio to include global supply chain services and less-than-truckload transportation, primarily in the U.S. We report our operations in three segments: U.S. Domestic Package operations, International Package operations, and Supply Chain &amp; Freight operations."</t>
  </si>
  <si>
    <t>United Pies of Elkhart, Inc</t>
  </si>
  <si>
    <t>="We are a family owned bakery with 3 generations at the plant. We make all of our products to order - fresh frozen. We purchase all of our fruit from Michigan and other raw ingredients locally. We have a wide variety of products: 6"",8"", and 10"" frozen, ready to bake and baked/frozen Fruit Pies. Pre-baked 6"",8"",9"", and 10"" refrigerated and shelf stable Pumpkin, Pecan, and Sweet Potato. Fully finished frozen 8"" and 10"" thaw and sell Cream Pies. Frozen, ready to bake and baked/frozen cobblers and crisps in 5#, 3#5oz. and 36oz. sizes. Frozen, ready to bake 1/2 sheet pies/pie slices and baked/iced 1/4 sheet pies/pie slices. We take great pride in our products and use quality ingredients for the best home-made style pies. Our product is pie excitement!!!!!"</t>
  </si>
  <si>
    <t>United Site &amp; Utilities LLC</t>
  </si>
  <si>
    <t>mailto:mbowman@usau-construction.com</t>
  </si>
  <si>
    <t>United Way of Central, Inc.</t>
  </si>
  <si>
    <t>="United Way of Central Indiana (UWCI)is a charitable non-profit organization, 501(c)3, that works in partnership with businesses, human services organizations, government and community-based organizations to address critical human needs and improve the quality of life across the region. UWCI raises funds from individual and business donations through an annual community campaign and garners additional dollars through grants, gifts and sponsorships. These resources are invested in the community to support human service programs and services and community-wide initiatives focused on specific community needs (e.g., improved educational outcomes, increased income independence and stability, etc.). UWCI works with individual and corporate donors to help them meet their philanthropic goals and match these goals with critical community needs."</t>
  </si>
  <si>
    <t>http://www.uwci.org</t>
  </si>
  <si>
    <t>mailto:community@uwci.org</t>
  </si>
  <si>
    <t>United Way of Porter County</t>
  </si>
  <si>
    <t>http://www.unitedwaypc.org</t>
  </si>
  <si>
    <t>mailto:info@unitedwaypc.org</t>
  </si>
  <si>
    <t>UnitedHealthcare Insurance Company</t>
  </si>
  <si>
    <t>http://www.unitedhealthcare.com</t>
  </si>
  <si>
    <t>Universal Building Products</t>
  </si>
  <si>
    <t>mailto:ubp@iquest.net</t>
  </si>
  <si>
    <t>Universal Business Solutions</t>
  </si>
  <si>
    <t>mailto:lydiah0113@aol.com</t>
  </si>
  <si>
    <t>Universal C &amp; R, Inc.</t>
  </si>
  <si>
    <t>http://www.ucrinc.com</t>
  </si>
  <si>
    <t>mailto:sales@ucrinc.com</t>
  </si>
  <si>
    <t>http://www.ucrstainlesssteelfittings.com</t>
  </si>
  <si>
    <t>mailto:ucrinc@comcast.net</t>
  </si>
  <si>
    <t>Universal Networking Services</t>
  </si>
  <si>
    <t>="Universal Networking Services, LLC operates as a VAR for the world's leading IT infrastructure. Our core business is in the following industries: - Education (K-12) - Education (Coll./Univ.) - Healthcare - Financial - State and Local Government - Federal Government - Law Offices UNS, LLC assists these industries in IT acquisition for wiring closets, server rooms and data centers. Additional Services: - Data Center Management - Data Center Design and Engineering - Data Center Efficiency Audits - De-manufacturing, Recycling and Re-Use Programs"</t>
  </si>
  <si>
    <t>http://www.apcdistributors.com</t>
  </si>
  <si>
    <t>mailto:w.ave@apcdistributors.com</t>
  </si>
  <si>
    <t>Universal Package Systems</t>
  </si>
  <si>
    <t>="Universal Package Systems offers a wide array of packaging solutions-Returnable/Reusable and Expendable. We are manufacturers of Plastic Containers and Dunnage. We offer Plastic Corrugated Sleeve Packs, Plastic and Foam Dunnage, Plastic Lumber Pallets, Wood Pallets, Steel Racks and Containers, and Expendable Paper Packaging"</t>
  </si>
  <si>
    <t>http://www.universlpackage.com</t>
  </si>
  <si>
    <t>mailto:jbups@sbcglobal.net</t>
  </si>
  <si>
    <t>Universal Service Suppliers Inc</t>
  </si>
  <si>
    <t>http://www.johnstonesupply.com</t>
  </si>
  <si>
    <t>mailto:larryv_1@hotmail.com</t>
  </si>
  <si>
    <t>http://johnstonesupply.com</t>
  </si>
  <si>
    <t>Universal Tool &amp; Supply Company Inc.</t>
  </si>
  <si>
    <t>http://www.universaltool.net</t>
  </si>
  <si>
    <t>mailto:utsc@sbcglobal.net</t>
  </si>
  <si>
    <t>University Moving &amp; Storage</t>
  </si>
  <si>
    <t>http://www.universitymoving.com</t>
  </si>
  <si>
    <t>Other Warehousing and Storage</t>
  </si>
  <si>
    <t>University of Evansville</t>
  </si>
  <si>
    <t>http://www.evansville.edu</t>
  </si>
  <si>
    <t>University of Indianapolis</t>
  </si>
  <si>
    <t>http://www.uindy.edu</t>
  </si>
  <si>
    <t>Unlimited Productivity, LLC</t>
  </si>
  <si>
    <t>="Control Graphics is an industry leader in the design and integration of cutting edge 3D graphics and data analysis for user interface/facilitiy managment applications. Located in Indianapolis Indiana, CG has earned industry recognition as the company to go to when leading edge design and engineering/data analysis work is required."</t>
  </si>
  <si>
    <t>http://www.controlgraphics.com</t>
  </si>
  <si>
    <t>mailto:support@controlgraphics.com</t>
  </si>
  <si>
    <t>Upland Volunteer Fire Dept</t>
  </si>
  <si>
    <t>Upscale Demands LLC</t>
  </si>
  <si>
    <t>mailto:shawnlandrum@officepride.com</t>
  </si>
  <si>
    <t>Urban Business Solutions, LLC</t>
  </si>
  <si>
    <t>="Urban Business Solutions, LLC is your premier one-stop alternative for business, offering a variety of services including Marketing, Advertising, Promotions, IT, Accounting, Legal, Financial, and HR - under one roof! We have and continue to develop a global network of suppliers and affiliates to ensure we are able to offer our clients the most professional, affordable and convenient solutions. In an effort to aid in the development of Indiana small businesses we also combine a variety of our high quality services into exclusive business packages, tailored specifically for small business needs and budgets. Whether an entrepreneur with big dreams, a small business looking to expand, or corporation looking for that edge - let Urban Business Solutions supply your demand! Contact us today for your FREE consultation!"</t>
  </si>
  <si>
    <t>http://www.ubsnetwork.com</t>
  </si>
  <si>
    <t>mailto:info@ubsnetwork.com</t>
  </si>
  <si>
    <t>Urban Design and Construction, P.C.</t>
  </si>
  <si>
    <t>http://www.urbandesgn.com</t>
  </si>
  <si>
    <t>mailto:urbandes@iei.net</t>
  </si>
  <si>
    <t>Urban Engineering Co</t>
  </si>
  <si>
    <t>http://www.urbanengineering.net</t>
  </si>
  <si>
    <t>mailto:cp@urbanengineering.net</t>
  </si>
  <si>
    <t>Urban Initiatives, LLC</t>
  </si>
  <si>
    <t>http://www.gourbaninitiatives.com</t>
  </si>
  <si>
    <t>mailto:info@gourbaninitiatives.com</t>
  </si>
  <si>
    <t>Urban Music Federation LLC</t>
  </si>
  <si>
    <t>http://www.wordsmiffs.com</t>
  </si>
  <si>
    <t>mailto:info@wordsmiffs.com</t>
  </si>
  <si>
    <t>Urban ReLeaf</t>
  </si>
  <si>
    <t>="Hello! I sell advertising specialty products / promotional products / embroidered and screenprinted apparel &amp; accessories to businesses in the Evansville, Indiana area. I'm a resident of Evansville, and majored in Advertising at the University of Evansville. I sell all sorts of items with company logos on them! ~Janet~ Janet McCormick, Urban ReLeaf"</t>
  </si>
  <si>
    <t>http://www.companycasuals.com/janetmccor</t>
  </si>
  <si>
    <t>mailto:janetm@insightbb.com</t>
  </si>
  <si>
    <t>Urban ReLeaf's Co. S</t>
  </si>
  <si>
    <t>Urban Shutters, Inc.</t>
  </si>
  <si>
    <t>http://www.urbanshutters.com</t>
  </si>
  <si>
    <t>mailto:info@urbanshutters.com</t>
  </si>
  <si>
    <t>UrbanEnergies llc</t>
  </si>
  <si>
    <t>="UrbanEnergies is a New Indana grounded Company with Necessity and Inevitability on our Side. We are working with the State, Local Utility, and our Own Construction resourses to Provide a Unitary Solution to Energy Conservation and Communications, via Medium and LARGE CAPACITY WIND TURBINES for better national security, cleaner environment, Innovation to landscapes, and Increased form and function to Highway Urban, and Offshore Tower Construction. Benefitting Utility, Commercia, Municipal, and Residents through planning, zoning, education, and Construction of Wind Solar structures."</t>
  </si>
  <si>
    <t>http://coming soon</t>
  </si>
  <si>
    <t>mailto:Alexanderdale@hotmail.com</t>
  </si>
  <si>
    <t>Urethane of Kentuckiana Inc</t>
  </si>
  <si>
    <t>="For nearly 40 years, Insulated Roofing Contractors has specialized exclusively in roofing, including Spray Polyurethane Foam and Single Ply. This focus gives us a level of expertise and a familiarity with even the newest technology that other companies simply can't match. In fact, we are the largest dedicated SPF roofing contractor in the United States. We've handled roofing projects of all sizes for hospitals, school systems and others throughout the country."</t>
  </si>
  <si>
    <t>http://www.ircroof.com</t>
  </si>
  <si>
    <t>mailto:jkaiser@ircroof.com</t>
  </si>
  <si>
    <t>Urick Concessions LLC</t>
  </si>
  <si>
    <t>http://www.urickconcessions.com</t>
  </si>
  <si>
    <t>mailto:monicaurick@gmail.com</t>
  </si>
  <si>
    <t>Utilimaster Corporation</t>
  </si>
  <si>
    <t>="Utilimaster Corporation, headquartered in Wakarusa, Indiana, is one of the largest manufacturers of quality custom commercial vehicles that include walk-in vans, parcel delivery vans, and truck bodies. An industry leader for over thirty years, Utilimaster houses more than 590,000 square feet of state-of-the-art manufacturing facility all at one location. Utilimaster proudly serves the bakery delivery, snack delivery, package delivery, truck rental, public utilities, and linen/uniform rental markets, as well as the dealers that serve these customers and stock commercial vehicles. Innovative assembly processes, continuous quality control measures, and custom engineering flexibility enables Utilimaster to provide quality engineered solutions to specific customer applications in the commercial vehicle industry."</t>
  </si>
  <si>
    <t>http://www.utilimaster.com</t>
  </si>
  <si>
    <t>mailto:info@utilimaster.com</t>
  </si>
  <si>
    <t>Utility Trailers of Indianapolis</t>
  </si>
  <si>
    <t>http://www.utility-peterbilt.com</t>
  </si>
  <si>
    <t>mailto:bburke@utility-peterbilt.com</t>
  </si>
  <si>
    <t>Utter's Hunting Supplies</t>
  </si>
  <si>
    <t>http://www.uttersembroidery.com</t>
  </si>
  <si>
    <t>mailto:sutter2464@sbcglobal.net</t>
  </si>
  <si>
    <t>V&amp;B Consulting, Inc.</t>
  </si>
  <si>
    <t>="V&amp;B Consulting provides Information Technology services such as customized software development, web development, networking, business analysis, project management, and full-life cycle development for enterprise wide systems, including Mobile devices, intranets and client server applications."</t>
  </si>
  <si>
    <t>http://www.vandbconsulting.com</t>
  </si>
  <si>
    <t>mailto:sales@vandbconsulting.com</t>
  </si>
  <si>
    <t>V&amp;J Consulting, LLC</t>
  </si>
  <si>
    <t>="Engineering Services; (MEP) Mechanical, Electrical and Plumbing design;k-12;Higher Ed; Healthcare; Building Inspection Services; Project Commissioning; Facilities Support Services; Project Management; Energy Audits; Energy Conservation Measures; (EUI) Energy Use Index; Energy Star; High Performance and Net-Zero Building Design; PV Photovotaic Design; Solar Thermal Design; (CHP) Combined Heat Power Design; Geothermal Heating and Cooling Design; Daylight Harvesting Design; Rain Water Cistern Design; Green Roof Design; Gray Water System Design; LEED Design; Living Building Challenge Design"</t>
  </si>
  <si>
    <t>http://www.vjmep.com</t>
  </si>
  <si>
    <t>mailto:jebert@vjmep.com</t>
  </si>
  <si>
    <t>VAD Investments LLC</t>
  </si>
  <si>
    <t>http://www.autooutfitters.biz</t>
  </si>
  <si>
    <t>mailto:customerservice@autooutfitters.biz</t>
  </si>
  <si>
    <t>VALLEY ELECTRIC SUPPLY CORP</t>
  </si>
  <si>
    <t>http://www.vesupply.com</t>
  </si>
  <si>
    <t>VALLEY INDUSTRIAL SUPPLY CO INC</t>
  </si>
  <si>
    <t>="We are an industrial supplies wholesaler. We supply safety &amp; protective equipment, janitorial &amp; cleaning products, power tools, air tools, hand tools, cutting tools, abrasives, fasteners &amp; anchors, welding supplies, adhesives, lubricants and other supplies used by manufacturers and contractors."</t>
  </si>
  <si>
    <t>http://www.viscoonline.com</t>
  </si>
  <si>
    <t>mailto:valleyin@seidata.com</t>
  </si>
  <si>
    <t>VAN SICKLE REMODELING, INC</t>
  </si>
  <si>
    <t>mailto:JIM@KRISTELS.COM</t>
  </si>
  <si>
    <t>VAN-A-DO, INC</t>
  </si>
  <si>
    <t>http://18662vanado.com</t>
  </si>
  <si>
    <t>mailto:Vanado1@aol.com</t>
  </si>
  <si>
    <t>VBHolt Technologies, Inc.</t>
  </si>
  <si>
    <t>="VBHolt Technologies is an E-Commerce company which retails hard to find personal security and surveillance products. www.vbholtspytechnologies.com retails hidden cameras and digital recording system with a PDA attached for viewing while away from the business. home protection, personal alarms, safety lights, diversion safes."</t>
  </si>
  <si>
    <t>http://www.vbholtspytechnologies.com</t>
  </si>
  <si>
    <t>mailto:info@vbholtspytechnologies.com</t>
  </si>
  <si>
    <t>VCNA Prairie Aggregates Indiana, Inc.</t>
  </si>
  <si>
    <t>mailto:kwilliams@prairie.com</t>
  </si>
  <si>
    <t>VCRowley and Assoc.</t>
  </si>
  <si>
    <t>mailto:vcr@vcrowleyaai.com</t>
  </si>
  <si>
    <t>VCube Solutions LLC</t>
  </si>
  <si>
    <t>="VCube provides IT solutions in the area of Analysis, design, programming, testing, training, application maintenance, data conversion etc. VCube also supplements customer IT teams with contract, contract-to-hire and permanent placement. VCube can undertake projects both in T&amp;M and fixed price basis. VCube has consultants with experience in Public sector applications viz. PeopleSoft, Child support and Welfare applications."</t>
  </si>
  <si>
    <t>mailto:sales@vcubesolutions.com</t>
  </si>
  <si>
    <t>VEAPS, Inc.</t>
  </si>
  <si>
    <t>="VEAPS is an acronym for Validation, Engineering, Automation, Project management, Services. We provide engineering services for a wide range of industries including; food and beverage, pharmaceutical, medical device, automotive and general light industrial. We also provide construction management and technical staffing solutions."</t>
  </si>
  <si>
    <t>http://www.veaps.com</t>
  </si>
  <si>
    <t>mailto:brad.vanpelt@veaps.com</t>
  </si>
  <si>
    <t>VEAZEY PARROTT SHOULDERS ARCHITECTURE PC</t>
  </si>
  <si>
    <t>http://vpsarch.com</t>
  </si>
  <si>
    <t>mailto:mshoulders@vpsarch.com</t>
  </si>
  <si>
    <t>VERIFICATION SERVICES INC</t>
  </si>
  <si>
    <t>mailto:VSI@insightbb.com</t>
  </si>
  <si>
    <t>VERONICA DISHMON</t>
  </si>
  <si>
    <t>mailto:NEWETHICS@SBCGLOBAL.NET</t>
  </si>
  <si>
    <t>VETERANS EMPOWERMENT GROUP INC</t>
  </si>
  <si>
    <t>="The purpose of the Veterans Empowerment Group, Inc is to provide services to residents and veterans of Indianapolis, Indiana, Marion County, and Nationally, to include an outstanding public educational school alternative. It is our purpose to develop a community that improves veteran knowledge by establishing a veteran services referral agency."</t>
  </si>
  <si>
    <t>http://www.indyvets.org</t>
  </si>
  <si>
    <t>mailto:nicolewade@indyvets.org</t>
  </si>
  <si>
    <t>Human Rights Organizations</t>
  </si>
  <si>
    <t>VETPLEX LLC</t>
  </si>
  <si>
    <t>http://VETPLEXLLC.COM</t>
  </si>
  <si>
    <t>mailto:INFO@VETPLEXLLC.COM</t>
  </si>
  <si>
    <t>VIA MARKETING INC</t>
  </si>
  <si>
    <t>http://www.viamarketing.net</t>
  </si>
  <si>
    <t>mailto:julie@viamarketing.net</t>
  </si>
  <si>
    <t>VIBRONICS, INC.</t>
  </si>
  <si>
    <t>="Vibration and acoustics consultants. Conducts vibration and/or acoustics monitoring and analysis. Rental and sales of seismographs -vibration/acoustics instrumentation. Data acquistion and analysis software for accelerometers, velocity phones, pressure transducers and any voltage producing sensor."</t>
  </si>
  <si>
    <t>http://www.vibronics.com</t>
  </si>
  <si>
    <t>mailto:sales@vibronics.com</t>
  </si>
  <si>
    <t>VINCENNES WELDING CO INC</t>
  </si>
  <si>
    <t>="Vincennes Welding has been serving the community for over a century. All kinds of metal-working, welding, custom fabrication and repair services are a few of the many products and services available. A complete machine shop compliments the operation and CNC machines are being added in 2014. All types, shapes and sizes of steel, stainless steel, aluminum, brass and exotics are available for purchase."</t>
  </si>
  <si>
    <t>mailto:vinweld@cinergymetro.net</t>
  </si>
  <si>
    <t>VINPAT, INC.</t>
  </si>
  <si>
    <t>http://WWW.GUARDIANPESTCONTROL.COM</t>
  </si>
  <si>
    <t>VISION GRAPHICS &amp; DE</t>
  </si>
  <si>
    <t>mailto:vgraphic@ligtel.com</t>
  </si>
  <si>
    <t>VLM International</t>
  </si>
  <si>
    <t>http://www.vlminternational.com</t>
  </si>
  <si>
    <t>mailto:jwagner@vlminternational.com</t>
  </si>
  <si>
    <t>VLR Enterprises, Inc.</t>
  </si>
  <si>
    <t>="As a provider of an IT solution that fits your needs, VDC IT Services delivers exceptional performance and results to our customers. Much of this success is due to the expert program management we deliver throughout the entire life cycle of an engagement. Our highly trained and skilled program management team utilizes our customized and proven methodology to effectively control and balance the costs, schedules, technical elements, personnel, and risks on large-scale, complex programs. Our best-practices program management approach is designed to minimize the challenges of managing extensive program interdependencies against the limitations of time, personnel, and budget resources. Among other things, it encompasses formal training that is customized specifically to managing large IT projects, a toolkit of standardized report and plan templates that enhances management efficiencies, and external program audits to drive continuous improvements."</t>
  </si>
  <si>
    <t>http://www.vlrdirect.com</t>
  </si>
  <si>
    <t>mailto:vdcsupport@vlrdirect.com</t>
  </si>
  <si>
    <t>VM Contract Sales &amp; Design LLC</t>
  </si>
  <si>
    <t>http://www.vmcontractsalesanddesign.com</t>
  </si>
  <si>
    <t>mailto:mainbox@vmcontractsalesanddesign.com</t>
  </si>
  <si>
    <t>VMJ Watchcare, LLC</t>
  </si>
  <si>
    <t>mailto:jonesv0261@yahoo.com</t>
  </si>
  <si>
    <t>VOA Associates, Inc.</t>
  </si>
  <si>
    <t>http://www.voa.com</t>
  </si>
  <si>
    <t>mailto:voa@voa.com</t>
  </si>
  <si>
    <t>VOLUNTARY BENEFIT PLANS</t>
  </si>
  <si>
    <t>="Insurance agency with office employees on payroll and independent agents (not on payroll). We are a sales and service agency for Colonial Supplemental Insurance headquartered in Columbia, SC. We specialize in worksite marketing providing supplemental life and health insurance policies to Indiana residents, which are offered at their worksite. We also provide a benefit communications service and electronic enrollment of an employer's benefit program."</t>
  </si>
  <si>
    <t>http://www.coloniallife.com</t>
  </si>
  <si>
    <t>mailto:ruth.plant@coloniallife.com</t>
  </si>
  <si>
    <t>VSS Security Services</t>
  </si>
  <si>
    <t>="VSS Security Services provides Unarmed and Armed Uniform Security Officers, Plain Clothes Officers, Off Duty Police Officers, Crowd Control, Loss Prevention, Personal Protection and much more. Services are available 24 hours a day, 7 days a week (including holidays). Our service is unmatched! As the largest private security firm in the region, we currently provide on-site security as well as mobile patrols for; schools, banks and credit unions, hotels, colleges &amp; universities, commercial and residential real estate, retail facilities, medical practices and much more!"</t>
  </si>
  <si>
    <t>http://www.VSS-Security-Services.com</t>
  </si>
  <si>
    <t>mailto:Josh@VSS-Security-Services.com</t>
  </si>
  <si>
    <t>VT Services, LLC.</t>
  </si>
  <si>
    <t>mailto:alfonso@vidalplastics.com</t>
  </si>
  <si>
    <t>VTG Enterprises</t>
  </si>
  <si>
    <t>="PopKorn is a gourmet popcorn company. We produce our popcorn in small batches so that we can closely monitor every step. We use the highest quality ingredients to produce our wonderful and unique flavor. While we are a local Indiana company, we will gladly ship PopKorn anywhere in the U.S."</t>
  </si>
  <si>
    <t>http://www.popkorntwist.com</t>
  </si>
  <si>
    <t>mailto:info@popkorntwist.com</t>
  </si>
  <si>
    <t>Nonchocolate Confectionery Manufacturing</t>
  </si>
  <si>
    <t>VTI Contracting, Inc</t>
  </si>
  <si>
    <t>http://vtitotalsolutions.com</t>
  </si>
  <si>
    <t>mailto:vti@lightbound.com</t>
  </si>
  <si>
    <t>VTI, Inc</t>
  </si>
  <si>
    <t>mailto:jm@vtitotalsolutions.com</t>
  </si>
  <si>
    <t>Vaal's Furniture &amp; Appliance Inc.</t>
  </si>
  <si>
    <t>Vail Lumber Company Inc.</t>
  </si>
  <si>
    <t>Vale Appraisal Group</t>
  </si>
  <si>
    <t>http://www.valeappraisalgroup.com</t>
  </si>
  <si>
    <t>mailto:milovaleco@aol.com</t>
  </si>
  <si>
    <t>Valentine &amp; Company</t>
  </si>
  <si>
    <t>="We provide finished extruded aluminum products for military shipping and storage containers, munitions handling equipment and highway guard rail, pedestrian rail, and bicycyle rail applications. We provide raw extruded aluminum material, specializing in custom extrusions. We also provide engineering services focusing on: 1)mechanical projects, such as finite element analysis, shock and vibration analysis, and 2)manufacturing services, such as part and assembly manufacturability, machining and welding review."</t>
  </si>
  <si>
    <t>mailto:jim-valentine@cinci.rr.com</t>
  </si>
  <si>
    <t>Valentine Enterprises LLC</t>
  </si>
  <si>
    <t>Valerie Cook</t>
  </si>
  <si>
    <t>="Valerie Cook has extensive experience in consulting for non-profit human services including those serving the elderly, disabled, United Ways, and community based organizations. Specific skill include needs assessment, survey of community based populations, development of transition plans, evaluation of service effectiveness, system improvement, community development, data analysis, and HIPAA regulations. Valerie is proficient in both Spanish and English."</t>
  </si>
  <si>
    <t>mailto:overcooked@comcast.net</t>
  </si>
  <si>
    <t>Validated Custom Solutions</t>
  </si>
  <si>
    <t>http://www.vc-solutions.com</t>
  </si>
  <si>
    <t>Valle Vista Golf Club and Conference Cen</t>
  </si>
  <si>
    <t>="Golf Club and Conference Center located just of I-65 at Exit 99 in Greenwood, IN. Beautiful 18 hole championship golf course which is open to the Public for daily fee golf and golf outings. The Banquet and Conference Center has nearly 30,000 square feet of banquet and meeting space. Much of it has windows overlooking the golf course. Valle Vista is very popular for Golf Outings, Conferences for 500 and under, and social events. Valle Vista also is one of the most popular wedding ceremony and receptions venues in the state."</t>
  </si>
  <si>
    <t>http://www.vallevista.com</t>
  </si>
  <si>
    <t>mailto:chuck.kern@vallevista.com</t>
  </si>
  <si>
    <t>Valley Chevrolet-Pontiac, Inc.</t>
  </si>
  <si>
    <t>="We are an officially sanctioned State of Indiana procurement vendor for the government purchase of new vehicles at State Bid Contract (QPA) prices. We provide Chevrolet Police vehicles, SUV's, and Trucks to any political entity within the State Of Indiana. Call us for quotes on your vehicle fleet needs."</t>
  </si>
  <si>
    <t>Valley Smoke Shop</t>
  </si>
  <si>
    <t>Food and Beverage Stores</t>
  </si>
  <si>
    <t>Valmont Industries, Inc.</t>
  </si>
  <si>
    <t>http://www.valmont.com</t>
  </si>
  <si>
    <t>Valor Field Services, Inc.</t>
  </si>
  <si>
    <t>="Valor Field Services, Inc. is a General Contractor located in Greenfield, IN that is a Services Disabled Veteran Owned Small Business. We have completed commercial, retail, petroleum, federal government, and some design build projects for our clients. We employ general construction trades, and utilize specialty subcontractors to complete your projects."</t>
  </si>
  <si>
    <t>http://www.valorfs.com</t>
  </si>
  <si>
    <t>mailto:dan.koleszar@valorfs.com</t>
  </si>
  <si>
    <t>Valuation Services, LLC</t>
  </si>
  <si>
    <t>http://www.valuationsvcs.net</t>
  </si>
  <si>
    <t>mailto:valuation.services@verizon.net</t>
  </si>
  <si>
    <t>Value Added Resource LLC</t>
  </si>
  <si>
    <t>http://www.valueaddedres.com</t>
  </si>
  <si>
    <t>mailto:mlogan@valueaddedres.com</t>
  </si>
  <si>
    <t>Vamaco Tool and Equipment Service Co</t>
  </si>
  <si>
    <t>Van Ausdall &amp; Farrar, Inc.</t>
  </si>
  <si>
    <t>="Van Ausdall &amp; Farrar, Inc. provides: (1) client-server hardware and software solutions including document imaging and management; (2) voice processing equipment to health care, legal, and general businesses; (3) telecommunication systems including voice, data, and IP telephony solutions; (4) document solutions including printers/copiers, multifunctional devices, facsimile, wide format, and duplicators; (5) facilities management including document outsourcing, digital imaging, professional services, and copier/sprinters fleet management. We are certified by the industry's leading technology vendors and maintain an extensive training program for our people in order to provide complete technology solutions."</t>
  </si>
  <si>
    <t>http://www.vanausdall.com</t>
  </si>
  <si>
    <t>mailto:jstahly@vanausdall.com</t>
  </si>
  <si>
    <t>Van Daele &amp; Associates Consulting, Inc.</t>
  </si>
  <si>
    <t>="Van Daele &amp; Associates Consulting, Inc. is a training &amp; development company, founded in 1993. Your strategic, management, human resource, personnel, continuous process improvements, customer service, team building, train the trainer, mentoring, project management, and general consulting needs will be solved. Our eight component training methodology will give you real performance improvements. Let me put you in contact with our clients. They will endorse the success of our training methodology. Thank you. Carrie Van Daele, President/CEO. Enjoy your day!"</t>
  </si>
  <si>
    <t>http://www.vtrain.us</t>
  </si>
  <si>
    <t>mailto:cvandaele@frontier.com; patfranklin13@hotmail.com</t>
  </si>
  <si>
    <t>Van Gilder and Trzynka, P.C.</t>
  </si>
  <si>
    <t>http://vgtlaw@superpages.com</t>
  </si>
  <si>
    <t>mailto:droach@vgtlaw.com</t>
  </si>
  <si>
    <t>Van Horn Vacations</t>
  </si>
  <si>
    <t>="Providing an eCommerce travel website similar to Travelocity, Orbitz and Expedia where individuals can book their own travel 24 x 7. Showing business and non-for-profits how they can earn money from the travel that their supporters are already doing. Looking for leaders who want to travel like the pro's and have their own business and realize tax advantages."</t>
  </si>
  <si>
    <t>http://www.vanhornvacations.com</t>
  </si>
  <si>
    <t>mailto:vanhornvacations@comcast.net</t>
  </si>
  <si>
    <t>Van Treese &amp; Associates, Inc.</t>
  </si>
  <si>
    <t>="Van Treese &amp; Assoc., Inc. is a food service equipment, frozen food, service and supplies wholesaler. We specialize in Broaster Chicken, Carpigiani ice cream equipment and other food service needs (ie. ice machines, 24 flavor ice cream system, pizza ovens &amp; supplies, cappuccino, gelato, display cases, refrigeration/freezers, steamers, kitchen lay-out, cleaning supplies, dish machines, etc.)"</t>
  </si>
  <si>
    <t>http://www.vantreeseassoc.com</t>
  </si>
  <si>
    <t>Van's Catering Service, Inc.</t>
  </si>
  <si>
    <t>http://www.trailsbanquets.com</t>
  </si>
  <si>
    <t>mailto:info@trailsbanquets.com</t>
  </si>
  <si>
    <t>VanEtten Holdings Inc..</t>
  </si>
  <si>
    <t>="Mfg. of custom industrial paint formulations with special knowledge in Government Compliant coatings and High Temperature paints for Stainless Steel and sound absorbing coatings and high heat insulating paints. We also manufacture baking and air dry paint products to meet specific customer production requirements."</t>
  </si>
  <si>
    <t>mailto:wabashdehart@yahoo.com</t>
  </si>
  <si>
    <t>VanWinkle's Fish Hatchery</t>
  </si>
  <si>
    <t>Vance &amp; Vance Enterprises</t>
  </si>
  <si>
    <t>mailto:badvance4urenterprise@yahoo.com</t>
  </si>
  <si>
    <t>Vanco Construction Services, LLC</t>
  </si>
  <si>
    <t>http://www.vancocs.com</t>
  </si>
  <si>
    <t>mailto:sales@vancocs.com</t>
  </si>
  <si>
    <t>Vanco R&amp;R Service</t>
  </si>
  <si>
    <t>="Vanco R&amp;R Service maintains, repairs, and installs commercial foodservice equipment. We service cooking, refrigeration, and dishroom equipment in restaurants, hospitals, schools, Colleges, clubs, churches, and correctional facilities. We have been serving Indiana for over 34 years!!!"</t>
  </si>
  <si>
    <t>http://www.vancorr.com</t>
  </si>
  <si>
    <t>mailto:service@vancorr.com</t>
  </si>
  <si>
    <t>Appliance Repair and Maintenance</t>
  </si>
  <si>
    <t>Vanderburgh County</t>
  </si>
  <si>
    <t>="The Vanderburgh County Health Department 's mission is to work with our community partners to: * Develop and provide quality health care services; * Promote healthy lifestyles: * Protect against and Prevent the spread of disease; and, * Assure preparedness to achieve and maintain the best public health for our community."</t>
  </si>
  <si>
    <t>http://www.vanderburghgov.org/health</t>
  </si>
  <si>
    <t>mailto:health@vanderburghcounty.in.gov</t>
  </si>
  <si>
    <t>Vandy L Gillespie</t>
  </si>
  <si>
    <t>http://veterancomputersales.com</t>
  </si>
  <si>
    <t>mailto:vandy.gillespie@veterancomputersales</t>
  </si>
  <si>
    <t>Vanessa Collins LLC</t>
  </si>
  <si>
    <t>http://vanessacollinsllc.com</t>
  </si>
  <si>
    <t>mailto:vanessa@vanessacollinsllc.com</t>
  </si>
  <si>
    <t>Vannoy Enterprises LLC</t>
  </si>
  <si>
    <t>Vantage Point Consulting</t>
  </si>
  <si>
    <t>http://www.vantagepointc.com</t>
  </si>
  <si>
    <t>mailto:info@vantagepointc.com</t>
  </si>
  <si>
    <t>Vapor Mitigation Services LLC.</t>
  </si>
  <si>
    <t>http://www.vaporprotection.com</t>
  </si>
  <si>
    <t>mailto:info@vaporprotection.com</t>
  </si>
  <si>
    <t>Varos LLC</t>
  </si>
  <si>
    <t>http://varos.com</t>
  </si>
  <si>
    <t>mailto:katie@varos.com</t>
  </si>
  <si>
    <t>Varstar Services LLC</t>
  </si>
  <si>
    <t>http://www.varstarservices.com</t>
  </si>
  <si>
    <t>Vascular Access Specialists, LLC</t>
  </si>
  <si>
    <t>="Comprehensive Peripherally Inserted Central Catheter (PICC) and Midline placement service. Owned and operated by nurse professionals dedicated to the highest quality vascular access service. Offers ultrasound guidance and heparin-free PICCs and Midlines proven to reduce the incidence of occlusions and other catheter related blood stream infections."</t>
  </si>
  <si>
    <t>http://www.vascularaccessspecialists.com</t>
  </si>
  <si>
    <t>mailto:vascular-access@sbcglobal.net</t>
  </si>
  <si>
    <t>Offices of All Other Health Practitioners</t>
  </si>
  <si>
    <t>Vauterbuilt Incorporated</t>
  </si>
  <si>
    <t>mailto:vauterbuilt@netnitco.net</t>
  </si>
  <si>
    <t>Vazquez Development LLC</t>
  </si>
  <si>
    <t>http://heyregion.com/wjob</t>
  </si>
  <si>
    <t>mailto:news@heyregion.com</t>
  </si>
  <si>
    <t>Veada Industries</t>
  </si>
  <si>
    <t>="Foamiture is an indoor furniture division of Veada Industries, Inc. Veada is a boat seating company supplying quality boat seats to major boat manufacturers for over 37 years. We are family owned, Indiana company with an ethnically diverse workforce of over 500 people. We have recently introduced a new line of indoor furniture products including a sofa, chair, and ottoman, made from comfortable yet sturdy foam. What makes our product unique and also provides convenience is our shipping method. We are able to shrink all pieces down and ship them via a parcel delivery service straight to the customer’s door. Once the packaging is removed, the furniture restores to full size immediately. This shrinking process drastically cuts shipping costs and makes it convenient for our customers."</t>
  </si>
  <si>
    <t>http://www.foamiture.com</t>
  </si>
  <si>
    <t>mailto:kcarpenter@foamiture.com</t>
  </si>
  <si>
    <t>Upholstered Household Furniture Manufacturing</t>
  </si>
  <si>
    <t>Vecera Builders</t>
  </si>
  <si>
    <t>Vector CAD Resources LLC</t>
  </si>
  <si>
    <t>http://WWW.VECTORCADRESOURCES.COM</t>
  </si>
  <si>
    <t>Veda Carver</t>
  </si>
  <si>
    <t>="we are a cleaning company located here in central indiana. we concetrate on mostly new construction and remodel work .our goal is to expand into janitorial work and start cleaning small to meadium size office buildings.All of our employees are central Indiana residents."</t>
  </si>
  <si>
    <t>mailto:lstr978@comcast.net</t>
  </si>
  <si>
    <t>Vega's Landscaping</t>
  </si>
  <si>
    <t>mailto:vegaslandscaping@verizon.net</t>
  </si>
  <si>
    <t>Velociti Systems, Inc.</t>
  </si>
  <si>
    <t>="PROJECT SUMMARY AND COMPANY PROFILE V-CLAIMS, Inc. Web-Based Medical Billing was organized to take advantage of the rapidly-changing requirements for the storage and retrieval of medical records and the processing and collection of medical claims. V-CLAIMS provides a total practice management service for Medical Providers and Institutions. V-CLAIMS provides a paperless billing and information system using sophisticated and highly advanced computerized operations systems. V-CLAIMS web-based (patent pending) system, and windows-based software, provides medical providers with a dynamic billing and health information management system which substantially reduces their operational costs. V-CLAIMS focuses on offering physicians, dentists, chiropractors, psychologists, and other healthcare specialists a streamlined collection and medical insurance claims service through its web-based electronic billing service and software-based health information management and billing systems. In a"</t>
  </si>
  <si>
    <t>http://www.velociti.org and www.edi@v-cl</t>
  </si>
  <si>
    <t>mailto:keatonva@velociti.org. and keatonva@comcast.net</t>
  </si>
  <si>
    <t>Velocity, The Greatest Phone Co. Ever</t>
  </si>
  <si>
    <t>http://www.velocityatt.com</t>
  </si>
  <si>
    <t>mailto:chip@velocityatt.com</t>
  </si>
  <si>
    <t>Vencel Appraisal Services, LLC</t>
  </si>
  <si>
    <t>http://www.vencel.com</t>
  </si>
  <si>
    <t>mailto:office@vencel.com</t>
  </si>
  <si>
    <t>Vendita Technology Group</t>
  </si>
  <si>
    <t>http://www.vwnditatech.com</t>
  </si>
  <si>
    <t>mailto:Kelsey.Johnson@venditatech.com</t>
  </si>
  <si>
    <t>Venita J. Moore</t>
  </si>
  <si>
    <t>="A financial service and tax consulting practice. Our service(s) include Assurances, Tax &amp; Financial Planning and Management Consulting. The assurance services include, reviews; compilations; and agreed-upon procedures engagements . Tax &amp; Financial Planning services include preparation and tax returns; tax audit representation; and analysis of tax benefits. While the managment services include data collection and analysis; performance reviews and process improvement."</t>
  </si>
  <si>
    <t>Ventra Angola, LLC</t>
  </si>
  <si>
    <t>="Ventra Angola, LLC is a 128,000 square foot facility that specializes in roll forming and stamping of steel coils. The facility has 7 roll mills and (1) 300 ton prog press. The facility also specializes in mig/resistance welding, forming, cutting and assembly operations."</t>
  </si>
  <si>
    <t>Rolling and Drawing of Purchased Steel</t>
  </si>
  <si>
    <t>Venture 2000</t>
  </si>
  <si>
    <t>mailto:cmstults@gte.net</t>
  </si>
  <si>
    <t>Venture Real Estate Services, LLC</t>
  </si>
  <si>
    <t>http://www.ventureres.com</t>
  </si>
  <si>
    <t>Veolia ES Soild Wast</t>
  </si>
  <si>
    <t>http://www.veoliaes.com</t>
  </si>
  <si>
    <t>Veolia ES Special Services, Inc.</t>
  </si>
  <si>
    <t>="Veolia ES Special Services, Inc. is a division of Veolia ES Industrial Services the number one ranked Industrial Service provider in the United States. Our Special Service division offers two main service lines, offshore marine and inland services. The inland service trained professionals at Veolia ES Special Services, Inc. specialize in: • 24 Hour Emergency Response 1-800-688-4005 • Confined Space Rescue and Standby • Remediation Services • Handling and neutralizing reactive chemicals • Emergency and non-emergency manhole clean out • Asbestos Abatement • Year around diving services • Potable water diving • Inspection, repair, and installation of intakes, outfalls, concrete, and WWTP structures • Deep diving using air, mixed gas and saturation diving techniques • Hydro-electric and dam work • Traveling water screen repair Veolia ES Special Services, Inc. is there for you around-the-clock, 24 hours a day at 800-688-4005."</t>
  </si>
  <si>
    <t>http://www.VeoliaES.com</t>
  </si>
  <si>
    <t>mailto:natalie.splawski@veoliaes.com</t>
  </si>
  <si>
    <t>Veracity Technologies LLC</t>
  </si>
  <si>
    <t>="We offer integrated web solutions that unify your online presence and your social media interactions. We also offer custom web applications, search engine optimization services, email marketing services, web analytics, domain registration and web site hosting."</t>
  </si>
  <si>
    <t>http://www.veracity.net</t>
  </si>
  <si>
    <t>mailto:business-development@veracity.net</t>
  </si>
  <si>
    <t>Vergence LLC</t>
  </si>
  <si>
    <t>http://www.vergencegroup.com</t>
  </si>
  <si>
    <t>mailto:gabebrowne@yahoo.com</t>
  </si>
  <si>
    <t>Vermillion Systems, Inc.</t>
  </si>
  <si>
    <t>="Vermillion Systems, Inc. specializes in the professional design, sales, installation, and service of all types of security and home entertainment electronics. These systems include Video Surveillance, Alarm Systems, Access Control, Home Theater, EAS (electronic article security), Audio and Intercom, and other special application security and communication electronics."</t>
  </si>
  <si>
    <t>http://www.vermillionsys.com</t>
  </si>
  <si>
    <t>mailto:info@vermillionsys.com</t>
  </si>
  <si>
    <t>Verne V. Mitchell &amp; Associates, Inc.</t>
  </si>
  <si>
    <t>="Verne V. Mitchell &amp; Associates, Inc. is a real estate company specializing in appraisal and consultation services. Clients include a wide variety of banks, mortgage lenders, trust departments, attorneys, insurance companies, government agencies, relocation companies, corporations and private individuals."</t>
  </si>
  <si>
    <t>http://www.vvm-inc.com</t>
  </si>
  <si>
    <t>mailto:vvm_assoc@yahoo.com</t>
  </si>
  <si>
    <t>Versatile Cabinet &amp; Solid Surface, Inc</t>
  </si>
  <si>
    <t>Vertex Acquisition</t>
  </si>
  <si>
    <t>mailto:mkleist@vertexacquisition.com</t>
  </si>
  <si>
    <t>Vertical Integrated Applications Inc</t>
  </si>
  <si>
    <t>="Vertical Integrated Applications, Inc. (VIA) provides hardware and networking installation and management services in addition to information management services to Emergency Services throughout Indiana. VIA has provided 24/7 support services to Law Enforcement and PSAPs since 1985."</t>
  </si>
  <si>
    <t>http://www.oval6.com</t>
  </si>
  <si>
    <t>mailto:sales@oval6.com</t>
  </si>
  <si>
    <t>Vertigo Construction</t>
  </si>
  <si>
    <t>Vespa Group LLC</t>
  </si>
  <si>
    <t>http://www.vespa-group.com</t>
  </si>
  <si>
    <t>mailto:info@vespa-group.com</t>
  </si>
  <si>
    <t>Vesta Pharmaceutical</t>
  </si>
  <si>
    <t>http://www.vestapharm.com</t>
  </si>
  <si>
    <t>mailto:info@vestapharm.com</t>
  </si>
  <si>
    <t>Medicinal and Botanical Manufacturing</t>
  </si>
  <si>
    <t>Vester &amp; Associates, Inc.</t>
  </si>
  <si>
    <t>="Vester and Associates is a full service surveying and engineering firm located in Lafayette, IN. We provide boundary, topographic, control, and route surveys. We are able to produce ALTA\ACSM surveys throughout the state. Our survey crews are equipped with GPS and Robotic Total Stations. We have engineering services involving roadways, sewer design, water design, storm water pollution prevention plans, lift stations, and water supply systems. We are using the latest version of ACAD with Land Desktop Development and Civil 3D."</t>
  </si>
  <si>
    <t>http://www.vester.com</t>
  </si>
  <si>
    <t>mailto:ron@vester.com</t>
  </si>
  <si>
    <t>Veteran Chemicals Inc.</t>
  </si>
  <si>
    <t>http://vcigreen.com</t>
  </si>
  <si>
    <t>mailto:suzann@vcigreen.com</t>
  </si>
  <si>
    <t>Veteran Fire Safety INC.</t>
  </si>
  <si>
    <t>http://www.veteranfiresafety.com</t>
  </si>
  <si>
    <t>mailto:slhoover@veteranfiresafety.com</t>
  </si>
  <si>
    <t>Veteran Hire Pursuit, LLC</t>
  </si>
  <si>
    <t>="Veteran Hire Pursuit, LLC is a Service Disabled Veteran Owned business that serves as a professional executive search partner of Veteran business owners. We actively facilitate our client’s senior management talent acquisition needs and recruiting solutions by searching for candidates that positively affect the bottom line. Our watchwords are honesty, professionalism, and loyalty while serving both our clients and candidates. We use a team approach when providing clients technically skilled, industry experienced and subject matter experts. Our objective is to immerse ourselves in our client’s business with the goal of creating an environment where the best, the brightest, and the most creative are attracted, retained, and most importantly, unleashed into our client’s culture. We aim to earn our client and candidate’s loyal trust in the profit, not-for-profit, and government sectors through exceptional performance, attention to detail, and an honest commitment to their success."</t>
  </si>
  <si>
    <t>http://www.VeteranHirePursuit.com</t>
  </si>
  <si>
    <t>mailto:Gary@VeteranHirePursuit.com</t>
  </si>
  <si>
    <t>Veteran Strategies, Inc</t>
  </si>
  <si>
    <t>="Veteran Strategies is an Indianapolis-based, multi-faceted public relations firm focusing on media relations, community outreach, and crisis communications. Veteran Strategies, Inc. is a veteran business enterprise certified by both the federal government and the city of Indianapolis."</t>
  </si>
  <si>
    <t>http://www.veteranstrategies.com</t>
  </si>
  <si>
    <t>mailto:robert@veteranstrategies,com</t>
  </si>
  <si>
    <t>Veterans Computer Solutions LLC</t>
  </si>
  <si>
    <t>http://www.indyitsupport.com</t>
  </si>
  <si>
    <t>mailto:dan@indyitsupport.com</t>
  </si>
  <si>
    <t>Veterans Pest Solutions</t>
  </si>
  <si>
    <t>http://veteranspestsolutions.com</t>
  </si>
  <si>
    <t>mailto:veteranspestsolutions@gmail.com</t>
  </si>
  <si>
    <t>Vetta Engineering, Inc.</t>
  </si>
  <si>
    <t>Victoria Grant Enterprises, Inc.</t>
  </si>
  <si>
    <t>="Business Management Consultant Specializing in QuickBooks Accounting Software. Experience from 1999 through 2010. Concentration in Small Business maintenance, quick fix, set up, training, weekly, bi weekly, monthly, quarterly, annually whatever your needs. Very flexible, your office or mine, good problem solver. Bookkeeping for all small business, consultation &amp; advice on cost saving methods. Review all your vendor invoices, for out dated charges (from old plans) and negotiate more affordable rates. Office Organization and logistics."</t>
  </si>
  <si>
    <t>http://www.victoriagrant.com</t>
  </si>
  <si>
    <t>mailto:cheryl@victoriagrant.com</t>
  </si>
  <si>
    <t>Victory Trucking &amp; Supply, Inc.</t>
  </si>
  <si>
    <t>mailto:bfredrick@indianadata.com</t>
  </si>
  <si>
    <t>VidaSys Incorporated</t>
  </si>
  <si>
    <t>http://www.vidasysinc.com</t>
  </si>
  <si>
    <t>mailto:lbaynes@vidasysinc.com</t>
  </si>
  <si>
    <t>Vidal Plastics, LLC.</t>
  </si>
  <si>
    <t>="Vidal Plastics, LLC sells a wide range of resins, from prime raw materials to recycled compounds. Products like Polycarbonate, Nylon, Polypropylene, TPE &amp; TPO, ABS, PBT and blends are available for purchasing from this organization. Vidal Plastics has a long and diverse expertise in molding, parts design, material selection and industry specific materials that would help molders, compounders, extruders and OEM’s with their plastic processing needs."</t>
  </si>
  <si>
    <t>http://WWW.VIDALPLASTICS.COM</t>
  </si>
  <si>
    <t>Video Images LLC</t>
  </si>
  <si>
    <t>http://www.videoimages.com</t>
  </si>
  <si>
    <t>mailto:aesellers@videoimagesusa.com</t>
  </si>
  <si>
    <t>Vieste, LLC</t>
  </si>
  <si>
    <t>http://viestellc.com</t>
  </si>
  <si>
    <t>mailto:viestellc.com</t>
  </si>
  <si>
    <t>ViewThis Technologies</t>
  </si>
  <si>
    <t>http://www.viewthistechnologies.com</t>
  </si>
  <si>
    <t>mailto:sales@viewthistechnologies.com</t>
  </si>
  <si>
    <t>Vigilcorp LLC</t>
  </si>
  <si>
    <t>http://www.vigilcorp.com</t>
  </si>
  <si>
    <t>mailto:rbest@vigilcorp.com</t>
  </si>
  <si>
    <t>Vignesh Technological Solutions Inc</t>
  </si>
  <si>
    <t>="Vignesh Tech solutions is the integrated technology and staffing firm serving in the in Indiana with a partnership model. Vignesh Rech solutions include consulting, IT services, Technological solutions and infrastructure services. With over a decade of experiennce, Vignesh tech solutions has its presence mostly on Indiana public sector IT industry. Vignesh tech continues to venture in new technologies, processes, people which can help it's customers to succeed. Core Vignesh tech's business strategy is a unique partnering approach. Unique about Vignesh Tech: + Industry leaders with over a decade indusry experience + Cost effective model for your technological and staffing solutions + Comitted team work for your succcess to succeed in the industry"</t>
  </si>
  <si>
    <t>http://www.vigneshtechsolutions.com</t>
  </si>
  <si>
    <t>mailto:vatluri27@yahoo.com</t>
  </si>
  <si>
    <t>Vigo County LCC</t>
  </si>
  <si>
    <t>mailto:vigosafecomm@aol.com</t>
  </si>
  <si>
    <t>Village Supply,Inc</t>
  </si>
  <si>
    <t>mailto:villagesupply@verizon.net</t>
  </si>
  <si>
    <t>Villages of Indiana Inc.</t>
  </si>
  <si>
    <t>http://www.villageskids.org</t>
  </si>
  <si>
    <t>Vincennes Staffing I</t>
  </si>
  <si>
    <t>mailto:DIETER@FIELDSERVICES.COM</t>
  </si>
  <si>
    <t>Vincennes Township Fire District</t>
  </si>
  <si>
    <t>Vincennes University</t>
  </si>
  <si>
    <t>http://www.vinu.edu</t>
  </si>
  <si>
    <t>mailto:sbrown@vinu.edu</t>
  </si>
  <si>
    <t>Vincent J. Barletto P.E., PC</t>
  </si>
  <si>
    <t>="Vincent J. Barletto P.E., PC is a corporation currently serving the state of Indiana, with the ability to expand to other surrounding states as needed. The Company was formed in 2013 with Vince Barletto P.E. as its founding engineer and Director. Our mission is to provide best in class electrical engineering services with a strong emphasis on energy efficient designs that incorporate on-time and within budget deliverables. We offer design build solutions, complete consultation and review of project plans and stamping, division 26 specifications as well as full power/lighting/data/fire engineering design."</t>
  </si>
  <si>
    <t>http://www.linkedin.com/in/vincentjbarle</t>
  </si>
  <si>
    <t>mailto:vince@barlettoengineering.com</t>
  </si>
  <si>
    <t>Vincent's Janitorial Service</t>
  </si>
  <si>
    <t>mailto:vincentsjanitorialservice@sbcglobal.net</t>
  </si>
  <si>
    <t>Vine &amp; Branch Inc.</t>
  </si>
  <si>
    <t>="Arboricultural, Horticultural, and Ecological consulting firm specializing in tree preservation, risk tree analysis, tree management planning, mitigation plans, expert witness and dispute resolution as well as tree and shrub appraisal. We also do contracting for arboricultral, horticultural and ecological projects"</t>
  </si>
  <si>
    <t>http://www.vineandbranch.net</t>
  </si>
  <si>
    <t>mailto:Info@vineandbranch.net</t>
  </si>
  <si>
    <t>Vinyl Outdoor Products, Inc.</t>
  </si>
  <si>
    <t>="Indiana company with a passion for purchasing products made in Indiana first and made in the USA second. We have the ability to design your outdoor products to fit the location, not the location to fit the product. We have the resources to find just what you need to make your next project a success."</t>
  </si>
  <si>
    <t>http://www.whynotvinyl.com</t>
  </si>
  <si>
    <t>mailto:annetteg@whynotvinyl.com</t>
  </si>
  <si>
    <t>Virco Inc.</t>
  </si>
  <si>
    <t>http://www.virco.com</t>
  </si>
  <si>
    <t>mailto:juliemccartin@virco.com</t>
  </si>
  <si>
    <t>Virgil Biddinger</t>
  </si>
  <si>
    <t>mailto:vbid@rtcol.com</t>
  </si>
  <si>
    <t>Viridian Architectural Design Inc.</t>
  </si>
  <si>
    <t>="Viridian Architectural Design Inc. was formed as an alternative to the norm within the architecture profession. We believe there is always a better, more sustainable way to design every building, as compared to today’s common construction practices. We view our project from our clients’ perspective, putting ourselves in their shoes. We hold high regard for the historical, contextual, cultural, and environmental connection of architecture while pursuing new innovations, efficiencies, technologies, and creative expression. We strive for design solutions that not only meet the needs of our clients, but are also of the highest quality standards, sensitive to the environment, and that are authentic to their place, so the people who use them also identify with them. Viridian Architectural Design Inc. is a firm that believes in a collaborative, integrated design approach between clients and consultants resulting in responsive, knowledgeable, and efficient service."</t>
  </si>
  <si>
    <t>http://www.viridian-design.net</t>
  </si>
  <si>
    <t>mailto:info@viridian-design.net</t>
  </si>
  <si>
    <t>Virtu Fine Arts Services Inc.</t>
  </si>
  <si>
    <t>http://heartlandprintiworks.com</t>
  </si>
  <si>
    <t>mailto:heartlandprintworks@gmail.c</t>
  </si>
  <si>
    <t>Virtue Business Consulting LLC</t>
  </si>
  <si>
    <t>http://www.virtueconsulting.net</t>
  </si>
  <si>
    <t>mailto:trarob@virtueconsulting.net</t>
  </si>
  <si>
    <t>Virtuoso Education Consulting, LLC</t>
  </si>
  <si>
    <t>http://www.virtuosoed.com</t>
  </si>
  <si>
    <t>Visibly Fit</t>
  </si>
  <si>
    <t>mailto:dtrunner@aol.com</t>
  </si>
  <si>
    <t>Vision 2 Design</t>
  </si>
  <si>
    <t>http://www.twinataa.com</t>
  </si>
  <si>
    <t>mailto:wfmta@yahoo.com</t>
  </si>
  <si>
    <t>Vision Athena, Inc.</t>
  </si>
  <si>
    <t>="CILC is a not for profit corporation established in 1994 specializing in utilization of videoconferencing for live interactive student and professional development content as well as web based collaborative learning environments, particularly, K-12 education. CILC provides consulting expertise in videoconferencing integration; problem based learning projects, community partnerships, techniques on the effective delivery and development of quality programs as well as state-wide analysis of videoconferencing implementation and utilization."</t>
  </si>
  <si>
    <t>http://www.cilc.org</t>
  </si>
  <si>
    <t>mailto:rblanken@cilc.org</t>
  </si>
  <si>
    <t>Vision Drywall, LLC</t>
  </si>
  <si>
    <t>="Vision Drywall and Painting is a commercial, new construction finishing company. We provide a complete package of hanging drywall, taping, texturing (knock down finish on walls and ceilings; popcorn ceilings) and painting. We have more than 15 years of experience and specialize in new construction hotels, assisted living inns, etc."</t>
  </si>
  <si>
    <t>http://VisionDrywall.com</t>
  </si>
  <si>
    <t>mailto:info@VisionDrywall.com</t>
  </si>
  <si>
    <t>Vision Financal Serv</t>
  </si>
  <si>
    <t>mailto:sdaaron@vision-financial.net</t>
  </si>
  <si>
    <t>Vision IV</t>
  </si>
  <si>
    <t>Vision It Now, Inc</t>
  </si>
  <si>
    <t>="Content Management Solutions Welcome to Vision It Now! We empower churches and business to easily create, edit and control their own professional web site. We provide you with a complete Dynamic Church and Business Web Site solution with simple to use tools and support. We will give you the tools and resources to maintain your own Website, no programming experience needed. Potentially, millions of people could enter into your virtual company or ministry, and learn more about you and what you have to offer. Web Hosting &amp; Domain Registration Now Available!"</t>
  </si>
  <si>
    <t>http://www.visionitnow.com</t>
  </si>
  <si>
    <t>mailto:sales@visionitnow.com</t>
  </si>
  <si>
    <t>Vision Solutions,LLC</t>
  </si>
  <si>
    <t>="Vision Solutions is a Microsoft Certified information technology solutions provider that leverages technology to assist in the solution of business problems. This is accomplished by providing strategic information technology solutions to local and regional entities. By Offering the highest quality solutions and resources at reasonable cost through the management of our own internal costs. By offering innovative and unique solutions, such as our 'Adjunct CTO partnership'. By liberating local and regional organizations from their dependencies on out-of-state service providers."</t>
  </si>
  <si>
    <t>http://www.vissol.net</t>
  </si>
  <si>
    <t>mailto:info@vissol.net</t>
  </si>
  <si>
    <t>Vision Three, LLC</t>
  </si>
  <si>
    <t>="Vision3 (V3) is a strategic design and interactive communications agency. V3's areas of expertise include: Creative Direction, Logo and Brand Development, Internet Development, DVD Production and Programming, CD-ROM Production and Programming, Video Production / Post-Production, and Design (Print &amp; on-screen graphics)."</t>
  </si>
  <si>
    <t>http://www.v3interactive.com</t>
  </si>
  <si>
    <t>mailto:info@v3interactive.com</t>
  </si>
  <si>
    <t>VisionDirect</t>
  </si>
  <si>
    <t>http://www.vdirect.us</t>
  </si>
  <si>
    <t>mailto:info@vdirect.us</t>
  </si>
  <si>
    <t>Visionamics, Inc.</t>
  </si>
  <si>
    <t>="Mission: To provide a unique and holistic approach to training by creating content-rich, engaging and inspiring programs to meet the specific needs of our participants and audiences. To assist companies and organizations to achieve their goals by rising above obstacles. Vision: To deliver thought-provoking programs that will stimulate a resurgence of a nation-wide consciousness of the value of integrity and responsibility. History Visionamics, Inc. is a national training and consulting corporation for businesses, associations, and all organizations that support educational institutions. The twenty-year old company was founded by O'Merrial Butchee. Ms. Butchee and her associates share more than fifty years of practical experiences in education, personal growth and development, and business and leadership development with thousands of participants worldwide. Visionanics, Inc. does not believe that ""one size fits all"". We will customize materials to meet your goals."</t>
  </si>
  <si>
    <t>mailto:obutchee@aol.com</t>
  </si>
  <si>
    <t>Visionary Solutions, LLC</t>
  </si>
  <si>
    <t>="Indiana business started in 2010 with the focus of supplying industrial and constructions products. Items ranging from fasteners (nuts and bolts), hand/power tools, cutting tools, abrasives, safety (ppe), lifting and rigging, and many more industrial products."</t>
  </si>
  <si>
    <t>mailto:mattknight@visionarysolutions.biz</t>
  </si>
  <si>
    <t>Visionary Web Design, LLC</t>
  </si>
  <si>
    <t>http://www.visionaryweb.com</t>
  </si>
  <si>
    <t>mailto:info@visionaryweb.com</t>
  </si>
  <si>
    <t>Visions Construction Services LLC</t>
  </si>
  <si>
    <t>http://www.visionscm.com</t>
  </si>
  <si>
    <t>mailto:mike@visionscm.com</t>
  </si>
  <si>
    <t>Visionventures</t>
  </si>
  <si>
    <t>="Brown County Fine Art, Inc. DBA Vision Ventures. A full service video, dvd, production house. Corporate, non-profit, broadcast clients.Previous state contracts when affiliated with Cassell Productions and Asher Agency for BMV and Dept of Commerce. Project Manager Leo Miller. Art division handles early Indiana art, consignment sales, art education. director Lyn Letsinger-Miller"</t>
  </si>
  <si>
    <t>http://browncountyfineart.com</t>
  </si>
  <si>
    <t>mailto:visionventure@aol.com</t>
  </si>
  <si>
    <t>Vista Landscape &amp; Design LLC</t>
  </si>
  <si>
    <t>mailto:asvistacleaning@gmail.com</t>
  </si>
  <si>
    <t>Visualize Your Technology LLC</t>
  </si>
  <si>
    <t>="Visualize Your Technology is comprised of experienced intermediaries to help your organization put individual business practices into one streamlined process, utilize your current technology investments to their fullest capabilities, and design the products and services your company needs to run more efficiently. With over 20 years of experience and a diverse knowledge of the breadth of technology in the market today, Visualize Your Technology will put together a comprehensive plan to eliminate vulnerabilities while recuperating monies lost to service providers. Our no fee, impartial approach allows for Visualize Your Technology to drive your business to peak performance. Services Capital Recovery Systems Integration Process Automation Exceptional Staff and Visitor Safety Applications Custom Made Technology You dream it; we deliver it!?"</t>
  </si>
  <si>
    <t>http://www.visualizeyourtechnology.com</t>
  </si>
  <si>
    <t>mailto:info@visualizeyourtechnology.com</t>
  </si>
  <si>
    <t>Vitality Ventures, Inc</t>
  </si>
  <si>
    <t>="Offering hundreds of promotional items including corporate customized apparel, awards, and signage for industry and small business. Hundreds of promotional items to choose from and to use for branding, as icebreakers for new and potential customers, and to show customer and employee appreciation. Offering a full line of party supplies for corporate events and parties. Professional event decorating services available."</t>
  </si>
  <si>
    <t>http://partymasters.net</t>
  </si>
  <si>
    <t>mailto:partymasters@comcast.net</t>
  </si>
  <si>
    <t>Vitalogix Consulting LLC</t>
  </si>
  <si>
    <t>="Our firm helps clients bridging the gap between technology solutions and business strategy. We help our clients with solving problems and providing innovative solutions. Typical projects can include strategy, business development, innovation, support and project management and process improvement. We also specialize in customer insights, organizational transformation, use of social media for health and wellness, and IT and business process development."</t>
  </si>
  <si>
    <t>mailto:vitalogixllc@gmail.com</t>
  </si>
  <si>
    <t>Vivid Touch</t>
  </si>
  <si>
    <t>mailto:avividtouch@gmail.com</t>
  </si>
  <si>
    <t>Vohne Liche Kennels,</t>
  </si>
  <si>
    <t>http://www.vohneliche.com</t>
  </si>
  <si>
    <t>mailto:kenneth@vohneliche.com</t>
  </si>
  <si>
    <t>Voice to Print Captioning</t>
  </si>
  <si>
    <t>="Realtime closed captioning, CART, Communication Access Realtime Transcription, Remote CART, ADA Accommodation for people with Hearing Loss, Speech-to-Text transcription, audio transcription, Internet and website transcription, C-Print, TypeWell transcrption services"</t>
  </si>
  <si>
    <t>http://www.captions4u.com</t>
  </si>
  <si>
    <t>mailto:captions4u@comcast.net</t>
  </si>
  <si>
    <t>Vollmar Excavating &amp; Wrecking</t>
  </si>
  <si>
    <t>mailto:vollexc@comcast.net</t>
  </si>
  <si>
    <t>Volunteers of America</t>
  </si>
  <si>
    <t>="Volunteers of America of Indiana Inc. (VOIA) is a non-profit human services organization, with incorporation in the state of Indiana. The organization provides a wide variety of human service programs throughout the state of Indiana. Our largest service area is community transition for both men and women re-entering the community from the correctional system. The organization also provides transitional housing for homeless and mentally ill veterans, permanent supportive housing for low-income elderly, permanent supportive housing for the developmentally disabled, addiction treatment services, and family reunification services."</t>
  </si>
  <si>
    <t>http://www.voain.org</t>
  </si>
  <si>
    <t>Von Tobel Lumber</t>
  </si>
  <si>
    <t>http://www.vontobels.com</t>
  </si>
  <si>
    <t>mailto:available on website</t>
  </si>
  <si>
    <t>Voom Software Inc</t>
  </si>
  <si>
    <t>http://www.voomsoft.com</t>
  </si>
  <si>
    <t>mailto:staci.motherwell@voomsoft.com</t>
  </si>
  <si>
    <t>Votech Rehab LLC</t>
  </si>
  <si>
    <t>http://www.VotechRehab.com</t>
  </si>
  <si>
    <t>mailto:Vicky@VotechRehab.com</t>
  </si>
  <si>
    <t>Voxiam</t>
  </si>
  <si>
    <t>http://www.voxiamdevelopment.com</t>
  </si>
  <si>
    <t>mailto:info@voxiamdevelopment.com</t>
  </si>
  <si>
    <t>Vulcan Fire Protection LLC</t>
  </si>
  <si>
    <t>mailto:vulcan.fire.protection@gmail.com</t>
  </si>
  <si>
    <t>W &amp; M Insulation, Inc.</t>
  </si>
  <si>
    <t>="W &amp; M Insulation is a licensed, bonded, and insured general contractor. Originally formed as a sole proprietorship business in 1983, and later incorporated in September of 1998, W &amp; M Insulation, Inc. has served Indianapolis and surrounding areas for nearly 30 years. The professional services provided by W &amp; M Insulation, Inc. include but are not limited to: General Contracting; Residential and Commercial Building Improvement; Complete Building Energy Conservation; Residential and Commercial HVAC; Energy Audits and Estimates"</t>
  </si>
  <si>
    <t>http://www.wminsulation.com</t>
  </si>
  <si>
    <t>mailto:info@wminsulation.com</t>
  </si>
  <si>
    <t>W Joseph Systems LLC</t>
  </si>
  <si>
    <t>="W Joseph Systems is primarily an on-site service organization; we provide service based upon hourly and/or annual maintenance agreements at the best rates in Indiana. We service the complete line of the following equipment; HP, IBM, Canon, Lexmark &amp; Tektronix Laser Printers. In addition, we service Okidata, Texas Instrument, Lexmark, IBM and Epson dot-matrix &amp; line-matrix printer. We offer service throughout Central Indiana and Southern Indiana. On-site service is available throughout Indiana upon request. We are pleased to offer Hitachi Imaging Solution’s Data Products replacement toner cartridges. We provide free delivery to any location in Indiana."</t>
  </si>
  <si>
    <t>http://wjosephsys.com http://w</t>
  </si>
  <si>
    <t>mailto:bill@wjosephsystems.com</t>
  </si>
  <si>
    <t>W R Frew Co Inc</t>
  </si>
  <si>
    <t>http://www.wrfrew.com</t>
  </si>
  <si>
    <t>mailto:indy@wrfrew.com</t>
  </si>
  <si>
    <t>W. Fender &amp; Associat</t>
  </si>
  <si>
    <t>="We provide bulk material handling and processing equipment and systems. Our equipment conveys, stores, feeds, conditions, screens, drys and cools bulk materials. We also provide chemical metering pumps and systems and high capacity direct contact water heaters and industrial water heating systems."</t>
  </si>
  <si>
    <t>mailto:bill@wmfenderassociates.com</t>
  </si>
  <si>
    <t>W. J. Carey Constuction</t>
  </si>
  <si>
    <t>http://www.wjcarey.com</t>
  </si>
  <si>
    <t>mailto:general@wjcarey.com</t>
  </si>
  <si>
    <t>W.A. Sheets &amp; Sons, Inc.</t>
  </si>
  <si>
    <t>="In the 1920’s, W. A. Sheets started a small construction company. Soon joined by his sons Ralph &amp; Wayne, the firm incorporated as W. A. Sheets &amp; Sons in 1936. We deliver a wide range of healthcare, commercial, education, retail, industrial, office, recreational, and distribution projects. Based in Fort Wayne, Indiana, we consider it an honor to oversee the construction of many of the most recognized landmarks in our community. Our reputation of delivering quality projects within budget and meeting timelines has brought forward opportunities for W. A. Sheets &amp; Sons to now oversee construction projects at various locations around the United States. Developing your dreams . . . Our goal is to build a structure that when completed is exactly what you had in mind and more. Our staff of professionals is driven to provide solutions that enable your construction goals to be met. At W. A. Sheets &amp; Sons, our team is dedicated toward working with you to ensure success on your pro"</t>
  </si>
  <si>
    <t>http://www.washeets.com</t>
  </si>
  <si>
    <t>W.HARE &amp; SON, INC</t>
  </si>
  <si>
    <t>="We are a Chevrolet Dealership, and sell and lease new Chevrolet cars, trucks, van, and SUVs. We also sell used vehicles, have a full service department, parts department and body shop. We are America's Olderst Transportation Business, founded in 1847, and have been located in Noblesville, Indiana since that time."</t>
  </si>
  <si>
    <t>http://www.harechevy.com</t>
  </si>
  <si>
    <t>mailto:sales@harechevy.com</t>
  </si>
  <si>
    <t>W.I. Motor Supply, Inc</t>
  </si>
  <si>
    <t>mailto:wimotorsupply@att.net</t>
  </si>
  <si>
    <t>W.M. Kelley Co., Inc</t>
  </si>
  <si>
    <t>="W.M. Kelley Co. specializes in the design and manufactuing of many types of material handling systems, such as chain conveyors, chain driven live rollers, stackers, transfers and turntables. We also design and manufacture products for a wide range of industries including; agricultural, automotive, construction, defense, food &amp; beverage, pharmaceutical and many more. Whether you are in the need of material handling equipment, custom metal products, custom lasered sheet metal or powder coating, W.M. Kelley can effectivly meet your needs."</t>
  </si>
  <si>
    <t>http://www.wmkelley.com</t>
  </si>
  <si>
    <t>mailto:dbanet@wmkelley.com</t>
  </si>
  <si>
    <t>W.O.B. Office Suppies INC</t>
  </si>
  <si>
    <t>http://www.wobos.net</t>
  </si>
  <si>
    <t>mailto:nancyc@wobos.net</t>
  </si>
  <si>
    <t>W.R. Beach, Inc.</t>
  </si>
  <si>
    <t>http://www.wrbeachinc.com</t>
  </si>
  <si>
    <t>mailto:wrbeachinc@att.net</t>
  </si>
  <si>
    <t>WA Recy. Ser. INC</t>
  </si>
  <si>
    <t>WABASH CENTER INC</t>
  </si>
  <si>
    <t>="Greenbush Industries is basically a labor service with 2 divisions. 1) A Janitorial division that cleans all types of facilities ranging from business offices and churches to very large manufacturing facilities. 2) A 14,000 sq. ft. workshop that provides outsourcing services for manufacturers to perform labor-intensive tasks such as assembly, sorting &amp; gauging, inspection &amp; testing, salvage &amp; rework, custom packaging &amp; distribution. The Greenbush workshop is located in Lafayette with trucking delivery service to Indianapolis. Quality control and engineering solutions for process design are available through Purdue University."</t>
  </si>
  <si>
    <t>http://www.wabashcenter.com</t>
  </si>
  <si>
    <t>mailto:losborne@wabashcenter.com</t>
  </si>
  <si>
    <t>WABASH ELECTRIC Supply Inc.</t>
  </si>
  <si>
    <t>="Factory Automation control systems, Industrial maintenance products, Electrical Contractor Costruction products, Residential Lighting Showrooms for residential builders and contractors, Information Technology support , products and services. Please visit us at www.wabashelectric.com for listing of products and services. We also provide solutions for factory floor data collection being integrated directly into small to mid-sized manufacturing MRP back office business systems. Please visit www.intrasect.com for more information on this service."</t>
  </si>
  <si>
    <t>http://www.wabashelectric.com</t>
  </si>
  <si>
    <t>mailto:we@wabashelectric.com</t>
  </si>
  <si>
    <t>Broadcasting and Telecommunications</t>
  </si>
  <si>
    <t>WABASH VALLEY HYDRAULIC SERVICE CENTER,</t>
  </si>
  <si>
    <t>http://WWW.WABASHVALLEYHYDRAULICS.COM</t>
  </si>
  <si>
    <t>mailto:ELONNE@WABASHVALLEYHYDRAULICS.COM</t>
  </si>
  <si>
    <t>WABASH VALLEY MOTOR &amp; MACHINE, INC.</t>
  </si>
  <si>
    <t>mailto:STEPHEN@WABASHVALLEYMOTOR.COM</t>
  </si>
  <si>
    <t>WAYNE PIPE &amp; SUPPLY INC</t>
  </si>
  <si>
    <t>http://www.waynepipe.com</t>
  </si>
  <si>
    <t>mailto:mail@waynepipe.com</t>
  </si>
  <si>
    <t>WB &amp; Associates Construction, LLC</t>
  </si>
  <si>
    <t>http://www.wbaconstruction.com</t>
  </si>
  <si>
    <t>mailto:willie@wbaconstruction.com</t>
  </si>
  <si>
    <t>WBBS, LLC</t>
  </si>
  <si>
    <t>mailto:willie@bbselkhart.com</t>
  </si>
  <si>
    <t>WD BEVERAGE LLC</t>
  </si>
  <si>
    <t>mailto:Carlswan21@GMail.com</t>
  </si>
  <si>
    <t>WD JANITORIAL SUPPLY COMPANY</t>
  </si>
  <si>
    <t>mailto:janitorialsupply@comcast.net</t>
  </si>
  <si>
    <t>WDI Architecture, Inc.</t>
  </si>
  <si>
    <t>="Sustainable, economical and site specific design. WDI has a diverse staff background, including architecture, digital modeling, green design, interior design, infrastructure planning, visual art and photography. We are proficient with LEED principles and the latest technology including Revit (BIM)."</t>
  </si>
  <si>
    <t>http://www.WDIarchitecture.com</t>
  </si>
  <si>
    <t>mailto:daryl_wd@wdiarchitecture.com</t>
  </si>
  <si>
    <t>WDM Creative</t>
  </si>
  <si>
    <t>="We are a woman-owned public relations, marketing and advertising agency focused on delivering branding, strategic planning and campaign production services for outreach and action. Our altruistic niche finds us working for government, education, not-for-profit and healthcare related organizations."</t>
  </si>
  <si>
    <t>http://www.wearewdm.com</t>
  </si>
  <si>
    <t>mailto:lori@wearewdm.com</t>
  </si>
  <si>
    <t>WDT Inc</t>
  </si>
  <si>
    <t>mailto:williamdthomasjr@aol.com</t>
  </si>
  <si>
    <t>WEBCO Packaging, Inc</t>
  </si>
  <si>
    <t>http://www.webcopackaging.com</t>
  </si>
  <si>
    <t>mailto:annie@webcopackaging.com</t>
  </si>
  <si>
    <t>WEHR GLOBAL LLC</t>
  </si>
  <si>
    <t>http://www.wehrglobal.com</t>
  </si>
  <si>
    <t>mailto:info@wehrglobal.com</t>
  </si>
  <si>
    <t>WELDSTAR COMPANY</t>
  </si>
  <si>
    <t>http://www.weldstar.com</t>
  </si>
  <si>
    <t>mailto:kschrader@weldstar.com</t>
  </si>
  <si>
    <t>WELLS &amp; WELLS TRANSPORTATION CORPORATION</t>
  </si>
  <si>
    <t>mailto:wellsconstruction.truckingllc@yahoo.com</t>
  </si>
  <si>
    <t>WELLS COUNTY AUDITOR</t>
  </si>
  <si>
    <t>http://www.wellscounty.org</t>
  </si>
  <si>
    <t>mailto:auditor@wellscounty.org</t>
  </si>
  <si>
    <t>WEM Engineering</t>
  </si>
  <si>
    <t>="We are a diverse organization that has a unique set of work experiences, and education that serves as the foundation for the areas of interest as broken down in the following group categories: Services: Information Technology: Software Development, and general project consultants, Oracle Database. Supplier: Electronic components, design development and machine fabrication of small Specialized machine parts; mechanical assemblies; general supply materials Technical Writing Homeland Security Services: Project management; Commissioning, Automated Control Equipment Service, System and Equipment calibrations, Service Water systems (i.e. pump skids); – Allen Bradley control systems; General Consultant (i.e. Automated Systems,"</t>
  </si>
  <si>
    <t>http://www.wemeng.com</t>
  </si>
  <si>
    <t>mailto:wmilton@wemeng.com</t>
  </si>
  <si>
    <t>WEM Engineering Inc</t>
  </si>
  <si>
    <t>="WEM Engineering Inc leverages a distinctive combination of industry expertise, technical depth and differentiated services to deliver quality product and support to our clients in the following IT areas and associated discipline: Staff Augmentation - Temporary and Long Term for Technical Writing, Transcription services and Application Development and Database Analyst &amp; Administration."</t>
  </si>
  <si>
    <t>mailto:wemeng@wemeng.com</t>
  </si>
  <si>
    <t>WESCO Distribution, Inc.</t>
  </si>
  <si>
    <t>="WESCO is recognized as the largest, fastest, and most responsive electrical distributor in the industry, with a comprehensive nationwide network of over 350 local branches and 5 distribution centers. Representing a large variety of electrical and data-communications manufacturers, WESCO supplies products for industrial, construction, commercial, utility, and residential applications, when and where you need them. Indiana branches include Indianapolis, Fort Wayne, Kokomo, Evansville, South Bend, and Hammond"</t>
  </si>
  <si>
    <t>http://www.wescodist.com</t>
  </si>
  <si>
    <t>mailto:statelocal@gocsc.com</t>
  </si>
  <si>
    <t>WESSLER ENGINEERING, INC.</t>
  </si>
  <si>
    <t>="Wessler Engineering is a civil and environmental engineering firm, specializing in wastewater, drinking water, stormwater, electrical, and transportation projects, providing services ranging from master planning and design to construction administration and process energy audits. Founded in 1975 and based in Indianapolis, Indiana, we have branch offices in Evansville, West Lafayette, and Fort Wayne."</t>
  </si>
  <si>
    <t>http://www.wesslerengineering.com</t>
  </si>
  <si>
    <t>mailto:info@wesslerengineering.com</t>
  </si>
  <si>
    <t>WGD ROCHESTER LLC</t>
  </si>
  <si>
    <t>mailto:WDGRUBE@RTCOL.COM</t>
  </si>
  <si>
    <t>WGS Salt LLC</t>
  </si>
  <si>
    <t>http://wgssalt.com</t>
  </si>
  <si>
    <t>mailto:info@wgssalt.com</t>
  </si>
  <si>
    <t>WH Construction, Inc</t>
  </si>
  <si>
    <t>mailto:whconstructioninc@yahoo.com</t>
  </si>
  <si>
    <t>WHEELER MECHANICAL SERVICES, LLC</t>
  </si>
  <si>
    <t>http://www.wheelermechanical.com</t>
  </si>
  <si>
    <t>mailto:gwheeler@embarqmail.com</t>
  </si>
  <si>
    <t>WIC Enterprises LLC</t>
  </si>
  <si>
    <t>mailto:mrshemp01@gmail.com</t>
  </si>
  <si>
    <t>WIGGAM LUMBER INC</t>
  </si>
  <si>
    <t>http://WWW.WIGGAMLUMBER.COM</t>
  </si>
  <si>
    <t>mailto:INFO@WIGGAMLUMBER.COM</t>
  </si>
  <si>
    <t>WINCO Construction</t>
  </si>
  <si>
    <t>http://www.wincoconstruction.com</t>
  </si>
  <si>
    <t>mailto:johnk@wincoconstruction.com</t>
  </si>
  <si>
    <t>WINDHORST, INC</t>
  </si>
  <si>
    <t>http://WWW.WINDHORSTHOME.COM</t>
  </si>
  <si>
    <t>mailto:WILLIAM@WINDHORSTHOME.COM</t>
  </si>
  <si>
    <t>WINNER WOODWORKING EQUIPMENT, INC</t>
  </si>
  <si>
    <t>="Distributor of woodworking machinery, tooling, and supplies. Repair and service on woodworking machinery including edgebanders, sanders, saws, and more. Distributor for Adjustable, Adwood, Amana, Biesemeyer, Bessey, Cehisa, Charles GG Schmidt, Detel, Dust Technology, Delta, Elcon, Freud, FS Tool, General, Her-Saf, Hitachi, Jet, Kreg, Northfield, Original Saw, Porter Cable, Powermatic, Safety Speed Cut, Sterling, Wisconsin Knife Works, and many other manufacturers."</t>
  </si>
  <si>
    <t>http://WINNERWOOD.COM</t>
  </si>
  <si>
    <t>mailto:winnerwood@mindspring.com</t>
  </si>
  <si>
    <t>WIPCO INC</t>
  </si>
  <si>
    <t>="Painting &amp; Decorating Contractor for N. Central Indiana, including: General Painting Electrostatic Refinishing Vinyl &amp; Acoustical Wallcoverings Graphics Multi-Color Architectural Coatings Industrial Maintenance Coatings Roof Coatings Epoxy Floor Coatings Exterior Building Restoration Caulking High Pressure Washing Waterproofing Masonry Cleaning Parking Lot Striping"</t>
  </si>
  <si>
    <t>http://williamspaintingcompany.com</t>
  </si>
  <si>
    <t>mailto:wipco@aol.com</t>
  </si>
  <si>
    <t>WIRELESS COMMUNICATIONS LLC</t>
  </si>
  <si>
    <t>mailto:Wirelesscomm2@aol.com</t>
  </si>
  <si>
    <t>WOUNDED WARRIOR OFFICE SUPPLY LLC</t>
  </si>
  <si>
    <t>WRFS Services, LLC</t>
  </si>
  <si>
    <t>WTH Engineering, Inc</t>
  </si>
  <si>
    <t>http://www.wthengineering.com</t>
  </si>
  <si>
    <t>mailto:bsargent@wthengineering.com</t>
  </si>
  <si>
    <t>WTH Technology, Inc.</t>
  </si>
  <si>
    <t>="WTH is a provider of comprehensive Geographic Information Services (GIS). This includes GIS data creation and conversion, GIS data exchange, GIS software products and product development and the integration of GIS software and data with other third party software products. The Company currently provides GIS services to clients in 60 of Indiana's 92 counties."</t>
  </si>
  <si>
    <t>http://www.wthtechnology.com</t>
  </si>
  <si>
    <t>WYSTech Solutions</t>
  </si>
  <si>
    <t>http://www.wystech.com</t>
  </si>
  <si>
    <t>mailto:info@wystech.com</t>
  </si>
  <si>
    <t>Wabash Appraisal Company</t>
  </si>
  <si>
    <t>="Wabash Appraisal Company offers real estate appraisal services within the state of Indiana. Appraisal reports are prepared by an Indiana Certified General Appraiser. Appraisal services offered include all forms of residential properties and many forms of commercial, industrial and specialty-use properties, as well as eminent domain and right-of-way appraisal for almost all property types."</t>
  </si>
  <si>
    <t>mailto:wabashappraisalcompany@comcast.net</t>
  </si>
  <si>
    <t>Wabash Coffee, Inc</t>
  </si>
  <si>
    <t>http://www.wabashfoodservice.com</t>
  </si>
  <si>
    <t>mailto:bmischler@wabashfoodservice.com</t>
  </si>
  <si>
    <t>General Line Grocery Merchant Wholesalers</t>
  </si>
  <si>
    <t>Wabash Scientific</t>
  </si>
  <si>
    <t>mailto:wabsci@aol.com</t>
  </si>
  <si>
    <t>Wabash Utilities Inc.</t>
  </si>
  <si>
    <t>http://www.wabashutilities.com</t>
  </si>
  <si>
    <t>Wabash Valley Health Center, Inc.</t>
  </si>
  <si>
    <t>http://www.wabashvalleyhealthcenter.org</t>
  </si>
  <si>
    <t>Wabash Valley Manufacturing Inc</t>
  </si>
  <si>
    <t>http://www.wabashvalley.com</t>
  </si>
  <si>
    <t>mailto:wvmsales@brownjordan.com</t>
  </si>
  <si>
    <t>Metal Household Furniture Manufacturing</t>
  </si>
  <si>
    <t>Wabash Valley Masonry supply LLC</t>
  </si>
  <si>
    <t>http://www.wabashvalleymasonr.com</t>
  </si>
  <si>
    <t>mailto:LKAESER@INSIGHTBB.COM</t>
  </si>
  <si>
    <t>Wadman Accounting &amp; Tax Service, LLC</t>
  </si>
  <si>
    <t>="Local accounting and tax practice offering the following services: 1. Payroll Preparation and Employer Tax Reporting 2. Financial Statement Preparation 3. Accounts Receivable 4. Accounts Payable 5. Sales Tax 6. Individual Income Tax Returns 7. Business Income Tax Returns We can custom tailor a program to fit your individual needs."</t>
  </si>
  <si>
    <t>mailto:wadmantax@insightbb.com</t>
  </si>
  <si>
    <t>Wagler &amp; Sons Construction, Inc.</t>
  </si>
  <si>
    <t>Wagner Concession, Inc.</t>
  </si>
  <si>
    <t>mailto:wagner3131@yahoo.com</t>
  </si>
  <si>
    <t>Walgreens Health Initiatives</t>
  </si>
  <si>
    <t>="Walgreens Health Initiatives (WHI) provides a portfolio of integrated healthcare solutions that effectively help clients manage their pharmacy benefit trend, while providing high-quality patient care and satisfaction, aimed at reducing overall medical cost. Some of our integrated solutions are: Worksite Health &amp; Wellness Centers, Worksite Pharmacies, Worksite Clinics, Long Term Care Pharmacy Services, Home Care Services, Specialty Pharmacy Services, Mail Service, Pharmacy Benefit Management, Retail Pharmacy Services."</t>
  </si>
  <si>
    <t>http://www.walgreenshealth.com</t>
  </si>
  <si>
    <t>mailto:jean.jendusa@walgreens.com</t>
  </si>
  <si>
    <t>Walker Business Cons</t>
  </si>
  <si>
    <t>="Walker Business Consultant - offers business consulting in the areas of streamlining business processes. Strategic Planning, and Corporate Development. Leadership and Management Training. Corporate Compliance. IT Consulting, Advanced Technologies, Workshop/ Seminar Design &amp; Facilitation, Quality Management, • Systems Integration Management and Implementation."</t>
  </si>
  <si>
    <t>mailto:walkerbusinessconsultant@yahoo.com</t>
  </si>
  <si>
    <t>Walkers Muffler &amp; Brake Shop</t>
  </si>
  <si>
    <t>mailto:tim_walker1@msn.com</t>
  </si>
  <si>
    <t>Wall Constructors, Inc.</t>
  </si>
  <si>
    <t>Wall Control Services, Inc.</t>
  </si>
  <si>
    <t>="We mainly provide machinery services include: Automated machine rebuild; Electrical cabinet/panels rebuild; Electrical cabinet design/build; Electrical drawings; Osai control retrofit; Osai PLC programming support; AB control install/commission; Allen Bradley PLC support; Control system troubleshooting; Preventative maintenance."</t>
  </si>
  <si>
    <t>http://www.wallcontrolservices.com</t>
  </si>
  <si>
    <t>mailto:sales@wallcontrolservices.com</t>
  </si>
  <si>
    <t>Wall Designs Inc.</t>
  </si>
  <si>
    <t>mailto:mmrrsanchez@sbcglobal.net</t>
  </si>
  <si>
    <t>Waller's Meter, Inc</t>
  </si>
  <si>
    <t>="We are a distributor of underground water, sewer &amp; drainage supplies. Primarily to municipal utilities, but also to contractors and the general public. We have a 40,000 sf warehouse in Madison, Indiana. We specialize in Badger water meters and AMR systems. We are also one of the largest stocking distributors in Indiana for Ford Meter Box. We carry M&amp;H and Kennedy valves and fire hydrants and stock ADS/Hancor culvert pipe and many other types of pipe and appurtences."</t>
  </si>
  <si>
    <t>http://wallersmeterinc.com</t>
  </si>
  <si>
    <t>mailto:wallers@cinergymetro.net</t>
  </si>
  <si>
    <t>Walmer Supply Inc</t>
  </si>
  <si>
    <t>mailto:walmersupply@kconline.com</t>
  </si>
  <si>
    <t>Walnut Ridge Pool &amp; Patio</t>
  </si>
  <si>
    <t>http://www.backyardsuperstore.com</t>
  </si>
  <si>
    <t>mailto:walnutridge.clark@insightbb.com</t>
  </si>
  <si>
    <t>Walnut Street Investments, LLC</t>
  </si>
  <si>
    <t>mailto:dott@dennisottcompany.com</t>
  </si>
  <si>
    <t>Walpole Consulting</t>
  </si>
  <si>
    <t>="Walpole Consulting offers solutions for today and tomorrow specializing in public administration. Services offered include, but are not limited to, evaluation coordinator, documentation review and development, reimbursement policy analysis, managed care policy analysis, correction policy analysis, action plan development, training development, and project planning and development."</t>
  </si>
  <si>
    <t>mailto:walps@aol.com</t>
  </si>
  <si>
    <t>Walsh Construction II, LLC</t>
  </si>
  <si>
    <t>http://www.walshgroup.com</t>
  </si>
  <si>
    <t>Walter Gregory Wright</t>
  </si>
  <si>
    <t>http://MBEindian.com</t>
  </si>
  <si>
    <t>mailto:greg@MBEindian.com</t>
  </si>
  <si>
    <t>Walton Tool Inc DBA Code Red Precision</t>
  </si>
  <si>
    <t>http://waltontoolinc.com</t>
  </si>
  <si>
    <t>mailto:craig.simon@waltontoolinc.com</t>
  </si>
  <si>
    <t>Wampler Services Inc</t>
  </si>
  <si>
    <t>="Waste collection &amp; hauling in a 50 mile radius of Frankfort IN, in the roll off container business. Rear load dumpsters &amp; residential business in the city limits area. We are in recycling (cardboard, paper, scrap metals, newsprint). We encourage all our customers to recycle, recycle!!. We service industrial, commercial and residential customers."</t>
  </si>
  <si>
    <t>mailto:twampler@geetel.net</t>
  </si>
  <si>
    <t>Ward Aluminum Casting,Inc</t>
  </si>
  <si>
    <t>http://wardcorp.com</t>
  </si>
  <si>
    <t>mailto:maryjoa@wardcorp.com</t>
  </si>
  <si>
    <t>Aluminum Foundries</t>
  </si>
  <si>
    <t>Ward Equipment, LLC</t>
  </si>
  <si>
    <t>http://prowlertracks.com</t>
  </si>
  <si>
    <t>mailto:wardequip@gmail.com</t>
  </si>
  <si>
    <t>Ward Land Development</t>
  </si>
  <si>
    <t>Ward Pattern &amp; Engineering, Inc.</t>
  </si>
  <si>
    <t>mailto:skyeh@wardcorp.com</t>
  </si>
  <si>
    <t>Industrial Pattern Manufacturing</t>
  </si>
  <si>
    <t>Ward Twp. Vol. Fire</t>
  </si>
  <si>
    <t>mailto:twcfmartin@netscape.com</t>
  </si>
  <si>
    <t>Ward/Holloway Law LLC</t>
  </si>
  <si>
    <t>http://zwhlaw@wardholloway.com</t>
  </si>
  <si>
    <t>mailto:zwhlaw@wardholloway.com</t>
  </si>
  <si>
    <t>Warehouse Services Inc</t>
  </si>
  <si>
    <t>http://www.wsionline.com</t>
  </si>
  <si>
    <t>mailto:paul.watzlavik@ge.com</t>
  </si>
  <si>
    <t>Warrant Technologies LLC</t>
  </si>
  <si>
    <t>="Warrant Technologies is a system engineering company with software development practices based on SEI CMMI Level III practices and procedures. We are headquartered in Orange County, IN with offices in Bloomington, IN as well and are a service disabled veteran owned small business (SDVOSB). Our industry teaming partners are made up of academic and industry leaders in technology and innovation. Our Capabilities Include: •Systems Engineering •Software Engineering •Modeling and Simulation •Cyber / Information Systems •Program / Project Support •Acquisition / Sustainment Logistics"</t>
  </si>
  <si>
    <t>http://www.warranttek.com</t>
  </si>
  <si>
    <t>mailto:mike_norris@warranttek.com</t>
  </si>
  <si>
    <t>Warren County</t>
  </si>
  <si>
    <t>Warren Service &amp; Sup</t>
  </si>
  <si>
    <t>="Warren Service &amp; Supply is a 3rd generation family business since 1948. The products we sell are propane gas, plumbing, heating and cooling. The services we offer are drain jetter, sewer camera &amp; locator, trenching, excavating, installation of heating &amp; cooling systems, well pump installations, well repairs, hvac heat loss and duct work design layouts."</t>
  </si>
  <si>
    <t>mailto:wssbps@citznet.com</t>
  </si>
  <si>
    <t>Warren, Steven K</t>
  </si>
  <si>
    <t>http://incourtofficer.wix.com/csaoi</t>
  </si>
  <si>
    <t>mailto:contactcsaoi@gmail.com</t>
  </si>
  <si>
    <t>Warrior Construction Management, Inc.</t>
  </si>
  <si>
    <t>="Warrior Construction Management, Inc. is a new company specializing in construction management and general contracting. Warrior has put together a precise estimating and management team that is superior in quality building, maintaining owner relationships, team building with client and design teams, subcontractors and suppliers. Warrior Construction Management’s reliability, capability and integrity are unsurpassed in the industry. Types of work that Warrior can do are: Site Work Infrastructure Framing/Drywall/Finishes Concrete Work Asphalt Work Roofing Masonry Building Pads Drainage Retainment Sewer and Water Lakes, Ponds Boring (Horizontal) General Construction Mechanical/Electrical/Plumbing Construction Management Excavation Property Management Security Systems"</t>
  </si>
  <si>
    <t>mailto:warriorcmi@tds.net</t>
  </si>
  <si>
    <t>Warrior Restoration, LLC</t>
  </si>
  <si>
    <t>Warsaw Chemical</t>
  </si>
  <si>
    <t>http://www.warsaw-chem.com</t>
  </si>
  <si>
    <t>mailto:micheles@warsaw-chem.com</t>
  </si>
  <si>
    <t>Washington Controls</t>
  </si>
  <si>
    <t>http://www.Washingtoncontrols.com</t>
  </si>
  <si>
    <t>mailto:kevin@Washingtoncontrols.com</t>
  </si>
  <si>
    <t>Washington Controls Inc</t>
  </si>
  <si>
    <t>http://washingtoncontrols.com</t>
  </si>
  <si>
    <t>mailto:Kevin@washingtoncontrols.com</t>
  </si>
  <si>
    <t>Watchdog Video Corp.</t>
  </si>
  <si>
    <t>http://www.warehousecctv.com</t>
  </si>
  <si>
    <t>mailto:sales@warehousecctv.com</t>
  </si>
  <si>
    <t>Watchmen Security Group</t>
  </si>
  <si>
    <t>http://www.watchmengroup.com</t>
  </si>
  <si>
    <t>mailto:asmith@watchmengroup.com</t>
  </si>
  <si>
    <t>Water Serv, Inc</t>
  </si>
  <si>
    <t>mailto:srothgerber@tds.net</t>
  </si>
  <si>
    <t>Waterhorse LLC</t>
  </si>
  <si>
    <t>="WATERHORSE LLC is a small WBE specializing in consulting services. The company’s areas of expertise include marketing, education, research, military programs, information technology, program management, event planning, training, writing and editing, photography, videography, real estate, and the arts."</t>
  </si>
  <si>
    <t>mailto:keeads@gmail.com</t>
  </si>
  <si>
    <t>Waterstreet Consulting, LLC</t>
  </si>
  <si>
    <t>="Waterstreet Consulting, LLC (Waterstreet) is a Service Disabled Veteran Owned Small Business (SDVOSB) practicing principles of client focused planning, design and construction activities. Waterstreet fills the gap in integrating proven expertise by assisting our clients with complex programs addressing USEPA, municipal, state and federal mandates, public works projects and federal programs. We are the clients advocate early in the planning stages, during design and construction through close out. We assist professional engineers and architects who have experience in all aspects of civil, architectural, structural, mechanical, electrical, and plumbing engineering design, consulting, project management, construction management, program management and other technical services. Dedicated to serving our Veteran community, Waterstreet is a 100% Veteran owned small business providing meaningful opportunities for our Veterans in the built environment."</t>
  </si>
  <si>
    <t>http://www.waterstreetconsultingllc.com</t>
  </si>
  <si>
    <t>mailto:zig@waterstreetconsultingllc.com</t>
  </si>
  <si>
    <t>Watertown Group LLC</t>
  </si>
  <si>
    <t>="Watertown Group provides value-added strategy, management and technology consulting services to our clients. We specialize in planning (strategic technology plans, risk assessments, market analyses, cost/benefit analyses, meeting facilitation), project initiation (scope definition, project workplans, contract negotiations), project implementation (management, vendor/contract management, quality assurance, project oversight) and management reporting (project/performance analyses, presentation of findings, action plans)."</t>
  </si>
  <si>
    <t>http://www.watertowngroup.com</t>
  </si>
  <si>
    <t>mailto:info@watertowngroup.com</t>
  </si>
  <si>
    <t>Watt Mechanical,LLC.</t>
  </si>
  <si>
    <t>http://wattmechanical.com</t>
  </si>
  <si>
    <t>Waveland Development, LLC</t>
  </si>
  <si>
    <t>Waveland Outdoor Power, LLC</t>
  </si>
  <si>
    <t>http://www.wavelandoutdoorpower.com</t>
  </si>
  <si>
    <t>mailto:info@wavelandoutdoorpower.com</t>
  </si>
  <si>
    <t>Wawasee Community School Corporation</t>
  </si>
  <si>
    <t>Wawasee Financial, Inc</t>
  </si>
  <si>
    <t>http://www.yourpersonaladvisors.com</t>
  </si>
  <si>
    <t>mailto:brian@yourpersonaladvisors.com</t>
  </si>
  <si>
    <t>Waymire Auto Parts &amp; Services, Inc.</t>
  </si>
  <si>
    <t>="Public safety, emergency, and utility vehicle equipment. Light bars, LED emergency warning lights, strobe lights, sirens, vehicle consoles and laptop computer vehicle stands. Trailer Towing products including brake controllers, trailer hitches, trailer components/repair parts."</t>
  </si>
  <si>
    <t>http://www.waymires.com</t>
  </si>
  <si>
    <t>mailto:fleetequipment@waymires.com</t>
  </si>
  <si>
    <t>Wayne Kruse Real Estate, Inc.</t>
  </si>
  <si>
    <t>mailto:dan.kruse@verizon.net</t>
  </si>
  <si>
    <t>Wayne-Vaughn Equipment Co.</t>
  </si>
  <si>
    <t>http://www.wayne-vaughn.com</t>
  </si>
  <si>
    <t>mailto:randy@wayne-vaughn.com</t>
  </si>
  <si>
    <t>We Care From the Heart, Inc.</t>
  </si>
  <si>
    <t>Wealing Brothers LLC</t>
  </si>
  <si>
    <t>="We are a complete biosolid management company offering a off site biosolid storage/disposal facility. We also land apply liquid or dry sludge. Our other services include lagoon cleaning, dredging, drag lining, dewatering, digester cleaning, geo-bags and clarifier cleaning."</t>
  </si>
  <si>
    <t>http://www.wealingbrothers.com</t>
  </si>
  <si>
    <t>mailto:wealingbrosllc@hotmail.com</t>
  </si>
  <si>
    <t>Weas Engineering</t>
  </si>
  <si>
    <t>="Weas Engineering is a regional, privately-held water treatment company that has successfully serviced its Midwest clients since 1980. We have extensive experience with boiler, cooling, and wastewater treatment for the industrial and institutional markets. We also sell a full line of water treatment chemicals, control and feed equipment, and pretreatment equipment. Our headquarters, production facility, and laboratory are located in Westfield, Indiana."</t>
  </si>
  <si>
    <t>http://weasengineering.com</t>
  </si>
  <si>
    <t>mailto:weas@weasengineering.com</t>
  </si>
  <si>
    <t>Weatherall Company Inc.</t>
  </si>
  <si>
    <t>http://www.weatherall.com</t>
  </si>
  <si>
    <t>mailto:bweigel@weatherall.com</t>
  </si>
  <si>
    <t>Weatherly Scott Enterprises</t>
  </si>
  <si>
    <t>="We are a full service collection agency specializing in consumer and government collections. We employ a full-time staff attorney to cover all phases of the collections process. A fully licensed, bonded, and insured agency, TransAtlantioc is a member of the trade organization, ACA International. We have access to skiptracing databases and the credit bureaus. We also use automated dialing campaigns which allows us to perform like comapnies ten times our size."</t>
  </si>
  <si>
    <t>http://www.transatco.com</t>
  </si>
  <si>
    <t>mailto:carolyns@transatco.com</t>
  </si>
  <si>
    <t>Weathersfield Art Group, LLC</t>
  </si>
  <si>
    <t>http://www.ReFrameBloomington.com</t>
  </si>
  <si>
    <t>mailto:karol@bloomingframes.com</t>
  </si>
  <si>
    <t>Weaver Boos Consultants, LLC</t>
  </si>
  <si>
    <t>http://www.weaverboos.com</t>
  </si>
  <si>
    <t>mailto:sstanford@weaverboos.com</t>
  </si>
  <si>
    <t>Web Connectivity LLC</t>
  </si>
  <si>
    <t>="Web Connectivity wants to connect your organization to the world. Let our extensive application development experience take your organization to the next level. Web Connectivity can create a web presence for your organization that will meet all your strategic and fiscal goals. With the latest in web development tools and multimedia applications, we will work with your organization to create and maintain a website that fits your organization's needs. Your organization has its own unique identity. Where other companies fit your organization into an existing design, we work with your organization to create a web presence that is as unique as your organization. Let us connect your business to the world!"</t>
  </si>
  <si>
    <t>http://www.webconnectivityllc.com</t>
  </si>
  <si>
    <t>mailto:sales@webconnectivityllc.com</t>
  </si>
  <si>
    <t>Web Converting of In</t>
  </si>
  <si>
    <t>="Web Converting is a provider of manufacturing services aimed at solving converting problems for industry. Our depth of experience and skills with slitting, sheeting, traverse winding, and coating/printing are unmatched across the country. We will slit almost anything in roll form, with particular focus in nonwoven fabrics, plastic films, papers, composites, and light gauge metals."</t>
  </si>
  <si>
    <t>http://www.webconverting.com</t>
  </si>
  <si>
    <t>mailto:salesindy@webconverting.com</t>
  </si>
  <si>
    <t>Nonwoven Fabric Mills</t>
  </si>
  <si>
    <t>Webb Express, Inc.</t>
  </si>
  <si>
    <t>mailto:webbexpress@yahoo.com</t>
  </si>
  <si>
    <t>Webb's Family Pharmacy</t>
  </si>
  <si>
    <t>="We are a Retail Community Pharmacy with locations in Rochester and Akron Indiana. We are a full line retail pharmacy providing prescription drugs and custom compounded medication. We also provide home oxygen and medical equipment. We provide cholesterol and diabetic screening and education. We also stock nutritional supplements such as vitamins, minerals and herbal products. We are also a RadioShack franchise with computer, cellular telephone and satellite dish equipment and accessories. We also carry RCA and Toshiba televisions and other TV and audio / video equipment. We also have computer networking equipment, bulk cat-5 and RG-6 coax cable and a complete line of commonly used connectors, splitters and adaptors."</t>
  </si>
  <si>
    <t>http://www.webbrx.com</t>
  </si>
  <si>
    <t>mailto:pharmacy@webbrx.com</t>
  </si>
  <si>
    <t>Weber &amp; Associates, Inc.</t>
  </si>
  <si>
    <t>="Techedvise is the Midwest's premier K-12 technology solution partner. Our company specializes in providing value-driven consulting services and innovative applications that keep educators ahead of the technology curve by providing them more for less. Through our experience and affiliations with key strategic partners, Techedvise offers a one-stop shop for building greater efficiencies and integration into education. We are the ideal solution customized to meet your needs. • Planning o Technology Planning &amp; Evaluation o IT Facilities Assessment • Design Engineering o Network Infrastructure o Distance Learning &amp; Broadcast Facilities o Video Distribution &amp; Streaming Media o IPTV &amp; IP Telephony o CCTV &amp; Access Control o Automation Systems • Project Management o Construction Administration focused on IT o IT Deployment o Quality Assurance"</t>
  </si>
  <si>
    <t>http://www.techedvise.com</t>
  </si>
  <si>
    <t>mailto:info@techedvise.com</t>
  </si>
  <si>
    <t>Webster West Inc</t>
  </si>
  <si>
    <t>Weigand Construction Co. Inc.</t>
  </si>
  <si>
    <t>http://www.weigandconstruction.com</t>
  </si>
  <si>
    <t>mailto:weigand@weigandconstruction.com</t>
  </si>
  <si>
    <t>Weihe Engineers, Inc</t>
  </si>
  <si>
    <t>="Weihe Engineers, established in 1960, provides civil engineering, and land surveying services. Areas of expertise include: site development, wastewater system consultation and design, stormwater system consultation and design, boundary surveys, topographic surveys, ALTA surveys, construction staking and more."</t>
  </si>
  <si>
    <t>http://www.weihe.net</t>
  </si>
  <si>
    <t>mailto:berniep@weihe.net</t>
  </si>
  <si>
    <t>Wein &amp; Shearer Mechanical Inc</t>
  </si>
  <si>
    <t>http://www.wsmgetchilled.com</t>
  </si>
  <si>
    <t>mailto:jbrown@wsmgetchilled.com</t>
  </si>
  <si>
    <t>Weingardt &amp; Assoc.In</t>
  </si>
  <si>
    <t>Weintraut &amp; Associat</t>
  </si>
  <si>
    <t>http://www.weintrautinc.com</t>
  </si>
  <si>
    <t>mailto:linda@weitnrautinc.com</t>
  </si>
  <si>
    <t>Weiss Communications, Inc.</t>
  </si>
  <si>
    <t>="Weiss Communications, Inc. publishes Indianapolis Woman Magazine and St. Louis Woman Magazineand their on-line versions. Weiss Communications also does custom publishing pieces and has a Projects and Promotions division. Weiss Communications currently has 24 employees, 22 of whom are Indiana residents."</t>
  </si>
  <si>
    <t>http://www.indianapoliswoman.com</t>
  </si>
  <si>
    <t>Weiss Prestaining , Inc.</t>
  </si>
  <si>
    <t>http://WWW.WEISSINC.NET</t>
  </si>
  <si>
    <t>Welborn Clinic</t>
  </si>
  <si>
    <t>http://www.welbornhealthplans.com</t>
  </si>
  <si>
    <t>mailto:memberservices@welbornclinic.com</t>
  </si>
  <si>
    <t>Welborn Health Plans</t>
  </si>
  <si>
    <t>="Welborn Health Plans (WHP) is an Indiana-based Health Maintenance Organization providing superior health care benefits to southwestern Indiana residents. WHP has a comprehensive provider network, with competitive premium rates and has exceptional and prompt service."</t>
  </si>
  <si>
    <t>Welcome to Sleepytown</t>
  </si>
  <si>
    <t>="Welcome to Sleepytown is a humorous new book written and illusrated by Mark A. Randall. A collection of short stories, the book explores a small Midwestern town's rich history, colorful residents, and bizarre legends and folklore. 96 pages. Softcover. ISBN: 9781604816488"</t>
  </si>
  <si>
    <t>http://www.welcometosleeplytown.com</t>
  </si>
  <si>
    <t>mailto:welcometosleepytown@yahoo.com</t>
  </si>
  <si>
    <t>Book, Periodical and Newspaper Wholesalers</t>
  </si>
  <si>
    <t>Weldy Insurance</t>
  </si>
  <si>
    <t>http://mysite.verizon.net/biz7eih4/weldy</t>
  </si>
  <si>
    <t>Wellness Center for Women, Inc.</t>
  </si>
  <si>
    <t>="Provides education and training in the prevention and treatment of sexual abuse and family violence. Consulting services to organizations in the development and delivery of specialized educational programs focused on child welfare and family well-being. Specialize in raising public awareness on the health impact of sexual abuse and family violence taking a social marketing approach to public education for primary and secondary prevention programs. Provide prevention education for juvenile sex offenders and their families for tertiary prevention and decreasing revictimization and recidivism."</t>
  </si>
  <si>
    <t>http://www.healing4women.com and www.th</t>
  </si>
  <si>
    <t>mailto:karenduncan@healing4women.com</t>
  </si>
  <si>
    <t>Wellness Council of Indiana</t>
  </si>
  <si>
    <t>="The Wellness Council of Indiana is a 501(c)(3) organization and the only statewide not-for-profit specifically dedicated to worksite wellness in Indiana. Organized as a volunteer-based association in 1988 and acquired by the Indiana Chamber of Commerce in 2011, the Wellness Council of Indiana has grown to be one of the largest state councils in the United States today. As a wholly-owned subsidiary of the Indiana Chamber, the Wellness Council has seen tremendous growth and has streamlined the services offered to members."</t>
  </si>
  <si>
    <t>http://www.wellnessindiana.org</t>
  </si>
  <si>
    <t>mailto:info@wellnessindiana.org</t>
  </si>
  <si>
    <t>Wellness Unlimited</t>
  </si>
  <si>
    <t>="Wellness Unlimited, Dennis and Betty Bourquein, are independent consultants for Nikken, a thirty year old 5A1 Dun and Bradstreet Company associated with the University of California at Irvine, which is the largest non-pharmaceutical healthcare company in the world. Nikken promotes improved health with products to help people improve the quality of their sleep, reduce their pain, improve their nutrition, get better quality air and water, provide overall cardiovascular fitness, i.e. improve one's overall health. Our Nikken ID number is 812557100."</t>
  </si>
  <si>
    <t>http://www.5pillars.com/812557100</t>
  </si>
  <si>
    <t>mailto:bbourque@venus.net</t>
  </si>
  <si>
    <t>Wells &amp; Rhodes Trucking LLC</t>
  </si>
  <si>
    <t>Wells Construction &amp; Trucking LLC</t>
  </si>
  <si>
    <t>Wells Lumber</t>
  </si>
  <si>
    <t>mailto:wellshardware@gmail.com</t>
  </si>
  <si>
    <t>Wellstream Enterprises, LLC</t>
  </si>
  <si>
    <t>="Event management firm specializing in corporate, charity, group, and individual events. Wellstream is an all inclusive event planning and management company which professionally and expertly handles conferences, seminars, weddings, galas, reunions, parties, and other events."</t>
  </si>
  <si>
    <t>mailto:www.wellstreamenterprises@hotmail.com</t>
  </si>
  <si>
    <t>Weltman, Weinberg &amp; Reis Co, LPA</t>
  </si>
  <si>
    <t>="Celebrating more than 80 years of specializing in the creditors’ rights industry, Weltman, Weinberg &amp; Reis Co., LPA , provides an integrated approach to the recovery of debt, receivables and real property. With practices in consumer and commercial collections, real estate default, bankruptcy, and creditor litigation &amp; defense, our range of services allows for the complete handling of files and matters through each step of the collection, legal and recovery process, utilizing one of our specialty practice groups or a combination of our services."</t>
  </si>
  <si>
    <t>http://weltman.com</t>
  </si>
  <si>
    <t>mailto:wwr@weltman.com</t>
  </si>
  <si>
    <t>Wendell Hill</t>
  </si>
  <si>
    <t>West Electric, Inc.</t>
  </si>
  <si>
    <t>="West Electric, Inc. is an Electrical Contractor. We perform work with our own forces. Excavating and concrete work are subbed out. We require subs to show proof of insurance. Our work territory is Central Indiana. We have never failed to complete a contract and are best qualified to handle projects from $250,000 to $7,000,000. We are a union shop and pull our electricians from IBEW Local #481 in Indianapolis."</t>
  </si>
  <si>
    <t>http://www.westelectricinc.com</t>
  </si>
  <si>
    <t>mailto:brian@westelectricinc.com</t>
  </si>
  <si>
    <t>West Lafayette Agri-Sales</t>
  </si>
  <si>
    <t>http://www.wlagrisales.com</t>
  </si>
  <si>
    <t>mailto:toswald@wlagrisales.com</t>
  </si>
  <si>
    <t>West Lebanon Volunteer Firemen Inc.</t>
  </si>
  <si>
    <t>West Main Supply, Inc.</t>
  </si>
  <si>
    <t>West Plains Mining, LLC</t>
  </si>
  <si>
    <t>http://www.westplainsmining.com</t>
  </si>
  <si>
    <t>West Side Tractor Sales Co.</t>
  </si>
  <si>
    <t>http://westsidetractorsales.com</t>
  </si>
  <si>
    <t>WestSide Lawn and Garden</t>
  </si>
  <si>
    <t>Westaff</t>
  </si>
  <si>
    <t>="Westaff is one of the largest staffing companies in the country — among the top 2 percent. With more than 50 years of experience, we provide business solutions to companies in every major U.S. market and in the United Kingdom, Norway, Denmark, Australia and New Zealand. A partnership with Westaff means national and international reach, comprehensive and reliable service, and high quality administrative, call center, accounting, light technical and light industrial workers. Employer Services • Staffing Services • Professional Recruiting • On Location Staffing Services • TALENT TrakSM (in-depth behavioral and skills assessments) • TIME TrakSM (Web-based workforce management program) • Payroll Services • eProcurement • Special Projects Associate Services • Job Placement Services • Temp-to-Hire • Comprehensive Benefits • LEARNING TrakSM (Web-based sales, service and communication training) • Resume Assistance • Coaching and Assimilation • Direct Hire"</t>
  </si>
  <si>
    <t>http://www.westaff.com</t>
  </si>
  <si>
    <t>mailto:inindianapolis@westaff.com</t>
  </si>
  <si>
    <t>Western Construction</t>
  </si>
  <si>
    <t>http://www.statestreetflooring.com</t>
  </si>
  <si>
    <t>mailto:ss.flooring@insightbb.com</t>
  </si>
  <si>
    <t>Western IN Workforce Development Board</t>
  </si>
  <si>
    <t>http://www.workonewest.com</t>
  </si>
  <si>
    <t>Western Indiana Community Action Agency,</t>
  </si>
  <si>
    <t>="Western Indiana Community Action Agency, Inc. (WICAA) is a non-profit organization, established through the Economic Opportunity Act of 1964, dedicated to improving the quality of life of the economically disadvantaged, the elderly, and the physically and mentally challenged. Western Indiana Community Action Agency, Inc. serves the three county area of Clay, Putnam and Vigo in Indiana."</t>
  </si>
  <si>
    <t>http://www.wicaa.org</t>
  </si>
  <si>
    <t>mailto:cbarr@wicaa.org</t>
  </si>
  <si>
    <t>Western School Corporation</t>
  </si>
  <si>
    <t>Westlake Interior Architecture, LLC</t>
  </si>
  <si>
    <t>="Westlake Interior Architecture, LLC provides interior design services for residential and commercial projects, specializing in hospitality design consulting for full service hotels, resorts, restaurants, bars, spas, golf clubs, timeshares, and conference spaces. The company has a background of over 12 years of professional interior design and project management experience in all aspects of the design process, from schematic design through contract administration."</t>
  </si>
  <si>
    <t>mailto:llwestondesign@gmail.com</t>
  </si>
  <si>
    <t>Westland Co-op., LLC</t>
  </si>
  <si>
    <t>http://westlandcoop.com</t>
  </si>
  <si>
    <t>Weston &amp; Associates, P.C.</t>
  </si>
  <si>
    <t>="Weston &amp; Associates, P.C. helps local organizations handle their bookkeeping, payroll, and taxation needs with accuracy and professionalism. We are one of the oldest CPA firms in the Northwest Indiana area, and have been serving the needs of Indiana businesses since 1977. Our staff of CPAs and paraprofessionals understand the needs of small business owners, nonprofit and government agencies, and their unique challenges, including: -Outsourced Accounting/Bookkeeping services -Tax Planning and Preparation -Payroll Services -Monthly Bookkeeping -Management Consulting We eliminate the need for you to keep current on ever-changing financial and taxation laws, lighten your workload of tasks that don't contribute to your core organization, and help make sure you keep the maximum amount of your own money at the end of the day."</t>
  </si>
  <si>
    <t>http://www.cpaweston.com</t>
  </si>
  <si>
    <t>mailto:info@cpaweston.com</t>
  </si>
  <si>
    <t>Weston Solutions, Inc.</t>
  </si>
  <si>
    <t>http://westonsolutions.com</t>
  </si>
  <si>
    <t>Westview School Corporation</t>
  </si>
  <si>
    <t>http://westview.k12.in.us</t>
  </si>
  <si>
    <t>Wetzel One INC</t>
  </si>
  <si>
    <t>="Welcome to Wetzel Auto Group! Located in Richmond, IN, Wetzel Auto Group is proud to be one of the premier auto groups in the area. From the moment you walk into one of our showrooms, you’ll know our commitment to Customer Service is second to none. We strive to make your experience with Wetzel Auto Group a good one – for the life of your vehicle. Whether you need to Purchase, Finance, or Service a New or Pre-Owned Chrysler, Dodge, Ram, Jeep, Honda, Chevrolet, Hyundai, or Ford, you’ve come to the right place. Call one of our stores or contact us through the site for your No-Obligation Internet Price Quote from our Internet Department."</t>
  </si>
  <si>
    <t>http://wetzelauto.com/</t>
  </si>
  <si>
    <t>WhatFriendsDo, LLC</t>
  </si>
  <si>
    <t>="WhatFriendsDo, LLC. (WFD) is a technology driven platform that simplifies the coordination of care of individuals and families going through life-changing events such as a serious illness or loss of a loved one. Users create a “team website” to communicate to their entire social network. The smart technology and expertise of WFD helps to generate a unique calendar and individualized “crisis registry” which matches specific needs with their social networks willingness to help."</t>
  </si>
  <si>
    <t>http://www.WhatFriendsDo.com</t>
  </si>
  <si>
    <t>mailto:info@whatfriendsdo.com</t>
  </si>
  <si>
    <t>Whatever It Takes Consulting, Inc.</t>
  </si>
  <si>
    <t>="Whatever It Takes Consulting, Inc. provides cultural competence and organizational development facilitation and support to businesses, universities and schools that includes assessment, plan development and implementation, coaching, and monitoring toward development of culturally responsive work environments. Keynotes, presentations and trainings available include: inclusiveness and multiculturalism, cultural intelligence and cultural competency, leadership coaching, collaborative team development, and employee/student engagement."</t>
  </si>
  <si>
    <t>http://www.whateverittakesconsulting.com</t>
  </si>
  <si>
    <t>mailto:witconsulting@gmail.com</t>
  </si>
  <si>
    <t>Whatley's Party Game Rentals</t>
  </si>
  <si>
    <t>http://www.whatleyparty.com</t>
  </si>
  <si>
    <t>mailto:kwhatley@whatleyparty.com</t>
  </si>
  <si>
    <t>Wheezer Trucking</t>
  </si>
  <si>
    <t>http://www.vansickletrucking.com</t>
  </si>
  <si>
    <t>mailto:gwoodgorilla@aol.com</t>
  </si>
  <si>
    <t>Whetstone Electric, Inc.</t>
  </si>
  <si>
    <t>http://www.whetstoneelectricinc.com</t>
  </si>
  <si>
    <t>mailto:Centraloffice@whetstoneelectricinc.com</t>
  </si>
  <si>
    <t>Whie Gloves Professional Cleaning Servic</t>
  </si>
  <si>
    <t>http://www.whiteglovesinc.com</t>
  </si>
  <si>
    <t>mailto:cbooker@whiteglovesinc.com</t>
  </si>
  <si>
    <t>Whitcomb Trucking</t>
  </si>
  <si>
    <t>mailto:aarwhi@yahoo.com</t>
  </si>
  <si>
    <t>White County Memorial Hospital</t>
  </si>
  <si>
    <t>White Glove Professional Services, LLC</t>
  </si>
  <si>
    <t>mailto:bhighsaw@sbcglobal.net</t>
  </si>
  <si>
    <t>White River Coop LLC</t>
  </si>
  <si>
    <t>White River Growers</t>
  </si>
  <si>
    <t>mailto:fishero@ameritech.net</t>
  </si>
  <si>
    <t>White River Psychology, Inc., P.C.</t>
  </si>
  <si>
    <t>="Small psychology business specializing in Employee Assistance Programs for the City of Indianapolis, Marion County Sheriff's Department, and other smaller public service agencies. Licensed therapists consult with adult employees, spouses and children of our contract companies for treatment of individual, marital, and family issues, anger management, chemical dependency, and CISM."</t>
  </si>
  <si>
    <t>http://WRPsych.org</t>
  </si>
  <si>
    <t>White's Residential &amp; Family Services,</t>
  </si>
  <si>
    <t>http://www.whiteskids.org</t>
  </si>
  <si>
    <t>Whiteshire Hamroc</t>
  </si>
  <si>
    <t>="Whiteshire Hamroc is a family owned agricultural business with a core business philosophy of value added opportunities associated with pork production such as supplying swine genetics both domestically and internationally; AirWorks, our patented ventilation system; supplying high health (SPF accredited) animals for research and medical uses; and ownership in a pork processing plant. Whiteshire Hamroc is the nation’s largest recorder of Yorkshire, Landrace, and Duroc combined. All of our foundation animals are performance tested and meat quality traits are monitored. AirWorks improves animal performance, reduces building operation costs, and provides a better working environment for employees. This system has been constructed throughout North America, as well as in Asian countries. Our ownership in a pork processing plant allows us to meet the needs the medical field has for vital parts from high health pigs and offers niche markets direct access to our pork products."</t>
  </si>
  <si>
    <t>http://www.whiteshirehamroc.com</t>
  </si>
  <si>
    <t>mailto:sales@whiteshirehamroc.com</t>
  </si>
  <si>
    <t>Hog and Pig Farming</t>
  </si>
  <si>
    <t>Whitestone Acquisition Corporation</t>
  </si>
  <si>
    <t>http://www.whitestonecorp.com</t>
  </si>
  <si>
    <t>mailto:sales@whitestonecorp.com</t>
  </si>
  <si>
    <t>Underwear and Nightwear Knitting Mills</t>
  </si>
  <si>
    <t>Whitsitt Building Services, Inc.</t>
  </si>
  <si>
    <t>Who's Looking Promotional Products</t>
  </si>
  <si>
    <t>http://www.whoslooking.norwood.com</t>
  </si>
  <si>
    <t>mailto:npmart@sbcglobal.net</t>
  </si>
  <si>
    <t>Wholesale Carpets, Inc.</t>
  </si>
  <si>
    <t>Wholesale Drainage Supply Inc.</t>
  </si>
  <si>
    <t>Wide Open Ventures</t>
  </si>
  <si>
    <t>http://iaequip.com</t>
  </si>
  <si>
    <t>mailto:info@iaequip.com</t>
  </si>
  <si>
    <t>Wieland Properties, LLC</t>
  </si>
  <si>
    <t>mailto:wielandinc@aol.com</t>
  </si>
  <si>
    <t>Wiers International Trucks, Inc.</t>
  </si>
  <si>
    <t>="International medium &amp; heavy duty sales. All makes parts &amp; service. Full service International Truck dealer. Idealease. Specializing in: Road service, body shop, wrecker service, trailer service, mobile service. International, Cummins, CAT, Detriot diesel. Alignment service, Electronic engine diagnostics."</t>
  </si>
  <si>
    <t>http://www.wiers.com</t>
  </si>
  <si>
    <t>mailto:wiers@wiers.com</t>
  </si>
  <si>
    <t>Wightman Petrie Inc.</t>
  </si>
  <si>
    <t>http://www.wightmanpetrie.com</t>
  </si>
  <si>
    <t>mailto:contactus@wightmanpetrie.com</t>
  </si>
  <si>
    <t>Wilcox Environmental Engineering Inc.</t>
  </si>
  <si>
    <t>="Wilcox Environmental Engineering, Inc. specializes in the following areas: Environmental Site Assessments (Phase I), Site Characterization (Phase II), Underground Storage Tank Services, Modeling - Groundwater Flow and Contaminant Transport, Remediation Design, Engineering and Installation, Voluntary Cleanup Programs, RCRA Experience, Brownfield Redevelopment, Air Quality Services, Mold Services, Asbestos Surveys and Abatement Management, Lead-Based Paint Assessments and Abatement Management, Health &amp; Safety Consulting and Training"</t>
  </si>
  <si>
    <t>http://www.wilcoxenv.com</t>
  </si>
  <si>
    <t>Wilcox Professional Services, LLC of IN</t>
  </si>
  <si>
    <t>http://www.wilcox.us</t>
  </si>
  <si>
    <t>mailto:info@wilcox.us</t>
  </si>
  <si>
    <t>Wilderman &amp; Associates, Inc.</t>
  </si>
  <si>
    <t>http://www.wilderman-engineering.com</t>
  </si>
  <si>
    <t>mailto:mail@wilderman-engineering.com</t>
  </si>
  <si>
    <t>Wildfire Management &amp; Training Specialis</t>
  </si>
  <si>
    <t>http://www.wildfire-training.com</t>
  </si>
  <si>
    <t>mailto:stephen.creech@insightbb.com</t>
  </si>
  <si>
    <t>Wildfire Mfg. Inc.</t>
  </si>
  <si>
    <t>http://wildfiremfg.com</t>
  </si>
  <si>
    <t>mailto:wildfire@dklb.net</t>
  </si>
  <si>
    <t>Wildlife Rescue &amp; Control inc.</t>
  </si>
  <si>
    <t>Fishing, Hunting and Trapping</t>
  </si>
  <si>
    <t>Wilken Enterprises, LLC</t>
  </si>
  <si>
    <t>="Wholesale Distributor of Filtration Products. Primary manufacturer I represent is also an Indiana Manufacturer of liquid filtration and absorbent products. We take pride in solving problems for our customers by simplifying the process in which filtration products are procured."</t>
  </si>
  <si>
    <t>http://www.wilkenenterprises.com</t>
  </si>
  <si>
    <t>mailto:tim@wilkenenterprises.com</t>
  </si>
  <si>
    <t>Willems Realtors</t>
  </si>
  <si>
    <t>mailto:swillems@sbcglobal.net</t>
  </si>
  <si>
    <t>William Cromwell DDS</t>
  </si>
  <si>
    <t>William D. Snead</t>
  </si>
  <si>
    <t>mailto:dougersOutdoors@yahoo.com</t>
  </si>
  <si>
    <t>William Emery Moore</t>
  </si>
  <si>
    <t>="EME Rail Solutions is a railroad and transportation consulting service that provides solutions to management, operation and safety related challenges facing your railroad or transportation organization. EME also provides strategic planning and identifies new business opportunities to help your railroad or transportation organization continue to grow."</t>
  </si>
  <si>
    <t>http://www.emerailsolutions.com</t>
  </si>
  <si>
    <t>mailto:services@emerailsolutions.com</t>
  </si>
  <si>
    <t>William J. Ciriello Plumbing Co Inc</t>
  </si>
  <si>
    <t>="We perform plumbing repair service including drain cleaning, water heater repair/installation, water treatment, pipe lining, gas leak detection, sewer odor detection, restroom upgrades, faucet/fixture repair and installation. We provide fast, dependable, quality service since 1952 serving the entire metro Indianapolis area."</t>
  </si>
  <si>
    <t>http://www.cirielloplumbing.com</t>
  </si>
  <si>
    <t>mailto:laura@cirielloplumbing.com</t>
  </si>
  <si>
    <t>William Roam, LLC</t>
  </si>
  <si>
    <t>="William Roam is the spirit of modern American travel: refined but approachable, sophisticated but spirited. We create high quality, American-made luxury hotel amenities. We founded William Roam after we looked around and realized that there had to be a better way. So we put our heads together and combined our decades of experience in the hotel amenities industry and decided to start a new kind of company—one that held itself to the highest standards of quality and style, driven by the desire to do business in the most ethical and sustainable manner. William Roam products are all designed, crafted and distributed in America. Not only are William Roam products American-made, they are American-inspired. Each product features American fruits, grains and other key ingredients, all formulated, refined and made in the states. Every aspect of the William Roam experience has been carefully considered, from innovative formulations to packaging that is both beautiful and easy to use."</t>
  </si>
  <si>
    <t>http://www.williamroam.com</t>
  </si>
  <si>
    <t>mailto:sales@williamroam.com</t>
  </si>
  <si>
    <t>William Shane Emily</t>
  </si>
  <si>
    <t>http://www.powerwasherplus.com</t>
  </si>
  <si>
    <t>William White Trucki</t>
  </si>
  <si>
    <t>Williams Advertising Group LLC</t>
  </si>
  <si>
    <t>http://www.williamsadv.com</t>
  </si>
  <si>
    <t>mailto:lynnw@williamsadv.com</t>
  </si>
  <si>
    <t>Williams Aerial &amp; Mapping, Inc.</t>
  </si>
  <si>
    <t>="Williams Aerial &amp; Mapping, Inc. is a full service photogrammetric mapping company. Williams provides aerial photography, Digital Oblique Photography, GIS Base Maps, Digital Orthophotography, Topographic Mapping, LIDAR, DEM/DTM production, Aerial Survey Ground points. We have 2- ASPRS certified Photogrammetrists on staff and all tasks are completed at our office in South Bend."</t>
  </si>
  <si>
    <t>http://www.w-a-m.com</t>
  </si>
  <si>
    <t>mailto:rkosinski@w-a-m.com</t>
  </si>
  <si>
    <t>Williams Creek Consulting, Inc.</t>
  </si>
  <si>
    <t>="Our design team has the expertise to specialize in solutions for water quality improvement through use of natural and biological treatment systems for wastewater and stormwater. Utilizing science focused engineering principles we seek to provide the most cost effective, sustainable solutions for water quality and habitat improvement. Our additional turn-key ecological consulting services include local, state, federal regulatory consulting; wetland delineation and mitigation; river and stream corridor planning and design; and native habitat restoration. To increase Client value, we provide comprehensive construction management services for all our permitted designs. Our offices in Indianapolis, Indiana and Columbus, Ohio are centrally located within the United States allowing us to provide timely service and convenience for Clients across the Nation."</t>
  </si>
  <si>
    <t>http://williamscreek.net</t>
  </si>
  <si>
    <t>mailto:lturk@williamscreek.net</t>
  </si>
  <si>
    <t>Williams Creek Management Corporation</t>
  </si>
  <si>
    <t>="Williams Creek Management provides natural resource construction services focusing on water quality &amp; quantity control. WCMC has 10 years experience in wetland mitigation/restoration, stream mitigation/restoration, maintenance &amp; preservation (herbicide treatments), construction observation, and installation of native landscapes. WCMC works with government agencies, landscape architects, parks departments, commercial companies, owners &amp; engineers, and utility companies."</t>
  </si>
  <si>
    <t>http://www.williamscreekmgt.com</t>
  </si>
  <si>
    <t>mailto:contact@williamscreekmgt.net</t>
  </si>
  <si>
    <t>Williams Electronics LLC</t>
  </si>
  <si>
    <t>http://www.williamselectronics.com</t>
  </si>
  <si>
    <t>mailto:sales@williamselectronics.com</t>
  </si>
  <si>
    <t>Williams Engine Design LLC</t>
  </si>
  <si>
    <t>http://www.williamsenginedesign.com</t>
  </si>
  <si>
    <t>mailto:jwwed@zoomtown.com</t>
  </si>
  <si>
    <t>Williams Hewitt &amp; Robbins, LLP</t>
  </si>
  <si>
    <t>http://www.whrlaw.com</t>
  </si>
  <si>
    <t>mailto:bmcdaniel@whrlaw.com</t>
  </si>
  <si>
    <t>Williams Industries Inc.</t>
  </si>
  <si>
    <t>http://www.williamsindustries.com</t>
  </si>
  <si>
    <t>Williams Law Office, PC</t>
  </si>
  <si>
    <t>mailto:Lora@WilliamsLawOffice.com</t>
  </si>
  <si>
    <t>Williams Tree Company, LLC</t>
  </si>
  <si>
    <t>http://Williams-Tree-Company-LLC.com</t>
  </si>
  <si>
    <t>mailto:dwilliams@yahoo.com</t>
  </si>
  <si>
    <t>Williams and Associates Consulting, Inc</t>
  </si>
  <si>
    <t>="Proman Consulting provides high-quality business and technical consulting services to our clients across various industries - government, manufacturing, publishing, healthcare, retail, education and insurance. From project management, strategic planning, and business analysis to technical design, development and testing, Proman offers “Big 4” consulting experience at less than “Big 4” rates. The Proman team includes a lineup of Project Managers, Sr Technology Architects, Analysts, Data Architects and Developer/Consultants to meet client and project needs. Our team of professionals is committed to looking beyond “just the technology” in order to bring forth an optimal solution. Every project has its own unique challenges, but Proman increases client success and satisfaction hrough successful project management, constant planning, experienced personnel, and a focus on People, Process and Technology, so that the ""everyday"" challenges and risks can be both predicted and overcome!"</t>
  </si>
  <si>
    <t>http://www.promanconsulting.com</t>
  </si>
  <si>
    <t>mailto:jwilliams@promanconsulting.com</t>
  </si>
  <si>
    <t>Williams-West &amp; Witt's Products Company</t>
  </si>
  <si>
    <t>="Manufacturer of soup bases, gravy mixes, spice blends, rubs and sauces. Industrial, Food Service and Retail pack sizes. Private labeling and custom blending. No MSG, Gluten Free, Low Sodium, Organic Certified products. Chicken, Beef, Turkey, Ham, Seafood, Vegetable, Chipotle, Garlic, Ancho, Pork, Veal etc products."</t>
  </si>
  <si>
    <t>http://www.integrativeflavors.com</t>
  </si>
  <si>
    <t>mailto:gquealy@integrativeflavors.com</t>
  </si>
  <si>
    <t>Willis Construction &amp; Supply Inc.</t>
  </si>
  <si>
    <t>mailto:willisconstruction@sbcglobal.net</t>
  </si>
  <si>
    <t>Willow Marketing Management, INC</t>
  </si>
  <si>
    <t>="Willow Marketing is a full service strategic marketing communications firm, established in 1992 and comprised of experts in marketing, communication and production. We work as a part of the client's team, an extension of their company; we are partners in their business, with a vested interest in their success and growth. We seek long term business relationships. We have created alliances with highly specialized vendors, and are able to use our resources to provide the most effective combination of services to meet our client's needs. Willow specializes in branding, marketing consulting, market research, creative execution, web development, graphic design, copywriting, direct mail, public relations, and social media strategy. Willow Marketing has significant experience working with associations and nonprofit organizations to development fundraising and stewardship campaigns."</t>
  </si>
  <si>
    <t>http://www.willowmarketing.com</t>
  </si>
  <si>
    <t>mailto:info@willowmarketing.com</t>
  </si>
  <si>
    <t>Willowglen Academy - Indiana, Inc</t>
  </si>
  <si>
    <t>http://phoenixcaresystems.com</t>
  </si>
  <si>
    <t>mailto:richard@phoenixcaresystems.com</t>
  </si>
  <si>
    <t>Wilmes Window Mfg.</t>
  </si>
  <si>
    <t>http://www.wilmeswindow.com</t>
  </si>
  <si>
    <t>Wilson Education Center</t>
  </si>
  <si>
    <t>http://www.wesc.k12.in.us</t>
  </si>
  <si>
    <t>mailto:pclover@wesc.k12.in.us</t>
  </si>
  <si>
    <t>Wilson Iron Works, Inc.</t>
  </si>
  <si>
    <t>Wilson Logistics, Inc.</t>
  </si>
  <si>
    <t>mailto:info@valueaddedres.com</t>
  </si>
  <si>
    <t>WinField Solutions</t>
  </si>
  <si>
    <t>http://seedsolutions.com</t>
  </si>
  <si>
    <t>Winandy Greenhouse Co., Inc.</t>
  </si>
  <si>
    <t>http://www.winandygreenhouse.com</t>
  </si>
  <si>
    <t>mailto:info@winandygreenhouse.com</t>
  </si>
  <si>
    <t>Wind Hall, Inc.</t>
  </si>
  <si>
    <t>mailto:pegbennett_bgt@yahoo.com</t>
  </si>
  <si>
    <t>Window Expressions</t>
  </si>
  <si>
    <t>Window One Inc.</t>
  </si>
  <si>
    <t>mailto:mswindow1@aol.com</t>
  </si>
  <si>
    <t>Windows &amp; Interiors by Cheryl</t>
  </si>
  <si>
    <t>mailto:windowsbycheryl@sbcglobal.net</t>
  </si>
  <si>
    <t>Windrose Health Ntwk.</t>
  </si>
  <si>
    <t>="Windrose Health Network, Inc., (WHN) is a Federally Qualified Health Center with four service sites: Countyline Family Health Center (Indianapolis), Edinburgh Family Health Center (Edinburgh), Hope Family Health Center (Hope) and Trafalgar Family Health Center (Trafalgar). These Health Centers provide accessible, family-oriented, comprehensive, primary and preventive health services. They strive to serve as a ""medical home"" for patients - - one that emphasizes long-term, holistic approaches to care that include prevention and health promotion. Each Health Center offers reasonably priced care - - they charge affordable fees while offering a ""sliding-fee-scale,"" (based upon Federal Poverty Guidelines), to eligible consumers."</t>
  </si>
  <si>
    <t>http://www.windrosehealth.org</t>
  </si>
  <si>
    <t>Windward International Corporation</t>
  </si>
  <si>
    <t>="Windward International is a travel and project management company with over 30 years of experience with corporate, association and governmental meetings, conferences and incentive programs in all 50 states and in over 140 countries for events ranging in size from 25 to 6,000 attendees."</t>
  </si>
  <si>
    <t>http://www.gowindward.com</t>
  </si>
  <si>
    <t>mailto:phil@gowindward.com</t>
  </si>
  <si>
    <t>Winergy, LLC</t>
  </si>
  <si>
    <t>="Winergy, LLC is an SDVOSB formed in 2008 to partner with government and commercial clients with the goal of reducing risk and cost. Our areas of expertise and services include ventilation certification such as biological safety cabinets and pharmacy clean rooms. We also perform industrial hygiene, mold, lead, and asbestos surveys. Winergy has the expertise, experience, certifications, and staff to fulfill everything listed above and is always looking for new opportunities to help clients achieve a safe and productive workplace."</t>
  </si>
  <si>
    <t>http://www.winergyservices.com</t>
  </si>
  <si>
    <t>mailto:aconner@winergyservices.com</t>
  </si>
  <si>
    <t>Winthrop Supply Co.</t>
  </si>
  <si>
    <t>http://winthropsupply.com</t>
  </si>
  <si>
    <t>mailto:info@winthropsupply.com</t>
  </si>
  <si>
    <t>Wireless All-Stars, LLC</t>
  </si>
  <si>
    <t>="We are a multi line sales aganet for the cellular industry. We sell Verizon Wireless, At&amp;T Wireless, Cingular, T-Mobile, Nextel, Sprint and a host of Pre-Paid Wireless solutions. We offer the convenience of retail locations and a business sales team designed to meet your specific needs."</t>
  </si>
  <si>
    <t>http://www.wirelessallstars.com</t>
  </si>
  <si>
    <t>mailto:sales@wirelessallstars.com</t>
  </si>
  <si>
    <t>Wireless Business Solutions, LLC.</t>
  </si>
  <si>
    <t>="We are a wireless agent for Sprint-Nextel, Verizon, and AT&amp;T on a national level. We can activate a phone in any market accross the country. We also have a program that allows employees to get a personal phone for them and their families at a reduced rate or a discounted rate on a national level. Finally we have a rate optimization service that will otptimize your monthly wireless bills to make sure you are paying for what you really need on a monthly basis."</t>
  </si>
  <si>
    <t>http://www.wbsna.com</t>
  </si>
  <si>
    <t>mailto:blogan@wbsna.com</t>
  </si>
  <si>
    <t>Wireless Networking</t>
  </si>
  <si>
    <t>http://www.thewirelessguys.com</t>
  </si>
  <si>
    <t>mailto:dhadley@thewirelessguys.com</t>
  </si>
  <si>
    <t>WisdomTools Enterprises, Inc.</t>
  </si>
  <si>
    <t>="WisdomTools develops innovative solutions for immersive learning using serious games and performance support technologies for several Federal agencies (e.g., NASA, Department of Defense, Department of Homeland Security) and major U.S. corporations. The Company develops learning environments that capture expert knowledge and deliver information to mobile users. WT focuses its efforts in: STEM education; defense and homeland security; maintenance, repair and advanced manufacturing; navigation; and healthcare information and visualization. It is also a recognized leader in developing context-aware mobile technologies (e.g., location, environmental conditions, skill level) utilizing augmented reality technologies. While known as Information in Place, Inc., the Company was recognized for its achievements by being named to Military Training Technology magazine’s list of Top 100 firms in the training industry, for conducting cutting-edge research to reach practical training solutions."</t>
  </si>
  <si>
    <t>http://www.wisdomtools.com</t>
  </si>
  <si>
    <t>mailto:info@wisdomtools.com</t>
  </si>
  <si>
    <t>Wise Choice CMS LLC</t>
  </si>
  <si>
    <t>="We Do Business Right! We provide Janitorial Services: Professional/Office Cleaning, Construction Clean-up, Trash Removal, Vacuuming, Mopping, Final Cleaning Floor Technicians: Stripping, Waxing, Sealing, Buffing - Wood, Ceramic Tile (and all other floors that can be stripped waxed and sealed) All Bids are Negotiable"</t>
  </si>
  <si>
    <t>mailto:wisechoicecms@gmail.com</t>
  </si>
  <si>
    <t>Wise Energy Audits LLC</t>
  </si>
  <si>
    <t>mailto:natharri.harris@gmail.com</t>
  </si>
  <si>
    <t>Wise Solutions Incorporated</t>
  </si>
  <si>
    <t>http://www.wisesolutionsinc.net</t>
  </si>
  <si>
    <t>mailto:info@wisesolutionsinc.net</t>
  </si>
  <si>
    <t>Wishard Memorial Foundation, Inc.</t>
  </si>
  <si>
    <t>="The Wishard Memorial Foundation, Inc. is a public 501 (c) 3 organization, established in 1985. The Foundation raises funds and awareness for Wishard Health Services, which is the county hospital for Marion County, Indiana and is under the auspice of the Health and Hospital Corporation of Marion County. Wishard is mandated by the county to serve individuals in Marion County regardless of their ability to pay. Currently only 9% of Wishard patients have commercial care and approximately 30% have no insurance of any kind. Wishard is the second largest safety-net hospital system in the country and the largest public hospital in Indiana. The Foundation serves as the main vehicle by which contributions from individuals, companies, and foundations are directed to benefit the patients of Wishard Health Services. A volunteer 27-member board of directors governs the Foundation. Physicians from the Indiana University School of Medicine staff Wishard, which operates the busiest Emergency"</t>
  </si>
  <si>
    <t>http://www.wishardfoundation.org</t>
  </si>
  <si>
    <t>mailto:wishardfoundation@wishardfoundation.org</t>
  </si>
  <si>
    <t>Wlasuk, Delporte and Davis, Inc. (WDD)</t>
  </si>
  <si>
    <t>="WDD Software was founded in 1993. Our services include: Information Technology; Enterprise Application Software; IT Services; PC Software; IT Systems Integration; Custom Software Development; CRM &amp; CMS Development; Database Design, Management &amp; Mining; Complex 3rd Party Software Integration; Microsoft and Open Source Development Software; Quality Assurance; Development of Test Cases and Scripts; Functional Software Testings; Performance &amp; Load Testing; Usability Testing; Security; Network Vulnerability Assessment &amp; Penetration Testing; Security Code Reviews; Web Application Security Development and Remediation."</t>
  </si>
  <si>
    <t>http://www.wddsoftware.com</t>
  </si>
  <si>
    <t>mailto:drew.linn@wddsoftware.com</t>
  </si>
  <si>
    <t>Wm Denton Associates, LLC</t>
  </si>
  <si>
    <t>="I am a manufactuer's rep and I represent 4-5 companies that manufacture rubber, plastic and steel components. I also represent about 30 companies that provide goods and services to assist companies with their manufacturing operations and process improvements."</t>
  </si>
  <si>
    <t>http://www.bill.denton.com</t>
  </si>
  <si>
    <t>mailto:bill.denton@wmdenton.com</t>
  </si>
  <si>
    <t>Wm. Hermann &amp; Son</t>
  </si>
  <si>
    <t>http://wmhermann.com</t>
  </si>
  <si>
    <t>mailto:roberthermann@wmhermann.com</t>
  </si>
  <si>
    <t>Wm. Todd Clift dba Clift RW Services</t>
  </si>
  <si>
    <t>mailto:wtclift@comcast.net</t>
  </si>
  <si>
    <t>Wolcott Enterprizes</t>
  </si>
  <si>
    <t>Wolf &amp; Sons Contracting LLC</t>
  </si>
  <si>
    <t>="WOLF CONTRACTING LLC is a multi service company. Our areas of specialization are Excavating and Demolition. Our services include lawn grading, leveling driveways, lot clearing, pond digging and cleaning, commerical and residential demolition, interior and exterior, concrete removal. Tree , Bobcat, and Trackhoe Services are also available. We offer multiple services to meet a variety of needs. Our services are competitively priced and free estimates are always available. We look forward to earning your business! Please contact us with any questions!"</t>
  </si>
  <si>
    <t>http://facebook.com/wolfcontracting</t>
  </si>
  <si>
    <t>mailto:wolf.contracting@yahoo.com</t>
  </si>
  <si>
    <t>Wolf Envelope Co</t>
  </si>
  <si>
    <t>http://www.wolfenvelope.com</t>
  </si>
  <si>
    <t>mailto:wcarmack@wolfenvelope.com</t>
  </si>
  <si>
    <t>Wolf Run Marketing LLC</t>
  </si>
  <si>
    <t>http://www.wolfrunmarketing.com</t>
  </si>
  <si>
    <t>mailto:susan@wolfrunmarketing.com</t>
  </si>
  <si>
    <t>Wolf Technical Services, Inc.</t>
  </si>
  <si>
    <t>http://www.wolftechnical.com</t>
  </si>
  <si>
    <t>mailto:client_relations@wolftechnical.com</t>
  </si>
  <si>
    <t>Wolfe Contracting</t>
  </si>
  <si>
    <t>Wolff-Benedict Marketing, Inc.</t>
  </si>
  <si>
    <t>http://www.wolff-benedict.com</t>
  </si>
  <si>
    <t>mailto:jan@wolff-benedict.com</t>
  </si>
  <si>
    <t>Wolfpack Security, Inc.</t>
  </si>
  <si>
    <t>http://www.wolfpacksecurityinc.com</t>
  </si>
  <si>
    <t>mailto:Reggie_Jackson@WolfpackSecurityInc.Com</t>
  </si>
  <si>
    <t>Wolftalk, Inc.</t>
  </si>
  <si>
    <t>mailto:wolftalkinc@comcast.net</t>
  </si>
  <si>
    <t>Women Entrepreneurs Of America, Inc.</t>
  </si>
  <si>
    <t>http://www.freewebs.com/weainc</t>
  </si>
  <si>
    <t>mailto:weainc2002@yahoo.com</t>
  </si>
  <si>
    <t>Women's Care Center</t>
  </si>
  <si>
    <t>http://www.womenscarecenter.org</t>
  </si>
  <si>
    <t>mailto:annmanion@msn.com</t>
  </si>
  <si>
    <t>Wonder Moments</t>
  </si>
  <si>
    <t>http://www.wondermomentsphotography.com</t>
  </si>
  <si>
    <t>mailto:wondermomentsphoto@prodigy.net</t>
  </si>
  <si>
    <t>Wood Builder, Inc</t>
  </si>
  <si>
    <t>="We, Wood Builder, Inc, are a general contrator specializing in residetial and light commercial construction such as remodels, room additions, custom homes, firestations, churches, etc. As a family owned business located in Putnam County since 1978, we are skilled and experienced in any and all aspects of the construction industry."</t>
  </si>
  <si>
    <t>http://www.thewoodteam.biz</t>
  </si>
  <si>
    <t>Wood Lawn Care Inc.</t>
  </si>
  <si>
    <t>="Full service grounds maintenance company including mowing, mulching, leaf removal, landscaping, aeration, fertilization &amp; weed control, flower bed maintenance &amp; design, snow removal, shrub trimming &amp; shaping of ornamental trees, seeding, dethatching, edging."</t>
  </si>
  <si>
    <t>mailto:snow1away@earthlink.net</t>
  </si>
  <si>
    <t>Wood Technologies LLC</t>
  </si>
  <si>
    <t>="Wood Technologies as a women owned small business that specializes in millworks manufacturing of finished carpentry products, ranging from store fixtures to customized furniture. We also provide wooden manufacturing with the implementation of glass, marble, steel, aluminum, plastic, corium, quarts and other complimentary materials."</t>
  </si>
  <si>
    <t>http://www.woodtechlp.com</t>
  </si>
  <si>
    <t>mailto:lydiann@woodtechlp.com</t>
  </si>
  <si>
    <t>Woodburn Medical,LLC</t>
  </si>
  <si>
    <t>mailto:previcare@yahoo.com</t>
  </si>
  <si>
    <t>Woodco Enterprises, LTD, d/b/a Acququest</t>
  </si>
  <si>
    <t>mailto:acququest@comcast.net</t>
  </si>
  <si>
    <t>Wooded Glen Inc.</t>
  </si>
  <si>
    <t>="Located on over 500 acres in scenic Henryville, IN, Wooded Glen offers a peaceful place to plan, regroup or relax. Enjoy nature's beauty by taking a leisurely trek though the woods, playing horse shoes, fishing or relaxing on one of our screened in porches. Lost Lake Lodge offers 21 overnight rooms, each with 2 queen sized beds with private bathroom. The Fossil Creek Conference Center at Wooded Glen is ideal for corporate retreats, workshops, and receptions. The center features 6 conference rooms of varying size, a snack bar/game room, and a dining area which accomodates up to 300 people."</t>
  </si>
  <si>
    <t>http://www.woodedglen.com</t>
  </si>
  <si>
    <t>mailto:info@woodedglen.com</t>
  </si>
  <si>
    <t>Woods Electrical Contractors Inc.</t>
  </si>
  <si>
    <t>http://www.woodselectricinc.biz</t>
  </si>
  <si>
    <t>mailto:jennifer@woodselectricinc.biz</t>
  </si>
  <si>
    <t>Woods Group</t>
  </si>
  <si>
    <t>="The Woods Group is a provider of educational, engineering, and business services. We are located in Indiana and possess ties to the local academic (Indiana University, IUPUI, University of Indianapolis, and Ball State University) and industrial (Rolls Royce Aerospace, General Motors, Delphi, and Raytheon) communities."</t>
  </si>
  <si>
    <t>http://www.twginc.net</t>
  </si>
  <si>
    <t>mailto:support@twginc.net</t>
  </si>
  <si>
    <t>Woods Printing Company, Inc.</t>
  </si>
  <si>
    <t>mailto:woodsprinting@psci.net</t>
  </si>
  <si>
    <t>Woods Ridge Salt Supply INC</t>
  </si>
  <si>
    <t>http://www.aylorsaltservice@gmail.com</t>
  </si>
  <si>
    <t>mailto:aylorsaltservice@gmail.com</t>
  </si>
  <si>
    <t>Woodsmen General Contracting, LLC</t>
  </si>
  <si>
    <t>mailto:frank@woodsmencontracting.com</t>
  </si>
  <si>
    <t>Woodward Associates, Inc.</t>
  </si>
  <si>
    <t>mailto:bldgprod@sbcglobal.net</t>
  </si>
  <si>
    <t>Woodward Commercial Realty, Inc.</t>
  </si>
  <si>
    <t>="Woodward Commercial Realty, Inc. is a commercial real estate company specializing in listing, selling and leasing commercial real estate as well as listing and selling active businesses. Woodward Development and Construction, Inc. is a Woodward entity with interest in land development, build-to-suit for lease projects and general contracting projects. For more information please contact Evan Beck at 812-474-1900."</t>
  </si>
  <si>
    <t>http://www.woodwardrealty.com</t>
  </si>
  <si>
    <t>mailto:812-473-0623</t>
  </si>
  <si>
    <t>Woollen, Molzan and Partners</t>
  </si>
  <si>
    <t>="Woollen, Molzan and Partners—established in 1955—is a second generation architecture, interior design, and planning firm. Published in more than 125 books and periodicals, WMP’s 50-year history has been filled with a rich diverse portfolio of experience including higher education, libraries, religious facilities, museums, performing arts centers, housing, and historical preservation."</t>
  </si>
  <si>
    <t>http://www.woollenmolzan.com</t>
  </si>
  <si>
    <t>mailto:brager@woollenmolzan.com</t>
  </si>
  <si>
    <t>Woolley Enterprises Inc.</t>
  </si>
  <si>
    <t>="Open since 1978, we have been a family owned transmission repair center centrally located in downtown South Bend on a major highway. We are an ASE, fully computerized center with an excellent reputation. Our shop has 7 lifts, one of them rated at 27,000 lbs. We handle most all transmission, transfer case, &amp; differential repairs as well as all associated normal maintenance."</t>
  </si>
  <si>
    <t>http://www.precisiontransmission.biz</t>
  </si>
  <si>
    <t>mailto:stevenrwoolley@precisiontransmission.biz</t>
  </si>
  <si>
    <t>Woolridge Impact Marketing Group, LLC</t>
  </si>
  <si>
    <t>http://impactmarketinggroup.net</t>
  </si>
  <si>
    <t>mailto:impactmg@yahoo.com</t>
  </si>
  <si>
    <t>Word of Truth Christian Church (U.S.A.)</t>
  </si>
  <si>
    <t>Words &amp; Pictures</t>
  </si>
  <si>
    <t>http://www.wordsandpictures.com</t>
  </si>
  <si>
    <t>mailto:wordsnpic@insightbb.com</t>
  </si>
  <si>
    <t>Work-Comp Management Services, Inc.</t>
  </si>
  <si>
    <t>="WCMS specializes in full service occupational medical staffing and on-site clinics, and full service drug screening- DOT, non-DOT, at the client site or at our cinic. We are also a certified DNA collection facility. We offer a variety of options at cost effective prices with a SAMSHA certified lab partner and MRO services. WCMS also provides occupational health/workers compensation nurse and support staffing to decrease work comp and medical care costs."</t>
  </si>
  <si>
    <t>http://www.workcompms.net</t>
  </si>
  <si>
    <t>mailto:jott@workcompms.com</t>
  </si>
  <si>
    <t>Workflow Solutions, Inc.</t>
  </si>
  <si>
    <t>mailto:workflowsolutions@sbcglobal.net</t>
  </si>
  <si>
    <t>Workforce Associates, Inc.</t>
  </si>
  <si>
    <t>http://workforceassociates.com/</t>
  </si>
  <si>
    <t>mailto:dickjudy@workforceassociates.com</t>
  </si>
  <si>
    <t>Workforce Development Services, Inc.</t>
  </si>
  <si>
    <t>http://www.wdsbusiness.com</t>
  </si>
  <si>
    <t>mailto:info@wdsbusiness.com</t>
  </si>
  <si>
    <t>Workforce Development Strategies, Inc</t>
  </si>
  <si>
    <t>="WDSI stimulates the development of human capital to inspire economic growth and promote organizational change leading to the expansion of employment opportunities. We design and implement information gathering projects, focus groups, surveys and desktop research. Staff define problems, analyze causes and identify alternatives. As staff facilitate problem-solving meetings, alliances collaborations and informal partnerships are developed, for the benefit of a community or cohort. We also assimilate, analyze and disseminate information and education related to human capital and economic development through publications, seminars training and presentations. Staff also provide funding research, planning, proposal development, and management of grant-funded projects."</t>
  </si>
  <si>
    <t>http://www.wdsi.org</t>
  </si>
  <si>
    <t>mailto:vbyrd@wdsi.org</t>
  </si>
  <si>
    <t>Workplace Occupational and Wellness, Inc</t>
  </si>
  <si>
    <t>="We are a low-cost health care clinic. For employers, we offer alcohol and drug screens, random drug and alcohol screenings, DOT and pre-employment physicals, health and wellness fairs, contracted health care for employees and their dependents, and treatment of work-related injuries. For the general public, we offer office visits starting at $25, blood lab testing starting at $25, school and sports physicals, and flu shots. Serving patients without insurance and with inadequate insurance and helping other businesses with their needs are two of our main goals."</t>
  </si>
  <si>
    <t>http://www.workplaceow.com</t>
  </si>
  <si>
    <t>mailto:kmills@workplaceow.com</t>
  </si>
  <si>
    <t>World Language Arts, LLC</t>
  </si>
  <si>
    <t>mailto:lgibson@worldlanguagearts.com</t>
  </si>
  <si>
    <t>WorldWide Battery Co. LLC</t>
  </si>
  <si>
    <t>http://www.worldwidebattery.com</t>
  </si>
  <si>
    <t>mailto:jimh@worldwidebattery.com</t>
  </si>
  <si>
    <t>Worldwide Filters and Supplies</t>
  </si>
  <si>
    <t>http://www.worldwidefilters.com</t>
  </si>
  <si>
    <t>mailto:info@worldwidefilters.com</t>
  </si>
  <si>
    <t>Worrell Corporation</t>
  </si>
  <si>
    <t>http://www.worrellcorp.com</t>
  </si>
  <si>
    <t>mailto:linda.worrell@worrellcorp.com</t>
  </si>
  <si>
    <t>Wozniak Tool &amp; Die Inc.</t>
  </si>
  <si>
    <t>mailto:woztool@csinet.net</t>
  </si>
  <si>
    <t>Wreck-A-Mendables</t>
  </si>
  <si>
    <t>mailto:wreckame@blueriver.net</t>
  </si>
  <si>
    <t>Wrecker One, Inc.</t>
  </si>
  <si>
    <t>http://speedwaywreckersales.com</t>
  </si>
  <si>
    <t>mailto:info@speedwaywreckersales.com</t>
  </si>
  <si>
    <t>Wright Painting LLC</t>
  </si>
  <si>
    <t>mailto:wright_painting_LLC@yahoo.com</t>
  </si>
  <si>
    <t>Wright Way Medical Staffing, LLC</t>
  </si>
  <si>
    <t>mailto:wrightwaynursing@geetel.net</t>
  </si>
  <si>
    <t>Wright Way Nursing</t>
  </si>
  <si>
    <t>http://www.wrightwaynursing.com</t>
  </si>
  <si>
    <t>mailto:info.wrightwaynursing.com</t>
  </si>
  <si>
    <t>Write 4 the Win LLC</t>
  </si>
  <si>
    <t>="Write 4 the Win delivers proposal development and capture management services to our clients who want to drive revenue by responding to a formal Request for Proposal, Service, or Information (RFP, RFS, or RFI). Planning pursuit strategies and responding to a formal RFP, RFS, or RFI takes significant time away from the day-to-day duties of Executive Management, Business Development, and Delivery and Operations teams. This results in lost revenue, decreased efficiency, long hours and less than desirable content or a noncompliant proposal. Write 4 the Win delivers services that support our clients’ goal of increasing revenue by winning more business. RFP/RFS/RFI development services are also offered. Our services enable our clients to stay focused on their day-to-day customer facing and revenue-generating responsibilities."</t>
  </si>
  <si>
    <t>http://www.write4thewin.com</t>
  </si>
  <si>
    <t>mailto:tonya@write4thewin.com</t>
  </si>
  <si>
    <t>Writeguard Business</t>
  </si>
  <si>
    <t>http://www.writeguard.com</t>
  </si>
  <si>
    <t>mailto:llahue@writeguard.com</t>
  </si>
  <si>
    <t>Wyatt Farm Center, Inc.</t>
  </si>
  <si>
    <t>http://www.wyattfarmcenter.com</t>
  </si>
  <si>
    <t>mailto:salews@wyattfarmcenter.com</t>
  </si>
  <si>
    <t>X Data solutions, in</t>
  </si>
  <si>
    <t>="Xdata solutions, inc. is the developer of ERP software specializing in Manufacturing and Distribution systems for Accounting, Inventory control, Procurements, Manufacturing and warehousing. Xdata products include GXD Graphical ERP, and XMAS/400, with customers enjoying successful implementations on Microsoft Windows and or IBM iSeries platforms. Multiple platform solutions from a single provider makes Xdata the vendor of choice regardless of corporation size or number of locations. With the rich manufacturing base in Indiana, Xdata designed and specializes in Rules Based Product Configuration, which serves many industries in need of ""To Order"" manufacturing. Customers range from lite distribution and manufacturing to capitol equipment manufacturers with sites in North America and Mexico."</t>
  </si>
  <si>
    <t>http://www.xdata.com</t>
  </si>
  <si>
    <t>mailto:sales@xdata.com</t>
  </si>
  <si>
    <t>X O Vest, Inc</t>
  </si>
  <si>
    <t>="Lubricants, Fuels, BioDiesel, Transport, Tankwagon,Bulk, Drum, Case Products, Lubricant Filtration, DeHydration, Partical Counting, Waste Oil Collector,Antifreeze, Solvents, Cleaners, Oil Equipment Supplier &amp; Service Indiana State Certified WBE, NAWBO Indianapolis Board Member"</t>
  </si>
  <si>
    <t>http://www.xovest.com</t>
  </si>
  <si>
    <t>mailto:pete.trueblood@xovest.com</t>
  </si>
  <si>
    <t>X Point Strategies LLC</t>
  </si>
  <si>
    <t>http://www.xpointstrategies.com</t>
  </si>
  <si>
    <t>mailto:katie@khutton.com</t>
  </si>
  <si>
    <t>X- Pert Liners, Inc.</t>
  </si>
  <si>
    <t>http://www.linex.com</t>
  </si>
  <si>
    <t>mailto:linexofindy@hotmail.com</t>
  </si>
  <si>
    <t>XCOM Technologies</t>
  </si>
  <si>
    <t>http://www.xcomtech.net</t>
  </si>
  <si>
    <t>mailto:info@xcomtech.net</t>
  </si>
  <si>
    <t>XD3 LLC</t>
  </si>
  <si>
    <t>http://xd3llc.com</t>
  </si>
  <si>
    <t>mailto:trish@xd3llc.com</t>
  </si>
  <si>
    <t>XL Graphics, Inc.</t>
  </si>
  <si>
    <t>="Spotlight Strategies produces in-house the following products: offset and digital printed collateral, embroidered &amp; screen-printed image wear, and the sourcing of promotional items and gifts. Additional services include professional graphic design and in-house bindery operations."</t>
  </si>
  <si>
    <t>http://www.spotlight-strategies.com</t>
  </si>
  <si>
    <t>mailto:susan@spotlight-strategies.com</t>
  </si>
  <si>
    <t>XTREME CONTRACTORS LLC</t>
  </si>
  <si>
    <t>mailto:XTREMECONTRACTORS@COMCAST.NET</t>
  </si>
  <si>
    <t>XXCaldwell VanRiper, Inc.</t>
  </si>
  <si>
    <t>="As an integrated advertising, public relations and digital agency, CVR helps clients identify opportunities to grow their business by understanding their customers, their competitors and the strategies to make them stand out. From launching new products to increasing revenue from existing products, CVR helps clients by developing stronger relationships with their customers. It’s how we help our clients grow. And it’s how we’ve thrived as the go-to agency for advertising, public relations and digital marketing for more than a century. (OK, so maybe not digital for 100 years.) To find out how CVR can help you, call Kevin Flynn at (317) 632-6501."</t>
  </si>
  <si>
    <t>mailto:xxdmuncy@CVRindy.com</t>
  </si>
  <si>
    <t>XXpressions LLC</t>
  </si>
  <si>
    <t>="XXPRESSIONS is an online retailer that specializes in customized printed t-shirts. The company prints t-shirts for business, churches, retailers, or anyone who has a need for buying a customized shirt. We want individuals to be able to publicly express words of motivation, creativity, diversity, and encouragement through the use of printed t-shirt wear.’"</t>
  </si>
  <si>
    <t>http://xxpressions.com</t>
  </si>
  <si>
    <t>mailto:xxpressionsllc@gmail.com</t>
  </si>
  <si>
    <t>Women's Clothing Stores</t>
  </si>
  <si>
    <t>Xcel Painting, LLC</t>
  </si>
  <si>
    <t>="Thank you the opportunity to introduce our company. We are Certified Woman Owned Business Enterprise (WBE) and have been in business since 2002. We’ve served the Greater Indianapolis area primarily in the residential market until 2009. At that time we made some fundamental changes in our business that allowed us to broaden our focus to include commercial and light industrial spaces. We brought on a new Director of Business Development in April of 2011. He brought years of experience in commercial painting processes and technical painting and coatings expertise. With the change in business dynamic, we are able to expand our offering to include: painting, drywall, acoustic tile, insulation, demolition, framing, doors, windows, and EFIS installation. This new combination of services has fit very well in the tenant finish market and has opened several doors to new opportunity we didn’t have before. With these new opportunities has come better quality production and cost "</t>
  </si>
  <si>
    <t>http://www.xcelpainting.net</t>
  </si>
  <si>
    <t>mailto:info@xcelpainting.net</t>
  </si>
  <si>
    <t>Xcel Technical Services LLC</t>
  </si>
  <si>
    <t>mailto:xceltechnicalservices@yahoo.com</t>
  </si>
  <si>
    <t>Xeneros, LLC</t>
  </si>
  <si>
    <t>http://www.xeneros.net</t>
  </si>
  <si>
    <t>mailto:karla.elliott@xeneros.net</t>
  </si>
  <si>
    <t>Xpress Cargo Inc.</t>
  </si>
  <si>
    <t>http://xpresscargoinc.com</t>
  </si>
  <si>
    <t>mailto:lakeyta@xpresscargoinc.com</t>
  </si>
  <si>
    <t>Xsys, Inc.</t>
  </si>
  <si>
    <t>="Xsys, Inc. is a hardware/software solutions provider. Networking, Internet Integration, Enterprise Development and General Office Automation. Representative of Leading ERP and CRM applications with custom development and project management of full scope projects either as an expansion of developed systems or the creation of a new system with design, specification and roll out."</t>
  </si>
  <si>
    <t>http://www.xsysinc.com</t>
  </si>
  <si>
    <t>mailto:a.sarkisian@xsysinc.com</t>
  </si>
  <si>
    <t>Xtreme Construction</t>
  </si>
  <si>
    <t>mailto:459 west skyline dr. Madison, IN. 47250</t>
  </si>
  <si>
    <t>Xtreme Contractors Co., LLC</t>
  </si>
  <si>
    <t>="ASPHALT - manufacturing, driveways, parking lots, roadways, seal coat, striping; CONCRETE - slabs, sidewalks, foundations, decorative stamping; DEMOLITION, EXCAVATION, DUMP TRUCK SERVICES - stone, dirt, hauling; RECYCLED MILLINGS; METAL BUILDINGS; AGRICULTURAL AND INDUSTRIAL MILLWRIGHT, POOL - sales, installation, maintenance"</t>
  </si>
  <si>
    <t>http://xtremecontractorsco.com</t>
  </si>
  <si>
    <t>mailto:xtremecontractors@comcast.net</t>
  </si>
  <si>
    <t>Xtreme Kleen Carpet Cleaning &amp; Services</t>
  </si>
  <si>
    <t>mailto:rita21350@yahoo.com</t>
  </si>
  <si>
    <t>Xtreme Kleen LLC</t>
  </si>
  <si>
    <t>http://www.xtremekleen.biz</t>
  </si>
  <si>
    <t>mailto:extremekleenllc317@yahoo.com</t>
  </si>
  <si>
    <t>Xtreme SPD, Inc.</t>
  </si>
  <si>
    <t>="WHAT CAN XTREME SPD DO FOR YOU? - Do you need a carpentry subcontractor? - Are you struggling to find quality tradesman within your budget? - Does you have a “go to guy” for the unexpected items that come up? - Are you tired of “prime” subcontractors charging a premium for minor tasks? We are the answer - call Xtreme 317-646-1108"</t>
  </si>
  <si>
    <t>http://www.xtremespd.com</t>
  </si>
  <si>
    <t>mailto:rob@xtremespd.com</t>
  </si>
  <si>
    <t>Y D &amp; G Incorporated</t>
  </si>
  <si>
    <t>="Y D &amp; G Incorporated is a transportation service provider which expedite customers' good in a safe fashion from shipping destination to consignee while maintaining continual communication with all pertinent parties. During the process, our customers are notified when to expect their freight. Our mission is to provide quality service on time basis, every time. Operating efficiently and reliably to achieve our goals with values and solution to our customers' needs. We are focusing on government contract and commercial business as well. Eigther locally or regional expedites services needs... Yadira Russell President YD &amp; G Incorporated"</t>
  </si>
  <si>
    <t>mailto:belovedyadira@gmail.com</t>
  </si>
  <si>
    <t>Y Factor Studio</t>
  </si>
  <si>
    <t>http://www.yfactorstudio.com</t>
  </si>
  <si>
    <t>mailto:yfactorstudio@att.net</t>
  </si>
  <si>
    <t>Y's Shuttle Service, LLC</t>
  </si>
  <si>
    <t>mailto:yshuttleservice@gmail.com</t>
  </si>
  <si>
    <t>YBDS, LLC</t>
  </si>
  <si>
    <t>="We provide Automation, Customized Reporting, Database Design, Data Migration, Data Modelling, Desktop Application Solutions, ommerce Solutions, email Marketing, Mobile App Development, Paypal Integration. Web Design, and Web Development services to business. Our solutions are assuredly extensible and scalable - pay once for the solution that keeps working!"</t>
  </si>
  <si>
    <t>http://www.yourbestdatasolution.com</t>
  </si>
  <si>
    <t>mailto:mikehamilton@yourbestdatasolution.com</t>
  </si>
  <si>
    <t>YE'S MONGOLIAN GRILL</t>
  </si>
  <si>
    <t>http://WWW.YESMONGOLIANGRILL</t>
  </si>
  <si>
    <t>YOUNG PS AQUISITIONS DBA PLAKSMACKER</t>
  </si>
  <si>
    <t>="Young PS Acquisitions DBA Plaksmacker is a distributor of oral health care products. We carry a large selection of toothbrushes for children, teens and adults. Brushes include disposable, pre-pasted, character, travel, finger brushes, suction brushes among others; we carry mesh covers and storage system to store the brushes. We carry toothpastes for children and adults they come flavored. We carry prophy angles and prophy paste, the prophy paste comes flavored. We have a variety of products geared towards oral education such as activity books and Teaching Aids. Teaching Aids include tray puzzles, dental games and characters that aid the dental educator teach patients how to clean teeth. Our paper products include cups, bibs and tray covers. The tray covers and bibs also help with infection protection. We also carry a full line of latex, vinyl and nitrile gloves powdered and powder free, some of the gloves come flavored. Please feel free to visit our website at www.plaksmacker.com"</t>
  </si>
  <si>
    <t>http://www.plaksmacker.com</t>
  </si>
  <si>
    <t>mailto:bids@plaksmacker.com</t>
  </si>
  <si>
    <t>YOUR Events Marketing and Promotions</t>
  </si>
  <si>
    <t>="We provide marketing, promotions, promotional models, spokes models, actors, models, brand ambassadors, event planning, event execution and event marketing throughout Indiana. We have experience with events such as Super Bowl XLVI, NASCAR, private promotions, product sampling, and multiple conventions/trade shows. We staff approximately 100 talents in Indiana who are available to help execute any event regardless of size."</t>
  </si>
  <si>
    <t>http://www.youremp.com</t>
  </si>
  <si>
    <t>mailto:youremp@yahoo.com</t>
  </si>
  <si>
    <t>YOUR VERY OWN GEEK</t>
  </si>
  <si>
    <t>="Your Very Own Geek is an information technology solutions provider that focuses on networking, security, Web design and custom application development for small to medium sized businesses, government, independent health care professionals and the non-profit business markets. We are headquartered in Chesterfield, Indiana and provide regional coverage for Indiana, Illinois, Kentucky, Michigan and Ohio."</t>
  </si>
  <si>
    <t>http://www.yourveryowngeek.com</t>
  </si>
  <si>
    <t>mailto:sales@yourveryowngeek.com</t>
  </si>
  <si>
    <t>YOUR model and talent management LLC</t>
  </si>
  <si>
    <t>http://www.yourmtm.com</t>
  </si>
  <si>
    <t>mailto:hr@yourmtm.com</t>
  </si>
  <si>
    <t>YOUTH OPPORTUNITY CENTER</t>
  </si>
  <si>
    <t>="Residential treatment facility for juveniles. Programs in include Outpatient Counseling for children, adults, and families, PRTF, Sexually Maladaptive, Juvenile Detention, and Emergency Shelter. YOC’s programs are comprehensive and provide treatment services for the most challenging youth with severe emotional and behavioral issues. The YOC has achieved accreditation through the Council on Accreditation and the American Psychological Association; both accreditations set the highest standards for behavioral health practices in the industry."</t>
  </si>
  <si>
    <t>http://www.yocinc.org</t>
  </si>
  <si>
    <t>mailto:info@yocinc.org</t>
  </si>
  <si>
    <t>YUMMY!</t>
  </si>
  <si>
    <t>mailto:yummy317@yahoo.com</t>
  </si>
  <si>
    <t>YWCA of St. Joseph County</t>
  </si>
  <si>
    <t>="The YWCA is the only social service agency in Saint Joseph County that offers accommodations for women and their minor children fleeing domestic violence or trying to overcome addictions. Additionally, the YWCA offers career training programs, life skills classes, parenting class and self-sufficiency support and housing."</t>
  </si>
  <si>
    <t>http://www.ywcasjc.org</t>
  </si>
  <si>
    <t>mailto:info@ywcasjc.org</t>
  </si>
  <si>
    <t>Yadah Fuels LLC</t>
  </si>
  <si>
    <t>="Yadah Fuels sells without exception the best fuel additives that can effectively increase fuel mileage and significantly reduce harmful carbon and toxic gas emissions in diesel and gasoline engines to levels far below the current and the projected future US standards for toxic emissions. Yadah Fuels Additives™ are the only products available which have proven, after only 4 months of use, to reduce Carbon Monoxide (CO) by 30% to 65%; Hydrocarbons (HC) by 45% to 75%, Nitrogen Oxide (NOX) by 30% to 45%; and, Carbon Dioxide (CO2), with extended use, by 15% to 40%."</t>
  </si>
  <si>
    <t>http://www.yadahfuels.com</t>
  </si>
  <si>
    <t>mailto:NationalSales@yadahfuels.com</t>
  </si>
  <si>
    <t>Yard Jobs, Inc</t>
  </si>
  <si>
    <t>mailto:yardjobs@yahoo.com</t>
  </si>
  <si>
    <t>Yasmin L. Stump Law Group, PC</t>
  </si>
  <si>
    <t>http://www.yasminstumplaw.com</t>
  </si>
  <si>
    <t>Yates Engineering Services, LLC</t>
  </si>
  <si>
    <t>="To provide Professional Engineering Design, Construction Management, Inspection, and CAD Drawing Services for the construction of Fiber, Data, and Voice Networks. We also provide project management and assist clients in obtaining loan funds from the government. Specialists in Fiber to the Home Designs and Deployment."</t>
  </si>
  <si>
    <t>http://www.yesrus.com</t>
  </si>
  <si>
    <t>mailto:jdigby@yesrus.com</t>
  </si>
  <si>
    <t>Yellow, Inc.</t>
  </si>
  <si>
    <t>http://www.2yellow.com</t>
  </si>
  <si>
    <t>mailto:info@2yellow.com</t>
  </si>
  <si>
    <t>Yellow-Ruth Professi</t>
  </si>
  <si>
    <t>Yen Ching West Corporation</t>
  </si>
  <si>
    <t>mailto:yenchingrestaurant@gmail.com</t>
  </si>
  <si>
    <t>Yes I Can Company</t>
  </si>
  <si>
    <t>Yorktown Industries Indiana, Inc.</t>
  </si>
  <si>
    <t>http://yorktownindustries.com</t>
  </si>
  <si>
    <t>mailto:creick@yorktownindustries.com</t>
  </si>
  <si>
    <t>You're Worth It!, LLC</t>
  </si>
  <si>
    <t>Young Brothers Trucking, Inc.</t>
  </si>
  <si>
    <t>="Young Brothers Trucking, Inc., first established in 1947, is located in Valparaiso, IN, approximately 45 miles east of Chicago, IL. The company operates fifty power units primarily in the Midwest. Our Mission: Our goal is to supply quality, on- time deliveries using professional, qualified drivers and well-maintained equipment. We take great care and concern in offering only the best service available in the transportation industry today."</t>
  </si>
  <si>
    <t>http://www.youngbrotherstrucking.com</t>
  </si>
  <si>
    <t>mailto:manager@youngbrotherstrucking.com</t>
  </si>
  <si>
    <t>Young Machine Company, Inc.</t>
  </si>
  <si>
    <t>="precision machined parts, parts fabricationd from samples or drawings, cnc turning, prototyping, cnc machining, custom equipment repairs, surface and cylindrical grinding, sharpening, keyway milling &amp; broaching, welding, threading, drilling, sawing, vertical &amp; horzontal milling"</t>
  </si>
  <si>
    <t>mailto:deborah_coats@sbcglobal.net</t>
  </si>
  <si>
    <t>YoungJin LLC.</t>
  </si>
  <si>
    <t>mailto:kibay1@hotmail.com</t>
  </si>
  <si>
    <t>Your Artistic Spirits LLC</t>
  </si>
  <si>
    <t>="Utilizing local venues and local artists, we offer: art entertainment, art education, local venue and local artist recognition and representation, art therapy, fundraising opportunities, team building exercises, private parties, corporate functions, art gallery display and commissioned art sales."</t>
  </si>
  <si>
    <t>http://www.yourartisticspirits.com</t>
  </si>
  <si>
    <t>mailto:artisticspirits@yahoo.com</t>
  </si>
  <si>
    <t>Your Go Foundation, Inc.</t>
  </si>
  <si>
    <t>="We service our community by offering grounds We offer grounds cleaning services and alternative drinking water sources in order to support clean ground water efforts. We will install Point of Entry and Point of Use water purification systems to purify entire homes and buildings."</t>
  </si>
  <si>
    <t>http://www.yourgoproject.org</t>
  </si>
  <si>
    <t>mailto:info@yourgoproject.org</t>
  </si>
  <si>
    <t>Your Image Works</t>
  </si>
  <si>
    <t>="Your Image Works, Inc was established in 1998 and is an Indianapolis based company (certified WBE) that provides its clients with promotional items and custom apparel. This includes advertising specialty items, silk screened and embroidered apparel. The company’s mission is to be an integrity driven, customer sensitive, creative promotional products company recognized by customers as the very best company in the industry."</t>
  </si>
  <si>
    <t>http://www.yiworks.com</t>
  </si>
  <si>
    <t>mailto:info@yiworks.com</t>
  </si>
  <si>
    <t>Your Light Bulb Lady, Inc.</t>
  </si>
  <si>
    <t>="As the #1 Premium Quality Lighting supplier in the World, we have been manufacturing our own FULL LINE of lighting products for over 30 years! This places us in the advantageous position of offering our clientele the brightest, whitest, absolutely the LONGEST lasting lighting product.........guaranteed! Yes, our lighting products are guaranteed to not only ""just stay on"" but to STAY WHITE AND BRIGHT without the usual ""yellowing"" and lumen regression typical of standard bulbs. Very popular with our clientele are our NATURAL, DAYLIGHT LIGHTING PRODUCTS! Our lights dramatically improve the working environments of everyone from offices: no more horrible glare, reflection, or eye fatigue working on your computers! Accurate, pleasing, and proper color rendition for paint booths, hair styling salons, art &amp; frame galleries, veterinarian clinics, dentist &amp; orthodontists, attorneys, physicians, manufacturing facilities, laboratories."</t>
  </si>
  <si>
    <t>mailto:yourlightbulblady@mw.net</t>
  </si>
  <si>
    <t>Your Logo Here</t>
  </si>
  <si>
    <t>mailto:logohere@evansville.net</t>
  </si>
  <si>
    <t>YourBioLink LLC</t>
  </si>
  <si>
    <t>="YourBioLink LLC is a minority-woman run Indiana-based life sciences consulting firm with expertise in neuroscience, biochemistry and pharmacology. Our goal is to provide quality, personalized solutions to the agrochemical, animal health, biotechnology, and pharmaceutical industries, as well as to academic and non-profit institutions. We pride ourselves in being able to customize solutions for your needs and can help you with strategic as well as tactical aspects of your R&amp;D programs. Our consultants are available to serve as expert witnesses and can help with your grant-writing needs. YourBioLink is a strong supporter of science-based educational programs from elementary to post-graduate school levels."</t>
  </si>
  <si>
    <t>http://www.yourbiolink.com</t>
  </si>
  <si>
    <t>YourChoice Janitorial Professionals, INC</t>
  </si>
  <si>
    <t>="We at YourChoice Janitorial Professionals, Inc. specialize in a wide range of cleaning services for commercial and industrial facilities. What YourChoice can provide you is experience, dedication, and professionalism sure to make your job easier. Our exclusive Customer 1st Approach reflects an unparalleled level of service excellence utilizing professionalism, dedication, and daily attention. Employing a well-trained and responsive personnel, YourChoice Janitorial Professionals have earned a reputation for exceptional service, quality and value. Our services are available on a weekly or bi-weekly basis. Short, medium and long term arrangements are available depending on your requirements. The power is in your hands, experience a world of choices!"</t>
  </si>
  <si>
    <t>http://www.yourjanitorialchoice.com</t>
  </si>
  <si>
    <t>mailto:Emaul5@yahoo.com</t>
  </si>
  <si>
    <t>Youth Hope, Inc.</t>
  </si>
  <si>
    <t>http://www.youthhope.net</t>
  </si>
  <si>
    <t>mailto:williams@youthhope.net</t>
  </si>
  <si>
    <t>Youth J.A.M.</t>
  </si>
  <si>
    <t>="Youth J.A.M. (Just Attempting to Motivate) provides ATOD prevention education for the communities it services. Children are engaged in fun, relevant and experiential learning experiences, facilitated by Certified Prevention Professionals. The mission of the firm is accomplished though partnerships with school corporations, parents, churches, and other youth serving agencies. The curriculums used are scientifically-based and have been proven to prevent the use of alcohol, tobacco, and other drugs, in the children who participated. By providing positive role models, knowledgeable and caring adults, Youth J.A.M. provides a structured, safe and nurturing environment for youth during the critical after school hours. Youth J.A.M. also provides training to parents and teachers to better equip them to participate in prevention of not only drugs, alcohol and tobacco, but other risky behaviors as well."</t>
  </si>
  <si>
    <t>mailto:vpmangrum@aol.com</t>
  </si>
  <si>
    <t>Youth Opportunity Center, Inc.</t>
  </si>
  <si>
    <t>Youth Opportunity Investments, LLC</t>
  </si>
  <si>
    <t>="Youth Opportunity Investments (YOI) offers operational, management, and consulting services to improve the conditions of confinement for youth entrusted to secure care in detention and correctional facilities. YOI is committed to making a difference and improving the outcomes for youth and families."</t>
  </si>
  <si>
    <t>http://www.youthopportunity.com</t>
  </si>
  <si>
    <t>mailto:contact@youthopportunity.com</t>
  </si>
  <si>
    <t>Youth Services Bureau of Huntington Co.</t>
  </si>
  <si>
    <t>http://ysbofhuntingtonco.org</t>
  </si>
  <si>
    <t>mailto:ysbadm@choiceonemail.com</t>
  </si>
  <si>
    <t>Yuletide Light Display Inc.</t>
  </si>
  <si>
    <t>="Yuletide Light Display Inc. is a manufacturer of high quality holiday light displays. We also offer a full line of holiday decorations, L.E.D. &amp; incandescent Christmas lights, commercial wreaths &amp; trees, Flags and banners and just about any item needed to decorate for the holiday. We pride ourselves in having a large inventory of holiday products."</t>
  </si>
  <si>
    <t>http://www.yuletidelightdisplay.com/</t>
  </si>
  <si>
    <t>mailto:sales@yldsite.com</t>
  </si>
  <si>
    <t>Z Trucking LLC</t>
  </si>
  <si>
    <t>mailto:Ztrucking@gmail.com</t>
  </si>
  <si>
    <t>ZECK FARMS, INC.</t>
  </si>
  <si>
    <t>ZIGENFUS &amp; ASSOCIATE</t>
  </si>
  <si>
    <t>Regulation and Administration of Transportation Programs</t>
  </si>
  <si>
    <t>ZIOMEDA, L.L.C.</t>
  </si>
  <si>
    <t>="We are ZIOMEDA L.L.C., a medical supply company distributor/manufacturer specializing in medical supplies and equipment. Our company’s goal is to provide proven products, excellent service and a competitive pricing structure, to give you and or your customer the competitive edge in today’s tough marketplace. ZIOMEDA, integrates medical devices, hospital supplies, drugs and biologics to enhance patient safety and improve clinical outcomes. Our soon to be announced website http://www.ziomeda.com will be up and fully running during the 2nd quarter of 2011. In the meantime, feel free to send us an email at greggsalser@aol.com or give us a call at 260-312-7191, letting us know your needs. (A) Some of the lines we carry are: 1. Hospital Supplies – surgical gloves, bandages, drapes…etc 2. Dental Supplies 3. Nursing Home Supplies &amp; Equipment 4. Home Health Aids 5. Capital Equipment 6. Medical Devices 7. Operating Room Supplies 8. Physician/Surgeon Offices Medical Supplies"</t>
  </si>
  <si>
    <t>http://www.ziomeda.com</t>
  </si>
  <si>
    <t>mailto:greggsalser@aol.com</t>
  </si>
  <si>
    <t>ZOI INCORPORATED</t>
  </si>
  <si>
    <t>ZTAP, Inc.</t>
  </si>
  <si>
    <t>http://www.servpro.com</t>
  </si>
  <si>
    <t>Zach's Midwest Distributors</t>
  </si>
  <si>
    <t>mailto:zachsqualitydogfood@yahoo.com</t>
  </si>
  <si>
    <t>Dog and Cat Food Manufacturing</t>
  </si>
  <si>
    <t>Zahm Trailer Sales Inc.</t>
  </si>
  <si>
    <t>="We are a family owned business. We have been in business at the same location for over 44 years. We sell several brands and types of trailers including Corn Pro Horse, Livestock, Flatbed, Utility, Landscape, Hyd. Tilt and Hyd. Dump; Continental Cargo and Open Utility; Interstate/Griffin Dump. We also service and repair various types of trailers."</t>
  </si>
  <si>
    <t>http://www.zahmtrailersales.com</t>
  </si>
  <si>
    <t>mailto:zahmtrailersales@comcast.net</t>
  </si>
  <si>
    <t>Zebulun Syndicate</t>
  </si>
  <si>
    <t>mailto:imcheryl@att.net</t>
  </si>
  <si>
    <t>Zee Medical Inc. (A McKesson Company)</t>
  </si>
  <si>
    <t>http://www.zeemedicalinc.com</t>
  </si>
  <si>
    <t>Zelenak Carey LLC</t>
  </si>
  <si>
    <t>http://zelenakcarey.com</t>
  </si>
  <si>
    <t>mailto:chris@zelenakcarey.com</t>
  </si>
  <si>
    <t>Zeller Construction</t>
  </si>
  <si>
    <t>mailto:BPZeller@aol.com</t>
  </si>
  <si>
    <t>Zent Consulting</t>
  </si>
  <si>
    <t>http://www.zentconsulting.com</t>
  </si>
  <si>
    <t>mailto:gknotek@zentconsulting.com</t>
  </si>
  <si>
    <t>Zesco Products</t>
  </si>
  <si>
    <t>http://www.zesco.com</t>
  </si>
  <si>
    <t>mailto:kerry@zesco.com</t>
  </si>
  <si>
    <t>Zionsville Lighting Center LLC</t>
  </si>
  <si>
    <t>http://www.zionsvillelightingcenter.com</t>
  </si>
  <si>
    <t>mailto:info@zionsvillelightingcenter.com</t>
  </si>
  <si>
    <t>Zotec Solutions Inc</t>
  </si>
  <si>
    <t>="Zotec Solutions licenses software applications to efficiently meet the clinical and practice management needs of medical practices across the nation. Products include the Electronic Billing Center (“EBC”) and a template driven Electronic Medical Record, ChartzOnline. Physicians are able to access these products through a licensing arrangement, an ASP relationship or a full billing service arrangement. In the billing relationship, physicians and Zotec partner to utilize the technology to more efficiently collect your money."</t>
  </si>
  <si>
    <t>http://www.zotec.com</t>
  </si>
  <si>
    <t>mailto:sales@zotec.com</t>
  </si>
  <si>
    <t>Zulema Shafer</t>
  </si>
  <si>
    <t>http://www.zmetalintx.com</t>
  </si>
  <si>
    <t>mailto:sales@zmetalintx.com</t>
  </si>
  <si>
    <t>Zuna Infotech</t>
  </si>
  <si>
    <t>="At Zuna, we believe in a solution-oriented approach. In fact, Zuna was created as a solution to the urgent need for an onshore service provider with an ability and vision to bring resources, talent and opportunity together, while offering a commercially viable outsourcing solution to US organizations. Zuna Service Offerings: Product Engineering Engineering Design Networking and Storage Security Healthcare Enterprise-level IT Services By providing on-going career growth for our employees and partnering with governments and organizations, we are building a long-term, stable workforce in the US. We have a highly committed and experienced team of professionals who understand every aspect of the multi-location delivery model including the challenges and the success criteria. Industry focus: Technology Healthcare Education Mobile Government Centers of Excellence: EMR / EHR Services Technical Support Technical Documentation Custom Research Professional Services"</t>
  </si>
  <si>
    <t>http://www.zunainfotech.com</t>
  </si>
  <si>
    <t>mailto:jim.harter@zunainfotech.com</t>
  </si>
  <si>
    <t>Zyonic Technical Services LLC</t>
  </si>
  <si>
    <t>="We welcome you to Zyonic Technical Services, LLC. Our mission here is to provide a variety of technology solutions at a fraction of the cost. Our services range from network administration, server and client-level support, to security enhancements, video editing, and much more. We pride ourselves in being able to provide customized services for multiple home and business environments. Dedicating ourselves to customer satisfaction, ZTS demonstrates a very hands-on approach in educating our customers about their technological needs and desires. Full resource utilization matched with premium services come standard with your choice of making ZTS Your Technology Solution."</t>
  </si>
  <si>
    <t>http://www.yourtechnologysolution.biz</t>
  </si>
  <si>
    <t>mailto:zts@yourtechnologysolution.biz</t>
  </si>
  <si>
    <t>`Adult &amp; Child Mental Health Center, Inc</t>
  </si>
  <si>
    <t>="Adult and Child Mental Health Center, a community mental health center, provides comprehensive behavioral healthcare services to seriously mentally ill adults and seriously emotionally disturbed children as well as foster care services. Home Based, School Based, Dawn Project, Intermediate Adult are just some of the services offered. The ACT model is one type of treatment used."</t>
  </si>
  <si>
    <t>http://www.adultchild.org</t>
  </si>
  <si>
    <t>mailto:info@adultchild.org</t>
  </si>
  <si>
    <t>a2z Promotions, Inc.</t>
  </si>
  <si>
    <t>http://a2zpromo.com</t>
  </si>
  <si>
    <t>mailto:admin@a2zpromo.com</t>
  </si>
  <si>
    <t>accessABILITY Center for Independent Liv</t>
  </si>
  <si>
    <t>="accessABILITY, formerly the Indianapolis Resource Center for Independent Living (IRCIL), has been in existence since 1987. Throughout our history, we have worked to help people with disabilities live as independently as they want and to improve their overall quality of life. We are non-residential places of action and coalition, where persons with disabilities learn empowerment and develop the skills necessary to make positive lifestyle choices. accessABILITY provides services and advocacy to promote the leadership, independence, and productivity of people with disabilities in Central Indiana. We work with both individuals as well as with the local communities, the State and their leaders to remove barriers to independence, ensuring equality of people with disabilities. accessABILITY is in a unique position to do our work because most of us are people with disabilities."</t>
  </si>
  <si>
    <t>http://www.abilityindiana.org</t>
  </si>
  <si>
    <t>all in all corporation</t>
  </si>
  <si>
    <t>mailto:allinallcorporation@yahoo.com</t>
  </si>
  <si>
    <t>allEnveloping Inc</t>
  </si>
  <si>
    <t>="allEnveloping creates and designs advertising campaigns using state of the art technology for the purpose of distributing direct marketing and adverstising materials. It is a Women Minority owned business in the process of getting certified. We offer the following services: Graphic Design, Marketing, Promotional Materials, Advertising, Printing (Offset and Digital), Direct Mail, Mailing Lists, Finishing/Enclosing, Mailing, Fulfillment. Bi-lingual Spanish services also available. We also have the new EasyMailer finishing machine that allows you to print your own envelope and wrap it around your insert with a unique envelope wrap that folds around your insert. We have the only machine in the Midwest!"</t>
  </si>
  <si>
    <t>http://www.all-enveloping.com</t>
  </si>
  <si>
    <t>mailto:info@all-enveloping.com</t>
  </si>
  <si>
    <t>allied trk eq &amp; body</t>
  </si>
  <si>
    <t>http://www.alliedtruckeq.com</t>
  </si>
  <si>
    <t>alternative machining inc.</t>
  </si>
  <si>
    <t>="Alternative Machining, a woman owned business using Citizen's Swiss-Type turning centers to manufacture an array of products including but not limited to medical components, electronics, fiber optics, automobiles, business machines, aerospace, defense, firearms, tools, valves, fasteners, and many others. We are your alternative when you require more."</t>
  </si>
  <si>
    <t>http://www.alternativemachininginc.com</t>
  </si>
  <si>
    <t>mailto:jessica@alternativemachininginc.com</t>
  </si>
  <si>
    <t>american Locksmith</t>
  </si>
  <si>
    <t>american girl wholesale distributor llc</t>
  </si>
  <si>
    <t>mailto:amerciangirlwholesale@yahoo.com</t>
  </si>
  <si>
    <t>amigos de latino America, LLC</t>
  </si>
  <si>
    <t>mailto:sandru_pk@yahoo.com</t>
  </si>
  <si>
    <t>anbro electric co.</t>
  </si>
  <si>
    <t>mailto:anbro@iquest.net</t>
  </si>
  <si>
    <t>andy mohr automotive</t>
  </si>
  <si>
    <t>http://andymohr.com</t>
  </si>
  <si>
    <t>mailto:andymohr.com</t>
  </si>
  <si>
    <t>antonio alexander</t>
  </si>
  <si>
    <t>http://www.concretecreations-in.com</t>
  </si>
  <si>
    <t>mailto:showtime936@yahoo.com</t>
  </si>
  <si>
    <t>appliance repair specialists</t>
  </si>
  <si>
    <t>http://www.appliancerepairsolutions.com</t>
  </si>
  <si>
    <t>mailto:theapplianceguy@csinet.net</t>
  </si>
  <si>
    <t>arcDESIGN</t>
  </si>
  <si>
    <t>http://www.arcdesign.us</t>
  </si>
  <si>
    <t>mailto:hcox@arcdesign.us</t>
  </si>
  <si>
    <t>b&amp;w plumbing and htg</t>
  </si>
  <si>
    <t>http://www.bplusw.com</t>
  </si>
  <si>
    <t>ba construction</t>
  </si>
  <si>
    <t>mailto:rjones127@yahoo.com</t>
  </si>
  <si>
    <t>belford associats, I</t>
  </si>
  <si>
    <t>mailto:belforgolf@aol.com</t>
  </si>
  <si>
    <t>belmont graphics LLC</t>
  </si>
  <si>
    <t>http://www.belmontgraphics.com</t>
  </si>
  <si>
    <t>best one tire &amp; serv</t>
  </si>
  <si>
    <t>mailto:sitv@sbcglobal.net</t>
  </si>
  <si>
    <t>binford group of Indiana, inc.</t>
  </si>
  <si>
    <t>blackboxIT, Inc.</t>
  </si>
  <si>
    <t>mailto:Randy.Matthias@blackboxIT.com</t>
  </si>
  <si>
    <t>bobkatbaker, llp</t>
  </si>
  <si>
    <t>http://www.usaquik.com</t>
  </si>
  <si>
    <t>mailto:usaquik@usaquik.com</t>
  </si>
  <si>
    <t>bohemedesign inc</t>
  </si>
  <si>
    <t>="bohemedesign is a small interior design firm started by two girls with a dream. We can provide services such as spaceplanning, art direction and full interior design of your space. Our design capabilities can range from traditional to modern sheek. Our experience has allowed us to work in many different areas, including healthcare, corporate and hospitality."</t>
  </si>
  <si>
    <t>mailto:shannong@bohemedesign.net</t>
  </si>
  <si>
    <t>bonus cleaning,inc</t>
  </si>
  <si>
    <t>bray technologies In</t>
  </si>
  <si>
    <t>="Bray Technologies Inc. sells and services computer equipment. We provide the following services: Data recovery, virus removal, security checks, Hardware upgrades, system repair, application software, software programming, contracted technical labor and temporary staffing of technical people. Bray Technologies Inc. was founded in Indiana in 1995 and is located in Broadripple."</t>
  </si>
  <si>
    <t>mailto:dbray@braytechnologies.com</t>
  </si>
  <si>
    <t>burce's flooring cov</t>
  </si>
  <si>
    <t>c&amp;d utilities l.l.c.</t>
  </si>
  <si>
    <t>mailto:dcmdeck@aol.com</t>
  </si>
  <si>
    <t>capps mobile noraty</t>
  </si>
  <si>
    <t>mailto:macapps@ameritech.net</t>
  </si>
  <si>
    <t>central heating and Air conditioning Inc</t>
  </si>
  <si>
    <t>mailto:centralheatinginc@sbcglobal.net</t>
  </si>
  <si>
    <t>chapman masonry</t>
  </si>
  <si>
    <t>http://home.comcast.net/~bricklayer5037/</t>
  </si>
  <si>
    <t>mailto:bricklayer5037@aol.com</t>
  </si>
  <si>
    <t>christel snow</t>
  </si>
  <si>
    <t>http://www.medicare.in.gov</t>
  </si>
  <si>
    <t>mailto:christelsnowship@gmail.com</t>
  </si>
  <si>
    <t>circle s corp.</t>
  </si>
  <si>
    <t>cloud Transactions llc</t>
  </si>
  <si>
    <t>="Microsoft based computer consulting and related activities. Instruction and tutoring in computer and computer systems. Installation and troubleshooting, programming, security, if you have a computer based problem or concern I have the information you want."</t>
  </si>
  <si>
    <t>http://cloudtransactions.net</t>
  </si>
  <si>
    <t>mailto:charvey@cloudtransactions.net</t>
  </si>
  <si>
    <t>concrete creations</t>
  </si>
  <si>
    <t>="Thank you for allowing me, Antonio Alexander, to introduce myself and company to you. I am the owner of Concrete Creations. Certified since 2001, I have 11 years experience in decorative concrete. I service Northern Indiana and the Great Lakes area, but am willing to travel if needed. My services include but are not limited to flatwork, acid etch staining, cleaning, coloring, resurfacing, decorative, interior floor, and stamped concrete, along with driveways, patios, walkways, pool decks, and garage floor coatings. I feel Concrete Creations quality and customer service are part of our expertise, always giving more than a 100% to our customers. I am willing to work with homeowners, builders, and architects to stay on budget."</t>
  </si>
  <si>
    <t>condon &amp; christ svc</t>
  </si>
  <si>
    <t>construction specialties, inc.</t>
  </si>
  <si>
    <t>http://www.c-sgroup.com</t>
  </si>
  <si>
    <t>mailto:acrovyn@c-sgroup.com</t>
  </si>
  <si>
    <t>cooks tree service</t>
  </si>
  <si>
    <t>http://angolatreeservice</t>
  </si>
  <si>
    <t>mailto:cookstree99@yahoo.com</t>
  </si>
  <si>
    <t>coomes backhoe service llc</t>
  </si>
  <si>
    <t>mailto:dozen01@aol.com</t>
  </si>
  <si>
    <t>corya concrete</t>
  </si>
  <si>
    <t>mailto:abccorya@tls.net</t>
  </si>
  <si>
    <t>creative performance solutions</t>
  </si>
  <si>
    <t>="Creative Performance Solutions is experts in developing leaders and high performing teams; with the main focus on understanding communication styles and how that impacts sales, leadership, and teams, we do this through individual coaching combined with classes. Because we believe in what we can accomplish, we guarantee performance improvement. Layered Learning™ is exclusively from Creative Performance Solutions is revolutionary process that creates measurable changing in human behavior and desirable results. It works on the premise that learning is most effective when broken down into and practiced in manageable pieces. We have combined the best aspects of group learning, on-the-job application, and one-on-one development with a facilitator to provide, a powerful development process with guaranteed results. A listing of our classes can be found on our website; www.cpsolutions.net"</t>
  </si>
  <si>
    <t>http://www.cpsolutions.net</t>
  </si>
  <si>
    <t>mailto:debtaylor@cpsolutions.net</t>
  </si>
  <si>
    <t>crown electronics &amp; communication incorp</t>
  </si>
  <si>
    <t>cwcmwarr llc</t>
  </si>
  <si>
    <t>http://kidsonbnoard.us.com</t>
  </si>
  <si>
    <t>mailto:CWARR@KIDSONBOARD.US.COM</t>
  </si>
  <si>
    <t>d2p, LLC</t>
  </si>
  <si>
    <t>http://www.d2pindy.com</t>
  </si>
  <si>
    <t>mailto:rebeccads@d2pindy.com</t>
  </si>
  <si>
    <t>david n. lombard, phd, llc</t>
  </si>
  <si>
    <t>http://www.davidlombard.com</t>
  </si>
  <si>
    <t>mailto:david@davidlombard.com</t>
  </si>
  <si>
    <t>davis corporate security</t>
  </si>
  <si>
    <t>="hello my name is kobi davis the owner/ceo of davis security corporation we have been in business since 2001 but under the name of davis security consultants . our primary goal is to provide investigative services here in the state of indiana and abroad . i have over 13 years experience in investigations and 8 yrs as a police officer."</t>
  </si>
  <si>
    <t>mailto:kobidavis_1@lycos.com</t>
  </si>
  <si>
    <t>dbaFulk Equipment Co</t>
  </si>
  <si>
    <t>http://www.fulkequip.com</t>
  </si>
  <si>
    <t>mailto:sales@fulkequip.com</t>
  </si>
  <si>
    <t>digitalKnowledge, Inc.</t>
  </si>
  <si>
    <t>="At digitalKnowledge, we solve complex business problems for our clients by developing solutions that combine people, processes, and technology to drive positive results. Our solutions help our clients achieve an enhanced level of certainty in their business by providing them with access to the critical data and information they need to make decisions more efficiently and effectively at all levels of the organization. digitalKnowledge stands 100% behind the work that we deliver with our unique Pay for Performance guarantee."</t>
  </si>
  <si>
    <t>http://www.digitalknowledge.biz</t>
  </si>
  <si>
    <t>mailto:info@digitalknowledge.biz</t>
  </si>
  <si>
    <t>double dog dare, LLC</t>
  </si>
  <si>
    <t>http://www.doubledogdare.us</t>
  </si>
  <si>
    <t>mailto:sales@doubledogdare.us</t>
  </si>
  <si>
    <t>mailto:doubledogmeagan@aol.com</t>
  </si>
  <si>
    <t>dreamStar Productions Incorporated</t>
  </si>
  <si>
    <t>="dreamStar Productions Inc. is a video production company specializing in video post production. Services include video taping,post production(editing),DVD authoring and small quantity duplication. Formats are DVCPRO,BluRay, HD and SD. dreamStar is the recipient of 8 National Tellys, 2 International Axiems, a Silver regional Addy and several local Addy awards."</t>
  </si>
  <si>
    <t>http://www.dreamstarproductionsinc.com</t>
  </si>
  <si>
    <t>mailto:dreamstarproductions@earthlink,net</t>
  </si>
  <si>
    <t>duane williams</t>
  </si>
  <si>
    <t>="serviceing misc graphic arts equipment including ab dick presses and ryobi and itek presses..service misc bindery equip ie folders and cutters and coallators..also ab dick digital platemakers. dealer for chicago manifold syntac rollers and Printers Repair Parts dealer"</t>
  </si>
  <si>
    <t>mailto:ages1492@aol.com</t>
  </si>
  <si>
    <t>e-Assistant, LLC</t>
  </si>
  <si>
    <t>mailto:julieklaes@sbcglobal.net</t>
  </si>
  <si>
    <t>e-Practical Solutions, Inc</t>
  </si>
  <si>
    <t>="e-Practical Solutions provides the following Information Technology services: IT infrastructure Services Asset deployment, removal and secure destruction Deskside Services Hardware Warranty Repair Voice of IP and other phone services IT staff augmentation Hardware and Software procurement RFID systems"</t>
  </si>
  <si>
    <t>http://www.e-psinc.com</t>
  </si>
  <si>
    <t>mailto:sales@e-psinc.com</t>
  </si>
  <si>
    <t>eGlobal Consulting, Inc.</t>
  </si>
  <si>
    <t>="eGlobal Consulting, Inc., is an energy consulting and government advocacy firm headquartered in Indianapolis, Indiana specializing in advanced manufacturing, agricultural, commerce, defense, energy and transportation-related initiatives, to name a few. eGlobal Consulting, Inc. represents international and national businesses, trade associations and not-for-profit organizations before the federal, state and local units of government and respective regulatory agencies."</t>
  </si>
  <si>
    <t>http://www.eglobalconsultinginc.com</t>
  </si>
  <si>
    <t>eGov Partners, Inc.</t>
  </si>
  <si>
    <t>mailto:c_horne@mindspring.com</t>
  </si>
  <si>
    <t>eHealthcare Consulting</t>
  </si>
  <si>
    <t>http://ehealthcareconsulting.com</t>
  </si>
  <si>
    <t>mailto:sheila.tunison@ehealthcareconsulting.com</t>
  </si>
  <si>
    <t>eImagine Technology Group, Inc.</t>
  </si>
  <si>
    <t>="eImagine Technology Group is a software development company that has been providing information technology solutions for more than 15 years. Founded in 1998, eImagine specializes in Microsoft SharePoint, Dynamics CRM, custom application development and mobile development. We are a Microsoft Partner with a staff of Microsoft Certified Professionals."</t>
  </si>
  <si>
    <t>http://www.thinkETG.com</t>
  </si>
  <si>
    <t>mailto:info@thinkETG.com</t>
  </si>
  <si>
    <t>eKeeper Systems Incorporated</t>
  </si>
  <si>
    <t>="Your business depends on technology. Your customers depend on your technology. Your suppliers want to integrate with your technology. Can your technology keep up? Anymore, without substantial assistance and IT expertise, your technology can't keep up. That's why EKEEPER was created. EKEEPER is an IT Service Management system that provides a central philosophy for managing and maintaining today's IT systems. The core of the system is based on 24/7 remote network monitoring that ensures your systems are operating at peak performance all the time. If any issue arises, EKEEPER initiates a proven process that will move you from issue identification to resolution as quickly as possible. Add in extensive solutions covering critical updates, SPAM filtering and technical support, EKEEPER can substantially reduce the impact of technology on your bottom line. One company, one philosophy, one result...bottom line sense. EKEEPER has you covered, 24 hours a day, 7 days a week – at a c"</t>
  </si>
  <si>
    <t>http://www.ekeepersystems.com</t>
  </si>
  <si>
    <t>mailto:info@ekeepersystems.com</t>
  </si>
  <si>
    <t>eSense Incorporated</t>
  </si>
  <si>
    <t>="We are an Information Technology consulting and service firm providing outstanding IT and business services to our clients. We leverage our business domain knowledge and technological expertise to transform client’s business components into software services and add new software services to implement new business capabilities. We specialize in modern software and IT service delivery best practices, iterative and incremental methodologies and apply our experience in software development from solution conceptualization to implementation. We have extensive experience and expertise in developing artifacts in all software development life cycle discipline such as business modeling, requirements gathering, architecture, design, coding, testing, configuration &amp; change management, deployment, training and production support and maintenance."</t>
  </si>
  <si>
    <t>http://www.esense-inc.com</t>
  </si>
  <si>
    <t>mailto:sanjay.vaze@esense-inc.com</t>
  </si>
  <si>
    <t>eagle mechanical,inc</t>
  </si>
  <si>
    <t>engro.llc</t>
  </si>
  <si>
    <t>="One of our State's few Promotional Advertising companies still going strong for 27 consecutive years. Additionally, engro.llc is the only PA business in Indiana that specializes in ""environmentally friendly"" product/ideas that displace our need for petroleum. Please see House bill #1281, the Biobased Initiative. Engro.llc was honored to be sought out as expert witness to testify within both the Indiana House and Senate to assist this bill's passage. Bill #1281 received unaminous approval and will go into effect July 1, 2007. Products, including the World's FIRST ""performance"" apparel NOT derived from petroleum, accompany office, sport, and safety products while outperforming the products they displace. Many originate from annually renewable biobase(s). Others originate from recycled materials. IE: a finely crafted wooden/metal pen that utilizes ethyl alcohol ink, (unlike traditionally made pens). Let us communicate further. Thank You."</t>
  </si>
  <si>
    <t>http://engro-llc.com</t>
  </si>
  <si>
    <t>mailto:engro.llc@sbcglobal.net</t>
  </si>
  <si>
    <t>everIncrease LLC</t>
  </si>
  <si>
    <t>="We provide digital marketing and digital publishing services that help magnify the voice of our clients to their potential and existing customers. In addition, coaching sessions are offered to create strategic workflows that connect websites, email marketing, text message marketing, and social media to generate leads and produce additional income opportunities."</t>
  </si>
  <si>
    <t>http://www.everincrease.com</t>
  </si>
  <si>
    <t>mailto:info@everincrease.com</t>
  </si>
  <si>
    <t>facade Tek</t>
  </si>
  <si>
    <t>="façadeTek is a national specialty manufacturer and contractor that provides advanced façade solutions for public and non-public sector projects. These specifically include hospitals, museums, educational buildings, sports facilities and convention centers. We aspire to be leaders in innovation and design, and challenge all accepted boundaries. Our heightened Quality Assurance and pursuit of excellence will advance us to the forefront of the industry."</t>
  </si>
  <si>
    <t>http://www.facadetek.com</t>
  </si>
  <si>
    <t>mailto:info@facadetek.com</t>
  </si>
  <si>
    <t>fairmeadows Home Health Center, inc.</t>
  </si>
  <si>
    <t>fasconnect</t>
  </si>
  <si>
    <t>fashions by annette</t>
  </si>
  <si>
    <t>mailto:fashionsb@aol.com</t>
  </si>
  <si>
    <t>fleming property maintenance, llc</t>
  </si>
  <si>
    <t>http://www.outsourceto1.com</t>
  </si>
  <si>
    <t>mailto:waltfleming@cs.com</t>
  </si>
  <si>
    <t>gh, LLC</t>
  </si>
  <si>
    <t>="gh, LLC is a leading assistive technology company that helps people with print disabilities access information—whether the source is a textbook, publication, standardized test, or website. Through the use of universal design concepts, gh combines innovative and expert knowledge in disabilities to provide a wide range of technology-based products and media conversion services. Products and services include: braille, tactile graphics, large print, verbal descriptive narratives, accessible word documents, digital talking books (DAISY/NIMAS), digital talking book player, accessible web toolbar, and much more."</t>
  </si>
  <si>
    <t>http://www.gh-accessibility.com</t>
  </si>
  <si>
    <t>mailto:sales@gh-accessibility.com</t>
  </si>
  <si>
    <t>green sign co.com</t>
  </si>
  <si>
    <t>http://greensignco.com</t>
  </si>
  <si>
    <t>mailto:sales@greensignco.com</t>
  </si>
  <si>
    <t>greg smith equipment</t>
  </si>
  <si>
    <t>="We are one of the largest distributor of above ground lifts in the USA. We stock and sell all types of automotive service products. We offer the highest quality products at the lowest prices in the State. Visit our website, which is updated each week with new products and specials."</t>
  </si>
  <si>
    <t>http://www.gregsmithequipment.com</t>
  </si>
  <si>
    <t>mailto:gsesinc@aol.com</t>
  </si>
  <si>
    <t>h and h mechanical of michiana llc</t>
  </si>
  <si>
    <t>mailto:haroldhough@embarqmail.com</t>
  </si>
  <si>
    <t>henry county glass &amp; mirror, inc.</t>
  </si>
  <si>
    <t>mailto:hcgm@sbcglobal.net</t>
  </si>
  <si>
    <t>i.d.o., Incorporated</t>
  </si>
  <si>
    <t>http://www.idoincorporated.com</t>
  </si>
  <si>
    <t>mailto:jill@idoincorporated.com</t>
  </si>
  <si>
    <t>iAM Communications Corp.</t>
  </si>
  <si>
    <t>="The iAM Communications Corp. is based in Northwest Indiana servicing Hoosiers as well as the Chicagoland areas. If your business is looking for cost effective phone service we can help! You can have the sound of a Fortune 500 company but at a fraction of the price without skimping on call quality. We specialize in creating a BIG voice for small companies and save BIG companies hundreds of dollars by switching to our VOIP PBX Phone Systems. We also assist clients with exceptional advertising services via the web, text message marketing, online audio and video commercials and promotions, in-store digital signage video technology for retail, and service industries."</t>
  </si>
  <si>
    <t>http://www.theiamcorp.com</t>
  </si>
  <si>
    <t>mailto:info@theiamcorp.com</t>
  </si>
  <si>
    <t>iLAB LLC</t>
  </si>
  <si>
    <t>="iLAB specializes in Software Quality Assurance services, providing global solutions to our customers. As a leading Software Quality Assurance provider, we offer a comprehensive and integrated service portfolio. iLAB’s solutions are provided through our best-of-breed methodologies and tools supported by our international skills base and proven competencies. Our suite of services includes: • Quality Management • Quality Assurance and Software Testing • IT Project Management and • IT Consulting and Assurance. We are uniquely positioned as an 'independent' service provider to ensure customer satisfaction and confidence in our specialization."</t>
  </si>
  <si>
    <t>http://www.ilabquality.com</t>
  </si>
  <si>
    <t>mailto:info.us@ilabquality.com</t>
  </si>
  <si>
    <t>iSBits, LLC</t>
  </si>
  <si>
    <t>="iSBits is a progressive information technology and security company headquartered in the Indianapolis, IN area. We provide the full-spectrum of IT services and aim to be your one-stop shop for all your security and technology needs. If for some reason we can't provide you the service you need, we will direct you to someone who can."</t>
  </si>
  <si>
    <t>http://isbits.com</t>
  </si>
  <si>
    <t>mailto:info@isbits.com</t>
  </si>
  <si>
    <t>iSight, LLC</t>
  </si>
  <si>
    <t>http://www.iSightevents.com</t>
  </si>
  <si>
    <t>mailto:info@isightevents.com</t>
  </si>
  <si>
    <t>indiana naval stores co., inc.</t>
  </si>
  <si>
    <t>mailto:info@indiananaval@sbcglobal.net</t>
  </si>
  <si>
    <t>indiana novelty international inc.</t>
  </si>
  <si>
    <t>http://www.kipptoys.com</t>
  </si>
  <si>
    <t>mailto:sales@kipptoys.com</t>
  </si>
  <si>
    <t>Toy and Hobby Goods and Supplies Merchant Wholesalers</t>
  </si>
  <si>
    <t>indy custom countertops</t>
  </si>
  <si>
    <t>mailto:jpapp@indycustomtops.com</t>
  </si>
  <si>
    <t>interMedius LLC</t>
  </si>
  <si>
    <t>="interMedius delivers effective communications services and expertise to organizations wishing to awaken greater visibility, exposure, and agility. interMedius combines the power of PR and advertising with the sophistication of web-based communication tools to make clients successful."</t>
  </si>
  <si>
    <t>http://www.interMediusLLC.com</t>
  </si>
  <si>
    <t>mailto:a.leigh@interLink-ici.com</t>
  </si>
  <si>
    <t>jRC Management, Inc</t>
  </si>
  <si>
    <t>="jRC Management provides portable jobsite management of tools, safety and janitorial supplies in areas like construction projects, mobile utility vehicles or general store room services across the U.S. We are responsible for the entire bin stock management process and make sure you are ""jobsite"" ready when your sea container arrives on location. jRC Management provides our customers monthly and quarterly reports that identify expense usage and cost savings."</t>
  </si>
  <si>
    <t>mailto:jclark@jrcmanagement.com</t>
  </si>
  <si>
    <t>ja.conrads construc.</t>
  </si>
  <si>
    <t>http://jaconradccllc@yahoo.com</t>
  </si>
  <si>
    <t>mailto:jaconradccllc@yahoo.com</t>
  </si>
  <si>
    <t>jamil packaging corp</t>
  </si>
  <si>
    <t>http://www.jamilpackaging.com</t>
  </si>
  <si>
    <t>jeff french &amp; assoc. land survey, p.c.</t>
  </si>
  <si>
    <t>="Jeff French &amp; Associates Land Surveying, P.C. is a small, private, land surveying firm located in the Southeast Indiana Town of Versailles. We are located midway between Indianapolis, Cincinnati, Ohio, and Louisville, Kentucky. We provide land surveying services throughout Southern and Eastern Indiana and are willing to travel within the state for specific projects. Our primary focus is Boundary Surveys, Small Subdivisions, ALTA/ACSM Surveys, and Mortgage Loan Inspections. We also provide full GPS Services, Soil Erosion Plans, and Topographic Surveys. We have built a solid reputation for research and resolution of difficult Boundary Surveys. Our ALTA/ACSM Surveys are noted for accuracy and great attention to detail. We are experienced in working with County and City Planning Commissions throughout our area. Please contact Jeff French, R.L.S., for all of your Land Surveying needs. We appreciate the opportunity to work for you."</t>
  </si>
  <si>
    <t>http://www.frenchsurvey.com</t>
  </si>
  <si>
    <t>mailto:jpfrench@seidata.com</t>
  </si>
  <si>
    <t>jims marine inc</t>
  </si>
  <si>
    <t>mailto:jimsmarineinc@aol.com</t>
  </si>
  <si>
    <t>k2 LLC</t>
  </si>
  <si>
    <t>mailto:kk5565@gmail.com</t>
  </si>
  <si>
    <t>kahlo chrysler jeep dodge, inc.</t>
  </si>
  <si>
    <t>http://www.hellokahlo.com</t>
  </si>
  <si>
    <t>mailto:mchaney@hellokahlo.com</t>
  </si>
  <si>
    <t>katumba kashama</t>
  </si>
  <si>
    <t>http://www.comusinc.com</t>
  </si>
  <si>
    <t>mailto:kashoguy2@aol.com</t>
  </si>
  <si>
    <t>keusch glass, inc.</t>
  </si>
  <si>
    <t>="glass and glazing, alum windows, doors, curtainwall, etc.. vinyl windows, new and replacement. new and replacement doors, steel, fiberglass. vinyl siding wholesale and installation. veneer stone wholesale and installation. awnings, cloth and aluminum. railing. carports."</t>
  </si>
  <si>
    <t>http://keuschglass.com</t>
  </si>
  <si>
    <t>mailto:tkeusch@keuschglass.com</t>
  </si>
  <si>
    <t>kevin a. sutton</t>
  </si>
  <si>
    <t>kg's lawn care</t>
  </si>
  <si>
    <t>koetter woodworking inc.</t>
  </si>
  <si>
    <t>http://www.koetterwoodworking.com</t>
  </si>
  <si>
    <t>mailto:koetterwoodworking.com</t>
  </si>
  <si>
    <t>korschot's heating &amp; air, inc.</t>
  </si>
  <si>
    <t>mailto:korschot@nlci.com</t>
  </si>
  <si>
    <t>kumorek private investigations, llc</t>
  </si>
  <si>
    <t>http://www.jefferykumorek.com</t>
  </si>
  <si>
    <t>mailto:jkumorek@gmail.com</t>
  </si>
  <si>
    <t>legato office express,Inc</t>
  </si>
  <si>
    <t>http://www.legatoexpress.com</t>
  </si>
  <si>
    <t>mailto:info@legatoexpress.com</t>
  </si>
  <si>
    <t>linkel co.</t>
  </si>
  <si>
    <t>linton cycle sales</t>
  </si>
  <si>
    <t>http://www.lintoncycle.com</t>
  </si>
  <si>
    <t>mailto:lintoncycle@sbcglobal.net</t>
  </si>
  <si>
    <t>loadrunnerfr8 inc.</t>
  </si>
  <si>
    <t>mailto:loadrunnerfr8@yahoo.com</t>
  </si>
  <si>
    <t>m&amp;m custom color pai</t>
  </si>
  <si>
    <t>mailto:mm_paint@sbcglobal.net</t>
  </si>
  <si>
    <t>m2 Performance Strategies</t>
  </si>
  <si>
    <t>="m2 Performance Strategies is a full service association management, meetings and events and strategic consulting services firm.We offer full-service management or specialized services based on the individual needs of our association, non-profit and corporate clients. We want to learn more about how we can help your organization achieve its' mission."</t>
  </si>
  <si>
    <t>http://www.m2performancestrategies.com</t>
  </si>
  <si>
    <t>mailto:mt@m2performancestrategies.com</t>
  </si>
  <si>
    <t>majestic events</t>
  </si>
  <si>
    <t>="Majestic Events is a family owned bussiness that focuses on providing high quality flowers and decor for special events and weddings. Included in the owners customer list are such people as Julia Roberts, Billy Grahmn, various nfl players, large car dealers and the everyday client. Majestic Events also provides holiday decorations and props ."</t>
  </si>
  <si>
    <t>http://www.majestic-events.com</t>
  </si>
  <si>
    <t>mailto:majesticjennifer@yahoo.com</t>
  </si>
  <si>
    <t>masters brothers construction and home r</t>
  </si>
  <si>
    <t>="We provide all services with regard to homes. Grass and tree cutting, yard work, remodeling, drywall repair, add ons, siding, soffits, windows, doors, painting, carpet and flooring. No job too big or small. We pride ourselves on doing a job right with attention to detail and customer satisfaction."</t>
  </si>
  <si>
    <t>mailto:mastersbros@yahoo.com</t>
  </si>
  <si>
    <t>mccune,s sales&amp;servi</t>
  </si>
  <si>
    <t>meals and more</t>
  </si>
  <si>
    <t>michael ray enterprises llc</t>
  </si>
  <si>
    <t>http://rapidpurchasing.com</t>
  </si>
  <si>
    <t>mailto:mikeguill@hotmail.com</t>
  </si>
  <si>
    <t>minuteman press of lansing</t>
  </si>
  <si>
    <t>http://WWW.LANSING.MINUTEMANPRESS.COM</t>
  </si>
  <si>
    <t>mitchell-fleming Printing, Inc.</t>
  </si>
  <si>
    <t>http://www.mitchell-fleming.com</t>
  </si>
  <si>
    <t>mailto:jfleming@mitchell-fleming.com</t>
  </si>
  <si>
    <t>mobelwerks, inc.</t>
  </si>
  <si>
    <t>="We are a 100% women owned 9000 sq. ft. custom cabinet manufacturing company. We design, fabricate &amp; install cabinetry &amp; furniture for both commercial &amp; residential interiors. Our projects include laminate work, high-end woodworking / finish work, kitchen / bath design / fabrication, custom office furniture, etc. We will work on projects as small as one piece of furniture up to large corporate office &amp; healthcare projects. All shop drawings and designs are created on AutoCAD and we provide full design services with regard to custom furniture &amp; casework. Our fabricators are extremely skilled, most with minimum of 10 years in the industry. Our senior fabricators have over 40 years in the industry! mobelwerks, inc. is your solution for design by design."</t>
  </si>
  <si>
    <t>http://www.mobelwerks.biz</t>
  </si>
  <si>
    <t>mailto:heather@mobelwerks.biz</t>
  </si>
  <si>
    <t>modrak products co inc</t>
  </si>
  <si>
    <t>mailto:modrak@sbcglobal.net</t>
  </si>
  <si>
    <t>moonlight transport llc</t>
  </si>
  <si>
    <t>="As an independent Landstar agent, The Avi Agency, based in Avon, Indiana, provides cost-effective, customized transportation solutions and supply chain logistics ranging from truckload or LTL cargo services, to multimodal or intermodal services. If you need your freight to arrive just in time, use our expedited service—ground or air cargo service, either way we’ll get it there. We can even deliver warehouse services. Just one call to The Avi Agency and you not only get safe, reliable transportation, warehouse services, and supply chain logistics solutions, you get 24/7 individual attention to detail from a Landstar agent with unparalleled skill and experience. We have access to all the equipment you need to move your truckload or LTL freight intact and on time, any time, across North America and around the world."</t>
  </si>
  <si>
    <t>http://www.apattonagency.landstaragent.c</t>
  </si>
  <si>
    <t>mailto:audrey.patton@landstarmail.com</t>
  </si>
  <si>
    <t>mosaic group llc</t>
  </si>
  <si>
    <t>="business description Mosaic group’s primary service is creating and improving communication systems within the management of projects in the graphic arts. Mosaic group also coordinates various vendors and serves as a sole client contact in order to produce direct mail, printing, fulfillment, and other marketing products. Mosaic group’s strength is eliminating the number of vendor contacts and coordinating a marketing effort from beginning to end"</t>
  </si>
  <si>
    <t>nFrame, Inc.</t>
  </si>
  <si>
    <t>="n|Frame provides the managed infrastructure services that support data center outsourcing and direct enterprise Internet connectivity. These professional services are critical for businesses with complex back-end networks, high availability Web sites, fragmented supply chains and decentralized work sites."</t>
  </si>
  <si>
    <t>http://www.nframe.com</t>
  </si>
  <si>
    <t>mailto:sales@nframe.com</t>
  </si>
  <si>
    <t>nHarmony, Inc.</t>
  </si>
  <si>
    <t>="nHarmony is a group of experienced, innovative professionals working together to create websites, web applications, and unique web-based solutions. Our team combines its experience, problem solving skills, and creative talents to provide our clients with everything they need to establish, promote, and maintain a professional online presence. Our services include: · Website design or redesign · Client Content Management Systems · Virtual tours · E-business solutions · Search Engines · Forms and other interactive user interfaces · Usability testing We take a team approach to all projects."</t>
  </si>
  <si>
    <t>http://www.nharmony.com</t>
  </si>
  <si>
    <t>mailto:dbutler@nharmony.com</t>
  </si>
  <si>
    <t>netlogx LLC</t>
  </si>
  <si>
    <t>="At netlogx our passion is solving complex problems. We carefully and deliberately assess the risks inherent in those problems, prepare options for mitigating and managing them, and implement solutions that are effective and efficient. We deliver these services via three major practice areas: information management, project, program and risk management and security management."</t>
  </si>
  <si>
    <t>http://www.netlogx.com</t>
  </si>
  <si>
    <t>mailto:information@netlogx.com</t>
  </si>
  <si>
    <t>not in useBBC Pump and Equipment Co, Inc</t>
  </si>
  <si>
    <t>mailto:xxsales@bbcpump.com</t>
  </si>
  <si>
    <t>openBook Technologies, Inc.</t>
  </si>
  <si>
    <t>http://www.openbooktech.com</t>
  </si>
  <si>
    <t>mailto:info@openbooktech.com</t>
  </si>
  <si>
    <t>osborn enterprise, inc.</t>
  </si>
  <si>
    <t>http://www.monstermotorsusa.com</t>
  </si>
  <si>
    <t>mailto:ozhd1@yahoo.com</t>
  </si>
  <si>
    <t>pan - A TALX Company</t>
  </si>
  <si>
    <t>mailto:info@panpowered.com</t>
  </si>
  <si>
    <t>peco enterprises incorporated</t>
  </si>
  <si>
    <t>http://coburnfordmercury.com</t>
  </si>
  <si>
    <t>mailto:coburnford@aol.com</t>
  </si>
  <si>
    <t>pikes tree care</t>
  </si>
  <si>
    <t>="We are a residential and commercial tree service operating out of Southern Indiana with a focus on tree health and maintenance. We offer removal, pruning, stump grinding, crane services, and spraying for mature shade trees. We have been in business for 20 years and are family owned and operated."</t>
  </si>
  <si>
    <t>http://www.pikestreecare.com</t>
  </si>
  <si>
    <t>mailto:pikestreecare@outlook.com</t>
  </si>
  <si>
    <t>poling c.s. llc</t>
  </si>
  <si>
    <t>mailto:kppoling@sbcglobal.net</t>
  </si>
  <si>
    <t>powerdrive llc</t>
  </si>
  <si>
    <t>="POWERDRIVE LLC IS LOCATED IN MICHIGAN CITY, INDIANA. IT MANUFACTURES AND DISTRIBUTES SYNCHRONUS BELT DRIVE PRODUCTS FOR HIGH TECH APPLICATIONS AS WELL AS V BELT DRIVES FOR POWER TRANSMISSION INDUSTRY.WE ALSO HAVE A COMPLETE MACHINE SHO THAT WILL ACCOMODATE MTO REQUIREMENTS. OUR GOAL IS TO PROVIDE POWER TRANSMISSION PRODUCTS THAT EXCEED THE QULAITY LEVEL SET BY INDUSTRY LEADERS AT A PRICE THAT WILL ALLOW OUR CUSTOMERS TO BE MORE COMPETETIVE IN TODAY' S MARKET. OUR COMPANY IS A MEMBER OF POWER TRANSMISSION DISTRIBUTOR ASSOCIATION"</t>
  </si>
  <si>
    <t>http://POWERDRIVE.COM</t>
  </si>
  <si>
    <t>mailto:madu@powerdrive.com or sona@powerdrive.com</t>
  </si>
  <si>
    <t>printing plus, inc</t>
  </si>
  <si>
    <t>http://printing-plus.net</t>
  </si>
  <si>
    <t>mailto:colneal@earthlink.net</t>
  </si>
  <si>
    <t>progressive design concepts ltd</t>
  </si>
  <si>
    <t>="Sales, service and fabrication of recycling equipment. Offering shredding,separation and sorting of all recyclables.featuring magthro eddy current, sandflo separation, optical sepaprators, shredders and custom conveyor systems. We also service, refurbish and install new or existing equipment."</t>
  </si>
  <si>
    <t>mailto:prgrssvdesign@aol.com</t>
  </si>
  <si>
    <t>quad 4 plastics inc.</t>
  </si>
  <si>
    <t>http://quad4plasics.com</t>
  </si>
  <si>
    <t>mailto:quad4inc@verizon.net</t>
  </si>
  <si>
    <t>radQuest, Inc.</t>
  </si>
  <si>
    <t>="radQuest is an IT consultancy that combines the skills &amp; expertise of the finest interactive specialists in the Midwest. We specialize in creative, web-based solutions that solve your most difficult and demanding objectives. Our services include website design, multimedia development, e-Commerce, e-Learning, intranet, extranets, database integration, and website hosting."</t>
  </si>
  <si>
    <t>http://www.radquest.com</t>
  </si>
  <si>
    <t>mailto:jstafford@radquest.com</t>
  </si>
  <si>
    <t>ralph brown</t>
  </si>
  <si>
    <t>http://www.msservicesnow@gmail.com</t>
  </si>
  <si>
    <t>mailto:missionsecurityservices.com</t>
  </si>
  <si>
    <t>ramon excavating</t>
  </si>
  <si>
    <t>mailto:ramontom2aol.com</t>
  </si>
  <si>
    <t>rapid restoration,in</t>
  </si>
  <si>
    <t>mailto:rapidroofing@iwon.com</t>
  </si>
  <si>
    <t>raspberry building c</t>
  </si>
  <si>
    <t>http://raspberrybuildingcorporation.net</t>
  </si>
  <si>
    <t>mailto:rasiii@aol.com</t>
  </si>
  <si>
    <t>raymond r. bucur,Ph.d -P.C.</t>
  </si>
  <si>
    <t>region signs inc.</t>
  </si>
  <si>
    <t>="We provide various signage products, banners, cut-out lettering, decals, vinyl graphics, pipe identification, vehicle &amp; boat lettering, window lettering, promotional products, trophies &amp; awards, engraved tags &amp; nameplates, corporate wear, branding items, logo design, to meet your needs."</t>
  </si>
  <si>
    <t>reliant enterprises llc</t>
  </si>
  <si>
    <t>mailto:rfloyd@fuse.net</t>
  </si>
  <si>
    <t>remarkable creative enterprises</t>
  </si>
  <si>
    <t>http://www.remarkablecreative.net</t>
  </si>
  <si>
    <t>mailto:Eperkins@remarkable.net</t>
  </si>
  <si>
    <t>rivera construction .inc</t>
  </si>
  <si>
    <t>rockeyball LLC</t>
  </si>
  <si>
    <t>mailto:kim.core.performance@gmail.com</t>
  </si>
  <si>
    <t>rode company inc</t>
  </si>
  <si>
    <t>http://CARPETCOUNTRY.NET</t>
  </si>
  <si>
    <t>mailto:CARPETCOUNTRY@SBCGLOBAL.NET</t>
  </si>
  <si>
    <t>s&amp;p construction ,llc</t>
  </si>
  <si>
    <t>http://www.s-pconstruction.net</t>
  </si>
  <si>
    <t>mailto:daniel@s-pconstruction.net</t>
  </si>
  <si>
    <t>s2f worldwide LLC</t>
  </si>
  <si>
    <t>http://www.s2fworldwide.com</t>
  </si>
  <si>
    <t>mailto:randall.lewis@s2fworldwide.com</t>
  </si>
  <si>
    <t>sOLICE MoON</t>
  </si>
  <si>
    <t>http://www.solicemoon.com</t>
  </si>
  <si>
    <t>mailto:sales@solicemoon.com</t>
  </si>
  <si>
    <t>sam swope auto group llc</t>
  </si>
  <si>
    <t>mailto:mpoolefleet@hotmail.com</t>
  </si>
  <si>
    <t>sandy and company</t>
  </si>
  <si>
    <t>mailto:smason101@verizon.net</t>
  </si>
  <si>
    <t>security inc</t>
  </si>
  <si>
    <t>="Security Incorporated is a full service ATM and Armored Transport Company. We offer a complete line of ATM replenishment options as well as sales, installations and 1st and 2nd-line maintenance of all makes and models. Security Incorporated also offers corporate security services, courier transport and deposit pick-ups. Security Incorporated has been in business since 1969 and our committment to providing the highest quality service in the industry ensures that each customer is equally important . With flexible schedules and customer specific services, the only choice is Security Incorporated."</t>
  </si>
  <si>
    <t>mailto:jlsi@sbcglobal.net</t>
  </si>
  <si>
    <t>Armored Car Services</t>
  </si>
  <si>
    <t>senyab Enterprises</t>
  </si>
  <si>
    <t>="Customer Relationship Management, Risk Management and Compliance , Enterprise Resource Planning, Transactional Banking, Project Managment, Business Development, Business Reengineering, Training, Consulting, Coaching, Management, Information Technology, E-Business, E-Commerce, Health Care Management, Supply Chain Management, Human Capital Management."</t>
  </si>
  <si>
    <t>mailto:senyab@comcast.net</t>
  </si>
  <si>
    <t>seymour tire &amp; service inc.</t>
  </si>
  <si>
    <t>sherwood tire service, inc</t>
  </si>
  <si>
    <t>http://www.sherwoodtire.com</t>
  </si>
  <si>
    <t>mailto:sherwoodtire@earthlink.net</t>
  </si>
  <si>
    <t>stackhouse excavatin</t>
  </si>
  <si>
    <t>http://www.stackhouseexcavating.com/</t>
  </si>
  <si>
    <t>mailto:stackhouse@seidata.com</t>
  </si>
  <si>
    <t>stephens Appraisal</t>
  </si>
  <si>
    <t>mailto:stephensappraisal@comcast.net</t>
  </si>
  <si>
    <t>stevie tyus</t>
  </si>
  <si>
    <t>http://lillanselectricalservices</t>
  </si>
  <si>
    <t>mailto:auguskngs@aol.com</t>
  </si>
  <si>
    <t>sure-win enterprises</t>
  </si>
  <si>
    <t>t.p.&amp;j. Corp.</t>
  </si>
  <si>
    <t>http://www.hoosierparts.com</t>
  </si>
  <si>
    <t>mailto:sales@hoosierparts.com</t>
  </si>
  <si>
    <t>teens in action, inc</t>
  </si>
  <si>
    <t>mailto:teens3@teensinactioninc.org</t>
  </si>
  <si>
    <t>terry bright</t>
  </si>
  <si>
    <t>mailto:terry-brightins@verizon.net</t>
  </si>
  <si>
    <t>the summers group</t>
  </si>
  <si>
    <t>="The Summers Group is a business development firm that helps small businesses improve profitability through diversity and inclusion. Our focus is on small for profit and non-profit organizations. With more than 30 years of experience managing Fortune 500 businesses we provide diversity and inclusion coaching services, marketing, management, staff development, process improvement and sales support. For organizations interested in community economic development, we design, develop and implement training workshops that include business basics, soft skills, product and service refinement, capacity building and growth and sustainability."</t>
  </si>
  <si>
    <t>http://www.tsgdiversity.com</t>
  </si>
  <si>
    <t>mailto:james@tsgdiversity.com</t>
  </si>
  <si>
    <t>thektmgroup</t>
  </si>
  <si>
    <t>http://NA yet</t>
  </si>
  <si>
    <t>mailto:tdbrown@iupui.edu</t>
  </si>
  <si>
    <t>therapy, etc.</t>
  </si>
  <si>
    <t>mailto:bellsx7@aol.com</t>
  </si>
  <si>
    <t>thompson-wilson furniture corporation</t>
  </si>
  <si>
    <t>="80 year family owned retail home furniture store in Columbus IN. All owner have been war time veterans. Years of experience furnishing group homes, hospitals, and other agencies needing ""home/residential"" furniture. Although we are a small business we have access to all styles of quality furniture."</t>
  </si>
  <si>
    <t>mailto:thomfurn@sbcglobal.net</t>
  </si>
  <si>
    <t>tire Recycling</t>
  </si>
  <si>
    <t>mailto:fastai@copper.net</t>
  </si>
  <si>
    <t>tmalaw llc</t>
  </si>
  <si>
    <t>="I help business and individuals when they have to fight for how their name, talent, and brands should be used. My primary area of practice is intellectual property litigation and related offenses such as first amendment violations and obtaining and defending injunctions."</t>
  </si>
  <si>
    <t>http://www.thebrandinfringementfirm.com</t>
  </si>
  <si>
    <t>mailto:ask@thebrandinfringementfirm.com</t>
  </si>
  <si>
    <t>tom spragg construction</t>
  </si>
  <si>
    <t>tools 2 Succeed</t>
  </si>
  <si>
    <t>="Tools 2 Succeed mission is to create a sustainable movement in the Urban community to obtain knowledge and life-skills that are essential to succeeding in an ever-changing environment. Our primary focus is the Urban community school system, social service organizations, churches, independent housing facilities and correctional facilities. My business provides life-skills in the following areas: Basic Financial Literacy, Credit Education, Credit Report Reviewing and Setting and Achieving Goals. I"</t>
  </si>
  <si>
    <t>mailto:tools2succeed@gmail.com</t>
  </si>
  <si>
    <t>tracy's trucking&amp;construction inc.</t>
  </si>
  <si>
    <t>mailto:tracyblchr@yahoo.com</t>
  </si>
  <si>
    <t>tri-state power supply</t>
  </si>
  <si>
    <t>="Tri-State Battery is a complete Battery service and supply company. Tri-State Battery can supply or repair any battery including, cars, truck, construction machinery, boats, alarm and fire panels, ups, motorcycle, ATV, laptop, door lock, exit sign etc. Any battery regardless of application. Large inventory of AAA thru D Cell Alkaline and Rechargeable, button cells, cordless tool packs etc. Large inventory and fast service guaranteed 100% satisfaction"</t>
  </si>
  <si>
    <t>http://www.dealerdirectbatteries.com/</t>
  </si>
  <si>
    <t>mailto:tristatebattery@yahoo.com</t>
  </si>
  <si>
    <t>trinity logistics company llc</t>
  </si>
  <si>
    <t>http://www.trinitylogisticscompany.com</t>
  </si>
  <si>
    <t>mailto:rufusbbarnettjr@trinitylogisticscompany.com</t>
  </si>
  <si>
    <t>unique machining and fabrication</t>
  </si>
  <si>
    <t>vr business and fulf</t>
  </si>
  <si>
    <t>mailto:rgray012@comcast.net</t>
  </si>
  <si>
    <t>wagner enterprises collision repair inc.</t>
  </si>
  <si>
    <t>mailto:WBODYSHOP@CCRTC.COM</t>
  </si>
  <si>
    <t>wax shield inc.</t>
  </si>
  <si>
    <t>http://www.waxshield.net</t>
  </si>
  <si>
    <t>mailto:smthrasher@msn.com</t>
  </si>
  <si>
    <t>wayne asphalt &amp; const co inc.</t>
  </si>
  <si>
    <t>http://www.wayneasphalt.com</t>
  </si>
  <si>
    <t>mailto:wayneasphalt.com</t>
  </si>
  <si>
    <t>webster's Protection Bags, Inc.</t>
  </si>
  <si>
    <t>="We provide the state of the art protection for flat screen tvs and LCD monitors for relocation to state to state or location to location. Webster's Protection Bags can make sure your personnel items are protection when moving them to another location, student, govenment moving their flat screen tvs and their LCD computer monitors."</t>
  </si>
  <si>
    <t>http://www.webstersbags.org</t>
  </si>
  <si>
    <t>mailto:c.webster@webstersbags.org</t>
  </si>
  <si>
    <t>weidner chevrolet,inc</t>
  </si>
  <si>
    <t>welch packaging</t>
  </si>
  <si>
    <t>="With a broad Midwest scope our brand is to provide creative packaging solutions that are fast and dependable for our customers. As a leader in technology we achieve this with multiple plants located in Elkhart, Indiana (home office), Indianapolis, Indiana; Cleveland and Columbus, Ohio; Detroit, Michigan; and Chicago, Illinois markets."</t>
  </si>
  <si>
    <t>http://welchpkg.com</t>
  </si>
  <si>
    <t>mailto:sales@welchpkg.com</t>
  </si>
  <si>
    <t>Folding Paperboard Box Manufacturing</t>
  </si>
  <si>
    <t>wheatbrook home cent</t>
  </si>
  <si>
    <t>mailto:timw@csinet.net</t>
  </si>
  <si>
    <t>wheelers' service center, Inc.</t>
  </si>
  <si>
    <t>wheels assured logistics, llc.</t>
  </si>
  <si>
    <t>http://wheelsassured.com</t>
  </si>
  <si>
    <t>mailto:wheelsassured.com</t>
  </si>
  <si>
    <t>whetstone &amp; associate, Inc.</t>
  </si>
  <si>
    <t>http://whetstone-designs.com</t>
  </si>
  <si>
    <t>mailto:whetstonedesign@msn.com</t>
  </si>
  <si>
    <t>white river press, i</t>
  </si>
  <si>
    <t>mailto:whiteriverpress@mcleodusa.net</t>
  </si>
  <si>
    <t>wilkins &amp; son lawncare</t>
  </si>
  <si>
    <t>mailto:robertws3179@aol.com</t>
  </si>
  <si>
    <t>wyant ford inc.</t>
  </si>
  <si>
    <t>http://wyantford.com</t>
  </si>
  <si>
    <t>mailto:gwyant6345@aol.com</t>
  </si>
  <si>
    <t>xSPert Solutions, Inc.</t>
  </si>
  <si>
    <t>="Anerist is an Information Technology (IT) outsourcing provider, providing our customers with dependable, reliable, and secure IT services using processes that solve three of our customers' biggest IT problems: controlling costs, mitigating risks, and alleviating overhead. The Anerist outsourcing model focuses on centralization of IT operations strategic to our customers' businesses."</t>
  </si>
  <si>
    <t>http://www.anerist.com/</t>
  </si>
  <si>
    <t>mailto:info@anerist.com</t>
  </si>
  <si>
    <t>xiik LLC</t>
  </si>
  <si>
    <t>http://www.xiik.com</t>
  </si>
  <si>
    <t>mailto:info@xiik.com</t>
  </si>
  <si>
    <t>xxAsk Us - decommissioned per bidder</t>
  </si>
  <si>
    <t>xxAsk Us First</t>
  </si>
  <si>
    <t>xxxxxxxx</t>
  </si>
  <si>
    <t>zline media group, inc</t>
  </si>
  <si>
    <t>="Custom web design services, web application interface design and architecture, content-management systems, social media, SEO/SEM, rich-media application design, internet consulting, marketing and advertising using internet, cd-rom, DVD, and new mediums. 3D artist and animator. Video production, editing, and DVD authoring services. Online training and elearning systems."</t>
  </si>
  <si>
    <t>http://www.zlinemedia.com</t>
  </si>
  <si>
    <t>mailto:info@zlinemedia.com</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</si>
</sst>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
    <xf numFmtId="0" fontId="0" fillId="0" borderId="0" xfId="0"/>
    <xf numFmtId="0" fontId="19" fillId="0" borderId="10" xfId="0" applyFont="1" applyBorder="1" applyAlignment="1">
      <alignment horizontal="center" vertical="center" wrapText="1"/>
    </xf>
    <xf numFmtId="0" fontId="0" fillId="0" borderId="10" xfId="0" applyBorder="1" applyAlignment="1">
      <alignment wrapText="1"/>
    </xf>
    <xf numFmtId="0" fontId="18" fillId="0" borderId="10" xfId="0" applyFont="1" applyBorder="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386"/>
  <sheetViews>
    <sheetView showGridLines="0" tabSelected="1" topLeftCell="A10382" workbookViewId="0"/>
  </sheetViews>
  <sheetFormatPr defaultRowHeight="15" x14ac:dyDescent="0.25"/>
  <cols>
    <col min="1" max="1" width="36.5703125" bestFit="1" customWidth="1"/>
    <col min="2" max="2" width="7.28515625" bestFit="1" customWidth="1"/>
    <col min="3" max="5" width="36.5703125" bestFit="1" customWidth="1"/>
    <col min="6" max="6" width="9.28515625" bestFit="1" customWidth="1"/>
    <col min="7" max="7" width="7.7109375" bestFit="1" customWidth="1"/>
    <col min="8" max="8" width="36.5703125" bestFit="1" customWidth="1"/>
  </cols>
  <sheetData>
    <row r="1" spans="1:8" x14ac:dyDescent="0.25">
      <c r="A1" s="1" t="s">
        <v>0</v>
      </c>
      <c r="B1" s="1" t="s">
        <v>1</v>
      </c>
      <c r="C1" s="1" t="s">
        <v>2</v>
      </c>
      <c r="D1" s="1" t="s">
        <v>3</v>
      </c>
      <c r="E1" s="1" t="s">
        <v>4</v>
      </c>
      <c r="F1" s="1" t="s">
        <v>5</v>
      </c>
      <c r="G1" s="1" t="s">
        <v>6</v>
      </c>
      <c r="H1" s="1" t="s">
        <v>7</v>
      </c>
    </row>
    <row r="2" spans="1:8" ht="26.25" x14ac:dyDescent="0.25">
      <c r="A2" s="3" t="s">
        <v>8</v>
      </c>
      <c r="B2" s="3"/>
      <c r="C2" s="3" t="str">
        <f>"#1 Sourcing Solutions Inc. supports large majority owned companies meet their objective to support minority owned companies. This company will seek opportunities and partner develop partnering solutions as appropriate."</f>
        <v>#1 Sourcing Solutions Inc. supports large majority owned companies meet their objective to support minority owned companies. This company will seek opportunities and partner develop partnering solutions as appropriate.</v>
      </c>
      <c r="D2" s="3" t="s">
        <v>9</v>
      </c>
      <c r="E2" s="3" t="s">
        <v>10</v>
      </c>
      <c r="F2" s="3" t="str">
        <f>"812-430-5332"</f>
        <v>812-430-5332</v>
      </c>
      <c r="G2" s="3">
        <v>484220</v>
      </c>
      <c r="H2" s="3" t="s">
        <v>11</v>
      </c>
    </row>
    <row r="3" spans="1:8" ht="166.5" x14ac:dyDescent="0.25">
      <c r="A3" s="3" t="s">
        <v>12</v>
      </c>
      <c r="B3" s="3"/>
      <c r="C3" s="3" t="s">
        <v>13</v>
      </c>
      <c r="D3" s="3" t="s">
        <v>9</v>
      </c>
      <c r="E3" s="3" t="s">
        <v>14</v>
      </c>
      <c r="F3" s="3" t="str">
        <f>"317-222-3700"</f>
        <v>317-222-3700</v>
      </c>
      <c r="G3" s="3">
        <v>561320</v>
      </c>
      <c r="H3" s="3" t="s">
        <v>15</v>
      </c>
    </row>
    <row r="4" spans="1:8" x14ac:dyDescent="0.25">
      <c r="A4" s="3" t="s">
        <v>16</v>
      </c>
      <c r="B4" s="3"/>
      <c r="C4" s="3" t="str">
        <f>"Consulting services focusing in areas of strategy, technology, an security in the business environment."</f>
        <v>Consulting services focusing in areas of strategy, technology, an security in the business environment.</v>
      </c>
      <c r="D4" s="3" t="s">
        <v>17</v>
      </c>
      <c r="E4" s="3" t="s">
        <v>18</v>
      </c>
      <c r="F4" s="3" t="str">
        <f>"(219) 405-7356"</f>
        <v>(219) 405-7356</v>
      </c>
      <c r="G4" s="3">
        <v>541512</v>
      </c>
      <c r="H4" s="3" t="s">
        <v>19</v>
      </c>
    </row>
    <row r="5" spans="1:8" ht="26.25" x14ac:dyDescent="0.25">
      <c r="A5" s="3" t="s">
        <v>20</v>
      </c>
      <c r="B5" s="3"/>
      <c r="C5" s="3" t="str">
        <f>"Provides in-home personal care services, in addition to manufacturing Encapsulation Units which prevent theft of central air conditioning units. Roofing, drywall, painting, mowing"</f>
        <v>Provides in-home personal care services, in addition to manufacturing Encapsulation Units which prevent theft of central air conditioning units. Roofing, drywall, painting, mowing</v>
      </c>
      <c r="D5" s="3" t="s">
        <v>9</v>
      </c>
      <c r="E5" s="3" t="s">
        <v>21</v>
      </c>
      <c r="F5" s="3" t="str">
        <f>"574-350-9831"</f>
        <v>574-350-9831</v>
      </c>
      <c r="G5" s="3">
        <v>624120</v>
      </c>
      <c r="H5" s="3" t="s">
        <v>22</v>
      </c>
    </row>
    <row r="6" spans="1:8" ht="26.25" x14ac:dyDescent="0.25">
      <c r="A6" s="3" t="s">
        <v>23</v>
      </c>
      <c r="B6" s="3"/>
      <c r="C6" s="3" t="str">
        <f>"The company manufactures Encapsulation Units which prevent the of central units and other outdoor devices. Also provides drywall, roofing and small construction services."</f>
        <v>The company manufactures Encapsulation Units which prevent the of central units and other outdoor devices. Also provides drywall, roofing and small construction services.</v>
      </c>
      <c r="D6" s="3" t="s">
        <v>24</v>
      </c>
      <c r="E6" s="3" t="s">
        <v>25</v>
      </c>
      <c r="F6" s="3" t="str">
        <f>"574-549-2174"</f>
        <v>574-549-2174</v>
      </c>
      <c r="G6" s="3">
        <v>331210</v>
      </c>
      <c r="H6" s="3" t="s">
        <v>26</v>
      </c>
    </row>
    <row r="7" spans="1:8" x14ac:dyDescent="0.25">
      <c r="A7" s="3" t="s">
        <v>27</v>
      </c>
      <c r="B7" s="3"/>
      <c r="C7" s="3" t="str">
        <f>"123 SimplyMath is a math tutorial center for Adults in college as well as children in elementary through High School. Tutors are available for 1 on 1 sessions, group and sessions for homework and test support as well as enrichment learning."</f>
        <v>123 SimplyMath is a math tutorial center for Adults in college as well as children in elementary through High School. Tutors are available for 1 on 1 sessions, group and sessions for homework and test support as well as enrichment learning.</v>
      </c>
      <c r="D7" s="3" t="s">
        <v>28</v>
      </c>
      <c r="E7" s="3" t="s">
        <v>29</v>
      </c>
      <c r="F7" s="3" t="str">
        <f>"317-222-5380"</f>
        <v>317-222-5380</v>
      </c>
      <c r="G7" s="3">
        <v>611691</v>
      </c>
      <c r="H7" s="3" t="s">
        <v>30</v>
      </c>
    </row>
    <row r="8" spans="1:8" x14ac:dyDescent="0.25">
      <c r="A8" s="3" t="s">
        <v>31</v>
      </c>
      <c r="B8" s="3"/>
      <c r="C8" s="3" t="str">
        <f>"For over 10 years, we have been serving the Terre Haute and Indianapolis areas with residential real estate appraisals. Please contact us to find out how we can best help you with your appraisal needs in more than 10 counties."</f>
        <v>For over 10 years, we have been serving the Terre Haute and Indianapolis areas with residential real estate appraisals. Please contact us to find out how we can best help you with your appraisal needs in more than 10 counties.</v>
      </c>
      <c r="D8" s="3" t="s">
        <v>32</v>
      </c>
      <c r="E8" s="3" t="s">
        <v>33</v>
      </c>
      <c r="F8" s="3" t="str">
        <f>"8124601287"</f>
        <v>8124601287</v>
      </c>
      <c r="G8" s="3">
        <v>531320</v>
      </c>
      <c r="H8" s="3" t="s">
        <v>34</v>
      </c>
    </row>
    <row r="9" spans="1:8" ht="90" x14ac:dyDescent="0.25">
      <c r="A9" s="3" t="s">
        <v>35</v>
      </c>
      <c r="B9" s="3"/>
      <c r="C9" s="3" t="s">
        <v>36</v>
      </c>
      <c r="D9" s="3" t="s">
        <v>37</v>
      </c>
      <c r="E9" s="3" t="s">
        <v>38</v>
      </c>
      <c r="F9" s="3" t="str">
        <f>"317-894-5088"</f>
        <v>317-894-5088</v>
      </c>
      <c r="G9" s="3">
        <v>611420</v>
      </c>
      <c r="H9" s="3" t="s">
        <v>39</v>
      </c>
    </row>
    <row r="10" spans="1:8" ht="128.25" x14ac:dyDescent="0.25">
      <c r="A10" s="3" t="s">
        <v>40</v>
      </c>
      <c r="B10" s="3"/>
      <c r="C10" s="3" t="s">
        <v>41</v>
      </c>
      <c r="D10" s="3" t="s">
        <v>9</v>
      </c>
      <c r="E10" s="3" t="s">
        <v>42</v>
      </c>
      <c r="F10" s="3" t="str">
        <f>"(765) 754-3131"</f>
        <v>(765) 754-3131</v>
      </c>
      <c r="G10" s="3">
        <v>561622</v>
      </c>
      <c r="H10" s="3" t="s">
        <v>43</v>
      </c>
    </row>
    <row r="11" spans="1:8" ht="153.75" x14ac:dyDescent="0.25">
      <c r="A11" s="3" t="s">
        <v>44</v>
      </c>
      <c r="B11" s="3"/>
      <c r="C11" s="3" t="s">
        <v>45</v>
      </c>
      <c r="D11" s="3" t="s">
        <v>9</v>
      </c>
      <c r="E11" s="3" t="s">
        <v>46</v>
      </c>
      <c r="F11" s="3" t="str">
        <f>"317-225-3616"</f>
        <v>317-225-3616</v>
      </c>
      <c r="G11" s="3">
        <v>926150</v>
      </c>
      <c r="H11" s="3" t="s">
        <v>47</v>
      </c>
    </row>
    <row r="12" spans="1:8" ht="39" x14ac:dyDescent="0.25">
      <c r="A12" s="3" t="s">
        <v>48</v>
      </c>
      <c r="B12" s="3"/>
      <c r="C12" s="3" t="str">
        <f>"We provide structured finance solutions for mid-sized business. Interest rates on these solutions is typically 1% below prime."</f>
        <v>We provide structured finance solutions for mid-sized business. Interest rates on these solutions is typically 1% below prime.</v>
      </c>
      <c r="D12" s="3" t="s">
        <v>49</v>
      </c>
      <c r="E12" s="3" t="s">
        <v>46</v>
      </c>
      <c r="F12" s="3" t="str">
        <f>"317-574-0444"</f>
        <v>317-574-0444</v>
      </c>
      <c r="G12" s="3">
        <v>52</v>
      </c>
      <c r="H12" s="3" t="s">
        <v>50</v>
      </c>
    </row>
    <row r="13" spans="1:8" ht="39" x14ac:dyDescent="0.25">
      <c r="A13" s="3" t="s">
        <v>51</v>
      </c>
      <c r="B13" s="3"/>
      <c r="C13" s="3" t="str">
        <f>"1st Kids administers the First Steps program in 22 counties in northwest, northeast and mid-north Indiana."</f>
        <v>1st Kids administers the First Steps program in 22 counties in northwest, northeast and mid-north Indiana.</v>
      </c>
      <c r="D13" s="3" t="s">
        <v>52</v>
      </c>
      <c r="E13" s="3" t="s">
        <v>53</v>
      </c>
      <c r="F13" s="3" t="str">
        <f>"219-662-7790"</f>
        <v>219-662-7790</v>
      </c>
      <c r="G13" s="3">
        <v>624190</v>
      </c>
      <c r="H13" s="3" t="s">
        <v>54</v>
      </c>
    </row>
    <row r="14" spans="1:8" ht="77.25" x14ac:dyDescent="0.25">
      <c r="A14" s="3" t="s">
        <v>55</v>
      </c>
      <c r="B14" s="3"/>
      <c r="C14" s="3" t="str">
        <f>"1st Resource Solutions, LLC is a certified MBE and provides construction supplies to general contractors and sub-contractors. Those supplies include detectable warning tiles, diamond saw blades, diamond core bits, and diamond wire."</f>
        <v>1st Resource Solutions, LLC is a certified MBE and provides construction supplies to general contractors and sub-contractors. Those supplies include detectable warning tiles, diamond saw blades, diamond core bits, and diamond wire.</v>
      </c>
      <c r="D14" s="3" t="s">
        <v>56</v>
      </c>
      <c r="E14" s="3" t="s">
        <v>57</v>
      </c>
      <c r="F14" s="3" t="str">
        <f>"800-803-1030"</f>
        <v>800-803-1030</v>
      </c>
      <c r="G14" s="3">
        <v>425120</v>
      </c>
      <c r="H14" s="3" t="s">
        <v>58</v>
      </c>
    </row>
    <row r="15" spans="1:8" ht="26.25" x14ac:dyDescent="0.25">
      <c r="A15" s="3" t="s">
        <v>59</v>
      </c>
      <c r="B15" s="3"/>
      <c r="C15" s="3" t="str">
        <f>"Financial Instution"</f>
        <v>Financial Instution</v>
      </c>
      <c r="D15" s="3" t="s">
        <v>60</v>
      </c>
      <c r="E15" s="3" t="s">
        <v>46</v>
      </c>
      <c r="F15" s="3" t="str">
        <f>"574-235-2000"</f>
        <v>574-235-2000</v>
      </c>
      <c r="G15" s="3">
        <v>522110</v>
      </c>
      <c r="H15" s="3" t="s">
        <v>61</v>
      </c>
    </row>
    <row r="16" spans="1:8" ht="26.25" x14ac:dyDescent="0.25">
      <c r="A16" s="3" t="s">
        <v>62</v>
      </c>
      <c r="B16" s="3"/>
      <c r="C16" s="3" t="str">
        <f>" "</f>
        <v xml:space="preserve"> </v>
      </c>
      <c r="D16" s="3" t="s">
        <v>63</v>
      </c>
      <c r="E16" s="3" t="s">
        <v>64</v>
      </c>
      <c r="F16" s="3" t="str">
        <f>"2604153568"</f>
        <v>2604153568</v>
      </c>
      <c r="G16" s="3">
        <v>561730</v>
      </c>
      <c r="H16" s="3" t="s">
        <v>65</v>
      </c>
    </row>
    <row r="17" spans="1:8" ht="64.5" x14ac:dyDescent="0.25">
      <c r="A17" s="3" t="s">
        <v>66</v>
      </c>
      <c r="B17" s="3"/>
      <c r="C17" s="3" t="str">
        <f>"Full-service sign manufacturing and installation, vehicle lettering, vinyl, neon, sandblasting, fabricated metal, graphic design, carved, large format printing, lighted signs, banners"</f>
        <v>Full-service sign manufacturing and installation, vehicle lettering, vinyl, neon, sandblasting, fabricated metal, graphic design, carved, large format printing, lighted signs, banners</v>
      </c>
      <c r="D17" s="3" t="s">
        <v>9</v>
      </c>
      <c r="E17" s="3" t="s">
        <v>67</v>
      </c>
      <c r="F17" s="3" t="str">
        <f>"812-482-9136"</f>
        <v>812-482-9136</v>
      </c>
      <c r="G17" s="3">
        <v>339950</v>
      </c>
      <c r="H17" s="3" t="s">
        <v>68</v>
      </c>
    </row>
    <row r="18" spans="1:8" ht="64.5" x14ac:dyDescent="0.25">
      <c r="A18" s="3" t="s">
        <v>69</v>
      </c>
      <c r="B18" s="3"/>
      <c r="C18" s="3" t="str">
        <f>"The Business does Commerical Site's, &amp; Individuals. We Install Septic Systems, (6) Mound Septic Systems, Site Utilities, Earth Work, Demolition, Fence Roll Clearing, Repair Field Tiles, Etc."</f>
        <v>The Business does Commerical Site's, &amp; Individuals. We Install Septic Systems, (6) Mound Septic Systems, Site Utilities, Earth Work, Demolition, Fence Roll Clearing, Repair Field Tiles, Etc.</v>
      </c>
      <c r="D18" s="3" t="s">
        <v>9</v>
      </c>
      <c r="E18" s="3" t="s">
        <v>70</v>
      </c>
      <c r="F18" s="3" t="str">
        <f>"(317)984-4165"</f>
        <v>(317)984-4165</v>
      </c>
      <c r="G18" s="3">
        <v>23593</v>
      </c>
      <c r="H18" s="3" t="s">
        <v>71</v>
      </c>
    </row>
    <row r="19" spans="1:8" ht="26.25" x14ac:dyDescent="0.25">
      <c r="A19" s="3" t="s">
        <v>72</v>
      </c>
      <c r="B19" s="3"/>
      <c r="C19" s="3" t="str">
        <f>"Realestate sales &amp; service"</f>
        <v>Realestate sales &amp; service</v>
      </c>
      <c r="D19" s="3" t="s">
        <v>9</v>
      </c>
      <c r="E19" s="3" t="s">
        <v>73</v>
      </c>
      <c r="F19" s="3" t="str">
        <f>"574 533 6566"</f>
        <v>574 533 6566</v>
      </c>
      <c r="G19" s="3">
        <v>531</v>
      </c>
      <c r="H19" s="3" t="s">
        <v>74</v>
      </c>
    </row>
    <row r="20" spans="1:8" ht="90" x14ac:dyDescent="0.25">
      <c r="A20" s="3" t="s">
        <v>75</v>
      </c>
      <c r="B20" s="3"/>
      <c r="C20" s="3" t="str">
        <f>"216 Arrow is a local, full service graphic design company. I work with my clients to meet their marketing/advertising needs through the use of my graphic design services. Additionally, if my clients need printed materials, I can assist with that as well."</f>
        <v>216 Arrow is a local, full service graphic design company. I work with my clients to meet their marketing/advertising needs through the use of my graphic design services. Additionally, if my clients need printed materials, I can assist with that as well.</v>
      </c>
      <c r="D20" s="3" t="s">
        <v>76</v>
      </c>
      <c r="E20" s="3" t="s">
        <v>77</v>
      </c>
      <c r="F20" s="3" t="str">
        <f>"3174903860"</f>
        <v>3174903860</v>
      </c>
      <c r="G20" s="3">
        <v>541430</v>
      </c>
      <c r="H20" s="3" t="s">
        <v>78</v>
      </c>
    </row>
    <row r="21" spans="1:8" ht="230.25" x14ac:dyDescent="0.25">
      <c r="A21" s="3" t="s">
        <v>79</v>
      </c>
      <c r="B21" s="3"/>
      <c r="C21" s="3" t="s">
        <v>80</v>
      </c>
      <c r="D21" s="3" t="s">
        <v>9</v>
      </c>
      <c r="E21" s="3" t="s">
        <v>81</v>
      </c>
      <c r="F21" s="3" t="str">
        <f>"1-812-212-1863"</f>
        <v>1-812-212-1863</v>
      </c>
      <c r="G21" s="3">
        <v>541330</v>
      </c>
      <c r="H21" s="3" t="s">
        <v>82</v>
      </c>
    </row>
    <row r="22" spans="1:8" ht="141" x14ac:dyDescent="0.25">
      <c r="A22" s="3" t="s">
        <v>83</v>
      </c>
      <c r="B22" s="3"/>
      <c r="C22" s="3" t="s">
        <v>84</v>
      </c>
      <c r="D22" s="3" t="s">
        <v>85</v>
      </c>
      <c r="E22" s="3" t="s">
        <v>86</v>
      </c>
      <c r="F22" s="3" t="str">
        <f>"317-631-1247"</f>
        <v>317-631-1247</v>
      </c>
      <c r="G22" s="3">
        <v>5411</v>
      </c>
      <c r="H22" s="3" t="s">
        <v>87</v>
      </c>
    </row>
    <row r="23" spans="1:8" ht="102.75" x14ac:dyDescent="0.25">
      <c r="A23" s="3" t="s">
        <v>88</v>
      </c>
      <c r="B23" s="3"/>
      <c r="C23" s="3" t="s">
        <v>89</v>
      </c>
      <c r="D23" s="3" t="s">
        <v>90</v>
      </c>
      <c r="E23" s="3" t="s">
        <v>91</v>
      </c>
      <c r="F23" s="3" t="str">
        <f>"317-908-8409"</f>
        <v>317-908-8409</v>
      </c>
      <c r="G23" s="3">
        <v>491110</v>
      </c>
      <c r="H23" s="3" t="s">
        <v>92</v>
      </c>
    </row>
    <row r="24" spans="1:8" ht="39" x14ac:dyDescent="0.25">
      <c r="A24" s="3" t="s">
        <v>93</v>
      </c>
      <c r="B24" s="3"/>
      <c r="C24" s="3" t="str">
        <f>"We provide Emergency and Shop Repair 24 Hours a day 7 day's a week on Semi's, light trucks, Rv's, Buses and Auto."</f>
        <v>We provide Emergency and Shop Repair 24 Hours a day 7 day's a week on Semi's, light trucks, Rv's, Buses and Auto.</v>
      </c>
      <c r="D24" s="3" t="s">
        <v>94</v>
      </c>
      <c r="E24" s="3" t="s">
        <v>95</v>
      </c>
      <c r="F24" s="3" t="str">
        <f>"219-465-5555"</f>
        <v>219-465-5555</v>
      </c>
      <c r="G24" s="3">
        <v>81111</v>
      </c>
      <c r="H24" s="3" t="s">
        <v>96</v>
      </c>
    </row>
    <row r="25" spans="1:8" ht="217.5" x14ac:dyDescent="0.25">
      <c r="A25" s="3" t="s">
        <v>97</v>
      </c>
      <c r="B25" s="3"/>
      <c r="C25" s="3" t="s">
        <v>98</v>
      </c>
      <c r="D25" s="3" t="s">
        <v>99</v>
      </c>
      <c r="E25" s="3" t="s">
        <v>100</v>
      </c>
      <c r="F25" s="3" t="str">
        <f>"765-497-2814"</f>
        <v>765-497-2814</v>
      </c>
      <c r="G25" s="3">
        <v>5417</v>
      </c>
      <c r="H25" s="3" t="s">
        <v>101</v>
      </c>
    </row>
    <row r="26" spans="1:8" ht="39" x14ac:dyDescent="0.25">
      <c r="A26" s="3" t="s">
        <v>102</v>
      </c>
      <c r="B26" s="3"/>
      <c r="C26" s="3" t="str">
        <f>"3 C's Transportation, LLC is a non emergency medical transport company. We also offer a variety of other passenger related services."</f>
        <v>3 C's Transportation, LLC is a non emergency medical transport company. We also offer a variety of other passenger related services.</v>
      </c>
      <c r="D26" s="3" t="s">
        <v>9</v>
      </c>
      <c r="E26" s="3" t="s">
        <v>103</v>
      </c>
      <c r="F26" s="3" t="str">
        <f>"317-997-9098"</f>
        <v>317-997-9098</v>
      </c>
      <c r="G26" s="3">
        <v>48</v>
      </c>
      <c r="H26" s="3" t="s">
        <v>104</v>
      </c>
    </row>
    <row r="27" spans="1:8" ht="26.25" x14ac:dyDescent="0.25">
      <c r="A27" s="3" t="s">
        <v>105</v>
      </c>
      <c r="B27" s="3"/>
      <c r="C27" s="3" t="str">
        <f>"Provider of professional management services (Program Launch, Process, Physical Distribution and Logistic Management) and a full line of 3rd party logistics services (Subassembly, kitting, repack, bulk storage and sequencing)"</f>
        <v>Provider of professional management services (Program Launch, Process, Physical Distribution and Logistic Management) and a full line of 3rd party logistics services (Subassembly, kitting, repack, bulk storage and sequencing)</v>
      </c>
      <c r="D27" s="3" t="s">
        <v>106</v>
      </c>
      <c r="E27" s="3" t="s">
        <v>46</v>
      </c>
      <c r="F27" s="2"/>
      <c r="G27" s="3">
        <v>541614</v>
      </c>
      <c r="H27" s="3" t="s">
        <v>107</v>
      </c>
    </row>
    <row r="28" spans="1:8" ht="102.75" x14ac:dyDescent="0.25">
      <c r="A28" s="3" t="s">
        <v>108</v>
      </c>
      <c r="B28" s="3"/>
      <c r="C28" s="3" t="s">
        <v>109</v>
      </c>
      <c r="D28" s="3" t="s">
        <v>110</v>
      </c>
      <c r="E28" s="3" t="s">
        <v>111</v>
      </c>
      <c r="F28" s="3" t="str">
        <f>"(317) 925-5777"</f>
        <v>(317) 925-5777</v>
      </c>
      <c r="G28" s="3">
        <v>453998</v>
      </c>
      <c r="H28" s="3" t="s">
        <v>112</v>
      </c>
    </row>
    <row r="29" spans="1:8" ht="115.5" x14ac:dyDescent="0.25">
      <c r="A29" s="3" t="s">
        <v>113</v>
      </c>
      <c r="B29" s="3"/>
      <c r="C29" s="3" t="s">
        <v>114</v>
      </c>
      <c r="D29" s="3" t="s">
        <v>115</v>
      </c>
      <c r="E29" s="3" t="s">
        <v>116</v>
      </c>
      <c r="F29" s="3" t="str">
        <f>"317-464-7774"</f>
        <v>317-464-7774</v>
      </c>
      <c r="G29" s="3">
        <v>442110</v>
      </c>
      <c r="H29" s="3" t="s">
        <v>117</v>
      </c>
    </row>
    <row r="30" spans="1:8" ht="306.75" x14ac:dyDescent="0.25">
      <c r="A30" s="3" t="s">
        <v>118</v>
      </c>
      <c r="B30" s="3"/>
      <c r="C30" s="3" t="s">
        <v>119</v>
      </c>
      <c r="D30" s="3" t="s">
        <v>120</v>
      </c>
      <c r="E30" s="3" t="s">
        <v>121</v>
      </c>
      <c r="F30" s="3" t="str">
        <f>"855-447-3939"</f>
        <v>855-447-3939</v>
      </c>
      <c r="G30" s="3">
        <v>541511</v>
      </c>
      <c r="H30" s="3" t="s">
        <v>122</v>
      </c>
    </row>
    <row r="31" spans="1:8" ht="255.75" x14ac:dyDescent="0.25">
      <c r="A31" s="3" t="s">
        <v>123</v>
      </c>
      <c r="B31" s="3"/>
      <c r="C31" s="3" t="s">
        <v>124</v>
      </c>
      <c r="D31" s="3" t="s">
        <v>125</v>
      </c>
      <c r="E31" s="3" t="s">
        <v>126</v>
      </c>
      <c r="F31" s="3" t="str">
        <f>"574-233-0508"</f>
        <v>574-233-0508</v>
      </c>
      <c r="G31" s="3">
        <v>423430</v>
      </c>
      <c r="H31" s="3" t="s">
        <v>127</v>
      </c>
    </row>
    <row r="32" spans="1:8" ht="39" x14ac:dyDescent="0.25">
      <c r="A32" s="3" t="s">
        <v>128</v>
      </c>
      <c r="B32" s="3"/>
      <c r="C32" s="3" t="str">
        <f>"General Contractor: along with sitework i.e., storm systems, sanitary systems, water systems, building pads, parking lots, etc."</f>
        <v>General Contractor: along with sitework i.e., storm systems, sanitary systems, water systems, building pads, parking lots, etc.</v>
      </c>
      <c r="D32" s="3" t="s">
        <v>129</v>
      </c>
      <c r="E32" s="3" t="s">
        <v>130</v>
      </c>
      <c r="F32" s="3" t="str">
        <f>"765-288-3326"</f>
        <v>765-288-3326</v>
      </c>
      <c r="G32" s="3">
        <v>233</v>
      </c>
      <c r="H32" s="3" t="s">
        <v>131</v>
      </c>
    </row>
    <row r="33" spans="1:8" ht="26.25" x14ac:dyDescent="0.25">
      <c r="A33" s="3" t="s">
        <v>132</v>
      </c>
      <c r="B33" s="3"/>
      <c r="C33" s="3" t="str">
        <f>"Painting, remodeling, construction"</f>
        <v>Painting, remodeling, construction</v>
      </c>
      <c r="D33" s="3" t="s">
        <v>9</v>
      </c>
      <c r="E33" s="3" t="s">
        <v>46</v>
      </c>
      <c r="F33" s="3" t="str">
        <f>"317-726-0102"</f>
        <v>317-726-0102</v>
      </c>
      <c r="G33" s="3">
        <v>23</v>
      </c>
      <c r="H33" s="3" t="s">
        <v>133</v>
      </c>
    </row>
    <row r="34" spans="1:8" ht="51.75" x14ac:dyDescent="0.25">
      <c r="A34" s="3" t="s">
        <v>134</v>
      </c>
      <c r="B34" s="3"/>
      <c r="C34" s="3" t="str">
        <f>"We at 3 D Properties of Indiana LLC provide maintaince salutions for your comercial needs. Lawn and Landscape care and Building care."</f>
        <v>We at 3 D Properties of Indiana LLC provide maintaince salutions for your comercial needs. Lawn and Landscape care and Building care.</v>
      </c>
      <c r="D34" s="3" t="s">
        <v>9</v>
      </c>
      <c r="E34" s="3" t="s">
        <v>135</v>
      </c>
      <c r="F34" s="2"/>
      <c r="G34" s="3">
        <v>531312</v>
      </c>
      <c r="H34" s="3" t="s">
        <v>136</v>
      </c>
    </row>
    <row r="35" spans="1:8" ht="128.25" x14ac:dyDescent="0.25">
      <c r="A35" s="3" t="s">
        <v>137</v>
      </c>
      <c r="B35" s="3"/>
      <c r="C35" s="3" t="s">
        <v>138</v>
      </c>
      <c r="D35" s="3" t="s">
        <v>9</v>
      </c>
      <c r="E35" s="3" t="s">
        <v>139</v>
      </c>
      <c r="F35" s="3" t="str">
        <f>"317-537-7589"</f>
        <v>317-537-7589</v>
      </c>
      <c r="G35" s="3">
        <v>611</v>
      </c>
      <c r="H35" s="3" t="s">
        <v>140</v>
      </c>
    </row>
    <row r="36" spans="1:8" ht="26.25" x14ac:dyDescent="0.25">
      <c r="A36" s="3" t="s">
        <v>141</v>
      </c>
      <c r="B36" s="3"/>
      <c r="C36" s="3" t="str">
        <f>"Please see our website for a complete list of waterproofing services we offer."</f>
        <v>Please see our website for a complete list of waterproofing services we offer.</v>
      </c>
      <c r="D36" s="3" t="s">
        <v>142</v>
      </c>
      <c r="E36" s="3" t="s">
        <v>143</v>
      </c>
      <c r="F36" s="3" t="str">
        <f>"(317) 900 1322"</f>
        <v>(317) 900 1322</v>
      </c>
      <c r="G36" s="3">
        <v>238160</v>
      </c>
      <c r="H36" s="3" t="s">
        <v>144</v>
      </c>
    </row>
    <row r="37" spans="1:8" ht="141" x14ac:dyDescent="0.25">
      <c r="A37" s="3" t="s">
        <v>145</v>
      </c>
      <c r="B37" s="3"/>
      <c r="C37" s="3" t="s">
        <v>146</v>
      </c>
      <c r="D37" s="3" t="s">
        <v>147</v>
      </c>
      <c r="E37" s="3" t="s">
        <v>148</v>
      </c>
      <c r="F37" s="3" t="str">
        <f>"812-841-1512"</f>
        <v>812-841-1512</v>
      </c>
      <c r="G37" s="3">
        <v>511120</v>
      </c>
      <c r="H37" s="3" t="s">
        <v>149</v>
      </c>
    </row>
    <row r="38" spans="1:8" ht="39" x14ac:dyDescent="0.25">
      <c r="A38" s="3" t="s">
        <v>150</v>
      </c>
      <c r="B38" s="3"/>
      <c r="C38" s="3" t="str">
        <f>"We specialize in light commercial, and residential remodeling, rehab, and repairing"</f>
        <v>We specialize in light commercial, and residential remodeling, rehab, and repairing</v>
      </c>
      <c r="D38" s="3" t="s">
        <v>9</v>
      </c>
      <c r="E38" s="3" t="s">
        <v>151</v>
      </c>
      <c r="F38" s="3" t="str">
        <f>"317-7312431"</f>
        <v>317-7312431</v>
      </c>
      <c r="G38" s="3">
        <v>23321</v>
      </c>
      <c r="H38" s="3" t="s">
        <v>152</v>
      </c>
    </row>
    <row r="39" spans="1:8" ht="102.75" x14ac:dyDescent="0.25">
      <c r="A39" s="3" t="s">
        <v>153</v>
      </c>
      <c r="B39" s="3"/>
      <c r="C39" s="3" t="s">
        <v>154</v>
      </c>
      <c r="D39" s="3" t="s">
        <v>9</v>
      </c>
      <c r="E39" s="3" t="s">
        <v>155</v>
      </c>
      <c r="F39" s="3" t="str">
        <f>"(812)249-2941"</f>
        <v>(812)249-2941</v>
      </c>
      <c r="G39" s="3">
        <v>238110</v>
      </c>
      <c r="H39" s="3" t="s">
        <v>156</v>
      </c>
    </row>
    <row r="40" spans="1:8" ht="64.5" x14ac:dyDescent="0.25">
      <c r="A40" s="3" t="s">
        <v>157</v>
      </c>
      <c r="B40" s="3"/>
      <c r="C40" s="3" t="str">
        <f>"40th Parallel Surveying provides land surveying, construction staking and Civil Site Design services, ALTA/ACSM surveys., Septic system design, design of drainage projects."</f>
        <v>40th Parallel Surveying provides land surveying, construction staking and Civil Site Design services, ALTA/ACSM surveys., Septic system design, design of drainage projects.</v>
      </c>
      <c r="D40" s="3" t="s">
        <v>158</v>
      </c>
      <c r="E40" s="3" t="s">
        <v>159</v>
      </c>
      <c r="F40" s="3" t="str">
        <f>"765-675-6455"</f>
        <v>765-675-6455</v>
      </c>
      <c r="G40" s="3">
        <v>541370</v>
      </c>
      <c r="H40" s="3" t="s">
        <v>160</v>
      </c>
    </row>
    <row r="41" spans="1:8" ht="179.25" x14ac:dyDescent="0.25">
      <c r="A41" s="3" t="s">
        <v>161</v>
      </c>
      <c r="B41" s="3"/>
      <c r="C41" s="3" t="s">
        <v>162</v>
      </c>
      <c r="D41" s="3" t="s">
        <v>163</v>
      </c>
      <c r="E41" s="3" t="s">
        <v>164</v>
      </c>
      <c r="F41" s="3" t="str">
        <f>"317-871-8569"</f>
        <v>317-871-8569</v>
      </c>
      <c r="G41" s="3">
        <v>541360</v>
      </c>
      <c r="H41" s="3" t="s">
        <v>165</v>
      </c>
    </row>
    <row r="42" spans="1:8" ht="230.25" x14ac:dyDescent="0.25">
      <c r="A42" s="3" t="s">
        <v>166</v>
      </c>
      <c r="B42" s="3"/>
      <c r="C42" s="3" t="s">
        <v>167</v>
      </c>
      <c r="D42" s="3" t="s">
        <v>168</v>
      </c>
      <c r="E42" s="3" t="s">
        <v>169</v>
      </c>
      <c r="F42" s="3" t="str">
        <f>"317-440-1297"</f>
        <v>317-440-1297</v>
      </c>
      <c r="G42" s="3">
        <v>541512</v>
      </c>
      <c r="H42" s="3" t="s">
        <v>19</v>
      </c>
    </row>
    <row r="43" spans="1:8" ht="26.25" x14ac:dyDescent="0.25">
      <c r="A43" s="3" t="s">
        <v>170</v>
      </c>
      <c r="B43" s="3"/>
      <c r="C43" s="3" t="str">
        <f>"Presstek Offset Printing Plate Wholesaler"</f>
        <v>Presstek Offset Printing Plate Wholesaler</v>
      </c>
      <c r="D43" s="3" t="s">
        <v>9</v>
      </c>
      <c r="E43" s="3" t="s">
        <v>171</v>
      </c>
      <c r="F43" s="3" t="str">
        <f>"317-590-9014"</f>
        <v>317-590-9014</v>
      </c>
      <c r="G43" s="3">
        <v>423830</v>
      </c>
      <c r="H43" s="3" t="s">
        <v>172</v>
      </c>
    </row>
    <row r="44" spans="1:8" ht="64.5" x14ac:dyDescent="0.25">
      <c r="A44" s="3" t="s">
        <v>173</v>
      </c>
      <c r="B44" s="3"/>
      <c r="C44" s="3" t="str">
        <f>"Sale of ceramic products and paints and supplies, fresh and silk flowers for all occasions, {funerals, weddings, birthdays} set up weddings and events. we also carry flag poles and flags"</f>
        <v>Sale of ceramic products and paints and supplies, fresh and silk flowers for all occasions, {funerals, weddings, birthdays} set up weddings and events. we also carry flag poles and flags</v>
      </c>
      <c r="D44" s="3" t="s">
        <v>9</v>
      </c>
      <c r="E44" s="3" t="s">
        <v>174</v>
      </c>
      <c r="F44" s="3" t="str">
        <f>"812-724-2405"</f>
        <v>812-724-2405</v>
      </c>
      <c r="G44" s="3">
        <v>11</v>
      </c>
      <c r="H44" s="3" t="s">
        <v>175</v>
      </c>
    </row>
    <row r="45" spans="1:8" ht="102.75" x14ac:dyDescent="0.25">
      <c r="A45" s="3" t="s">
        <v>176</v>
      </c>
      <c r="B45" s="3"/>
      <c r="C45" s="3" t="s">
        <v>177</v>
      </c>
      <c r="D45" s="3" t="s">
        <v>9</v>
      </c>
      <c r="E45" s="3" t="s">
        <v>178</v>
      </c>
      <c r="F45" s="3" t="str">
        <f>"317-752-2656"</f>
        <v>317-752-2656</v>
      </c>
      <c r="G45" s="3">
        <v>541</v>
      </c>
      <c r="H45" s="3" t="s">
        <v>179</v>
      </c>
    </row>
    <row r="46" spans="1:8" ht="141" x14ac:dyDescent="0.25">
      <c r="A46" s="3" t="s">
        <v>180</v>
      </c>
      <c r="B46" s="3"/>
      <c r="C46" s="3" t="s">
        <v>181</v>
      </c>
      <c r="D46" s="3" t="s">
        <v>182</v>
      </c>
      <c r="E46" s="3" t="s">
        <v>183</v>
      </c>
      <c r="F46" s="3" t="str">
        <f>"317-522-4080"</f>
        <v>317-522-4080</v>
      </c>
      <c r="G46" s="3">
        <v>541512</v>
      </c>
      <c r="H46" s="3" t="s">
        <v>19</v>
      </c>
    </row>
    <row r="47" spans="1:8" ht="153.75" x14ac:dyDescent="0.25">
      <c r="A47" s="3" t="s">
        <v>184</v>
      </c>
      <c r="B47" s="3"/>
      <c r="C47" s="3" t="s">
        <v>185</v>
      </c>
      <c r="D47" s="3" t="s">
        <v>186</v>
      </c>
      <c r="E47" s="3" t="s">
        <v>187</v>
      </c>
      <c r="F47" s="3" t="str">
        <f>"317-377-4446"</f>
        <v>317-377-4446</v>
      </c>
      <c r="G47" s="3">
        <v>5415</v>
      </c>
      <c r="H47" s="3" t="s">
        <v>188</v>
      </c>
    </row>
    <row r="48" spans="1:8" ht="26.25" x14ac:dyDescent="0.25">
      <c r="A48" s="3" t="s">
        <v>189</v>
      </c>
      <c r="B48" s="3"/>
      <c r="C48" s="3" t="str">
        <f>"Specialize in hard to find used tires. And also sales new tires."</f>
        <v>Specialize in hard to find used tires. And also sales new tires.</v>
      </c>
      <c r="D48" s="3" t="s">
        <v>9</v>
      </c>
      <c r="E48" s="3" t="s">
        <v>46</v>
      </c>
      <c r="F48" s="3" t="str">
        <f>"812-963-9289"</f>
        <v>812-963-9289</v>
      </c>
      <c r="G48" s="3">
        <v>441320</v>
      </c>
      <c r="H48" s="3" t="s">
        <v>190</v>
      </c>
    </row>
    <row r="49" spans="1:8" ht="90" x14ac:dyDescent="0.25">
      <c r="A49" s="3" t="s">
        <v>191</v>
      </c>
      <c r="B49" s="3"/>
      <c r="C49" s="3" t="str">
        <f>"@Work Solutions is a human capital/workforce consulting firm in addition to an IT solutions provider, creating innovative solutions for workforce in a changing economy. We offer the award winning case management system, ClientTrak."</f>
        <v>@Work Solutions is a human capital/workforce consulting firm in addition to an IT solutions provider, creating innovative solutions for workforce in a changing economy. We offer the award winning case management system, ClientTrak.</v>
      </c>
      <c r="D49" s="3" t="s">
        <v>192</v>
      </c>
      <c r="E49" s="3" t="s">
        <v>193</v>
      </c>
      <c r="F49" s="3" t="str">
        <f>"317 894 5508"</f>
        <v>317 894 5508</v>
      </c>
      <c r="G49" s="3">
        <v>5416</v>
      </c>
      <c r="H49" s="3" t="s">
        <v>194</v>
      </c>
    </row>
    <row r="50" spans="1:8" ht="294" x14ac:dyDescent="0.25">
      <c r="A50" s="3" t="s">
        <v>195</v>
      </c>
      <c r="B50" s="3"/>
      <c r="C50" s="3" t="s">
        <v>196</v>
      </c>
      <c r="D50" s="3" t="s">
        <v>197</v>
      </c>
      <c r="E50" s="3" t="s">
        <v>198</v>
      </c>
      <c r="F50" s="3" t="str">
        <f>"888-326-7890"</f>
        <v>888-326-7890</v>
      </c>
      <c r="G50" s="3">
        <v>332311</v>
      </c>
      <c r="H50" s="3" t="s">
        <v>199</v>
      </c>
    </row>
    <row r="51" spans="1:8" ht="166.5" x14ac:dyDescent="0.25">
      <c r="A51" s="3" t="s">
        <v>200</v>
      </c>
      <c r="B51" s="3"/>
      <c r="C51" s="3" t="s">
        <v>201</v>
      </c>
      <c r="D51" s="3" t="s">
        <v>202</v>
      </c>
      <c r="E51" s="3" t="s">
        <v>203</v>
      </c>
      <c r="F51" s="3" t="str">
        <f>"800.750.6531"</f>
        <v>800.750.6531</v>
      </c>
      <c r="G51" s="3">
        <v>812320</v>
      </c>
      <c r="H51" s="3" t="s">
        <v>204</v>
      </c>
    </row>
    <row r="52" spans="1:8" ht="102.75" x14ac:dyDescent="0.25">
      <c r="A52" s="3" t="s">
        <v>205</v>
      </c>
      <c r="B52" s="3"/>
      <c r="C52" s="3" t="s">
        <v>206</v>
      </c>
      <c r="D52" s="3" t="s">
        <v>207</v>
      </c>
      <c r="E52" s="3" t="s">
        <v>208</v>
      </c>
      <c r="F52" s="3" t="str">
        <f>"317-354-8650"</f>
        <v>317-354-8650</v>
      </c>
      <c r="G52" s="3">
        <v>541213</v>
      </c>
      <c r="H52" s="3" t="s">
        <v>209</v>
      </c>
    </row>
    <row r="53" spans="1:8" ht="51.75" x14ac:dyDescent="0.25">
      <c r="A53" s="3" t="s">
        <v>210</v>
      </c>
      <c r="B53" s="3"/>
      <c r="C53" s="3" t="str">
        <f>"Wholesale provider of Facilities, Janitorial, MRO and Office Products. Certified through CMBDC, IBDC, Illinois Department of Human Services, FBE."</f>
        <v>Wholesale provider of Facilities, Janitorial, MRO and Office Products. Certified through CMBDC, IBDC, Illinois Department of Human Services, FBE.</v>
      </c>
      <c r="D53" s="3" t="s">
        <v>211</v>
      </c>
      <c r="E53" s="3" t="s">
        <v>212</v>
      </c>
      <c r="F53" s="3" t="str">
        <f>"219/218-5254"</f>
        <v>219/218-5254</v>
      </c>
      <c r="G53" s="3">
        <v>42142</v>
      </c>
      <c r="H53" s="3" t="s">
        <v>213</v>
      </c>
    </row>
    <row r="54" spans="1:8" ht="26.25" x14ac:dyDescent="0.25">
      <c r="A54" s="3" t="s">
        <v>214</v>
      </c>
      <c r="B54" s="3"/>
      <c r="C54" s="3" t="str">
        <f>"Environmental Consulting"</f>
        <v>Environmental Consulting</v>
      </c>
      <c r="D54" s="3" t="s">
        <v>9</v>
      </c>
      <c r="E54" s="3" t="s">
        <v>215</v>
      </c>
      <c r="F54" s="3" t="str">
        <f>"812 331 9127"</f>
        <v>812 331 9127</v>
      </c>
      <c r="G54" s="3">
        <v>541620</v>
      </c>
      <c r="H54" s="3" t="s">
        <v>216</v>
      </c>
    </row>
    <row r="55" spans="1:8" ht="26.25" x14ac:dyDescent="0.25">
      <c r="A55" s="3" t="s">
        <v>217</v>
      </c>
      <c r="B55" s="3"/>
      <c r="C55" s="3" t="str">
        <f>"SHREDX is a locally owned document destruction business."</f>
        <v>SHREDX is a locally owned document destruction business.</v>
      </c>
      <c r="D55" s="3" t="s">
        <v>218</v>
      </c>
      <c r="E55" s="3" t="s">
        <v>46</v>
      </c>
      <c r="F55" s="3" t="str">
        <f>"812-423-6670"</f>
        <v>812-423-6670</v>
      </c>
      <c r="G55" s="3">
        <v>561990</v>
      </c>
      <c r="H55" s="3" t="s">
        <v>219</v>
      </c>
    </row>
    <row r="56" spans="1:8" ht="39" x14ac:dyDescent="0.25">
      <c r="A56" s="3" t="s">
        <v>220</v>
      </c>
      <c r="B56" s="3"/>
      <c r="C56" s="3" t="str">
        <f>"A &amp; E Services, Inc. is a janitorial business that specializes in commerical / office cleaning."</f>
        <v>A &amp; E Services, Inc. is a janitorial business that specializes in commerical / office cleaning.</v>
      </c>
      <c r="D56" s="3" t="s">
        <v>9</v>
      </c>
      <c r="E56" s="3" t="s">
        <v>221</v>
      </c>
      <c r="F56" s="3" t="str">
        <f>"317-638-0373"</f>
        <v>317-638-0373</v>
      </c>
      <c r="G56" s="3">
        <v>561720</v>
      </c>
      <c r="H56" s="3" t="s">
        <v>222</v>
      </c>
    </row>
    <row r="57" spans="1:8" ht="51.75" x14ac:dyDescent="0.25">
      <c r="A57" s="3" t="s">
        <v>223</v>
      </c>
      <c r="B57" s="3"/>
      <c r="C57" s="3" t="str">
        <f>"Agricultural Laboratory testing services, including analysis of soil, animal feed, plant tissue, manure, compost, and fertilizer."</f>
        <v>Agricultural Laboratory testing services, including analysis of soil, animal feed, plant tissue, manure, compost, and fertilizer.</v>
      </c>
      <c r="D57" s="3" t="s">
        <v>224</v>
      </c>
      <c r="E57" s="3" t="s">
        <v>225</v>
      </c>
      <c r="F57" s="3" t="str">
        <f>"260-483-4759"</f>
        <v>260-483-4759</v>
      </c>
      <c r="G57" s="3">
        <v>541380</v>
      </c>
      <c r="H57" s="3" t="s">
        <v>226</v>
      </c>
    </row>
    <row r="58" spans="1:8" ht="102.75" x14ac:dyDescent="0.25">
      <c r="A58" s="3" t="s">
        <v>227</v>
      </c>
      <c r="B58" s="3"/>
      <c r="C58" s="3" t="s">
        <v>228</v>
      </c>
      <c r="D58" s="3" t="s">
        <v>9</v>
      </c>
      <c r="E58" s="3" t="s">
        <v>229</v>
      </c>
      <c r="F58" s="3" t="str">
        <f>"317-345-9993"</f>
        <v>317-345-9993</v>
      </c>
      <c r="G58" s="3">
        <v>5132</v>
      </c>
      <c r="H58" s="3" t="s">
        <v>230</v>
      </c>
    </row>
    <row r="59" spans="1:8" ht="51.75" x14ac:dyDescent="0.25">
      <c r="A59" s="3" t="s">
        <v>231</v>
      </c>
      <c r="B59" s="3"/>
      <c r="C59" s="3" t="str">
        <f>"Historic building with 6000 square ft available all or part. Rennovated. Working walk in bank vault in basement. Court house square in the seat of Morgan County."</f>
        <v>Historic building with 6000 square ft available all or part. Rennovated. Working walk in bank vault in basement. Court house square in the seat of Morgan County.</v>
      </c>
      <c r="D59" s="3" t="s">
        <v>9</v>
      </c>
      <c r="E59" s="3" t="s">
        <v>232</v>
      </c>
      <c r="F59" s="3" t="str">
        <f>"765 349-2388"</f>
        <v>765 349-2388</v>
      </c>
      <c r="G59" s="3">
        <v>531</v>
      </c>
      <c r="H59" s="3" t="s">
        <v>74</v>
      </c>
    </row>
    <row r="60" spans="1:8" ht="319.5" x14ac:dyDescent="0.25">
      <c r="A60" s="3" t="s">
        <v>233</v>
      </c>
      <c r="B60" s="3"/>
      <c r="C60" s="3" t="s">
        <v>234</v>
      </c>
      <c r="D60" s="3" t="s">
        <v>235</v>
      </c>
      <c r="E60" s="3" t="s">
        <v>236</v>
      </c>
      <c r="F60" s="3" t="str">
        <f>"317-222-5897"</f>
        <v>317-222-5897</v>
      </c>
      <c r="G60" s="3">
        <v>238290</v>
      </c>
      <c r="H60" s="3" t="s">
        <v>237</v>
      </c>
    </row>
    <row r="61" spans="1:8" ht="51.75" x14ac:dyDescent="0.25">
      <c r="A61" s="3" t="s">
        <v>238</v>
      </c>
      <c r="B61" s="3"/>
      <c r="C61" s="3" t="str">
        <f>"We own a Sears Carpet and Upholstery cleaning franchise in central Indiana. We clean carpets, air ducts, windows, upholstery, and tile and grout."</f>
        <v>We own a Sears Carpet and Upholstery cleaning franchise in central Indiana. We clean carpets, air ducts, windows, upholstery, and tile and grout.</v>
      </c>
      <c r="D61" s="3" t="s">
        <v>239</v>
      </c>
      <c r="E61" s="3" t="s">
        <v>240</v>
      </c>
      <c r="F61" s="3" t="str">
        <f>"317-577-1090"</f>
        <v>317-577-1090</v>
      </c>
      <c r="G61" s="3">
        <v>561740</v>
      </c>
      <c r="H61" s="3" t="s">
        <v>241</v>
      </c>
    </row>
    <row r="62" spans="1:8" ht="77.25" x14ac:dyDescent="0.25">
      <c r="A62" s="3" t="s">
        <v>242</v>
      </c>
      <c r="B62" s="3"/>
      <c r="C62" s="3" t="str">
        <f>"Hardware, Homecenter, Lumber, Heating &amp; Cooling, Plumbing, Electrical, Service &amp; Construction-Residental or Commercial. Lawn &amp; Garden, Fastners, Farm &amp; Pet, Hand Tools, Power Tools, Housewares, Paint &amp; Sundries"</f>
        <v>Hardware, Homecenter, Lumber, Heating &amp; Cooling, Plumbing, Electrical, Service &amp; Construction-Residental or Commercial. Lawn &amp; Garden, Fastners, Farm &amp; Pet, Hand Tools, Power Tools, Housewares, Paint &amp; Sundries</v>
      </c>
      <c r="D62" s="3" t="s">
        <v>243</v>
      </c>
      <c r="E62" s="3" t="s">
        <v>244</v>
      </c>
      <c r="F62" s="3" t="str">
        <f>"812-254-7018"</f>
        <v>812-254-7018</v>
      </c>
      <c r="G62" s="3">
        <v>4237</v>
      </c>
      <c r="H62" s="3" t="s">
        <v>245</v>
      </c>
    </row>
    <row r="63" spans="1:8" ht="26.25" x14ac:dyDescent="0.25">
      <c r="A63" s="3" t="s">
        <v>246</v>
      </c>
      <c r="B63" s="3"/>
      <c r="C63" s="3" t="str">
        <f>"Mobile Service - Auto Glass Replacement"</f>
        <v>Mobile Service - Auto Glass Replacement</v>
      </c>
      <c r="D63" s="3" t="s">
        <v>9</v>
      </c>
      <c r="E63" s="3" t="s">
        <v>247</v>
      </c>
      <c r="F63" s="3" t="str">
        <f>"317.839.7654"</f>
        <v>317.839.7654</v>
      </c>
      <c r="G63" s="3">
        <v>23599</v>
      </c>
      <c r="H63" s="3" t="s">
        <v>248</v>
      </c>
    </row>
    <row r="64" spans="1:8" ht="39" x14ac:dyDescent="0.25">
      <c r="A64" s="3" t="s">
        <v>249</v>
      </c>
      <c r="B64" s="3"/>
      <c r="C64" s="3" t="str">
        <f>"Mobile device application development, IT consulting services, Data management, SAAS, Cloud, IT staff augmentation"</f>
        <v>Mobile device application development, IT consulting services, Data management, SAAS, Cloud, IT staff augmentation</v>
      </c>
      <c r="D64" s="3" t="s">
        <v>250</v>
      </c>
      <c r="E64" s="3" t="s">
        <v>251</v>
      </c>
      <c r="F64" s="3" t="str">
        <f>"317-840-9299"</f>
        <v>317-840-9299</v>
      </c>
      <c r="G64" s="3">
        <v>51</v>
      </c>
      <c r="H64" s="3" t="s">
        <v>252</v>
      </c>
    </row>
    <row r="65" spans="1:8" ht="39" x14ac:dyDescent="0.25">
      <c r="A65" s="3" t="s">
        <v>253</v>
      </c>
      <c r="B65" s="3"/>
      <c r="C65" s="3" t="str">
        <f>"lawn care services - mowing, fertilizing, aeration, seeding, mulching, leaf removal and snow removal"</f>
        <v>lawn care services - mowing, fertilizing, aeration, seeding, mulching, leaf removal and snow removal</v>
      </c>
      <c r="D65" s="3" t="s">
        <v>254</v>
      </c>
      <c r="E65" s="3" t="s">
        <v>255</v>
      </c>
      <c r="F65" s="3" t="str">
        <f>"8124593104"</f>
        <v>8124593104</v>
      </c>
      <c r="G65" s="3">
        <v>561730</v>
      </c>
      <c r="H65" s="3" t="s">
        <v>65</v>
      </c>
    </row>
    <row r="66" spans="1:8" ht="39" x14ac:dyDescent="0.25">
      <c r="A66" s="3" t="s">
        <v>256</v>
      </c>
      <c r="B66" s="3"/>
      <c r="C66" s="3" t="str">
        <f>"25 Hour Towing and Wrecker Service Roadside Assistance, Lock Outs, Jump Start, Fuel, Battery, and Transporting"</f>
        <v>25 Hour Towing and Wrecker Service Roadside Assistance, Lock Outs, Jump Start, Fuel, Battery, and Transporting</v>
      </c>
      <c r="D66" s="3" t="s">
        <v>257</v>
      </c>
      <c r="E66" s="3" t="s">
        <v>258</v>
      </c>
      <c r="F66" s="3" t="str">
        <f>"317-728-9096"</f>
        <v>317-728-9096</v>
      </c>
      <c r="G66" s="3">
        <v>235</v>
      </c>
      <c r="H66" s="3" t="s">
        <v>259</v>
      </c>
    </row>
    <row r="67" spans="1:8" ht="39" x14ac:dyDescent="0.25">
      <c r="A67" s="3" t="s">
        <v>260</v>
      </c>
      <c r="B67" s="3"/>
      <c r="C67" s="3" t="str">
        <f>"Janitorial Services-Cleaning/Power washing of new and existing commercial office spaces."</f>
        <v>Janitorial Services-Cleaning/Power washing of new and existing commercial office spaces.</v>
      </c>
      <c r="D67" s="3" t="s">
        <v>9</v>
      </c>
      <c r="E67" s="3" t="s">
        <v>261</v>
      </c>
      <c r="F67" s="3" t="str">
        <f>"812-446-3986"</f>
        <v>812-446-3986</v>
      </c>
      <c r="G67" s="3">
        <v>561720</v>
      </c>
      <c r="H67" s="3" t="s">
        <v>222</v>
      </c>
    </row>
    <row r="68" spans="1:8" ht="141" x14ac:dyDescent="0.25">
      <c r="A68" s="3" t="s">
        <v>262</v>
      </c>
      <c r="B68" s="3"/>
      <c r="C68" s="3" t="s">
        <v>263</v>
      </c>
      <c r="D68" s="3" t="s">
        <v>264</v>
      </c>
      <c r="E68" s="3" t="s">
        <v>265</v>
      </c>
      <c r="F68" s="3" t="str">
        <f>"317-575-9514"</f>
        <v>317-575-9514</v>
      </c>
      <c r="G68" s="3">
        <v>722320</v>
      </c>
      <c r="H68" s="3" t="s">
        <v>266</v>
      </c>
    </row>
    <row r="69" spans="1:8" ht="77.25" x14ac:dyDescent="0.25">
      <c r="A69" s="3" t="s">
        <v>267</v>
      </c>
      <c r="B69" s="3"/>
      <c r="C69" s="3" t="str">
        <f>"Custom build wood furniture, entertainment centers, any kind of wood cabinetry, bedroom furniture, custom offices and libraries, vanities, fireplace mantels, interior and exterior wood doors, hutches, kitchen cabinetry"</f>
        <v>Custom build wood furniture, entertainment centers, any kind of wood cabinetry, bedroom furniture, custom offices and libraries, vanities, fireplace mantels, interior and exterior wood doors, hutches, kitchen cabinetry</v>
      </c>
      <c r="D69" s="3" t="s">
        <v>268</v>
      </c>
      <c r="E69" s="3" t="s">
        <v>269</v>
      </c>
      <c r="F69" s="3" t="str">
        <f>"317-896-5532"</f>
        <v>317-896-5532</v>
      </c>
      <c r="G69" s="3">
        <v>238350</v>
      </c>
      <c r="H69" s="3" t="s">
        <v>270</v>
      </c>
    </row>
    <row r="70" spans="1:8" ht="102.75" x14ac:dyDescent="0.25">
      <c r="A70" s="3" t="s">
        <v>271</v>
      </c>
      <c r="B70" s="3"/>
      <c r="C70" s="3" t="s">
        <v>272</v>
      </c>
      <c r="D70" s="3" t="s">
        <v>9</v>
      </c>
      <c r="E70" s="3" t="s">
        <v>273</v>
      </c>
      <c r="F70" s="3" t="str">
        <f>"812-936-4856"</f>
        <v>812-936-4856</v>
      </c>
      <c r="G70" s="3">
        <v>453220</v>
      </c>
      <c r="H70" s="3" t="s">
        <v>274</v>
      </c>
    </row>
    <row r="71" spans="1:8" ht="51.75" x14ac:dyDescent="0.25">
      <c r="A71" s="3" t="s">
        <v>275</v>
      </c>
      <c r="B71" s="3"/>
      <c r="C71" s="3" t="str">
        <f>"A Daily Task is a professional organizing and personal assistant company that helps our clients to better manage their busy lives."</f>
        <v>A Daily Task is a professional organizing and personal assistant company that helps our clients to better manage their busy lives.</v>
      </c>
      <c r="D71" s="3" t="s">
        <v>276</v>
      </c>
      <c r="E71" s="3" t="s">
        <v>277</v>
      </c>
      <c r="F71" s="3" t="str">
        <f>"(502) 645-1435"</f>
        <v>(502) 645-1435</v>
      </c>
      <c r="G71" s="3">
        <v>541611</v>
      </c>
      <c r="H71" s="3" t="s">
        <v>278</v>
      </c>
    </row>
    <row r="72" spans="1:8" ht="141" x14ac:dyDescent="0.25">
      <c r="A72" s="3" t="s">
        <v>279</v>
      </c>
      <c r="B72" s="3"/>
      <c r="C72" s="3" t="s">
        <v>280</v>
      </c>
      <c r="D72" s="3" t="s">
        <v>9</v>
      </c>
      <c r="E72" s="3" t="s">
        <v>281</v>
      </c>
      <c r="F72" s="3" t="str">
        <f>"317-984-9497"</f>
        <v>317-984-9497</v>
      </c>
      <c r="G72" s="3">
        <v>722320</v>
      </c>
      <c r="H72" s="3" t="s">
        <v>266</v>
      </c>
    </row>
    <row r="73" spans="1:8" ht="39" x14ac:dyDescent="0.25">
      <c r="A73" s="3" t="s">
        <v>282</v>
      </c>
      <c r="B73" s="3"/>
      <c r="C73" s="3" t="str">
        <f>"Education and Training Services, Technical Writing, Marketing Analysis, Statistics, and Business Intelligence and Consulting"</f>
        <v>Education and Training Services, Technical Writing, Marketing Analysis, Statistics, and Business Intelligence and Consulting</v>
      </c>
      <c r="D73" s="3" t="s">
        <v>9</v>
      </c>
      <c r="E73" s="3" t="s">
        <v>46</v>
      </c>
      <c r="F73" s="3" t="str">
        <f>"7659691753"</f>
        <v>7659691753</v>
      </c>
      <c r="G73" s="3">
        <v>61</v>
      </c>
      <c r="H73" s="3" t="s">
        <v>140</v>
      </c>
    </row>
    <row r="74" spans="1:8" ht="243" x14ac:dyDescent="0.25">
      <c r="A74" s="3" t="s">
        <v>283</v>
      </c>
      <c r="B74" s="3"/>
      <c r="C74" s="3" t="s">
        <v>284</v>
      </c>
      <c r="D74" s="3" t="s">
        <v>285</v>
      </c>
      <c r="E74" s="3" t="s">
        <v>286</v>
      </c>
      <c r="F74" s="3" t="str">
        <f>"812-320-2244"</f>
        <v>812-320-2244</v>
      </c>
      <c r="G74" s="3">
        <v>541511</v>
      </c>
      <c r="H74" s="3" t="s">
        <v>122</v>
      </c>
    </row>
    <row r="75" spans="1:8" ht="39" x14ac:dyDescent="0.25">
      <c r="A75" s="3" t="s">
        <v>287</v>
      </c>
      <c r="B75" s="3"/>
      <c r="C75" s="3" t="str">
        <f>"Global agency is a home based travel agency and online sale of retail merchandise"</f>
        <v>Global agency is a home based travel agency and online sale of retail merchandise</v>
      </c>
      <c r="D75" s="3" t="s">
        <v>9</v>
      </c>
      <c r="E75" s="3" t="s">
        <v>46</v>
      </c>
      <c r="F75" s="2"/>
      <c r="G75" s="3">
        <v>561510</v>
      </c>
      <c r="H75" s="3" t="s">
        <v>288</v>
      </c>
    </row>
    <row r="76" spans="1:8" ht="26.25" x14ac:dyDescent="0.25">
      <c r="A76" s="3" t="s">
        <v>289</v>
      </c>
      <c r="B76" s="3"/>
      <c r="C76" s="3" t="str">
        <f>"Construction of new and existing residential &amp; Commerical Construction."</f>
        <v>Construction of new and existing residential &amp; Commerical Construction.</v>
      </c>
      <c r="D76" s="3" t="s">
        <v>9</v>
      </c>
      <c r="E76" s="3" t="s">
        <v>290</v>
      </c>
      <c r="F76" s="3" t="str">
        <f>"317-281-4414"</f>
        <v>317-281-4414</v>
      </c>
      <c r="G76" s="3">
        <v>236</v>
      </c>
      <c r="H76" s="3" t="s">
        <v>291</v>
      </c>
    </row>
    <row r="77" spans="1:8" ht="64.5" x14ac:dyDescent="0.25">
      <c r="A77" s="3" t="s">
        <v>292</v>
      </c>
      <c r="B77" s="3"/>
      <c r="C77" s="3" t="str">
        <f>"Commercial Interior Design Firm specializing in Interior Design, Space Planning, Programming, Project Management and Inventory Management Services."</f>
        <v>Commercial Interior Design Firm specializing in Interior Design, Space Planning, Programming, Project Management and Inventory Management Services.</v>
      </c>
      <c r="D77" s="3" t="s">
        <v>9</v>
      </c>
      <c r="E77" s="3" t="s">
        <v>293</v>
      </c>
      <c r="F77" s="3" t="str">
        <f>"2607402540"</f>
        <v>2607402540</v>
      </c>
      <c r="G77" s="3">
        <v>812990</v>
      </c>
      <c r="H77" s="3" t="s">
        <v>294</v>
      </c>
    </row>
    <row r="78" spans="1:8" ht="102.75" x14ac:dyDescent="0.25">
      <c r="A78" s="3" t="s">
        <v>295</v>
      </c>
      <c r="B78" s="3"/>
      <c r="C78" s="3" t="s">
        <v>296</v>
      </c>
      <c r="D78" s="3" t="s">
        <v>297</v>
      </c>
      <c r="E78" s="3" t="s">
        <v>298</v>
      </c>
      <c r="F78" s="3" t="str">
        <f>"812 589-6164"</f>
        <v>812 589-6164</v>
      </c>
      <c r="G78" s="3">
        <v>23599</v>
      </c>
      <c r="H78" s="3" t="s">
        <v>248</v>
      </c>
    </row>
    <row r="79" spans="1:8" ht="26.25" x14ac:dyDescent="0.25">
      <c r="A79" s="3" t="s">
        <v>299</v>
      </c>
      <c r="B79" s="3"/>
      <c r="C79" s="3" t="str">
        <f>"Photography: Portrait, Wedding, Seniors, Children, Families, Construction."</f>
        <v>Photography: Portrait, Wedding, Seniors, Children, Families, Construction.</v>
      </c>
      <c r="D79" s="3" t="s">
        <v>300</v>
      </c>
      <c r="E79" s="3" t="s">
        <v>301</v>
      </c>
      <c r="F79" s="3" t="str">
        <f>"812-202-0467"</f>
        <v>812-202-0467</v>
      </c>
      <c r="G79" s="3">
        <v>323</v>
      </c>
      <c r="H79" s="3" t="s">
        <v>302</v>
      </c>
    </row>
    <row r="80" spans="1:8" ht="115.5" x14ac:dyDescent="0.25">
      <c r="A80" s="3" t="s">
        <v>303</v>
      </c>
      <c r="B80" s="3"/>
      <c r="C80" s="3" t="s">
        <v>304</v>
      </c>
      <c r="D80" s="3" t="s">
        <v>9</v>
      </c>
      <c r="E80" s="3" t="s">
        <v>305</v>
      </c>
      <c r="F80" s="3" t="str">
        <f>"(317) 243-9348"</f>
        <v>(317) 243-9348</v>
      </c>
      <c r="G80" s="3">
        <v>238210</v>
      </c>
      <c r="H80" s="3" t="s">
        <v>306</v>
      </c>
    </row>
    <row r="81" spans="1:8" ht="153.75" x14ac:dyDescent="0.25">
      <c r="A81" s="3" t="s">
        <v>307</v>
      </c>
      <c r="B81" s="3"/>
      <c r="C81" s="3" t="s">
        <v>308</v>
      </c>
      <c r="D81" s="3" t="s">
        <v>309</v>
      </c>
      <c r="E81" s="3" t="s">
        <v>310</v>
      </c>
      <c r="F81" s="3" t="str">
        <f>"(317)703-7120"</f>
        <v>(317)703-7120</v>
      </c>
      <c r="G81" s="3">
        <v>54121</v>
      </c>
      <c r="H81" s="3" t="s">
        <v>311</v>
      </c>
    </row>
    <row r="82" spans="1:8" ht="39" x14ac:dyDescent="0.25">
      <c r="A82" s="3" t="s">
        <v>312</v>
      </c>
      <c r="B82" s="3"/>
      <c r="C82" s="3" t="str">
        <f>"Custom software solutions for collecting, analyzing and communicating data in service related businesses."</f>
        <v>Custom software solutions for collecting, analyzing and communicating data in service related businesses.</v>
      </c>
      <c r="D82" s="3" t="s">
        <v>313</v>
      </c>
      <c r="E82" s="3" t="s">
        <v>314</v>
      </c>
      <c r="F82" s="3" t="str">
        <f>"(317) 701-8857"</f>
        <v>(317) 701-8857</v>
      </c>
      <c r="G82" s="3">
        <v>5112</v>
      </c>
      <c r="H82" s="3" t="s">
        <v>315</v>
      </c>
    </row>
    <row r="83" spans="1:8" ht="39" x14ac:dyDescent="0.25">
      <c r="A83" s="3" t="s">
        <v>316</v>
      </c>
      <c r="B83" s="3"/>
      <c r="C83" s="3" t="str">
        <f>"Grant proposal writing services, fund research services, program development services, policy and procedures servics"</f>
        <v>Grant proposal writing services, fund research services, program development services, policy and procedures servics</v>
      </c>
      <c r="D83" s="3" t="s">
        <v>317</v>
      </c>
      <c r="E83" s="3" t="s">
        <v>318</v>
      </c>
      <c r="F83" s="3" t="str">
        <f>"317-658-8959"</f>
        <v>317-658-8959</v>
      </c>
      <c r="G83" s="3">
        <v>541611</v>
      </c>
      <c r="H83" s="3" t="s">
        <v>278</v>
      </c>
    </row>
    <row r="84" spans="1:8" ht="39" x14ac:dyDescent="0.25">
      <c r="A84" s="3" t="s">
        <v>319</v>
      </c>
      <c r="B84" s="3"/>
      <c r="C84" s="3" t="str">
        <f>"Computer Sales and Service. Any model PC excluding Apple. Installation of Networks and Network support"</f>
        <v>Computer Sales and Service. Any model PC excluding Apple. Installation of Networks and Network support</v>
      </c>
      <c r="D84" s="3" t="s">
        <v>320</v>
      </c>
      <c r="E84" s="3" t="s">
        <v>321</v>
      </c>
      <c r="F84" s="3" t="str">
        <f>"2604827899"</f>
        <v>2604827899</v>
      </c>
      <c r="G84" s="3">
        <v>514</v>
      </c>
      <c r="H84" s="3" t="s">
        <v>322</v>
      </c>
    </row>
    <row r="85" spans="1:8" ht="51.75" x14ac:dyDescent="0.25">
      <c r="A85" s="3" t="s">
        <v>323</v>
      </c>
      <c r="B85" s="3"/>
      <c r="C85" s="3" t="str">
        <f>"Structured Cabling for low-voltage communications systems.Phone, data, access control, and CCTV systems installation, integration and maintenance."</f>
        <v>Structured Cabling for low-voltage communications systems.Phone, data, access control, and CCTV systems installation, integration and maintenance.</v>
      </c>
      <c r="D85" s="3" t="s">
        <v>9</v>
      </c>
      <c r="E85" s="3" t="s">
        <v>324</v>
      </c>
      <c r="F85" s="3" t="str">
        <f>"219-472-1644"</f>
        <v>219-472-1644</v>
      </c>
      <c r="G85" s="3">
        <v>238210</v>
      </c>
      <c r="H85" s="3" t="s">
        <v>306</v>
      </c>
    </row>
    <row r="86" spans="1:8" ht="26.25" x14ac:dyDescent="0.25">
      <c r="A86" s="3" t="s">
        <v>325</v>
      </c>
      <c r="B86" s="3"/>
      <c r="C86" s="3" t="str">
        <f>"Home maker services and home health care"</f>
        <v>Home maker services and home health care</v>
      </c>
      <c r="D86" s="3" t="s">
        <v>326</v>
      </c>
      <c r="E86" s="3" t="s">
        <v>327</v>
      </c>
      <c r="F86" s="3" t="str">
        <f>"219-923-8772"</f>
        <v>219-923-8772</v>
      </c>
      <c r="G86" s="3">
        <v>621610</v>
      </c>
      <c r="H86" s="3" t="s">
        <v>328</v>
      </c>
    </row>
    <row r="87" spans="1:8" ht="230.25" x14ac:dyDescent="0.25">
      <c r="A87" s="3" t="s">
        <v>329</v>
      </c>
      <c r="B87" s="3"/>
      <c r="C87" s="3" t="s">
        <v>330</v>
      </c>
      <c r="D87" s="3" t="s">
        <v>331</v>
      </c>
      <c r="E87" s="3" t="s">
        <v>332</v>
      </c>
      <c r="F87" s="3" t="str">
        <f>"317-876-7900"</f>
        <v>317-876-7900</v>
      </c>
      <c r="G87" s="3">
        <v>339950</v>
      </c>
      <c r="H87" s="3" t="s">
        <v>68</v>
      </c>
    </row>
    <row r="88" spans="1:8" ht="128.25" x14ac:dyDescent="0.25">
      <c r="A88" s="3" t="s">
        <v>333</v>
      </c>
      <c r="B88" s="3"/>
      <c r="C88" s="3" t="s">
        <v>334</v>
      </c>
      <c r="D88" s="3" t="s">
        <v>335</v>
      </c>
      <c r="E88" s="3" t="s">
        <v>336</v>
      </c>
      <c r="F88" s="3" t="str">
        <f>"317-225-4378"</f>
        <v>317-225-4378</v>
      </c>
      <c r="G88" s="3">
        <v>541211</v>
      </c>
      <c r="H88" s="3" t="s">
        <v>337</v>
      </c>
    </row>
    <row r="89" spans="1:8" ht="192" x14ac:dyDescent="0.25">
      <c r="A89" s="3" t="s">
        <v>338</v>
      </c>
      <c r="B89" s="3"/>
      <c r="C89" s="3" t="s">
        <v>339</v>
      </c>
      <c r="D89" s="3" t="s">
        <v>340</v>
      </c>
      <c r="E89" s="3" t="s">
        <v>341</v>
      </c>
      <c r="F89" s="3" t="str">
        <f>"812-256-0400"</f>
        <v>812-256-0400</v>
      </c>
      <c r="G89" s="3">
        <v>484121</v>
      </c>
      <c r="H89" s="3" t="s">
        <v>342</v>
      </c>
    </row>
    <row r="90" spans="1:8" ht="64.5" x14ac:dyDescent="0.25">
      <c r="A90" s="3" t="s">
        <v>343</v>
      </c>
      <c r="B90" s="3"/>
      <c r="C90" s="3" t="str">
        <f>"A&amp;A Lawn Care Services is a woman-owned small business that provides landscaping services to residential and commercial clients in the Indianapolis Metro Area and outlying areas."</f>
        <v>A&amp;A Lawn Care Services is a woman-owned small business that provides landscaping services to residential and commercial clients in the Indianapolis Metro Area and outlying areas.</v>
      </c>
      <c r="D90" s="3" t="s">
        <v>9</v>
      </c>
      <c r="E90" s="3" t="s">
        <v>344</v>
      </c>
      <c r="F90" s="3" t="str">
        <f>"317-517-0358"</f>
        <v>317-517-0358</v>
      </c>
      <c r="G90" s="3">
        <v>561730</v>
      </c>
      <c r="H90" s="3" t="s">
        <v>65</v>
      </c>
    </row>
    <row r="91" spans="1:8" ht="26.25" x14ac:dyDescent="0.25">
      <c r="A91" s="3" t="s">
        <v>345</v>
      </c>
      <c r="B91" s="3"/>
      <c r="C91" s="3" t="str">
        <f>"Plumbing Contractor operating plumbing business in Indiana"</f>
        <v>Plumbing Contractor operating plumbing business in Indiana</v>
      </c>
      <c r="D91" s="3" t="s">
        <v>346</v>
      </c>
      <c r="E91" s="3" t="s">
        <v>347</v>
      </c>
      <c r="F91" s="3" t="str">
        <f>"3177818891"</f>
        <v>3177818891</v>
      </c>
      <c r="G91" s="3">
        <v>238220</v>
      </c>
      <c r="H91" s="3" t="s">
        <v>348</v>
      </c>
    </row>
    <row r="92" spans="1:8" ht="243" x14ac:dyDescent="0.25">
      <c r="A92" s="3" t="s">
        <v>349</v>
      </c>
      <c r="B92" s="3"/>
      <c r="C92" s="3" t="s">
        <v>350</v>
      </c>
      <c r="D92" s="3" t="s">
        <v>9</v>
      </c>
      <c r="E92" s="3" t="s">
        <v>351</v>
      </c>
      <c r="F92" s="3" t="str">
        <f>"(317) 202-0864"</f>
        <v>(317) 202-0864</v>
      </c>
      <c r="G92" s="3">
        <v>54133</v>
      </c>
      <c r="H92" s="3" t="s">
        <v>82</v>
      </c>
    </row>
    <row r="93" spans="1:8" ht="26.25" x14ac:dyDescent="0.25">
      <c r="A93" s="3" t="s">
        <v>352</v>
      </c>
      <c r="B93" s="3"/>
      <c r="C93" s="3" t="str">
        <f>"Distribution of packaging, janitorial supplies and saftey"</f>
        <v>Distribution of packaging, janitorial supplies and saftey</v>
      </c>
      <c r="D93" s="3" t="s">
        <v>353</v>
      </c>
      <c r="E93" s="3" t="s">
        <v>354</v>
      </c>
      <c r="F93" s="3" t="str">
        <f>"765-292-2403"</f>
        <v>765-292-2403</v>
      </c>
      <c r="G93" s="3">
        <v>424110</v>
      </c>
      <c r="H93" s="3" t="s">
        <v>355</v>
      </c>
    </row>
    <row r="94" spans="1:8" ht="77.25" x14ac:dyDescent="0.25">
      <c r="A94" s="3" t="s">
        <v>356</v>
      </c>
      <c r="B94" s="3"/>
      <c r="C94" s="3" t="str">
        <f>"A &amp; M Specialties, INc. is a distrubutor/installer of commerical specialty building supplies that include, visual display boards, toilet partitions, accessories, lockers, fire extinguishers/cabinets, etc."</f>
        <v>A &amp; M Specialties, INc. is a distrubutor/installer of commerical specialty building supplies that include, visual display boards, toilet partitions, accessories, lockers, fire extinguishers/cabinets, etc.</v>
      </c>
      <c r="D94" s="3" t="s">
        <v>357</v>
      </c>
      <c r="E94" s="3" t="s">
        <v>358</v>
      </c>
      <c r="F94" s="2"/>
      <c r="G94" s="3">
        <v>236</v>
      </c>
      <c r="H94" s="3" t="s">
        <v>291</v>
      </c>
    </row>
    <row r="95" spans="1:8" ht="319.5" x14ac:dyDescent="0.25">
      <c r="A95" s="3" t="s">
        <v>359</v>
      </c>
      <c r="B95" s="3"/>
      <c r="C95" s="3" t="s">
        <v>360</v>
      </c>
      <c r="D95" s="3" t="s">
        <v>361</v>
      </c>
      <c r="E95" s="3" t="s">
        <v>46</v>
      </c>
      <c r="F95" s="3" t="str">
        <f>"317-829-7650"</f>
        <v>317-829-7650</v>
      </c>
      <c r="G95" s="3">
        <v>561612</v>
      </c>
      <c r="H95" s="3" t="s">
        <v>362</v>
      </c>
    </row>
    <row r="96" spans="1:8" ht="39" x14ac:dyDescent="0.25">
      <c r="A96" s="3" t="s">
        <v>363</v>
      </c>
      <c r="B96" s="3"/>
      <c r="C96" s="3" t="str">
        <f>"INSTALLATION OF COMMERCIAL METAL ROOFING, GUTTER AND DOWNSPOUT, SOFFIT AND FASCIA"</f>
        <v>INSTALLATION OF COMMERCIAL METAL ROOFING, GUTTER AND DOWNSPOUT, SOFFIT AND FASCIA</v>
      </c>
      <c r="D96" s="3" t="s">
        <v>9</v>
      </c>
      <c r="E96" s="3" t="s">
        <v>364</v>
      </c>
      <c r="F96" s="3" t="str">
        <f>"317-582-0038"</f>
        <v>317-582-0038</v>
      </c>
      <c r="G96" s="3">
        <v>23561</v>
      </c>
      <c r="H96" s="3" t="s">
        <v>365</v>
      </c>
    </row>
    <row r="97" spans="1:8" ht="230.25" x14ac:dyDescent="0.25">
      <c r="A97" s="3" t="s">
        <v>366</v>
      </c>
      <c r="B97" s="3"/>
      <c r="C97" s="3" t="s">
        <v>367</v>
      </c>
      <c r="D97" s="3" t="s">
        <v>368</v>
      </c>
      <c r="E97" s="3" t="s">
        <v>369</v>
      </c>
      <c r="F97" s="3" t="str">
        <f>"260-485-7077"</f>
        <v>260-485-7077</v>
      </c>
      <c r="G97" s="3">
        <v>541330</v>
      </c>
      <c r="H97" s="3" t="s">
        <v>82</v>
      </c>
    </row>
    <row r="98" spans="1:8" ht="26.25" x14ac:dyDescent="0.25">
      <c r="A98" s="3" t="s">
        <v>370</v>
      </c>
      <c r="B98" s="3"/>
      <c r="C98" s="3" t="str">
        <f>"hauling and conveying"</f>
        <v>hauling and conveying</v>
      </c>
      <c r="D98" s="3" t="s">
        <v>9</v>
      </c>
      <c r="E98" s="3" t="s">
        <v>46</v>
      </c>
      <c r="F98" s="3" t="str">
        <f>"812-330-0453"</f>
        <v>812-330-0453</v>
      </c>
      <c r="G98" s="3">
        <v>484220</v>
      </c>
      <c r="H98" s="3" t="s">
        <v>11</v>
      </c>
    </row>
    <row r="99" spans="1:8" ht="26.25" x14ac:dyDescent="0.25">
      <c r="A99" s="3" t="s">
        <v>371</v>
      </c>
      <c r="B99" s="3"/>
      <c r="C99" s="3" t="str">
        <f>"Service and Installation of Automatic Pedestrian Doors in Northern Indiana."</f>
        <v>Service and Installation of Automatic Pedestrian Doors in Northern Indiana.</v>
      </c>
      <c r="D99" s="3" t="s">
        <v>372</v>
      </c>
      <c r="E99" s="3" t="s">
        <v>46</v>
      </c>
      <c r="F99" s="3" t="str">
        <f>"260-749-1635"</f>
        <v>260-749-1635</v>
      </c>
      <c r="G99" s="3">
        <v>238290</v>
      </c>
      <c r="H99" s="3" t="s">
        <v>237</v>
      </c>
    </row>
    <row r="100" spans="1:8" ht="192" x14ac:dyDescent="0.25">
      <c r="A100" s="3" t="s">
        <v>373</v>
      </c>
      <c r="B100" s="3"/>
      <c r="C100" s="3" t="s">
        <v>374</v>
      </c>
      <c r="D100" s="3" t="s">
        <v>375</v>
      </c>
      <c r="E100" s="3" t="s">
        <v>376</v>
      </c>
      <c r="F100" s="3" t="str">
        <f>"317-849-8845"</f>
        <v>317-849-8845</v>
      </c>
      <c r="G100" s="3">
        <v>561990</v>
      </c>
      <c r="H100" s="3" t="s">
        <v>219</v>
      </c>
    </row>
    <row r="101" spans="1:8" ht="64.5" x14ac:dyDescent="0.25">
      <c r="A101" s="3" t="s">
        <v>377</v>
      </c>
      <c r="B101" s="3"/>
      <c r="C101" s="3" t="str">
        <f>"Obtain commercial and residential building permits, provide variance assistance throughout the state of IN, offer land use assistance and acquire state design releases."</f>
        <v>Obtain commercial and residential building permits, provide variance assistance throughout the state of IN, offer land use assistance and acquire state design releases.</v>
      </c>
      <c r="D101" s="3" t="s">
        <v>375</v>
      </c>
      <c r="E101" s="3" t="s">
        <v>376</v>
      </c>
      <c r="F101" s="3" t="str">
        <f>"317-695-3514"</f>
        <v>317-695-3514</v>
      </c>
      <c r="G101" s="3">
        <v>541990</v>
      </c>
      <c r="H101" s="3" t="s">
        <v>378</v>
      </c>
    </row>
    <row r="102" spans="1:8" ht="39" x14ac:dyDescent="0.25">
      <c r="A102" s="3" t="s">
        <v>379</v>
      </c>
      <c r="B102" s="3"/>
      <c r="C102" s="3" t="str">
        <f>"Remanufactured and compatible toner cartridges for printers and other office machines."</f>
        <v>Remanufactured and compatible toner cartridges for printers and other office machines.</v>
      </c>
      <c r="D102" s="3" t="s">
        <v>9</v>
      </c>
      <c r="E102" s="3" t="s">
        <v>380</v>
      </c>
      <c r="F102" s="3" t="str">
        <f>"765-455-8641"</f>
        <v>765-455-8641</v>
      </c>
      <c r="G102" s="3">
        <v>325992</v>
      </c>
      <c r="H102" s="3" t="s">
        <v>381</v>
      </c>
    </row>
    <row r="103" spans="1:8" ht="39" x14ac:dyDescent="0.25">
      <c r="A103" s="3" t="s">
        <v>382</v>
      </c>
      <c r="B103" s="3"/>
      <c r="C103" s="3" t="str">
        <f>"provide jaintorial services, floor care,window washing. been in business since 1969. insured and boded"</f>
        <v>provide jaintorial services, floor care,window washing. been in business since 1969. insured and boded</v>
      </c>
      <c r="D103" s="3" t="s">
        <v>9</v>
      </c>
      <c r="E103" s="3" t="s">
        <v>46</v>
      </c>
      <c r="F103" s="2"/>
      <c r="G103" s="3">
        <v>561720</v>
      </c>
      <c r="H103" s="3" t="s">
        <v>222</v>
      </c>
    </row>
    <row r="104" spans="1:8" ht="268.5" x14ac:dyDescent="0.25">
      <c r="A104" s="3" t="s">
        <v>383</v>
      </c>
      <c r="B104" s="3"/>
      <c r="C104" s="3" t="s">
        <v>384</v>
      </c>
      <c r="D104" s="3" t="s">
        <v>385</v>
      </c>
      <c r="E104" s="3" t="s">
        <v>386</v>
      </c>
      <c r="F104" s="3" t="str">
        <f>"260-347-0960"</f>
        <v>260-347-0960</v>
      </c>
      <c r="G104" s="3">
        <v>332710</v>
      </c>
      <c r="H104" s="3" t="s">
        <v>387</v>
      </c>
    </row>
    <row r="105" spans="1:8" ht="141" x14ac:dyDescent="0.25">
      <c r="A105" s="3" t="s">
        <v>388</v>
      </c>
      <c r="B105" s="3"/>
      <c r="C105" s="3" t="s">
        <v>389</v>
      </c>
      <c r="D105" s="3" t="s">
        <v>390</v>
      </c>
      <c r="E105" s="3" t="s">
        <v>391</v>
      </c>
      <c r="F105" s="3" t="str">
        <f>"812-858-9888"</f>
        <v>812-858-9888</v>
      </c>
      <c r="G105" s="3">
        <v>444210</v>
      </c>
      <c r="H105" s="3" t="s">
        <v>392</v>
      </c>
    </row>
    <row r="106" spans="1:8" x14ac:dyDescent="0.25">
      <c r="A106" s="3" t="s">
        <v>393</v>
      </c>
      <c r="B106" s="3"/>
      <c r="C106" s="2"/>
      <c r="D106" s="3" t="s">
        <v>9</v>
      </c>
      <c r="E106" s="3" t="s">
        <v>46</v>
      </c>
      <c r="F106" s="2"/>
      <c r="G106" s="3">
        <v>238210</v>
      </c>
      <c r="H106" s="3" t="s">
        <v>306</v>
      </c>
    </row>
    <row r="107" spans="1:8" ht="51.75" x14ac:dyDescent="0.25">
      <c r="A107" s="3" t="s">
        <v>394</v>
      </c>
      <c r="B107" s="3"/>
      <c r="C107" s="3" t="str">
        <f>"office cleaning, buffing floors, sealing/stripping floors, running floor machines, window washing, hospital cleaning, and construction cleaning."</f>
        <v>office cleaning, buffing floors, sealing/stripping floors, running floor machines, window washing, hospital cleaning, and construction cleaning.</v>
      </c>
      <c r="D107" s="3" t="s">
        <v>9</v>
      </c>
      <c r="E107" s="3" t="s">
        <v>395</v>
      </c>
      <c r="F107" s="3" t="str">
        <f>"317-823-3499"</f>
        <v>317-823-3499</v>
      </c>
      <c r="G107" s="3">
        <v>561720</v>
      </c>
      <c r="H107" s="3" t="s">
        <v>222</v>
      </c>
    </row>
    <row r="108" spans="1:8" ht="26.25" x14ac:dyDescent="0.25">
      <c r="A108" s="3" t="s">
        <v>396</v>
      </c>
      <c r="B108" s="3"/>
      <c r="C108" s="3" t="str">
        <f>"Painting, roofing, snowplowing, remodeling, drywall, full service maintenance"</f>
        <v>Painting, roofing, snowplowing, remodeling, drywall, full service maintenance</v>
      </c>
      <c r="D108" s="3" t="s">
        <v>9</v>
      </c>
      <c r="E108" s="3" t="s">
        <v>46</v>
      </c>
      <c r="F108" s="3" t="str">
        <f>"219-395-8803"</f>
        <v>219-395-8803</v>
      </c>
      <c r="G108" s="3">
        <v>238</v>
      </c>
      <c r="H108" s="3" t="s">
        <v>397</v>
      </c>
    </row>
    <row r="109" spans="1:8" ht="64.5" x14ac:dyDescent="0.25">
      <c r="A109" s="3" t="s">
        <v>398</v>
      </c>
      <c r="B109" s="3"/>
      <c r="C109" s="3" t="str">
        <f>"We provide promotional items for businesses looking to promote their business and servies. We do in-house embroidery. We supply business forms, awards and apparel for companies."</f>
        <v>We provide promotional items for businesses looking to promote their business and servies. We do in-house embroidery. We supply business forms, awards and apparel for companies.</v>
      </c>
      <c r="D109" s="3" t="s">
        <v>399</v>
      </c>
      <c r="E109" s="3" t="s">
        <v>400</v>
      </c>
      <c r="F109" s="3" t="str">
        <f>"260-373-1175"</f>
        <v>260-373-1175</v>
      </c>
      <c r="G109" s="3">
        <v>54189</v>
      </c>
      <c r="H109" s="3" t="s">
        <v>401</v>
      </c>
    </row>
    <row r="110" spans="1:8" ht="90" x14ac:dyDescent="0.25">
      <c r="A110" s="3" t="s">
        <v>402</v>
      </c>
      <c r="B110" s="3"/>
      <c r="C110" s="3" t="s">
        <v>403</v>
      </c>
      <c r="D110" s="3" t="s">
        <v>404</v>
      </c>
      <c r="E110" s="3" t="s">
        <v>405</v>
      </c>
      <c r="F110" s="3" t="str">
        <f>"317-255-6457"</f>
        <v>317-255-6457</v>
      </c>
      <c r="G110" s="3">
        <v>512110</v>
      </c>
      <c r="H110" s="3" t="s">
        <v>406</v>
      </c>
    </row>
    <row r="111" spans="1:8" ht="51.75" x14ac:dyDescent="0.25">
      <c r="A111" s="3" t="s">
        <v>407</v>
      </c>
      <c r="B111" s="3"/>
      <c r="C111" s="3" t="str">
        <f>"I will be purchasing supplies such as janitorial and sanitary products from a large company and reselling it. I presently have 3 clients"</f>
        <v>I will be purchasing supplies such as janitorial and sanitary products from a large company and reselling it. I presently have 3 clients</v>
      </c>
      <c r="D111" s="3" t="s">
        <v>9</v>
      </c>
      <c r="E111" s="3" t="s">
        <v>46</v>
      </c>
      <c r="F111" s="2"/>
      <c r="G111" s="3">
        <v>2331</v>
      </c>
      <c r="H111" s="3" t="s">
        <v>408</v>
      </c>
    </row>
    <row r="112" spans="1:8" ht="64.5" x14ac:dyDescent="0.25">
      <c r="A112" s="3" t="s">
        <v>409</v>
      </c>
      <c r="B112" s="3"/>
      <c r="C112" s="3" t="str">
        <f>"Computer Supplies, new and remanufactured ink jet and laser toner cartridges. We buy empties too. Magnetic media (backup tapes). Pressure sensitive labels for printers."</f>
        <v>Computer Supplies, new and remanufactured ink jet and laser toner cartridges. We buy empties too. Magnetic media (backup tapes). Pressure sensitive labels for printers.</v>
      </c>
      <c r="D112" s="3" t="s">
        <v>9</v>
      </c>
      <c r="E112" s="3" t="s">
        <v>410</v>
      </c>
      <c r="F112" s="3" t="str">
        <f>"260-483-6124"</f>
        <v>260-483-6124</v>
      </c>
      <c r="G112" s="3">
        <v>424120</v>
      </c>
      <c r="H112" s="3" t="s">
        <v>411</v>
      </c>
    </row>
    <row r="113" spans="1:8" ht="102.75" x14ac:dyDescent="0.25">
      <c r="A113" s="3" t="s">
        <v>412</v>
      </c>
      <c r="B113" s="3"/>
      <c r="C113" s="3" t="s">
        <v>413</v>
      </c>
      <c r="D113" s="3" t="s">
        <v>9</v>
      </c>
      <c r="E113" s="3" t="s">
        <v>414</v>
      </c>
      <c r="F113" s="3" t="str">
        <f>"765-945-7460"</f>
        <v>765-945-7460</v>
      </c>
      <c r="G113" s="3">
        <v>5616</v>
      </c>
      <c r="H113" s="3" t="s">
        <v>415</v>
      </c>
    </row>
    <row r="114" spans="1:8" ht="26.25" x14ac:dyDescent="0.25">
      <c r="A114" s="3" t="s">
        <v>416</v>
      </c>
      <c r="B114" s="3"/>
      <c r="C114" s="3" t="str">
        <f>"Wholesale distributor of janitorial, industrial, and safety supplies."</f>
        <v>Wholesale distributor of janitorial, industrial, and safety supplies.</v>
      </c>
      <c r="D114" s="3" t="s">
        <v>417</v>
      </c>
      <c r="E114" s="3" t="s">
        <v>418</v>
      </c>
      <c r="F114" s="3" t="str">
        <f>"317.632.8315"</f>
        <v>317.632.8315</v>
      </c>
      <c r="G114" s="3">
        <v>423850</v>
      </c>
      <c r="H114" s="3" t="s">
        <v>419</v>
      </c>
    </row>
    <row r="115" spans="1:8" ht="90" x14ac:dyDescent="0.25">
      <c r="A115" s="3" t="s">
        <v>420</v>
      </c>
      <c r="B115" s="3"/>
      <c r="C115" s="3" t="str">
        <f>"We have two divisions. One providing project management services for commercial construction projects. The other provides professional services such as writing, project management, programming, curriculum, and grant services to all business sectors."</f>
        <v>We have two divisions. One providing project management services for commercial construction projects. The other provides professional services such as writing, project management, programming, curriculum, and grant services to all business sectors.</v>
      </c>
      <c r="D115" s="3" t="s">
        <v>421</v>
      </c>
      <c r="E115" s="3" t="s">
        <v>422</v>
      </c>
      <c r="F115" s="3" t="str">
        <f>"317-917-8465"</f>
        <v>317-917-8465</v>
      </c>
      <c r="G115" s="3">
        <v>2362</v>
      </c>
      <c r="H115" s="3" t="s">
        <v>423</v>
      </c>
    </row>
    <row r="116" spans="1:8" ht="166.5" x14ac:dyDescent="0.25">
      <c r="A116" s="3" t="s">
        <v>424</v>
      </c>
      <c r="B116" s="3"/>
      <c r="C116" s="3" t="s">
        <v>425</v>
      </c>
      <c r="D116" s="3" t="s">
        <v>9</v>
      </c>
      <c r="E116" s="3" t="s">
        <v>426</v>
      </c>
      <c r="F116" s="3" t="str">
        <f>"812 945 2333"</f>
        <v>812 945 2333</v>
      </c>
      <c r="G116" s="3">
        <v>54162</v>
      </c>
      <c r="H116" s="3" t="s">
        <v>216</v>
      </c>
    </row>
    <row r="117" spans="1:8" ht="128.25" x14ac:dyDescent="0.25">
      <c r="A117" s="3" t="s">
        <v>427</v>
      </c>
      <c r="B117" s="3"/>
      <c r="C117" s="3" t="s">
        <v>428</v>
      </c>
      <c r="D117" s="3" t="s">
        <v>429</v>
      </c>
      <c r="E117" s="3" t="s">
        <v>430</v>
      </c>
      <c r="F117" s="3" t="str">
        <f>"765-932-2830"</f>
        <v>765-932-2830</v>
      </c>
      <c r="G117" s="3">
        <v>453210</v>
      </c>
      <c r="H117" s="3" t="s">
        <v>431</v>
      </c>
    </row>
    <row r="118" spans="1:8" ht="26.25" x14ac:dyDescent="0.25">
      <c r="A118" s="3" t="s">
        <v>432</v>
      </c>
      <c r="B118" s="3"/>
      <c r="C118" s="3" t="str">
        <f>"New construction and remodeling specialists."</f>
        <v>New construction and remodeling specialists.</v>
      </c>
      <c r="D118" s="3" t="s">
        <v>9</v>
      </c>
      <c r="E118" s="3" t="s">
        <v>46</v>
      </c>
      <c r="F118" s="3" t="str">
        <f>"219-866-5589"</f>
        <v>219-866-5589</v>
      </c>
      <c r="G118" s="3">
        <v>23</v>
      </c>
      <c r="H118" s="3" t="s">
        <v>133</v>
      </c>
    </row>
    <row r="119" spans="1:8" ht="77.25" x14ac:dyDescent="0.25">
      <c r="A119" s="3" t="s">
        <v>433</v>
      </c>
      <c r="B119" s="3"/>
      <c r="C119" s="3" t="str">
        <f>"We are a Power Transmission Equipment &amp; Parts distributor of: motors, variable speed drives, reducers, gears, couplings, bearings, ball screws, bushings, sprockets, servos, clutches, brakes, belts, pulleys, chain, and electrical &amp; mechanical repairs."</f>
        <v>We are a Power Transmission Equipment &amp; Parts distributor of: motors, variable speed drives, reducers, gears, couplings, bearings, ball screws, bushings, sprockets, servos, clutches, brakes, belts, pulleys, chain, and electrical &amp; mechanical repairs.</v>
      </c>
      <c r="D119" s="3" t="s">
        <v>434</v>
      </c>
      <c r="E119" s="3" t="s">
        <v>46</v>
      </c>
      <c r="F119" s="3" t="str">
        <f>"317-263-3800"</f>
        <v>317-263-3800</v>
      </c>
      <c r="G119" s="3">
        <v>22112</v>
      </c>
      <c r="H119" s="3" t="s">
        <v>435</v>
      </c>
    </row>
    <row r="120" spans="1:8" ht="26.25" x14ac:dyDescent="0.25">
      <c r="A120" s="3" t="s">
        <v>436</v>
      </c>
      <c r="B120" s="3"/>
      <c r="C120" s="3" t="str">
        <f>"Contractor providing drywall, paint and wallcovering services."</f>
        <v>Contractor providing drywall, paint and wallcovering services.</v>
      </c>
      <c r="D120" s="3" t="s">
        <v>9</v>
      </c>
      <c r="E120" s="3" t="s">
        <v>437</v>
      </c>
      <c r="F120" s="3" t="str">
        <f>"317-522-1942"</f>
        <v>317-522-1942</v>
      </c>
      <c r="G120" s="3">
        <v>236116</v>
      </c>
      <c r="H120" s="3" t="s">
        <v>438</v>
      </c>
    </row>
    <row r="121" spans="1:8" ht="319.5" x14ac:dyDescent="0.25">
      <c r="A121" s="3" t="s">
        <v>439</v>
      </c>
      <c r="B121" s="3"/>
      <c r="C121" s="3" t="s">
        <v>440</v>
      </c>
      <c r="D121" s="3" t="s">
        <v>441</v>
      </c>
      <c r="E121" s="3" t="s">
        <v>442</v>
      </c>
      <c r="F121" s="3" t="str">
        <f>"574-315-9007"</f>
        <v>574-315-9007</v>
      </c>
      <c r="G121" s="3">
        <v>541620</v>
      </c>
      <c r="H121" s="3" t="s">
        <v>216</v>
      </c>
    </row>
    <row r="122" spans="1:8" ht="26.25" x14ac:dyDescent="0.25">
      <c r="A122" s="3" t="s">
        <v>443</v>
      </c>
      <c r="B122" s="3"/>
      <c r="C122" s="3" t="str">
        <f>"Full Service Architectural Firm licensed in Indiana and other states."</f>
        <v>Full Service Architectural Firm licensed in Indiana and other states.</v>
      </c>
      <c r="D122" s="3" t="s">
        <v>444</v>
      </c>
      <c r="E122" s="3" t="s">
        <v>445</v>
      </c>
      <c r="F122" s="3" t="str">
        <f>"317 356-7676"</f>
        <v>317 356-7676</v>
      </c>
      <c r="G122" s="3">
        <v>541310</v>
      </c>
      <c r="H122" s="3" t="s">
        <v>446</v>
      </c>
    </row>
    <row r="123" spans="1:8" ht="115.5" x14ac:dyDescent="0.25">
      <c r="A123" s="3" t="s">
        <v>447</v>
      </c>
      <c r="B123" s="3"/>
      <c r="C123" s="3" t="s">
        <v>448</v>
      </c>
      <c r="D123" s="3" t="s">
        <v>449</v>
      </c>
      <c r="E123" s="3" t="s">
        <v>450</v>
      </c>
      <c r="F123" s="3" t="str">
        <f>"812-332-6951"</f>
        <v>812-332-6951</v>
      </c>
      <c r="G123" s="3">
        <v>23821</v>
      </c>
      <c r="H123" s="3" t="s">
        <v>306</v>
      </c>
    </row>
    <row r="124" spans="1:8" ht="26.25" x14ac:dyDescent="0.25">
      <c r="A124" s="3" t="s">
        <v>451</v>
      </c>
      <c r="B124" s="3"/>
      <c r="C124" s="3" t="str">
        <f>"Local Trucking, Hauling of Gravel, Dirt, Asphalt, and Sand."</f>
        <v>Local Trucking, Hauling of Gravel, Dirt, Asphalt, and Sand.</v>
      </c>
      <c r="D124" s="3" t="s">
        <v>9</v>
      </c>
      <c r="E124" s="3" t="s">
        <v>452</v>
      </c>
      <c r="F124" s="3" t="str">
        <f>"812-508-1129"</f>
        <v>812-508-1129</v>
      </c>
      <c r="G124" s="3">
        <v>484220</v>
      </c>
      <c r="H124" s="3" t="s">
        <v>11</v>
      </c>
    </row>
    <row r="125" spans="1:8" ht="115.5" x14ac:dyDescent="0.25">
      <c r="A125" s="3" t="s">
        <v>453</v>
      </c>
      <c r="B125" s="3"/>
      <c r="C125" s="3" t="s">
        <v>454</v>
      </c>
      <c r="D125" s="3" t="s">
        <v>9</v>
      </c>
      <c r="E125" s="3" t="s">
        <v>455</v>
      </c>
      <c r="F125" s="3" t="str">
        <f>"260/447-0100"</f>
        <v>260/447-0100</v>
      </c>
      <c r="G125" s="3">
        <v>6244</v>
      </c>
      <c r="H125" s="3" t="s">
        <v>456</v>
      </c>
    </row>
    <row r="126" spans="1:8" ht="51.75" x14ac:dyDescent="0.25">
      <c r="A126" s="3" t="s">
        <v>457</v>
      </c>
      <c r="B126" s="3"/>
      <c r="C126" s="3" t="str">
        <f>"Full line locksmith service. Mobile service specializing in high security automotive keys and factory automotive remotes. A 24 hour sevice."</f>
        <v>Full line locksmith service. Mobile service specializing in high security automotive keys and factory automotive remotes. A 24 hour sevice.</v>
      </c>
      <c r="D126" s="3" t="s">
        <v>9</v>
      </c>
      <c r="E126" s="3" t="s">
        <v>46</v>
      </c>
      <c r="F126" s="3" t="str">
        <f>"812-282-8181"</f>
        <v>812-282-8181</v>
      </c>
      <c r="G126" s="3">
        <v>561622</v>
      </c>
      <c r="H126" s="3" t="s">
        <v>43</v>
      </c>
    </row>
    <row r="127" spans="1:8" ht="26.25" x14ac:dyDescent="0.25">
      <c r="A127" s="3" t="s">
        <v>458</v>
      </c>
      <c r="B127" s="3"/>
      <c r="C127" s="3" t="str">
        <f>" "</f>
        <v xml:space="preserve"> </v>
      </c>
      <c r="D127" s="3" t="s">
        <v>459</v>
      </c>
      <c r="E127" s="3" t="s">
        <v>46</v>
      </c>
      <c r="F127" s="3" t="str">
        <f>"8122824636"</f>
        <v>8122824636</v>
      </c>
      <c r="G127" s="3">
        <v>423910</v>
      </c>
      <c r="H127" s="3" t="s">
        <v>460</v>
      </c>
    </row>
    <row r="128" spans="1:8" x14ac:dyDescent="0.25">
      <c r="A128" s="3" t="s">
        <v>461</v>
      </c>
      <c r="B128" s="3"/>
      <c r="C128" s="3" t="str">
        <f>" "</f>
        <v xml:space="preserve"> </v>
      </c>
      <c r="D128" s="3" t="s">
        <v>9</v>
      </c>
      <c r="E128" s="3" t="s">
        <v>46</v>
      </c>
      <c r="F128" s="2"/>
      <c r="G128" s="3">
        <v>23521</v>
      </c>
      <c r="H128" s="3" t="s">
        <v>462</v>
      </c>
    </row>
    <row r="129" spans="1:8" ht="64.5" x14ac:dyDescent="0.25">
      <c r="A129" s="3" t="s">
        <v>463</v>
      </c>
      <c r="B129" s="3"/>
      <c r="C129" s="3" t="str">
        <f>"We are a company that aids in the removal and restoration of residential and commerical properties. Our staff has several years experience in construction both residential and commerical."</f>
        <v>We are a company that aids in the removal and restoration of residential and commerical properties. Our staff has several years experience in construction both residential and commerical.</v>
      </c>
      <c r="D129" s="3" t="s">
        <v>9</v>
      </c>
      <c r="E129" s="3" t="s">
        <v>464</v>
      </c>
      <c r="F129" s="3" t="str">
        <f>"2198956603"</f>
        <v>2198956603</v>
      </c>
      <c r="G129" s="3">
        <v>236118</v>
      </c>
      <c r="H129" s="3" t="s">
        <v>465</v>
      </c>
    </row>
    <row r="130" spans="1:8" ht="39" x14ac:dyDescent="0.25">
      <c r="A130" s="3" t="s">
        <v>466</v>
      </c>
      <c r="B130" s="3"/>
      <c r="C130" s="3" t="str">
        <f>"We pump out commercial and residential septic tanks, restaurant grease traps, and we rent port-a-lets."</f>
        <v>We pump out commercial and residential septic tanks, restaurant grease traps, and we rent port-a-lets.</v>
      </c>
      <c r="D130" s="3" t="s">
        <v>9</v>
      </c>
      <c r="E130" s="3" t="s">
        <v>467</v>
      </c>
      <c r="F130" s="3" t="str">
        <f>"812-689-4676"</f>
        <v>812-689-4676</v>
      </c>
      <c r="G130" s="3">
        <v>562991</v>
      </c>
      <c r="H130" s="3" t="s">
        <v>468</v>
      </c>
    </row>
    <row r="131" spans="1:8" ht="102.75" x14ac:dyDescent="0.25">
      <c r="A131" s="3" t="s">
        <v>469</v>
      </c>
      <c r="B131" s="3"/>
      <c r="C131" s="3" t="s">
        <v>470</v>
      </c>
      <c r="D131" s="3" t="s">
        <v>9</v>
      </c>
      <c r="E131" s="3" t="s">
        <v>471</v>
      </c>
      <c r="F131" s="3" t="str">
        <f>"812-573-6717"</f>
        <v>812-573-6717</v>
      </c>
      <c r="G131" s="3">
        <v>561720</v>
      </c>
      <c r="H131" s="3" t="s">
        <v>222</v>
      </c>
    </row>
    <row r="132" spans="1:8" ht="26.25" x14ac:dyDescent="0.25">
      <c r="A132" s="3" t="s">
        <v>472</v>
      </c>
      <c r="B132" s="3"/>
      <c r="C132" s="3" t="str">
        <f>"Consumer and Business Debt Collections"</f>
        <v>Consumer and Business Debt Collections</v>
      </c>
      <c r="D132" s="3" t="s">
        <v>9</v>
      </c>
      <c r="E132" s="3" t="s">
        <v>46</v>
      </c>
      <c r="F132" s="3" t="str">
        <f>"765-741-8413"</f>
        <v>765-741-8413</v>
      </c>
      <c r="G132" s="3">
        <v>561440</v>
      </c>
      <c r="H132" s="3" t="s">
        <v>473</v>
      </c>
    </row>
    <row r="133" spans="1:8" ht="128.25" x14ac:dyDescent="0.25">
      <c r="A133" s="3" t="s">
        <v>474</v>
      </c>
      <c r="B133" s="3"/>
      <c r="C133" s="3" t="s">
        <v>475</v>
      </c>
      <c r="D133" s="3" t="s">
        <v>476</v>
      </c>
      <c r="E133" s="3" t="s">
        <v>477</v>
      </c>
      <c r="F133" s="3" t="str">
        <f>"812-232-1500"</f>
        <v>812-232-1500</v>
      </c>
      <c r="G133" s="3">
        <v>238210</v>
      </c>
      <c r="H133" s="3" t="s">
        <v>306</v>
      </c>
    </row>
    <row r="134" spans="1:8" ht="64.5" x14ac:dyDescent="0.25">
      <c r="A134" s="3" t="s">
        <v>478</v>
      </c>
      <c r="B134" s="3"/>
      <c r="C134" s="3" t="str">
        <f>"AAA Excavating &amp; Concrete is a Veteran owned full service company to include land clearing, site prep, demolition, water/sewer/septic service, all types of concrete and trucking services."</f>
        <v>AAA Excavating &amp; Concrete is a Veteran owned full service company to include land clearing, site prep, demolition, water/sewer/septic service, all types of concrete and trucking services.</v>
      </c>
      <c r="D134" s="3" t="s">
        <v>479</v>
      </c>
      <c r="E134" s="3" t="s">
        <v>480</v>
      </c>
      <c r="F134" s="3" t="str">
        <f>"765-469-1434"</f>
        <v>765-469-1434</v>
      </c>
      <c r="G134" s="3">
        <v>238990</v>
      </c>
      <c r="H134" s="3" t="s">
        <v>481</v>
      </c>
    </row>
    <row r="135" spans="1:8" ht="64.5" x14ac:dyDescent="0.25">
      <c r="A135" s="3" t="s">
        <v>482</v>
      </c>
      <c r="B135" s="3"/>
      <c r="C135" s="3" t="str">
        <f>"Woman owned environmental consulting firm specializing in Phase I Environmental Site Assessments, Transcation Screens, Regulatory and Historical Records Reviews, Third Party Reviews, and NEPA Assessments"</f>
        <v>Woman owned environmental consulting firm specializing in Phase I Environmental Site Assessments, Transcation Screens, Regulatory and Historical Records Reviews, Third Party Reviews, and NEPA Assessments</v>
      </c>
      <c r="D135" s="3" t="s">
        <v>483</v>
      </c>
      <c r="E135" s="3" t="s">
        <v>484</v>
      </c>
      <c r="F135" s="3" t="str">
        <f>"317-826-8644"</f>
        <v>317-826-8644</v>
      </c>
      <c r="G135" s="3">
        <v>541620</v>
      </c>
      <c r="H135" s="3" t="s">
        <v>216</v>
      </c>
    </row>
    <row r="136" spans="1:8" ht="26.25" x14ac:dyDescent="0.25">
      <c r="A136" s="3" t="s">
        <v>485</v>
      </c>
      <c r="B136" s="3"/>
      <c r="C136" s="3" t="str">
        <f>"Resource for people with addictions to receive information, referrals, evaluations."</f>
        <v>Resource for people with addictions to receive information, referrals, evaluations.</v>
      </c>
      <c r="D136" s="3" t="s">
        <v>486</v>
      </c>
      <c r="E136" s="3" t="s">
        <v>487</v>
      </c>
      <c r="F136" s="3" t="str">
        <f>"574-234-6024"</f>
        <v>574-234-6024</v>
      </c>
      <c r="G136" s="3">
        <v>624310</v>
      </c>
      <c r="H136" s="3" t="s">
        <v>488</v>
      </c>
    </row>
    <row r="137" spans="1:8" ht="39" x14ac:dyDescent="0.25">
      <c r="A137" s="3" t="s">
        <v>489</v>
      </c>
      <c r="B137" s="3"/>
      <c r="C137" s="3" t="str">
        <f>"Office equipment, print shop equipment, mail room equipment, financial (bank) equipment sales and service"</f>
        <v>Office equipment, print shop equipment, mail room equipment, financial (bank) equipment sales and service</v>
      </c>
      <c r="D137" s="3" t="s">
        <v>490</v>
      </c>
      <c r="E137" s="3" t="s">
        <v>491</v>
      </c>
      <c r="F137" s="3" t="str">
        <f>"317/573-9061"</f>
        <v>317/573-9061</v>
      </c>
      <c r="G137" s="3">
        <v>454111</v>
      </c>
      <c r="H137" s="3" t="s">
        <v>492</v>
      </c>
    </row>
    <row r="138" spans="1:8" ht="64.5" x14ac:dyDescent="0.25">
      <c r="A138" s="3" t="s">
        <v>493</v>
      </c>
      <c r="B138" s="3"/>
      <c r="C138" s="3" t="str">
        <f>"Manufacturer of Ventilation Products for underground mines, tunnels, shafts; heat-sealed or sewn ducting for industrial uses; and vinyl-reinforced laminated fabrics for the Industrial Textile Fabrics market."</f>
        <v>Manufacturer of Ventilation Products for underground mines, tunnels, shafts; heat-sealed or sewn ducting for industrial uses; and vinyl-reinforced laminated fabrics for the Industrial Textile Fabrics market.</v>
      </c>
      <c r="D138" s="3" t="s">
        <v>494</v>
      </c>
      <c r="E138" s="3" t="s">
        <v>495</v>
      </c>
      <c r="F138" s="3" t="str">
        <f>"574-267-5166"</f>
        <v>574-267-5166</v>
      </c>
      <c r="G138" s="3">
        <v>326130</v>
      </c>
      <c r="H138" s="3" t="s">
        <v>496</v>
      </c>
    </row>
    <row r="139" spans="1:8" ht="90" x14ac:dyDescent="0.25">
      <c r="A139" s="3" t="s">
        <v>497</v>
      </c>
      <c r="B139" s="3"/>
      <c r="C139" s="3" t="s">
        <v>498</v>
      </c>
      <c r="D139" s="3" t="s">
        <v>499</v>
      </c>
      <c r="E139" s="3" t="s">
        <v>500</v>
      </c>
      <c r="F139" s="3" t="str">
        <f>"3174307813"</f>
        <v>3174307813</v>
      </c>
      <c r="G139" s="3">
        <v>56211</v>
      </c>
      <c r="H139" s="3" t="s">
        <v>501</v>
      </c>
    </row>
    <row r="140" spans="1:8" ht="51.75" x14ac:dyDescent="0.25">
      <c r="A140" s="3" t="s">
        <v>502</v>
      </c>
      <c r="B140" s="3"/>
      <c r="C140" s="3" t="str">
        <f>"ABC Trucking LLC, A Women Owned Business, providing Dump Truck Hauling of Dirt, Sand, Asphalt, Concrete, Stone and Gravel in Indiana"</f>
        <v>ABC Trucking LLC, A Women Owned Business, providing Dump Truck Hauling of Dirt, Sand, Asphalt, Concrete, Stone and Gravel in Indiana</v>
      </c>
      <c r="D140" s="3" t="s">
        <v>9</v>
      </c>
      <c r="E140" s="3" t="s">
        <v>503</v>
      </c>
      <c r="F140" s="3" t="str">
        <f>"317-429-6130"</f>
        <v>317-429-6130</v>
      </c>
      <c r="G140" s="3">
        <v>484220</v>
      </c>
      <c r="H140" s="3" t="s">
        <v>11</v>
      </c>
    </row>
    <row r="141" spans="1:8" ht="166.5" x14ac:dyDescent="0.25">
      <c r="A141" s="3" t="s">
        <v>504</v>
      </c>
      <c r="B141" s="3"/>
      <c r="C141" s="3" t="s">
        <v>505</v>
      </c>
      <c r="D141" s="3" t="s">
        <v>506</v>
      </c>
      <c r="E141" s="3" t="s">
        <v>507</v>
      </c>
      <c r="F141" s="3" t="str">
        <f>"317-596-4950"</f>
        <v>317-596-4950</v>
      </c>
      <c r="G141" s="3">
        <v>611710</v>
      </c>
      <c r="H141" s="3" t="s">
        <v>508</v>
      </c>
    </row>
    <row r="142" spans="1:8" ht="26.25" x14ac:dyDescent="0.25">
      <c r="A142" s="3" t="s">
        <v>509</v>
      </c>
      <c r="B142" s="3"/>
      <c r="C142" s="2"/>
      <c r="D142" s="3" t="s">
        <v>9</v>
      </c>
      <c r="E142" s="3" t="s">
        <v>46</v>
      </c>
      <c r="F142" s="2"/>
      <c r="G142" s="3">
        <v>541910</v>
      </c>
      <c r="H142" s="3" t="s">
        <v>510</v>
      </c>
    </row>
    <row r="143" spans="1:8" ht="26.25" x14ac:dyDescent="0.25">
      <c r="A143" s="3" t="s">
        <v>511</v>
      </c>
      <c r="B143" s="3"/>
      <c r="C143" s="3" t="str">
        <f>"We are a monitoring center for tracking participants."</f>
        <v>We are a monitoring center for tracking participants.</v>
      </c>
      <c r="D143" s="3" t="s">
        <v>512</v>
      </c>
      <c r="E143" s="3" t="s">
        <v>513</v>
      </c>
      <c r="F143" s="3" t="str">
        <f>"812-437-2141"</f>
        <v>812-437-2141</v>
      </c>
      <c r="G143" s="3">
        <v>621610</v>
      </c>
      <c r="H143" s="3" t="s">
        <v>328</v>
      </c>
    </row>
    <row r="144" spans="1:8" ht="115.5" x14ac:dyDescent="0.25">
      <c r="A144" s="3" t="s">
        <v>514</v>
      </c>
      <c r="B144" s="3"/>
      <c r="C144" s="3" t="s">
        <v>515</v>
      </c>
      <c r="D144" s="3" t="s">
        <v>516</v>
      </c>
      <c r="E144" s="3" t="s">
        <v>517</v>
      </c>
      <c r="F144" s="3" t="str">
        <f>"219-947-0999"</f>
        <v>219-947-0999</v>
      </c>
      <c r="G144" s="3">
        <v>423850</v>
      </c>
      <c r="H144" s="3" t="s">
        <v>419</v>
      </c>
    </row>
    <row r="145" spans="1:8" ht="39" x14ac:dyDescent="0.25">
      <c r="A145" s="3" t="s">
        <v>518</v>
      </c>
      <c r="B145" s="3"/>
      <c r="C145" s="3" t="str">
        <f>"SALES AND SERVICE OF OFFICE EQUIPMENT,MACHINES,FURNITURE AND OFFICE SUPPLIES"</f>
        <v>SALES AND SERVICE OF OFFICE EQUIPMENT,MACHINES,FURNITURE AND OFFICE SUPPLIES</v>
      </c>
      <c r="D145" s="3" t="s">
        <v>519</v>
      </c>
      <c r="E145" s="3" t="s">
        <v>520</v>
      </c>
      <c r="F145" s="3" t="str">
        <f>"260-744-4259"</f>
        <v>260-744-4259</v>
      </c>
      <c r="G145" s="3">
        <v>42342</v>
      </c>
      <c r="H145" s="3" t="s">
        <v>521</v>
      </c>
    </row>
    <row r="146" spans="1:8" ht="319.5" x14ac:dyDescent="0.25">
      <c r="A146" s="3" t="s">
        <v>522</v>
      </c>
      <c r="B146" s="3"/>
      <c r="C146" s="3" t="s">
        <v>523</v>
      </c>
      <c r="D146" s="3" t="s">
        <v>524</v>
      </c>
      <c r="E146" s="3" t="s">
        <v>525</v>
      </c>
      <c r="F146" s="3" t="str">
        <f>"317-610-2790"</f>
        <v>317-610-2790</v>
      </c>
      <c r="G146" s="3">
        <v>561720</v>
      </c>
      <c r="H146" s="3" t="s">
        <v>222</v>
      </c>
    </row>
    <row r="147" spans="1:8" ht="51.75" x14ac:dyDescent="0.25">
      <c r="A147" s="3" t="s">
        <v>526</v>
      </c>
      <c r="B147" s="3"/>
      <c r="C147" s="3" t="str">
        <f>"Bakery Cafe offering food &amp; beverage. Fresh baked breads &amp; pastry. soups, salads, &amp; sandwiches. Gourmet coffee, cappuccino, &amp; other specialty beverages"</f>
        <v>Bakery Cafe offering food &amp; beverage. Fresh baked breads &amp; pastry. soups, salads, &amp; sandwiches. Gourmet coffee, cappuccino, &amp; other specialty beverages</v>
      </c>
      <c r="D147" s="3" t="s">
        <v>9</v>
      </c>
      <c r="E147" s="3" t="s">
        <v>46</v>
      </c>
      <c r="F147" s="2"/>
      <c r="G147" s="3">
        <v>722211</v>
      </c>
      <c r="H147" s="3" t="s">
        <v>527</v>
      </c>
    </row>
    <row r="148" spans="1:8" ht="64.5" x14ac:dyDescent="0.25">
      <c r="A148" s="3" t="s">
        <v>528</v>
      </c>
      <c r="B148" s="3"/>
      <c r="C148" s="3" t="str">
        <f>"Glass rod and tubing, business cards, vehicle wraps and decals, promotional printed products, catalogs, graphics design, greeting cards, door hangers, and much more."</f>
        <v>Glass rod and tubing, business cards, vehicle wraps and decals, promotional printed products, catalogs, graphics design, greeting cards, door hangers, and much more.</v>
      </c>
      <c r="D148" s="3" t="s">
        <v>529</v>
      </c>
      <c r="E148" s="3" t="s">
        <v>530</v>
      </c>
      <c r="F148" s="3" t="str">
        <f>"8123222539"</f>
        <v>8123222539</v>
      </c>
      <c r="G148" s="3">
        <v>32311</v>
      </c>
      <c r="H148" s="3" t="s">
        <v>531</v>
      </c>
    </row>
    <row r="149" spans="1:8" ht="39" x14ac:dyDescent="0.25">
      <c r="A149" s="3" t="s">
        <v>532</v>
      </c>
      <c r="B149" s="3"/>
      <c r="C149" s="3" t="str">
        <f>"Lawn and Lanscaping Services for small residential properties, small business, abandoned lots, and abandoned properties"</f>
        <v>Lawn and Lanscaping Services for small residential properties, small business, abandoned lots, and abandoned properties</v>
      </c>
      <c r="D149" s="3" t="s">
        <v>9</v>
      </c>
      <c r="E149" s="3" t="s">
        <v>533</v>
      </c>
      <c r="F149" s="3" t="str">
        <f>"317-654-6502"</f>
        <v>317-654-6502</v>
      </c>
      <c r="G149" s="3">
        <v>561730</v>
      </c>
      <c r="H149" s="3" t="s">
        <v>65</v>
      </c>
    </row>
    <row r="150" spans="1:8" ht="102.75" x14ac:dyDescent="0.25">
      <c r="A150" s="3" t="s">
        <v>534</v>
      </c>
      <c r="B150" s="3"/>
      <c r="C150" s="3" t="str">
        <f>"COMPUTER APPLICATION SERVICES AND CONSULTING, DATA PROCESSING, WAREHOUSE, SYSTEM DESIGN AND APPLICATION, DB STRUCTURE, DESIGN AND APPLICATION, WEB DESIGN AND DEVELOPMENT, PC.LAN NETWORK CONFIGURATION AND SERVICES, TECHNICAL SUPPORT"</f>
        <v>COMPUTER APPLICATION SERVICES AND CONSULTING, DATA PROCESSING, WAREHOUSE, SYSTEM DESIGN AND APPLICATION, DB STRUCTURE, DESIGN AND APPLICATION, WEB DESIGN AND DEVELOPMENT, PC.LAN NETWORK CONFIGURATION AND SERVICES, TECHNICAL SUPPORT</v>
      </c>
      <c r="D150" s="3" t="s">
        <v>535</v>
      </c>
      <c r="E150" s="3" t="s">
        <v>536</v>
      </c>
      <c r="F150" s="3" t="str">
        <f>"217-787-0433"</f>
        <v>217-787-0433</v>
      </c>
      <c r="G150" s="3">
        <v>541511</v>
      </c>
      <c r="H150" s="3" t="s">
        <v>122</v>
      </c>
    </row>
    <row r="151" spans="1:8" ht="166.5" x14ac:dyDescent="0.25">
      <c r="A151" s="3" t="s">
        <v>537</v>
      </c>
      <c r="B151" s="3"/>
      <c r="C151" s="3" t="s">
        <v>538</v>
      </c>
      <c r="D151" s="3" t="s">
        <v>9</v>
      </c>
      <c r="E151" s="3" t="s">
        <v>539</v>
      </c>
      <c r="F151" s="3" t="str">
        <f>"317-806-5600"</f>
        <v>317-806-5600</v>
      </c>
      <c r="G151" s="3">
        <v>517310</v>
      </c>
      <c r="H151" s="3" t="s">
        <v>540</v>
      </c>
    </row>
    <row r="152" spans="1:8" ht="90" x14ac:dyDescent="0.25">
      <c r="A152" s="3" t="s">
        <v>541</v>
      </c>
      <c r="B152" s="3"/>
      <c r="C152" s="3" t="s">
        <v>542</v>
      </c>
      <c r="D152" s="3" t="s">
        <v>543</v>
      </c>
      <c r="E152" s="3" t="s">
        <v>544</v>
      </c>
      <c r="F152" s="3" t="str">
        <f>"317-328-8988"</f>
        <v>317-328-8988</v>
      </c>
      <c r="G152" s="3">
        <v>624410</v>
      </c>
      <c r="H152" s="3" t="s">
        <v>456</v>
      </c>
    </row>
    <row r="153" spans="1:8" ht="153.75" x14ac:dyDescent="0.25">
      <c r="A153" s="3" t="s">
        <v>545</v>
      </c>
      <c r="B153" s="3"/>
      <c r="C153" s="3" t="s">
        <v>546</v>
      </c>
      <c r="D153" s="3" t="s">
        <v>547</v>
      </c>
      <c r="E153" s="3" t="s">
        <v>548</v>
      </c>
      <c r="F153" s="3" t="str">
        <f>"317-545-7071"</f>
        <v>317-545-7071</v>
      </c>
      <c r="G153" s="3">
        <v>6115</v>
      </c>
      <c r="H153" s="3" t="s">
        <v>549</v>
      </c>
    </row>
    <row r="154" spans="1:8" ht="26.25" x14ac:dyDescent="0.25">
      <c r="A154" s="3" t="s">
        <v>550</v>
      </c>
      <c r="B154" s="3"/>
      <c r="C154" s="3" t="str">
        <f>"INDUSTRIAL, ELECTRICAL, JANITORIAL, CONSTRUCTION SUPPLIER"</f>
        <v>INDUSTRIAL, ELECTRICAL, JANITORIAL, CONSTRUCTION SUPPLIER</v>
      </c>
      <c r="D154" s="3" t="s">
        <v>551</v>
      </c>
      <c r="E154" s="3" t="s">
        <v>552</v>
      </c>
      <c r="F154" s="3" t="str">
        <f>"8124287077"</f>
        <v>8124287077</v>
      </c>
      <c r="G154" s="3">
        <v>423840</v>
      </c>
      <c r="H154" s="3" t="s">
        <v>553</v>
      </c>
    </row>
    <row r="155" spans="1:8" ht="141" x14ac:dyDescent="0.25">
      <c r="A155" s="3" t="s">
        <v>554</v>
      </c>
      <c r="B155" s="3"/>
      <c r="C155" s="3" t="s">
        <v>555</v>
      </c>
      <c r="D155" s="3" t="s">
        <v>556</v>
      </c>
      <c r="E155" s="3" t="s">
        <v>557</v>
      </c>
      <c r="F155" s="3" t="str">
        <f>"812-206-6200"</f>
        <v>812-206-6200</v>
      </c>
      <c r="G155" s="3">
        <v>541613</v>
      </c>
      <c r="H155" s="3" t="s">
        <v>558</v>
      </c>
    </row>
    <row r="156" spans="1:8" ht="141" x14ac:dyDescent="0.25">
      <c r="A156" s="3" t="s">
        <v>559</v>
      </c>
      <c r="B156" s="3"/>
      <c r="C156" s="3" t="s">
        <v>560</v>
      </c>
      <c r="D156" s="3" t="s">
        <v>9</v>
      </c>
      <c r="E156" s="3" t="s">
        <v>561</v>
      </c>
      <c r="F156" s="3" t="str">
        <f>"317-856-8391"</f>
        <v>317-856-8391</v>
      </c>
      <c r="G156" s="3">
        <v>488510</v>
      </c>
      <c r="H156" s="3" t="s">
        <v>562</v>
      </c>
    </row>
    <row r="157" spans="1:8" ht="26.25" x14ac:dyDescent="0.25">
      <c r="A157" s="3" t="s">
        <v>563</v>
      </c>
      <c r="B157" s="3"/>
      <c r="C157" s="3" t="str">
        <f>"Printing and Direct Mail services"</f>
        <v>Printing and Direct Mail services</v>
      </c>
      <c r="D157" s="3" t="s">
        <v>564</v>
      </c>
      <c r="E157" s="3" t="s">
        <v>565</v>
      </c>
      <c r="F157" s="3" t="str">
        <f>"3177806245"</f>
        <v>3177806245</v>
      </c>
      <c r="G157" s="3">
        <v>54186</v>
      </c>
      <c r="H157" s="3" t="s">
        <v>566</v>
      </c>
    </row>
    <row r="158" spans="1:8" ht="77.25" x14ac:dyDescent="0.25">
      <c r="A158" s="3" t="s">
        <v>567</v>
      </c>
      <c r="B158" s="3"/>
      <c r="C158" s="3" t="str">
        <f>"ACCRALINE, INC. LOCATED IN BREMEN, INDIANA IS A MACHINE SHOP WITH LARGE CAPACITY CNC MILLS AND LATHES. PLEASE VISIT OUR WEBSITE OR CALL US AND WE WILL BE HAPPY TO DISCUSS OUR MACHINING CAPABILITIES WITH YOU."</f>
        <v>ACCRALINE, INC. LOCATED IN BREMEN, INDIANA IS A MACHINE SHOP WITH LARGE CAPACITY CNC MILLS AND LATHES. PLEASE VISIT OUR WEBSITE OR CALL US AND WE WILL BE HAPPY TO DISCUSS OUR MACHINING CAPABILITIES WITH YOU.</v>
      </c>
      <c r="D158" s="3" t="s">
        <v>568</v>
      </c>
      <c r="E158" s="3" t="s">
        <v>569</v>
      </c>
      <c r="F158" s="3" t="str">
        <f>"574-546-3484"</f>
        <v>574-546-3484</v>
      </c>
      <c r="G158" s="3">
        <v>3332</v>
      </c>
      <c r="H158" s="3" t="s">
        <v>570</v>
      </c>
    </row>
    <row r="159" spans="1:8" ht="64.5" x14ac:dyDescent="0.25">
      <c r="A159" s="3" t="s">
        <v>571</v>
      </c>
      <c r="B159" s="3"/>
      <c r="C159" s="3" t="str">
        <f>"SUPPLIER OF CONSTRUCTION LASERS, SURVEYING OPTICAL EQUIPMENT TRENCH SHORING EQUIPMENT &amp; SUPPLIES FOR THE CONSTRUCTION INDUSTRY. DEALER FOR WACKER AND STIHL PRODUCTS"</f>
        <v>SUPPLIER OF CONSTRUCTION LASERS, SURVEYING OPTICAL EQUIPMENT TRENCH SHORING EQUIPMENT &amp; SUPPLIES FOR THE CONSTRUCTION INDUSTRY. DEALER FOR WACKER AND STIHL PRODUCTS</v>
      </c>
      <c r="D159" s="3" t="s">
        <v>572</v>
      </c>
      <c r="E159" s="3" t="s">
        <v>573</v>
      </c>
      <c r="F159" s="3" t="str">
        <f>"3178735611"</f>
        <v>3178735611</v>
      </c>
      <c r="G159" s="3">
        <v>45</v>
      </c>
      <c r="H159" s="3" t="s">
        <v>574</v>
      </c>
    </row>
    <row r="160" spans="1:8" ht="51.75" x14ac:dyDescent="0.25">
      <c r="A160" s="3" t="s">
        <v>575</v>
      </c>
      <c r="B160" s="3"/>
      <c r="C160" s="3" t="str">
        <f>"Remove and replace old sidewalk, porches, patios and driveways. Design and install newconcrete walks, porches, driveway and driveways."</f>
        <v>Remove and replace old sidewalk, porches, patios and driveways. Design and install newconcrete walks, porches, driveway and driveways.</v>
      </c>
      <c r="D160" s="3" t="s">
        <v>9</v>
      </c>
      <c r="E160" s="3" t="s">
        <v>46</v>
      </c>
      <c r="F160" s="2"/>
      <c r="G160" s="3">
        <v>2357</v>
      </c>
      <c r="H160" s="3" t="s">
        <v>576</v>
      </c>
    </row>
    <row r="161" spans="1:8" ht="102.75" x14ac:dyDescent="0.25">
      <c r="A161" s="3" t="s">
        <v>577</v>
      </c>
      <c r="B161" s="3"/>
      <c r="C161" s="3" t="s">
        <v>578</v>
      </c>
      <c r="D161" s="3" t="s">
        <v>579</v>
      </c>
      <c r="E161" s="3" t="s">
        <v>580</v>
      </c>
      <c r="F161" s="3" t="str">
        <f>"260-824-4155"</f>
        <v>260-824-4155</v>
      </c>
      <c r="G161" s="3">
        <v>561611</v>
      </c>
      <c r="H161" s="3" t="s">
        <v>581</v>
      </c>
    </row>
    <row r="162" spans="1:8" ht="204.75" x14ac:dyDescent="0.25">
      <c r="A162" s="3" t="s">
        <v>582</v>
      </c>
      <c r="B162" s="3"/>
      <c r="C162" s="3" t="s">
        <v>583</v>
      </c>
      <c r="D162" s="3" t="s">
        <v>584</v>
      </c>
      <c r="E162" s="3" t="s">
        <v>585</v>
      </c>
      <c r="F162" s="3" t="str">
        <f>"2604560512"</f>
        <v>2604560512</v>
      </c>
      <c r="G162" s="3">
        <v>562119</v>
      </c>
      <c r="H162" s="3" t="s">
        <v>586</v>
      </c>
    </row>
    <row r="163" spans="1:8" ht="115.5" x14ac:dyDescent="0.25">
      <c r="A163" s="3" t="s">
        <v>587</v>
      </c>
      <c r="B163" s="3"/>
      <c r="C163" s="3" t="s">
        <v>588</v>
      </c>
      <c r="D163" s="3" t="s">
        <v>589</v>
      </c>
      <c r="E163" s="3" t="s">
        <v>590</v>
      </c>
      <c r="F163" s="3" t="str">
        <f>"317-241-3039"</f>
        <v>317-241-3039</v>
      </c>
      <c r="G163" s="3">
        <v>5321</v>
      </c>
      <c r="H163" s="3" t="s">
        <v>591</v>
      </c>
    </row>
    <row r="164" spans="1:8" ht="26.25" x14ac:dyDescent="0.25">
      <c r="A164" s="3" t="s">
        <v>592</v>
      </c>
      <c r="B164" s="3"/>
      <c r="C164" s="3" t="str">
        <f>"Veterinary Hospital in Northwestern Indiana"</f>
        <v>Veterinary Hospital in Northwestern Indiana</v>
      </c>
      <c r="D164" s="3" t="s">
        <v>9</v>
      </c>
      <c r="E164" s="3" t="s">
        <v>46</v>
      </c>
      <c r="F164" s="3" t="str">
        <f>"(219) 879-0249"</f>
        <v>(219) 879-0249</v>
      </c>
      <c r="G164" s="3">
        <v>54194</v>
      </c>
      <c r="H164" s="3" t="s">
        <v>593</v>
      </c>
    </row>
    <row r="165" spans="1:8" ht="332.25" x14ac:dyDescent="0.25">
      <c r="A165" s="3" t="s">
        <v>594</v>
      </c>
      <c r="B165" s="3"/>
      <c r="C165" s="3" t="s">
        <v>595</v>
      </c>
      <c r="D165" s="3" t="s">
        <v>596</v>
      </c>
      <c r="E165" s="3" t="s">
        <v>597</v>
      </c>
      <c r="F165" s="3" t="str">
        <f>"219-662-2380"</f>
        <v>219-662-2380</v>
      </c>
      <c r="G165" s="3">
        <v>236220</v>
      </c>
      <c r="H165" s="3" t="s">
        <v>598</v>
      </c>
    </row>
    <row r="166" spans="1:8" ht="26.25" x14ac:dyDescent="0.25">
      <c r="A166" s="3" t="s">
        <v>599</v>
      </c>
      <c r="B166" s="3"/>
      <c r="C166" s="3" t="str">
        <f>"Food Service and Janitorial Supplies Distributor"</f>
        <v>Food Service and Janitorial Supplies Distributor</v>
      </c>
      <c r="D166" s="3" t="s">
        <v>600</v>
      </c>
      <c r="E166" s="3" t="s">
        <v>601</v>
      </c>
      <c r="F166" s="3" t="str">
        <f>"317-243-9234"</f>
        <v>317-243-9234</v>
      </c>
      <c r="G166" s="3">
        <v>424130</v>
      </c>
      <c r="H166" s="3" t="s">
        <v>602</v>
      </c>
    </row>
    <row r="167" spans="1:8" ht="26.25" x14ac:dyDescent="0.25">
      <c r="A167" s="3" t="s">
        <v>603</v>
      </c>
      <c r="B167" s="3"/>
      <c r="C167" s="3" t="str">
        <f>"DRUG TESTING"</f>
        <v>DRUG TESTING</v>
      </c>
      <c r="D167" s="3" t="s">
        <v>604</v>
      </c>
      <c r="E167" s="3" t="s">
        <v>46</v>
      </c>
      <c r="F167" s="3" t="str">
        <f>"800-578-2682"</f>
        <v>800-578-2682</v>
      </c>
      <c r="G167" s="3">
        <v>541380</v>
      </c>
      <c r="H167" s="3" t="s">
        <v>226</v>
      </c>
    </row>
    <row r="168" spans="1:8" ht="179.25" x14ac:dyDescent="0.25">
      <c r="A168" s="3" t="s">
        <v>605</v>
      </c>
      <c r="B168" s="3"/>
      <c r="C168" s="3" t="s">
        <v>606</v>
      </c>
      <c r="D168" s="3" t="s">
        <v>607</v>
      </c>
      <c r="E168" s="3" t="s">
        <v>608</v>
      </c>
      <c r="F168" s="3" t="str">
        <f>"812-945-7586"</f>
        <v>812-945-7586</v>
      </c>
      <c r="G168" s="3">
        <v>443120</v>
      </c>
      <c r="H168" s="3" t="s">
        <v>609</v>
      </c>
    </row>
    <row r="169" spans="1:8" x14ac:dyDescent="0.25">
      <c r="A169" s="3" t="s">
        <v>610</v>
      </c>
      <c r="B169" s="3"/>
      <c r="C169" s="3" t="str">
        <f>" "</f>
        <v xml:space="preserve"> </v>
      </c>
      <c r="D169" s="3" t="s">
        <v>9</v>
      </c>
      <c r="E169" s="3" t="s">
        <v>46</v>
      </c>
      <c r="F169" s="2"/>
      <c r="G169" s="3">
        <v>92312</v>
      </c>
      <c r="H169" s="3" t="s">
        <v>611</v>
      </c>
    </row>
    <row r="170" spans="1:8" ht="128.25" x14ac:dyDescent="0.25">
      <c r="A170" s="3" t="s">
        <v>612</v>
      </c>
      <c r="B170" s="3"/>
      <c r="C170" s="3" t="s">
        <v>613</v>
      </c>
      <c r="D170" s="3" t="s">
        <v>614</v>
      </c>
      <c r="E170" s="3" t="s">
        <v>615</v>
      </c>
      <c r="F170" s="3" t="str">
        <f>"317-891-2800"</f>
        <v>317-891-2800</v>
      </c>
      <c r="G170" s="3">
        <v>23599</v>
      </c>
      <c r="H170" s="3" t="s">
        <v>248</v>
      </c>
    </row>
    <row r="171" spans="1:8" ht="64.5" x14ac:dyDescent="0.25">
      <c r="A171" s="3" t="s">
        <v>616</v>
      </c>
      <c r="B171" s="3"/>
      <c r="C171" s="3" t="str">
        <f>"Simplicity and Snapper mowers sales and parts and service for many outdoor power equipment products including Dixon, Briggs &amp; Stratton, Kohler, Manco American Sportworks and others."</f>
        <v>Simplicity and Snapper mowers sales and parts and service for many outdoor power equipment products including Dixon, Briggs &amp; Stratton, Kohler, Manco American Sportworks and others.</v>
      </c>
      <c r="D171" s="3" t="s">
        <v>9</v>
      </c>
      <c r="E171" s="3" t="s">
        <v>617</v>
      </c>
      <c r="F171" s="3" t="str">
        <f>"765-662-1152"</f>
        <v>765-662-1152</v>
      </c>
      <c r="G171" s="3">
        <v>451120</v>
      </c>
      <c r="H171" s="3" t="s">
        <v>618</v>
      </c>
    </row>
    <row r="172" spans="1:8" ht="128.25" x14ac:dyDescent="0.25">
      <c r="A172" s="3" t="s">
        <v>619</v>
      </c>
      <c r="B172" s="3"/>
      <c r="C172" s="3" t="s">
        <v>620</v>
      </c>
      <c r="D172" s="3" t="s">
        <v>621</v>
      </c>
      <c r="E172" s="3" t="s">
        <v>622</v>
      </c>
      <c r="F172" s="3" t="str">
        <f>"7653491226"</f>
        <v>7653491226</v>
      </c>
      <c r="G172" s="3">
        <v>531390</v>
      </c>
      <c r="H172" s="3" t="s">
        <v>623</v>
      </c>
    </row>
    <row r="173" spans="1:8" ht="141" x14ac:dyDescent="0.25">
      <c r="A173" s="3" t="s">
        <v>624</v>
      </c>
      <c r="B173" s="3"/>
      <c r="C173" s="3" t="s">
        <v>625</v>
      </c>
      <c r="D173" s="3" t="s">
        <v>626</v>
      </c>
      <c r="E173" s="3" t="s">
        <v>627</v>
      </c>
      <c r="F173" s="3" t="str">
        <f>"317/574-8950"</f>
        <v>317/574-8950</v>
      </c>
      <c r="G173" s="3">
        <v>624110</v>
      </c>
      <c r="H173" s="3" t="s">
        <v>628</v>
      </c>
    </row>
    <row r="174" spans="1:8" ht="39" x14ac:dyDescent="0.25">
      <c r="A174" s="3" t="s">
        <v>629</v>
      </c>
      <c r="B174" s="3"/>
      <c r="C174" s="3" t="str">
        <f>"Install new cooling towers. Repair all makes and models of cooling towers. Cooling tower parts."</f>
        <v>Install new cooling towers. Repair all makes and models of cooling towers. Cooling tower parts.</v>
      </c>
      <c r="D174" s="3" t="s">
        <v>9</v>
      </c>
      <c r="E174" s="3" t="s">
        <v>630</v>
      </c>
      <c r="F174" s="3" t="str">
        <f>"812-744-4223"</f>
        <v>812-744-4223</v>
      </c>
      <c r="G174" s="3">
        <v>2359</v>
      </c>
      <c r="H174" s="3" t="s">
        <v>631</v>
      </c>
    </row>
    <row r="175" spans="1:8" ht="26.25" x14ac:dyDescent="0.25">
      <c r="A175" s="3" t="s">
        <v>632</v>
      </c>
      <c r="B175" s="3"/>
      <c r="C175" s="3" t="str">
        <f>"Document Imaging &amp; Solutions Provider. aka... copy, print, fax &amp; scan Solutions"</f>
        <v>Document Imaging &amp; Solutions Provider. aka... copy, print, fax &amp; scan Solutions</v>
      </c>
      <c r="D175" s="3" t="s">
        <v>633</v>
      </c>
      <c r="E175" s="3" t="s">
        <v>634</v>
      </c>
      <c r="F175" s="3" t="str">
        <f>"317-295-4430"</f>
        <v>317-295-4430</v>
      </c>
      <c r="G175" s="3">
        <v>423420</v>
      </c>
      <c r="H175" s="3" t="s">
        <v>521</v>
      </c>
    </row>
    <row r="176" spans="1:8" ht="51.75" x14ac:dyDescent="0.25">
      <c r="A176" s="3" t="s">
        <v>635</v>
      </c>
      <c r="B176" s="3"/>
      <c r="C176" s="3" t="str">
        <f>"Adan's staffing services was created with the single goal of customer satisfaction by providing the best employees to any client looking for a temporary staffing needs."</f>
        <v>Adan's staffing services was created with the single goal of customer satisfaction by providing the best employees to any client looking for a temporary staffing needs.</v>
      </c>
      <c r="D176" s="3" t="s">
        <v>636</v>
      </c>
      <c r="E176" s="3" t="s">
        <v>637</v>
      </c>
      <c r="F176" s="3" t="str">
        <f>"3174887339"</f>
        <v>3174887339</v>
      </c>
      <c r="G176" s="3">
        <v>561320</v>
      </c>
      <c r="H176" s="3" t="s">
        <v>15</v>
      </c>
    </row>
    <row r="177" spans="1:8" ht="77.25" x14ac:dyDescent="0.25">
      <c r="A177" s="3" t="s">
        <v>638</v>
      </c>
      <c r="B177" s="3"/>
      <c r="C177" s="3" t="str">
        <f>"ADEC assists those living with developmental disabilities, helping them maximize their abilities in order to meet goals and dreams and fully participate in the community of which they are vital members."</f>
        <v>ADEC assists those living with developmental disabilities, helping them maximize their abilities in order to meet goals and dreams and fully participate in the community of which they are vital members.</v>
      </c>
      <c r="D177" s="3" t="s">
        <v>639</v>
      </c>
      <c r="E177" s="3" t="s">
        <v>640</v>
      </c>
      <c r="F177" s="3" t="str">
        <f>"574-295-3167"</f>
        <v>574-295-3167</v>
      </c>
      <c r="G177" s="3">
        <v>62412</v>
      </c>
      <c r="H177" s="3" t="s">
        <v>22</v>
      </c>
    </row>
    <row r="178" spans="1:8" ht="64.5" x14ac:dyDescent="0.25">
      <c r="A178" s="3" t="s">
        <v>641</v>
      </c>
      <c r="B178" s="3"/>
      <c r="C178" s="3" t="str">
        <f>"ADL has contract authority specializing in Truckload and Expedited Services as well as National Highway Brokerage authority. Equipment is domiciled in northern and central Indiana."</f>
        <v>ADL has contract authority specializing in Truckload and Expedited Services as well as National Highway Brokerage authority. Equipment is domiciled in northern and central Indiana.</v>
      </c>
      <c r="D178" s="3" t="s">
        <v>642</v>
      </c>
      <c r="E178" s="3" t="s">
        <v>643</v>
      </c>
      <c r="F178" s="3" t="str">
        <f>"765-434-4235"</f>
        <v>765-434-4235</v>
      </c>
      <c r="G178" s="3">
        <v>484110</v>
      </c>
      <c r="H178" s="3" t="s">
        <v>644</v>
      </c>
    </row>
    <row r="179" spans="1:8" ht="26.25" x14ac:dyDescent="0.25">
      <c r="A179" s="3" t="s">
        <v>645</v>
      </c>
      <c r="B179" s="3"/>
      <c r="C179" s="3" t="str">
        <f>"WE CAN PRINT FROM BUSINESS CARDS TO BANNERS."</f>
        <v>WE CAN PRINT FROM BUSINESS CARDS TO BANNERS.</v>
      </c>
      <c r="D179" s="3" t="s">
        <v>646</v>
      </c>
      <c r="E179" s="3" t="s">
        <v>647</v>
      </c>
      <c r="F179" s="3" t="str">
        <f>"2193220200"</f>
        <v>2193220200</v>
      </c>
      <c r="G179" s="3">
        <v>32311</v>
      </c>
      <c r="H179" s="3" t="s">
        <v>531</v>
      </c>
    </row>
    <row r="180" spans="1:8" ht="243" x14ac:dyDescent="0.25">
      <c r="A180" s="3" t="s">
        <v>648</v>
      </c>
      <c r="B180" s="3"/>
      <c r="C180" s="3" t="s">
        <v>649</v>
      </c>
      <c r="D180" s="3" t="s">
        <v>650</v>
      </c>
      <c r="E180" s="3" t="s">
        <v>651</v>
      </c>
      <c r="F180" s="3" t="str">
        <f>"219-398-3800"</f>
        <v>219-398-3800</v>
      </c>
      <c r="G180" s="3">
        <v>541690</v>
      </c>
      <c r="H180" s="3" t="s">
        <v>652</v>
      </c>
    </row>
    <row r="181" spans="1:8" ht="115.5" x14ac:dyDescent="0.25">
      <c r="A181" s="3" t="s">
        <v>653</v>
      </c>
      <c r="B181" s="3"/>
      <c r="C181" s="3" t="s">
        <v>654</v>
      </c>
      <c r="D181" s="3" t="s">
        <v>655</v>
      </c>
      <c r="E181" s="3" t="s">
        <v>656</v>
      </c>
      <c r="F181" s="3" t="str">
        <f>"317-842-8141"</f>
        <v>317-842-8141</v>
      </c>
      <c r="G181" s="3">
        <v>54187</v>
      </c>
      <c r="H181" s="3" t="s">
        <v>657</v>
      </c>
    </row>
    <row r="182" spans="1:8" ht="115.5" x14ac:dyDescent="0.25">
      <c r="A182" s="3" t="s">
        <v>658</v>
      </c>
      <c r="B182" s="3"/>
      <c r="C182" s="3" t="s">
        <v>659</v>
      </c>
      <c r="D182" s="3" t="s">
        <v>660</v>
      </c>
      <c r="E182" s="3" t="s">
        <v>661</v>
      </c>
      <c r="F182" s="3" t="str">
        <f>"765.855.1612"</f>
        <v>765.855.1612</v>
      </c>
      <c r="G182" s="3">
        <v>541611</v>
      </c>
      <c r="H182" s="3" t="s">
        <v>278</v>
      </c>
    </row>
    <row r="183" spans="1:8" ht="230.25" x14ac:dyDescent="0.25">
      <c r="A183" s="3" t="s">
        <v>662</v>
      </c>
      <c r="B183" s="3"/>
      <c r="C183" s="3" t="s">
        <v>663</v>
      </c>
      <c r="D183" s="3" t="s">
        <v>664</v>
      </c>
      <c r="E183" s="3" t="s">
        <v>665</v>
      </c>
      <c r="F183" s="3" t="str">
        <f>"317-831-3710"</f>
        <v>317-831-3710</v>
      </c>
      <c r="G183" s="3">
        <v>488190</v>
      </c>
      <c r="H183" s="3" t="s">
        <v>666</v>
      </c>
    </row>
    <row r="184" spans="1:8" ht="115.5" x14ac:dyDescent="0.25">
      <c r="A184" s="3" t="s">
        <v>667</v>
      </c>
      <c r="B184" s="3"/>
      <c r="C184" s="3" t="s">
        <v>668</v>
      </c>
      <c r="D184" s="3" t="s">
        <v>669</v>
      </c>
      <c r="E184" s="3" t="s">
        <v>670</v>
      </c>
      <c r="F184" s="3" t="str">
        <f>"812-726-4500"</f>
        <v>812-726-4500</v>
      </c>
      <c r="G184" s="3">
        <v>5415</v>
      </c>
      <c r="H184" s="3" t="s">
        <v>188</v>
      </c>
    </row>
    <row r="185" spans="1:8" ht="179.25" x14ac:dyDescent="0.25">
      <c r="A185" s="3" t="s">
        <v>671</v>
      </c>
      <c r="B185" s="3"/>
      <c r="C185" s="3" t="s">
        <v>672</v>
      </c>
      <c r="D185" s="3" t="s">
        <v>9</v>
      </c>
      <c r="E185" s="3" t="s">
        <v>673</v>
      </c>
      <c r="F185" s="3" t="str">
        <f>"765-962-4422"</f>
        <v>765-962-4422</v>
      </c>
      <c r="G185" s="3">
        <v>42</v>
      </c>
      <c r="H185" s="3" t="s">
        <v>674</v>
      </c>
    </row>
    <row r="186" spans="1:8" ht="217.5" x14ac:dyDescent="0.25">
      <c r="A186" s="3" t="s">
        <v>675</v>
      </c>
      <c r="B186" s="3"/>
      <c r="C186" s="3" t="s">
        <v>676</v>
      </c>
      <c r="D186" s="3" t="s">
        <v>677</v>
      </c>
      <c r="E186" s="3" t="s">
        <v>46</v>
      </c>
      <c r="F186" s="3" t="str">
        <f>"877-901-2237"</f>
        <v>877-901-2237</v>
      </c>
      <c r="G186" s="3">
        <v>524114</v>
      </c>
      <c r="H186" s="3" t="s">
        <v>678</v>
      </c>
    </row>
    <row r="187" spans="1:8" ht="77.25" x14ac:dyDescent="0.25">
      <c r="A187" s="3" t="s">
        <v>679</v>
      </c>
      <c r="B187" s="3"/>
      <c r="C187" s="3" t="str">
        <f>"ADX Communications is the Premier Leader in the Telecommunication World. We stand above the rest in telephony services, phone systems, computer service, 2 way radios, lightbar installation, sirens, strobes, specialiazing in municipal vehicles."</f>
        <v>ADX Communications is the Premier Leader in the Telecommunication World. We stand above the rest in telephony services, phone systems, computer service, 2 way radios, lightbar installation, sirens, strobes, specialiazing in municipal vehicles.</v>
      </c>
      <c r="D187" s="3" t="s">
        <v>680</v>
      </c>
      <c r="E187" s="3" t="s">
        <v>681</v>
      </c>
      <c r="F187" s="3" t="str">
        <f>"219-659-6000"</f>
        <v>219-659-6000</v>
      </c>
      <c r="G187" s="3">
        <v>517</v>
      </c>
      <c r="H187" s="3" t="s">
        <v>682</v>
      </c>
    </row>
    <row r="188" spans="1:8" ht="217.5" x14ac:dyDescent="0.25">
      <c r="A188" s="3" t="s">
        <v>683</v>
      </c>
      <c r="B188" s="3"/>
      <c r="C188" s="3" t="s">
        <v>684</v>
      </c>
      <c r="D188" s="3" t="s">
        <v>685</v>
      </c>
      <c r="E188" s="3" t="s">
        <v>686</v>
      </c>
      <c r="F188" s="3" t="str">
        <f>"317-974-9328"</f>
        <v>317-974-9328</v>
      </c>
      <c r="G188" s="3">
        <v>541410</v>
      </c>
      <c r="H188" s="3" t="s">
        <v>687</v>
      </c>
    </row>
    <row r="189" spans="1:8" ht="39" x14ac:dyDescent="0.25">
      <c r="A189" s="3" t="s">
        <v>688</v>
      </c>
      <c r="B189" s="3"/>
      <c r="C189" s="3" t="str">
        <f>"Professional Engineerings services for design and inspection of transportation facilities"</f>
        <v>Professional Engineerings services for design and inspection of transportation facilities</v>
      </c>
      <c r="D189" s="3" t="s">
        <v>9</v>
      </c>
      <c r="E189" s="3" t="s">
        <v>689</v>
      </c>
      <c r="F189" s="3" t="str">
        <f>"(812) 355-8650"</f>
        <v>(812) 355-8650</v>
      </c>
      <c r="G189" s="3">
        <v>541330</v>
      </c>
      <c r="H189" s="3" t="s">
        <v>82</v>
      </c>
    </row>
    <row r="190" spans="1:8" ht="90" x14ac:dyDescent="0.25">
      <c r="A190" s="3" t="s">
        <v>690</v>
      </c>
      <c r="B190" s="3"/>
      <c r="C190" s="3" t="str">
        <f>"International Consulting, Training, and System Development Organization primarily focusing on the automotive collision repair and service industry. ISO9000, Production Improvements, Technical Development, and Management Training are key focused provided."</f>
        <v>International Consulting, Training, and System Development Organization primarily focusing on the automotive collision repair and service industry. ISO9000, Production Improvements, Technical Development, and Management Training are key focused provided.</v>
      </c>
      <c r="D190" s="3" t="s">
        <v>691</v>
      </c>
      <c r="E190" s="3" t="s">
        <v>692</v>
      </c>
      <c r="F190" s="3" t="str">
        <f>"317 290-0611"</f>
        <v>317 290-0611</v>
      </c>
      <c r="G190" s="3">
        <v>541614</v>
      </c>
      <c r="H190" s="3" t="s">
        <v>107</v>
      </c>
    </row>
    <row r="191" spans="1:8" ht="26.25" x14ac:dyDescent="0.25">
      <c r="A191" s="3" t="s">
        <v>693</v>
      </c>
      <c r="B191" s="3"/>
      <c r="C191" s="3" t="str">
        <f>"Book binding and handwork"</f>
        <v>Book binding and handwork</v>
      </c>
      <c r="D191" s="3" t="s">
        <v>9</v>
      </c>
      <c r="E191" s="3" t="s">
        <v>46</v>
      </c>
      <c r="F191" s="3" t="str">
        <f>"765/361-0806"</f>
        <v>765/361-0806</v>
      </c>
      <c r="G191" s="3">
        <v>323121</v>
      </c>
      <c r="H191" s="3" t="s">
        <v>694</v>
      </c>
    </row>
    <row r="192" spans="1:8" ht="306.75" x14ac:dyDescent="0.25">
      <c r="A192" s="3" t="s">
        <v>695</v>
      </c>
      <c r="B192" s="3"/>
      <c r="C192" s="3" t="s">
        <v>696</v>
      </c>
      <c r="D192" s="3" t="s">
        <v>697</v>
      </c>
      <c r="E192" s="3" t="s">
        <v>698</v>
      </c>
      <c r="F192" s="3" t="str">
        <f>"773 756 3388"</f>
        <v>773 756 3388</v>
      </c>
      <c r="G192" s="3">
        <v>541330</v>
      </c>
      <c r="H192" s="3" t="s">
        <v>82</v>
      </c>
    </row>
    <row r="193" spans="1:8" ht="39" x14ac:dyDescent="0.25">
      <c r="A193" s="3" t="s">
        <v>699</v>
      </c>
      <c r="B193" s="3"/>
      <c r="C193" s="3" t="str">
        <f>"Gas detection, respitory, and air monitoring equipment. Industrial, Fire Market, EMA's, First Responders."</f>
        <v>Gas detection, respitory, and air monitoring equipment. Industrial, Fire Market, EMA's, First Responders.</v>
      </c>
      <c r="D193" s="3" t="s">
        <v>700</v>
      </c>
      <c r="E193" s="3" t="s">
        <v>701</v>
      </c>
      <c r="F193" s="3" t="str">
        <f>"219-987-6825"</f>
        <v>219-987-6825</v>
      </c>
      <c r="G193" s="3">
        <v>334519</v>
      </c>
      <c r="H193" s="3" t="s">
        <v>702</v>
      </c>
    </row>
    <row r="194" spans="1:8" ht="77.25" x14ac:dyDescent="0.25">
      <c r="A194" s="3" t="s">
        <v>703</v>
      </c>
      <c r="B194" s="3"/>
      <c r="C194" s="3" t="str">
        <f>"Construction Management, Civil, Mechanical, Electrial and Structral Engineering, Construction Inspection, Material Testing, Material Supplies, Structural Steel Election, Reinforcing Steel Placement, and Gutter Installation."</f>
        <v>Construction Management, Civil, Mechanical, Electrial and Structral Engineering, Construction Inspection, Material Testing, Material Supplies, Structural Steel Election, Reinforcing Steel Placement, and Gutter Installation.</v>
      </c>
      <c r="D194" s="3" t="s">
        <v>704</v>
      </c>
      <c r="E194" s="3" t="s">
        <v>705</v>
      </c>
      <c r="F194" s="3" t="str">
        <f>"877-435-6104"</f>
        <v>877-435-6104</v>
      </c>
      <c r="G194" s="3">
        <v>541330</v>
      </c>
      <c r="H194" s="3" t="s">
        <v>82</v>
      </c>
    </row>
    <row r="195" spans="1:8" ht="64.5" x14ac:dyDescent="0.25">
      <c r="A195" s="3" t="s">
        <v>706</v>
      </c>
      <c r="B195" s="3"/>
      <c r="C195" s="3" t="str">
        <f>"Ag GIS Solutions is a provider of GIS expertise and services. Ranging from general consultation to data collection to data management application creation and deployment."</f>
        <v>Ag GIS Solutions is a provider of GIS expertise and services. Ranging from general consultation to data collection to data management application creation and deployment.</v>
      </c>
      <c r="D195" s="3" t="s">
        <v>707</v>
      </c>
      <c r="E195" s="3" t="s">
        <v>46</v>
      </c>
      <c r="F195" s="3" t="str">
        <f>"765-560-6030"</f>
        <v>765-560-6030</v>
      </c>
      <c r="G195" s="3">
        <v>541370</v>
      </c>
      <c r="H195" s="3" t="s">
        <v>160</v>
      </c>
    </row>
    <row r="196" spans="1:8" ht="90" x14ac:dyDescent="0.25">
      <c r="A196" s="3" t="s">
        <v>708</v>
      </c>
      <c r="B196" s="3"/>
      <c r="C196" s="3" t="str">
        <f>"AGI provides warehousing services, light subassembly of components, imports automotive components from low cost countries, and is looking to expand its domestic presence to produce domestic products through strategic partnerships and/or joint ventures"</f>
        <v>AGI provides warehousing services, light subassembly of components, imports automotive components from low cost countries, and is looking to expand its domestic presence to produce domestic products through strategic partnerships and/or joint ventures</v>
      </c>
      <c r="D196" s="3" t="s">
        <v>709</v>
      </c>
      <c r="E196" s="3" t="s">
        <v>710</v>
      </c>
      <c r="F196" s="3" t="str">
        <f>"317-536-2415"</f>
        <v>317-536-2415</v>
      </c>
      <c r="G196" s="3">
        <v>541614</v>
      </c>
      <c r="H196" s="3" t="s">
        <v>107</v>
      </c>
    </row>
    <row r="197" spans="1:8" ht="26.25" x14ac:dyDescent="0.25">
      <c r="A197" s="3" t="s">
        <v>711</v>
      </c>
      <c r="B197" s="3"/>
      <c r="C197" s="3" t="str">
        <f>"Aerial application of crop protection products for agriculture and forestry."</f>
        <v>Aerial application of crop protection products for agriculture and forestry.</v>
      </c>
      <c r="D197" s="3" t="s">
        <v>712</v>
      </c>
      <c r="E197" s="3" t="s">
        <v>713</v>
      </c>
      <c r="F197" s="3" t="str">
        <f>"574.862.4392"</f>
        <v>574.862.4392</v>
      </c>
      <c r="G197" s="3">
        <v>115</v>
      </c>
      <c r="H197" s="3" t="s">
        <v>714</v>
      </c>
    </row>
    <row r="198" spans="1:8" ht="64.5" x14ac:dyDescent="0.25">
      <c r="A198" s="3" t="s">
        <v>715</v>
      </c>
      <c r="B198" s="3"/>
      <c r="C198" s="3" t="str">
        <f>"Provider of equipment, software, and services to help companies manage, track, and sort physical goods. Barcode scanners, wifi, labesl, and label printers are fundamentals of our business"</f>
        <v>Provider of equipment, software, and services to help companies manage, track, and sort physical goods. Barcode scanners, wifi, labesl, and label printers are fundamentals of our business</v>
      </c>
      <c r="D198" s="3" t="s">
        <v>716</v>
      </c>
      <c r="E198" s="3" t="s">
        <v>717</v>
      </c>
      <c r="F198" s="3" t="str">
        <f>"317 716 1739"</f>
        <v>317 716 1739</v>
      </c>
      <c r="G198" s="3">
        <v>5415</v>
      </c>
      <c r="H198" s="3" t="s">
        <v>188</v>
      </c>
    </row>
    <row r="199" spans="1:8" ht="77.25" x14ac:dyDescent="0.25">
      <c r="A199" s="3" t="s">
        <v>718</v>
      </c>
      <c r="B199" s="3"/>
      <c r="C199" s="3" t="str">
        <f>"The mission of the AIDS Task Force in northeast Indiana is to improve the quality of life for men, women, and children with HIV and AIDS, reduce the incidence of HIV and STD infection, and increase public understanding of HIV and AIDS."</f>
        <v>The mission of the AIDS Task Force in northeast Indiana is to improve the quality of life for men, women, and children with HIV and AIDS, reduce the incidence of HIV and STD infection, and increase public understanding of HIV and AIDS.</v>
      </c>
      <c r="D199" s="3" t="s">
        <v>719</v>
      </c>
      <c r="E199" s="3" t="s">
        <v>720</v>
      </c>
      <c r="F199" s="3" t="str">
        <f>"260-744-1144"</f>
        <v>260-744-1144</v>
      </c>
      <c r="G199" s="3">
        <v>624190</v>
      </c>
      <c r="H199" s="3" t="s">
        <v>54</v>
      </c>
    </row>
    <row r="200" spans="1:8" ht="64.5" x14ac:dyDescent="0.25">
      <c r="A200" s="3" t="s">
        <v>721</v>
      </c>
      <c r="B200" s="3"/>
      <c r="C200" s="3" t="str">
        <f>"The Aliveness Project of NWI is not-for-profit social service agency providing services to those individuals that are infected and impacted by HIV/AIDS in Northwest Indiana."</f>
        <v>The Aliveness Project of NWI is not-for-profit social service agency providing services to those individuals that are infected and impacted by HIV/AIDS in Northwest Indiana.</v>
      </c>
      <c r="D200" s="3" t="s">
        <v>722</v>
      </c>
      <c r="E200" s="3" t="s">
        <v>723</v>
      </c>
      <c r="F200" s="3" t="str">
        <f>"219 985-6170"</f>
        <v>219 985-6170</v>
      </c>
      <c r="G200" s="3">
        <v>923130</v>
      </c>
      <c r="H200" s="3" t="s">
        <v>724</v>
      </c>
    </row>
    <row r="201" spans="1:8" ht="26.25" x14ac:dyDescent="0.25">
      <c r="A201" s="3" t="s">
        <v>725</v>
      </c>
      <c r="B201" s="3"/>
      <c r="C201" s="3" t="str">
        <f>"A not-for-profit social service agency"</f>
        <v>A not-for-profit social service agency</v>
      </c>
      <c r="D201" s="3" t="s">
        <v>9</v>
      </c>
      <c r="E201" s="3" t="s">
        <v>46</v>
      </c>
      <c r="F201" s="3" t="str">
        <f>"219 985-6170"</f>
        <v>219 985-6170</v>
      </c>
      <c r="G201" s="3">
        <v>923130</v>
      </c>
      <c r="H201" s="3" t="s">
        <v>724</v>
      </c>
    </row>
    <row r="202" spans="1:8" ht="26.25" x14ac:dyDescent="0.25">
      <c r="A202" s="3" t="s">
        <v>726</v>
      </c>
      <c r="B202" s="3"/>
      <c r="C202" s="3" t="str">
        <f>" "</f>
        <v xml:space="preserve"> </v>
      </c>
      <c r="D202" s="3" t="s">
        <v>9</v>
      </c>
      <c r="E202" s="3" t="s">
        <v>46</v>
      </c>
      <c r="F202" s="2"/>
      <c r="G202" s="3">
        <v>8139</v>
      </c>
      <c r="H202" s="3" t="s">
        <v>727</v>
      </c>
    </row>
    <row r="203" spans="1:8" ht="192" x14ac:dyDescent="0.25">
      <c r="A203" s="3" t="s">
        <v>728</v>
      </c>
      <c r="B203" s="3"/>
      <c r="C203" s="3" t="s">
        <v>729</v>
      </c>
      <c r="D203" s="3" t="s">
        <v>9</v>
      </c>
      <c r="E203" s="3" t="s">
        <v>730</v>
      </c>
      <c r="F203" s="3" t="str">
        <f>"574-293-6423"</f>
        <v>574-293-6423</v>
      </c>
      <c r="G203" s="3">
        <v>541360</v>
      </c>
      <c r="H203" s="3" t="s">
        <v>165</v>
      </c>
    </row>
    <row r="204" spans="1:8" ht="77.25" x14ac:dyDescent="0.25">
      <c r="A204" s="3" t="s">
        <v>731</v>
      </c>
      <c r="B204" s="3"/>
      <c r="C204" s="3" t="str">
        <f>"AIRVAC provides components and design services for vacuum sewerage systems, an alternative to traditional gravity sewer systems. Typical applications are provided for public service districts, industrial and commercial organizations."</f>
        <v>AIRVAC provides components and design services for vacuum sewerage systems, an alternative to traditional gravity sewer systems. Typical applications are provided for public service districts, industrial and commercial organizations.</v>
      </c>
      <c r="D204" s="3" t="s">
        <v>732</v>
      </c>
      <c r="E204" s="3" t="s">
        <v>733</v>
      </c>
      <c r="F204" s="3" t="str">
        <f>"574-223-3980"</f>
        <v>574-223-3980</v>
      </c>
      <c r="G204" s="3">
        <v>221320</v>
      </c>
      <c r="H204" s="3" t="s">
        <v>734</v>
      </c>
    </row>
    <row r="205" spans="1:8" ht="255.75" x14ac:dyDescent="0.25">
      <c r="A205" s="3" t="s">
        <v>735</v>
      </c>
      <c r="B205" s="3"/>
      <c r="C205" s="3" t="s">
        <v>736</v>
      </c>
      <c r="D205" s="3" t="s">
        <v>737</v>
      </c>
      <c r="E205" s="3" t="s">
        <v>738</v>
      </c>
      <c r="F205" s="3" t="str">
        <f>"540-532-9500"</f>
        <v>540-532-9500</v>
      </c>
      <c r="G205" s="3">
        <v>541910</v>
      </c>
      <c r="H205" s="3" t="s">
        <v>510</v>
      </c>
    </row>
    <row r="206" spans="1:8" ht="141" x14ac:dyDescent="0.25">
      <c r="A206" s="3" t="s">
        <v>739</v>
      </c>
      <c r="B206" s="3"/>
      <c r="C206" s="3" t="s">
        <v>740</v>
      </c>
      <c r="D206" s="3" t="s">
        <v>9</v>
      </c>
      <c r="E206" s="3" t="s">
        <v>741</v>
      </c>
      <c r="F206" s="3" t="str">
        <f>"812-735-2987"</f>
        <v>812-735-2987</v>
      </c>
      <c r="G206" s="3">
        <v>23</v>
      </c>
      <c r="H206" s="3" t="s">
        <v>133</v>
      </c>
    </row>
    <row r="207" spans="1:8" ht="179.25" x14ac:dyDescent="0.25">
      <c r="A207" s="3" t="s">
        <v>742</v>
      </c>
      <c r="B207" s="3"/>
      <c r="C207" s="3" t="s">
        <v>743</v>
      </c>
      <c r="D207" s="3" t="s">
        <v>744</v>
      </c>
      <c r="E207" s="3" t="s">
        <v>745</v>
      </c>
      <c r="F207" s="3" t="str">
        <f>"800.529.1218"</f>
        <v>800.529.1218</v>
      </c>
      <c r="G207" s="3">
        <v>484110</v>
      </c>
      <c r="H207" s="3" t="s">
        <v>644</v>
      </c>
    </row>
    <row r="208" spans="1:8" ht="90" x14ac:dyDescent="0.25">
      <c r="A208" s="3" t="s">
        <v>746</v>
      </c>
      <c r="B208" s="3"/>
      <c r="C208" s="3" t="s">
        <v>747</v>
      </c>
      <c r="D208" s="3" t="s">
        <v>748</v>
      </c>
      <c r="E208" s="3" t="s">
        <v>749</v>
      </c>
      <c r="F208" s="3" t="str">
        <f>"317-227-1014"</f>
        <v>317-227-1014</v>
      </c>
      <c r="G208" s="3">
        <v>54</v>
      </c>
      <c r="H208" s="3" t="s">
        <v>179</v>
      </c>
    </row>
    <row r="209" spans="1:8" ht="26.25" x14ac:dyDescent="0.25">
      <c r="A209" s="3" t="s">
        <v>750</v>
      </c>
      <c r="B209" s="3"/>
      <c r="C209" s="3" t="str">
        <f>"Providing professional ckleaning services for you business or residential needs!"</f>
        <v>Providing professional ckleaning services for you business or residential needs!</v>
      </c>
      <c r="D209" s="3" t="s">
        <v>9</v>
      </c>
      <c r="E209" s="3" t="s">
        <v>46</v>
      </c>
      <c r="F209" s="3" t="str">
        <f>"317-506-0563"</f>
        <v>317-506-0563</v>
      </c>
      <c r="G209" s="3">
        <v>81</v>
      </c>
      <c r="H209" s="3" t="s">
        <v>751</v>
      </c>
    </row>
    <row r="210" spans="1:8" ht="115.5" x14ac:dyDescent="0.25">
      <c r="A210" s="3" t="s">
        <v>752</v>
      </c>
      <c r="B210" s="3"/>
      <c r="C210" s="3" t="s">
        <v>753</v>
      </c>
      <c r="D210" s="3" t="s">
        <v>9</v>
      </c>
      <c r="E210" s="3" t="s">
        <v>754</v>
      </c>
      <c r="F210" s="3" t="str">
        <f>"317-268-4952"</f>
        <v>317-268-4952</v>
      </c>
      <c r="G210" s="3">
        <v>541330</v>
      </c>
      <c r="H210" s="3" t="s">
        <v>82</v>
      </c>
    </row>
    <row r="211" spans="1:8" ht="77.25" x14ac:dyDescent="0.25">
      <c r="A211" s="3" t="s">
        <v>755</v>
      </c>
      <c r="B211" s="3"/>
      <c r="C211" s="3" t="str">
        <f>"Family owned transportation business since 1959. Providing liquid and dry anti-icer and deicers along with dust control products. All products can be delivered via bulk truck with our own fleet. or ordered in small quantities and shipped."</f>
        <v>Family owned transportation business since 1959. Providing liquid and dry anti-icer and deicers along with dust control products. All products can be delivered via bulk truck with our own fleet. or ordered in small quantities and shipped.</v>
      </c>
      <c r="D211" s="3" t="s">
        <v>756</v>
      </c>
      <c r="E211" s="3" t="s">
        <v>757</v>
      </c>
      <c r="F211" s="3" t="str">
        <f>"574-533-1109"</f>
        <v>574-533-1109</v>
      </c>
      <c r="G211" s="3">
        <v>48412</v>
      </c>
      <c r="H211" s="3" t="s">
        <v>758</v>
      </c>
    </row>
    <row r="212" spans="1:8" ht="26.25" x14ac:dyDescent="0.25">
      <c r="A212" s="3" t="s">
        <v>759</v>
      </c>
      <c r="B212" s="3"/>
      <c r="C212" s="3" t="str">
        <f>"Broker/distributor of commerical and industrial flooring systems"</f>
        <v>Broker/distributor of commerical and industrial flooring systems</v>
      </c>
      <c r="D212" s="3" t="s">
        <v>760</v>
      </c>
      <c r="E212" s="3" t="s">
        <v>761</v>
      </c>
      <c r="F212" s="3" t="str">
        <f>"317/353-9390"</f>
        <v>317/353-9390</v>
      </c>
      <c r="G212" s="3">
        <v>425120</v>
      </c>
      <c r="H212" s="3" t="s">
        <v>58</v>
      </c>
    </row>
    <row r="213" spans="1:8" ht="51.75" x14ac:dyDescent="0.25">
      <c r="A213" s="3" t="s">
        <v>762</v>
      </c>
      <c r="B213" s="3"/>
      <c r="C213" s="3" t="str">
        <f>"Sales, installation, monitoring and servicing of burglar and fire alarm systems. Also sales, installation, and servicing of CCTV systems and access control systems."</f>
        <v>Sales, installation, monitoring and servicing of burglar and fire alarm systems. Also sales, installation, and servicing of CCTV systems and access control systems.</v>
      </c>
      <c r="D213" s="3" t="s">
        <v>763</v>
      </c>
      <c r="E213" s="3" t="s">
        <v>764</v>
      </c>
      <c r="F213" s="3" t="str">
        <f>"219-736-4700"</f>
        <v>219-736-4700</v>
      </c>
      <c r="G213" s="3">
        <v>541990</v>
      </c>
      <c r="H213" s="3" t="s">
        <v>378</v>
      </c>
    </row>
    <row r="214" spans="1:8" ht="77.25" x14ac:dyDescent="0.25">
      <c r="A214" s="3" t="s">
        <v>765</v>
      </c>
      <c r="B214" s="3"/>
      <c r="C214" s="3" t="str">
        <f>"All Star Paving Inc is a certified Veteran Owned Business. We do paving, light excavation, patch work, sealcoating, grading, stone work, concrete, and snow removal. From local home owners to municipalities, we do it all."</f>
        <v>All Star Paving Inc is a certified Veteran Owned Business. We do paving, light excavation, patch work, sealcoating, grading, stone work, concrete, and snow removal. From local home owners to municipalities, we do it all.</v>
      </c>
      <c r="D214" s="3" t="s">
        <v>766</v>
      </c>
      <c r="E214" s="3" t="s">
        <v>767</v>
      </c>
      <c r="F214" s="3" t="str">
        <f>"812-522-4477"</f>
        <v>812-522-4477</v>
      </c>
      <c r="G214" s="3">
        <v>237310</v>
      </c>
      <c r="H214" s="3" t="s">
        <v>768</v>
      </c>
    </row>
    <row r="215" spans="1:8" ht="64.5" x14ac:dyDescent="0.25">
      <c r="A215" s="3" t="s">
        <v>769</v>
      </c>
      <c r="B215" s="3"/>
      <c r="C215" s="3" t="str">
        <f>"construction of new and remodling of old residental or commercial projects try to handle the needs of any and all type of construction needs that also includes residential or commercial projects"</f>
        <v>construction of new and remodling of old residental or commercial projects try to handle the needs of any and all type of construction needs that also includes residential or commercial projects</v>
      </c>
      <c r="D215" s="3" t="s">
        <v>9</v>
      </c>
      <c r="E215" s="3" t="s">
        <v>46</v>
      </c>
      <c r="F215" s="2"/>
      <c r="G215" s="3">
        <v>23</v>
      </c>
      <c r="H215" s="3" t="s">
        <v>133</v>
      </c>
    </row>
    <row r="216" spans="1:8" ht="102.75" x14ac:dyDescent="0.25">
      <c r="A216" s="3" t="s">
        <v>770</v>
      </c>
      <c r="B216" s="3"/>
      <c r="C216" s="3" t="s">
        <v>771</v>
      </c>
      <c r="D216" s="3" t="s">
        <v>772</v>
      </c>
      <c r="E216" s="3" t="s">
        <v>773</v>
      </c>
      <c r="F216" s="3" t="str">
        <f>"574-993-7772"</f>
        <v>574-993-7772</v>
      </c>
      <c r="G216" s="3">
        <v>238210</v>
      </c>
      <c r="H216" s="3" t="s">
        <v>306</v>
      </c>
    </row>
    <row r="217" spans="1:8" ht="39" x14ac:dyDescent="0.25">
      <c r="A217" s="3" t="s">
        <v>774</v>
      </c>
      <c r="B217" s="3"/>
      <c r="C217" s="3" t="str">
        <f>"Fork lift truck sales, service, rentals and parts for all makes and models-Industrial battery sales, service and rentals."</f>
        <v>Fork lift truck sales, service, rentals and parts for all makes and models-Industrial battery sales, service and rentals.</v>
      </c>
      <c r="D217" s="3" t="s">
        <v>775</v>
      </c>
      <c r="E217" s="3" t="s">
        <v>776</v>
      </c>
      <c r="F217" s="3" t="str">
        <f>"317-487-1400"</f>
        <v>317-487-1400</v>
      </c>
      <c r="G217" s="3">
        <v>532412</v>
      </c>
      <c r="H217" s="3" t="s">
        <v>777</v>
      </c>
    </row>
    <row r="218" spans="1:8" ht="51.75" x14ac:dyDescent="0.25">
      <c r="A218" s="3" t="s">
        <v>778</v>
      </c>
      <c r="B218" s="3"/>
      <c r="C218" s="3" t="str">
        <f>"ALLTUFF Products manufacturers bags for the Public Safety community including bags for Fire Rescue, EMS, Trauma , Bike Medics and Law Enforcement."</f>
        <v>ALLTUFF Products manufacturers bags for the Public Safety community including bags for Fire Rescue, EMS, Trauma , Bike Medics and Law Enforcement.</v>
      </c>
      <c r="D218" s="3" t="s">
        <v>779</v>
      </c>
      <c r="E218" s="3" t="s">
        <v>780</v>
      </c>
      <c r="F218" s="3" t="str">
        <f>"260-471-5903"</f>
        <v>260-471-5903</v>
      </c>
      <c r="G218" s="3">
        <v>314911</v>
      </c>
      <c r="H218" s="3" t="s">
        <v>781</v>
      </c>
    </row>
    <row r="219" spans="1:8" ht="39" x14ac:dyDescent="0.25">
      <c r="A219" s="3" t="s">
        <v>782</v>
      </c>
      <c r="B219" s="3"/>
      <c r="C219" s="3" t="str">
        <f>"Commercial, Residential, Industrial, and Environmental Excavation, Demolition, and Restoration. IDEM Rule 5 Compliant."</f>
        <v>Commercial, Residential, Industrial, and Environmental Excavation, Demolition, and Restoration. IDEM Rule 5 Compliant.</v>
      </c>
      <c r="D219" s="3" t="s">
        <v>9</v>
      </c>
      <c r="E219" s="3" t="s">
        <v>783</v>
      </c>
      <c r="F219" s="3" t="str">
        <f>"(812) 508-9868"</f>
        <v>(812) 508-9868</v>
      </c>
      <c r="G219" s="3">
        <v>23593</v>
      </c>
      <c r="H219" s="3" t="s">
        <v>71</v>
      </c>
    </row>
    <row r="220" spans="1:8" ht="306.75" x14ac:dyDescent="0.25">
      <c r="A220" s="3" t="s">
        <v>784</v>
      </c>
      <c r="B220" s="3"/>
      <c r="C220" s="3" t="s">
        <v>785</v>
      </c>
      <c r="D220" s="3" t="s">
        <v>786</v>
      </c>
      <c r="E220" s="3" t="s">
        <v>787</v>
      </c>
      <c r="F220" s="3" t="str">
        <f>"260.399.6398"</f>
        <v>260.399.6398</v>
      </c>
      <c r="G220" s="3">
        <v>5416</v>
      </c>
      <c r="H220" s="3" t="s">
        <v>194</v>
      </c>
    </row>
    <row r="221" spans="1:8" ht="39" x14ac:dyDescent="0.25">
      <c r="A221" s="3" t="s">
        <v>788</v>
      </c>
      <c r="B221" s="3"/>
      <c r="C221" s="3" t="str">
        <f>"Power and lightening for industrial and commercial buildings. Also specilizing in temperature controls."</f>
        <v>Power and lightening for industrial and commercial buildings. Also specilizing in temperature controls.</v>
      </c>
      <c r="D221" s="3" t="s">
        <v>9</v>
      </c>
      <c r="E221" s="3" t="s">
        <v>46</v>
      </c>
      <c r="F221" s="3" t="str">
        <f>"812-597-5223"</f>
        <v>812-597-5223</v>
      </c>
      <c r="G221" s="3">
        <v>238210</v>
      </c>
      <c r="H221" s="3" t="s">
        <v>306</v>
      </c>
    </row>
    <row r="222" spans="1:8" ht="26.25" x14ac:dyDescent="0.25">
      <c r="A222" s="3" t="s">
        <v>789</v>
      </c>
      <c r="B222" s="3"/>
      <c r="C222" s="3" t="str">
        <f>"Distributor of Survey and Construction lasers and instruments"</f>
        <v>Distributor of Survey and Construction lasers and instruments</v>
      </c>
      <c r="D222" s="3" t="s">
        <v>790</v>
      </c>
      <c r="E222" s="3" t="s">
        <v>791</v>
      </c>
      <c r="F222" s="3" t="str">
        <f>"317-356-9800"</f>
        <v>317-356-9800</v>
      </c>
      <c r="G222" s="3">
        <v>42</v>
      </c>
      <c r="H222" s="3" t="s">
        <v>674</v>
      </c>
    </row>
    <row r="223" spans="1:8" ht="319.5" x14ac:dyDescent="0.25">
      <c r="A223" s="3" t="s">
        <v>792</v>
      </c>
      <c r="B223" s="3"/>
      <c r="C223" s="3" t="s">
        <v>793</v>
      </c>
      <c r="D223" s="3" t="s">
        <v>9</v>
      </c>
      <c r="E223" s="3" t="s">
        <v>794</v>
      </c>
      <c r="F223" s="3" t="str">
        <f>"(317) 679-9421"</f>
        <v>(317) 679-9421</v>
      </c>
      <c r="G223" s="3">
        <v>541820</v>
      </c>
      <c r="H223" s="3" t="s">
        <v>795</v>
      </c>
    </row>
    <row r="224" spans="1:8" ht="179.25" x14ac:dyDescent="0.25">
      <c r="A224" s="3" t="s">
        <v>796</v>
      </c>
      <c r="B224" s="3"/>
      <c r="C224" s="3" t="s">
        <v>797</v>
      </c>
      <c r="D224" s="3" t="s">
        <v>798</v>
      </c>
      <c r="E224" s="3" t="s">
        <v>799</v>
      </c>
      <c r="F224" s="3" t="str">
        <f>"317-578-2290"</f>
        <v>317-578-2290</v>
      </c>
      <c r="G224" s="3">
        <v>561720</v>
      </c>
      <c r="H224" s="3" t="s">
        <v>222</v>
      </c>
    </row>
    <row r="225" spans="1:8" ht="39" x14ac:dyDescent="0.25">
      <c r="A225" s="3" t="s">
        <v>800</v>
      </c>
      <c r="B225" s="3"/>
      <c r="C225" s="3" t="str">
        <f>"Indianapolis-based company providing engineering, environmental, cultural, and technology services."</f>
        <v>Indianapolis-based company providing engineering, environmental, cultural, and technology services.</v>
      </c>
      <c r="D225" s="3" t="s">
        <v>801</v>
      </c>
      <c r="E225" s="3" t="s">
        <v>802</v>
      </c>
      <c r="F225" s="3" t="str">
        <f>"317.713.1700"</f>
        <v>317.713.1700</v>
      </c>
      <c r="G225" s="3">
        <v>541620</v>
      </c>
      <c r="H225" s="3" t="s">
        <v>216</v>
      </c>
    </row>
    <row r="226" spans="1:8" ht="319.5" x14ac:dyDescent="0.25">
      <c r="A226" s="3" t="s">
        <v>803</v>
      </c>
      <c r="B226" s="3"/>
      <c r="C226" s="3" t="s">
        <v>804</v>
      </c>
      <c r="D226" s="3" t="s">
        <v>805</v>
      </c>
      <c r="E226" s="3" t="s">
        <v>806</v>
      </c>
      <c r="F226" s="3" t="str">
        <f>"866-442-6776"</f>
        <v>866-442-6776</v>
      </c>
      <c r="G226" s="3">
        <v>562211</v>
      </c>
      <c r="H226" s="3" t="s">
        <v>807</v>
      </c>
    </row>
    <row r="227" spans="1:8" ht="115.5" x14ac:dyDescent="0.25">
      <c r="A227" s="3" t="s">
        <v>808</v>
      </c>
      <c r="B227" s="3"/>
      <c r="C227" s="3" t="s">
        <v>809</v>
      </c>
      <c r="D227" s="3" t="s">
        <v>810</v>
      </c>
      <c r="E227" s="3" t="s">
        <v>811</v>
      </c>
      <c r="F227" s="3" t="str">
        <f>"765-288-7779"</f>
        <v>765-288-7779</v>
      </c>
      <c r="G227" s="3">
        <v>5617</v>
      </c>
      <c r="H227" s="3" t="s">
        <v>812</v>
      </c>
    </row>
    <row r="228" spans="1:8" ht="64.5" x14ac:dyDescent="0.25">
      <c r="A228" s="3" t="s">
        <v>813</v>
      </c>
      <c r="B228" s="3"/>
      <c r="C228" s="3" t="str">
        <f>"Service company in the wastewater treatment field. We repair and sell wastewater equipment including, pumps, motors, lift stations, blowers and specialty equipment."</f>
        <v>Service company in the wastewater treatment field. We repair and sell wastewater equipment including, pumps, motors, lift stations, blowers and specialty equipment.</v>
      </c>
      <c r="D228" s="3" t="s">
        <v>814</v>
      </c>
      <c r="E228" s="3" t="s">
        <v>815</v>
      </c>
      <c r="F228" s="3" t="str">
        <f>"317-861-6791"</f>
        <v>317-861-6791</v>
      </c>
      <c r="G228" s="3">
        <v>811</v>
      </c>
      <c r="H228" s="3" t="s">
        <v>816</v>
      </c>
    </row>
    <row r="229" spans="1:8" ht="26.25" x14ac:dyDescent="0.25">
      <c r="A229" s="3" t="s">
        <v>817</v>
      </c>
      <c r="B229" s="3"/>
      <c r="C229" s="3" t="str">
        <f>"appraisal of real property - residential and small business"</f>
        <v>appraisal of real property - residential and small business</v>
      </c>
      <c r="D229" s="3" t="s">
        <v>818</v>
      </c>
      <c r="E229" s="3" t="s">
        <v>46</v>
      </c>
      <c r="F229" s="3" t="str">
        <f>"765-457-3592"</f>
        <v>765-457-3592</v>
      </c>
      <c r="G229" s="3">
        <v>531320</v>
      </c>
      <c r="H229" s="3" t="s">
        <v>34</v>
      </c>
    </row>
    <row r="230" spans="1:8" ht="26.25" x14ac:dyDescent="0.25">
      <c r="A230" s="3" t="s">
        <v>819</v>
      </c>
      <c r="B230" s="3"/>
      <c r="C230" s="3" t="str">
        <f>"Life insurance, retirement, and employee benefits"</f>
        <v>Life insurance, retirement, and employee benefits</v>
      </c>
      <c r="D230" s="3" t="s">
        <v>820</v>
      </c>
      <c r="E230" s="3" t="s">
        <v>821</v>
      </c>
      <c r="F230" s="3" t="str">
        <f>"317-285-1877"</f>
        <v>317-285-1877</v>
      </c>
      <c r="G230" s="3">
        <v>5241</v>
      </c>
      <c r="H230" s="3" t="s">
        <v>822</v>
      </c>
    </row>
    <row r="231" spans="1:8" ht="166.5" x14ac:dyDescent="0.25">
      <c r="A231" s="3" t="s">
        <v>823</v>
      </c>
      <c r="B231" s="3"/>
      <c r="C231" s="3" t="s">
        <v>824</v>
      </c>
      <c r="D231" s="3" t="s">
        <v>825</v>
      </c>
      <c r="E231" s="3" t="s">
        <v>826</v>
      </c>
      <c r="F231" s="3" t="str">
        <f>"317-883-3320"</f>
        <v>317-883-3320</v>
      </c>
      <c r="G231" s="3">
        <v>561621</v>
      </c>
      <c r="H231" s="3" t="s">
        <v>827</v>
      </c>
    </row>
    <row r="232" spans="1:8" ht="26.25" x14ac:dyDescent="0.25">
      <c r="A232" s="3" t="s">
        <v>828</v>
      </c>
      <c r="B232" s="3"/>
      <c r="C232" s="3" t="str">
        <f>"AML is a wholesale distributor of office, janitorial, industrial &amp; safety supplies."</f>
        <v>AML is a wholesale distributor of office, janitorial, industrial &amp; safety supplies.</v>
      </c>
      <c r="D232" s="3" t="s">
        <v>829</v>
      </c>
      <c r="E232" s="3" t="s">
        <v>830</v>
      </c>
      <c r="F232" s="3" t="str">
        <f>"219/844-6030"</f>
        <v>219/844-6030</v>
      </c>
      <c r="G232" s="3">
        <v>453210</v>
      </c>
      <c r="H232" s="3" t="s">
        <v>431</v>
      </c>
    </row>
    <row r="233" spans="1:8" ht="51.75" x14ac:dyDescent="0.25">
      <c r="A233" s="3" t="s">
        <v>831</v>
      </c>
      <c r="B233" s="3"/>
      <c r="C233" s="3" t="str">
        <f>"AMLO, LLC. - Marketing, Public Relations and Event Planning for businesses and non-profits that provide services/support to individuals with disabilities."</f>
        <v>AMLO, LLC. - Marketing, Public Relations and Event Planning for businesses and non-profits that provide services/support to individuals with disabilities.</v>
      </c>
      <c r="D233" s="3" t="s">
        <v>832</v>
      </c>
      <c r="E233" s="3" t="s">
        <v>833</v>
      </c>
      <c r="F233" s="3" t="str">
        <f>"317-796-0537"</f>
        <v>317-796-0537</v>
      </c>
      <c r="G233" s="3">
        <v>541613</v>
      </c>
      <c r="H233" s="3" t="s">
        <v>558</v>
      </c>
    </row>
    <row r="234" spans="1:8" ht="26.25" x14ac:dyDescent="0.25">
      <c r="A234" s="3" t="s">
        <v>834</v>
      </c>
      <c r="B234" s="3"/>
      <c r="C234" s="3" t="str">
        <f>"Cultural Competency Training, Organizational Development, Grant Writing."</f>
        <v>Cultural Competency Training, Organizational Development, Grant Writing.</v>
      </c>
      <c r="D234" s="3" t="s">
        <v>9</v>
      </c>
      <c r="E234" s="3" t="s">
        <v>835</v>
      </c>
      <c r="F234" s="3" t="str">
        <f>"317-920-0172"</f>
        <v>317-920-0172</v>
      </c>
      <c r="G234" s="3">
        <v>6117</v>
      </c>
      <c r="H234" s="3" t="s">
        <v>508</v>
      </c>
    </row>
    <row r="235" spans="1:8" ht="319.5" x14ac:dyDescent="0.25">
      <c r="A235" s="3" t="s">
        <v>836</v>
      </c>
      <c r="B235" s="3"/>
      <c r="C235" s="3" t="s">
        <v>837</v>
      </c>
      <c r="D235" s="3" t="s">
        <v>838</v>
      </c>
      <c r="E235" s="3" t="s">
        <v>839</v>
      </c>
      <c r="F235" s="3" t="str">
        <f>"1800-420-6421"</f>
        <v>1800-420-6421</v>
      </c>
      <c r="G235" s="3">
        <v>453210</v>
      </c>
      <c r="H235" s="3" t="s">
        <v>431</v>
      </c>
    </row>
    <row r="236" spans="1:8" ht="102.75" x14ac:dyDescent="0.25">
      <c r="A236" s="3" t="s">
        <v>840</v>
      </c>
      <c r="B236" s="3"/>
      <c r="C236" s="3" t="s">
        <v>841</v>
      </c>
      <c r="D236" s="3" t="s">
        <v>9</v>
      </c>
      <c r="E236" s="3" t="s">
        <v>842</v>
      </c>
      <c r="F236" s="3" t="str">
        <f>"7653628000"</f>
        <v>7653628000</v>
      </c>
      <c r="G236" s="3">
        <v>541430</v>
      </c>
      <c r="H236" s="3" t="s">
        <v>78</v>
      </c>
    </row>
    <row r="237" spans="1:8" ht="192" x14ac:dyDescent="0.25">
      <c r="A237" s="3" t="s">
        <v>843</v>
      </c>
      <c r="B237" s="3"/>
      <c r="C237" s="3" t="s">
        <v>844</v>
      </c>
      <c r="D237" s="3" t="s">
        <v>845</v>
      </c>
      <c r="E237" s="3" t="s">
        <v>846</v>
      </c>
      <c r="F237" s="3" t="str">
        <f>"317-654-0877"</f>
        <v>317-654-0877</v>
      </c>
      <c r="G237" s="3">
        <v>5614</v>
      </c>
      <c r="H237" s="3" t="s">
        <v>847</v>
      </c>
    </row>
    <row r="238" spans="1:8" ht="141" x14ac:dyDescent="0.25">
      <c r="A238" s="3" t="s">
        <v>848</v>
      </c>
      <c r="B238" s="3"/>
      <c r="C238" s="3" t="s">
        <v>849</v>
      </c>
      <c r="D238" s="3" t="s">
        <v>850</v>
      </c>
      <c r="E238" s="3" t="s">
        <v>851</v>
      </c>
      <c r="F238" s="3" t="str">
        <f>"812-273-4262"</f>
        <v>812-273-4262</v>
      </c>
      <c r="G238" s="3">
        <v>4442</v>
      </c>
      <c r="H238" s="3" t="s">
        <v>852</v>
      </c>
    </row>
    <row r="239" spans="1:8" ht="26.25" x14ac:dyDescent="0.25">
      <c r="A239" s="3" t="s">
        <v>853</v>
      </c>
      <c r="B239" s="3"/>
      <c r="C239" s="3" t="str">
        <f>"We are an outdoor power equipment dealer that sells and services these items."</f>
        <v>We are an outdoor power equipment dealer that sells and services these items.</v>
      </c>
      <c r="D239" s="3" t="s">
        <v>854</v>
      </c>
      <c r="E239" s="3" t="s">
        <v>855</v>
      </c>
      <c r="F239" s="3" t="str">
        <f>"260-562-3856"</f>
        <v>260-562-3856</v>
      </c>
      <c r="G239" s="3">
        <v>444210</v>
      </c>
      <c r="H239" s="3" t="s">
        <v>392</v>
      </c>
    </row>
    <row r="240" spans="1:8" ht="26.25" x14ac:dyDescent="0.25">
      <c r="A240" s="3" t="s">
        <v>856</v>
      </c>
      <c r="B240" s="3"/>
      <c r="C240" s="3" t="str">
        <f>" "</f>
        <v xml:space="preserve"> </v>
      </c>
      <c r="D240" s="3" t="s">
        <v>9</v>
      </c>
      <c r="E240" s="3" t="s">
        <v>857</v>
      </c>
      <c r="F240" s="3" t="str">
        <f>"317-632-6300"</f>
        <v>317-632-6300</v>
      </c>
      <c r="G240" s="3">
        <v>44</v>
      </c>
      <c r="H240" s="3" t="s">
        <v>574</v>
      </c>
    </row>
    <row r="241" spans="1:8" ht="39" x14ac:dyDescent="0.25">
      <c r="A241" s="3" t="s">
        <v>858</v>
      </c>
      <c r="B241" s="3"/>
      <c r="C241" s="3" t="str">
        <f>"full line HD Volvo Truck Dealer and Ford Full Line Truck Dealer, Service and Parts, Sales and Leasing"</f>
        <v>full line HD Volvo Truck Dealer and Ford Full Line Truck Dealer, Service and Parts, Sales and Leasing</v>
      </c>
      <c r="D241" s="3" t="s">
        <v>9</v>
      </c>
      <c r="E241" s="3" t="s">
        <v>859</v>
      </c>
      <c r="F241" s="3" t="str">
        <f>"317-244-6811"</f>
        <v>317-244-6811</v>
      </c>
      <c r="G241" s="3">
        <v>53212</v>
      </c>
      <c r="H241" s="3" t="s">
        <v>860</v>
      </c>
    </row>
    <row r="242" spans="1:8" ht="268.5" x14ac:dyDescent="0.25">
      <c r="A242" s="3" t="s">
        <v>861</v>
      </c>
      <c r="B242" s="3"/>
      <c r="C242" s="3" t="s">
        <v>862</v>
      </c>
      <c r="D242" s="3" t="s">
        <v>863</v>
      </c>
      <c r="E242" s="3" t="s">
        <v>864</v>
      </c>
      <c r="F242" s="3" t="str">
        <f>"317-333-7300"</f>
        <v>317-333-7300</v>
      </c>
      <c r="G242" s="3">
        <v>5112</v>
      </c>
      <c r="H242" s="3" t="s">
        <v>315</v>
      </c>
    </row>
    <row r="243" spans="1:8" ht="153.75" x14ac:dyDescent="0.25">
      <c r="A243" s="3" t="s">
        <v>865</v>
      </c>
      <c r="B243" s="3"/>
      <c r="C243" s="3" t="s">
        <v>866</v>
      </c>
      <c r="D243" s="3" t="s">
        <v>867</v>
      </c>
      <c r="E243" s="3" t="s">
        <v>868</v>
      </c>
      <c r="F243" s="3" t="str">
        <f>"317.701.4191"</f>
        <v>317.701.4191</v>
      </c>
      <c r="G243" s="3">
        <v>541611</v>
      </c>
      <c r="H243" s="3" t="s">
        <v>278</v>
      </c>
    </row>
    <row r="244" spans="1:8" ht="90" x14ac:dyDescent="0.25">
      <c r="A244" s="3" t="s">
        <v>869</v>
      </c>
      <c r="B244" s="3"/>
      <c r="C244" s="3" t="s">
        <v>870</v>
      </c>
      <c r="D244" s="3" t="s">
        <v>871</v>
      </c>
      <c r="E244" s="3" t="s">
        <v>46</v>
      </c>
      <c r="F244" s="3" t="str">
        <f>"317-244-3361"</f>
        <v>317-244-3361</v>
      </c>
      <c r="G244" s="3">
        <v>72111</v>
      </c>
      <c r="H244" s="3" t="s">
        <v>872</v>
      </c>
    </row>
    <row r="245" spans="1:8" x14ac:dyDescent="0.25">
      <c r="A245" s="3" t="s">
        <v>873</v>
      </c>
      <c r="B245" s="3"/>
      <c r="C245" s="3" t="str">
        <f>" "</f>
        <v xml:space="preserve"> </v>
      </c>
      <c r="D245" s="3" t="s">
        <v>9</v>
      </c>
      <c r="E245" s="3" t="s">
        <v>46</v>
      </c>
      <c r="F245" s="2"/>
      <c r="G245" s="3">
        <v>339950</v>
      </c>
      <c r="H245" s="3" t="s">
        <v>68</v>
      </c>
    </row>
    <row r="246" spans="1:8" ht="51.75" x14ac:dyDescent="0.25">
      <c r="A246" s="3" t="s">
        <v>873</v>
      </c>
      <c r="B246" s="3"/>
      <c r="C246" s="3" t="str">
        <f>"Sign*A*Rama is a full service Sign Company specializing in the design, manufacuture, installation, maintenance, repair and modernization of all types of signs."</f>
        <v>Sign*A*Rama is a full service Sign Company specializing in the design, manufacuture, installation, maintenance, repair and modernization of all types of signs.</v>
      </c>
      <c r="D246" s="3" t="s">
        <v>9</v>
      </c>
      <c r="E246" s="3" t="s">
        <v>874</v>
      </c>
      <c r="F246" s="3" t="str">
        <f>"317-890-8545"</f>
        <v>317-890-8545</v>
      </c>
      <c r="G246" s="3">
        <v>339950</v>
      </c>
      <c r="H246" s="3" t="s">
        <v>68</v>
      </c>
    </row>
    <row r="247" spans="1:8" ht="26.25" x14ac:dyDescent="0.25">
      <c r="A247" s="3" t="s">
        <v>875</v>
      </c>
      <c r="B247" s="3"/>
      <c r="C247" s="3" t="str">
        <f>"Work and Leisure apparel, Screen Printing, Transfers and Embroidery services."</f>
        <v>Work and Leisure apparel, Screen Printing, Transfers and Embroidery services.</v>
      </c>
      <c r="D247" s="3" t="s">
        <v>876</v>
      </c>
      <c r="E247" s="3" t="s">
        <v>877</v>
      </c>
      <c r="F247" s="3" t="str">
        <f>"800-664-6203"</f>
        <v>800-664-6203</v>
      </c>
      <c r="G247" s="3">
        <v>315191</v>
      </c>
      <c r="H247" s="3" t="s">
        <v>878</v>
      </c>
    </row>
    <row r="248" spans="1:8" ht="141" x14ac:dyDescent="0.25">
      <c r="A248" s="3" t="s">
        <v>879</v>
      </c>
      <c r="B248" s="3"/>
      <c r="C248" s="3" t="s">
        <v>880</v>
      </c>
      <c r="D248" s="3" t="s">
        <v>881</v>
      </c>
      <c r="E248" s="3" t="s">
        <v>882</v>
      </c>
      <c r="F248" s="3" t="str">
        <f>"3175077025"</f>
        <v>3175077025</v>
      </c>
      <c r="G248" s="3">
        <v>423430</v>
      </c>
      <c r="H248" s="3" t="s">
        <v>127</v>
      </c>
    </row>
    <row r="249" spans="1:8" ht="192" x14ac:dyDescent="0.25">
      <c r="A249" s="3" t="s">
        <v>883</v>
      </c>
      <c r="B249" s="3"/>
      <c r="C249" s="3" t="s">
        <v>884</v>
      </c>
      <c r="D249" s="3" t="s">
        <v>9</v>
      </c>
      <c r="E249" s="3" t="s">
        <v>885</v>
      </c>
      <c r="F249" s="3" t="str">
        <f>"765-868-3311"</f>
        <v>765-868-3311</v>
      </c>
      <c r="G249" s="3">
        <v>238910</v>
      </c>
      <c r="H249" s="3" t="s">
        <v>886</v>
      </c>
    </row>
    <row r="250" spans="1:8" ht="39" x14ac:dyDescent="0.25">
      <c r="A250" s="3" t="s">
        <v>887</v>
      </c>
      <c r="B250" s="3"/>
      <c r="C250" s="3" t="str">
        <f>"ASPHALT PAVING CONTRACTOR, SITE CONSTRUCTION, UNDERGROUND UTILITY INSTALLATION (WATER AND SEWER LINES)."</f>
        <v>ASPHALT PAVING CONTRACTOR, SITE CONSTRUCTION, UNDERGROUND UTILITY INSTALLATION (WATER AND SEWER LINES).</v>
      </c>
      <c r="D250" s="3" t="s">
        <v>888</v>
      </c>
      <c r="E250" s="3" t="s">
        <v>889</v>
      </c>
      <c r="F250" s="3" t="str">
        <f>"260-897-2743"</f>
        <v>260-897-2743</v>
      </c>
      <c r="G250" s="3">
        <v>237310</v>
      </c>
      <c r="H250" s="3" t="s">
        <v>768</v>
      </c>
    </row>
    <row r="251" spans="1:8" ht="26.25" x14ac:dyDescent="0.25">
      <c r="A251" s="3" t="s">
        <v>890</v>
      </c>
      <c r="B251" s="3"/>
      <c r="C251" s="3" t="str">
        <f>"Plumbing Contractor"</f>
        <v>Plumbing Contractor</v>
      </c>
      <c r="D251" s="3" t="s">
        <v>9</v>
      </c>
      <c r="E251" s="3" t="s">
        <v>891</v>
      </c>
      <c r="F251" s="3" t="str">
        <f>"3173573748"</f>
        <v>3173573748</v>
      </c>
      <c r="G251" s="3">
        <v>2351</v>
      </c>
      <c r="H251" s="3" t="s">
        <v>892</v>
      </c>
    </row>
    <row r="252" spans="1:8" ht="26.25" x14ac:dyDescent="0.25">
      <c r="A252" s="3" t="s">
        <v>893</v>
      </c>
      <c r="B252" s="3"/>
      <c r="C252" s="3" t="str">
        <f>"Providing Swimming Pool &amp; Spa Supplies, Chemicals, Parts and repair services."</f>
        <v>Providing Swimming Pool &amp; Spa Supplies, Chemicals, Parts and repair services.</v>
      </c>
      <c r="D252" s="3" t="s">
        <v>9</v>
      </c>
      <c r="E252" s="3" t="s">
        <v>894</v>
      </c>
      <c r="F252" s="3" t="str">
        <f>"317-750-6229"</f>
        <v>317-750-6229</v>
      </c>
      <c r="G252" s="3">
        <v>235</v>
      </c>
      <c r="H252" s="3" t="s">
        <v>259</v>
      </c>
    </row>
    <row r="253" spans="1:8" ht="64.5" x14ac:dyDescent="0.25">
      <c r="A253" s="3" t="s">
        <v>895</v>
      </c>
      <c r="B253" s="3"/>
      <c r="C253" s="3" t="str">
        <f>"Website (internet and intranet) design and build, Software design and development, Database design and development, IT Consulting, Technical Writing, Software Quality Assurance, Desktop Support"</f>
        <v>Website (internet and intranet) design and build, Software design and development, Database design and development, IT Consulting, Technical Writing, Software Quality Assurance, Desktop Support</v>
      </c>
      <c r="D253" s="3" t="s">
        <v>896</v>
      </c>
      <c r="E253" s="3" t="s">
        <v>897</v>
      </c>
      <c r="F253" s="3" t="str">
        <f>"800-919-1746"</f>
        <v>800-919-1746</v>
      </c>
      <c r="G253" s="3">
        <v>541519</v>
      </c>
      <c r="H253" s="3" t="s">
        <v>898</v>
      </c>
    </row>
    <row r="254" spans="1:8" ht="51.75" x14ac:dyDescent="0.25">
      <c r="A254" s="3" t="s">
        <v>899</v>
      </c>
      <c r="B254" s="3"/>
      <c r="C254" s="3" t="str">
        <f>"Water utility infrastructure installation, management and repair services; water well drilling services and geothermal systems installation services"</f>
        <v>Water utility infrastructure installation, management and repair services; water well drilling services and geothermal systems installation services</v>
      </c>
      <c r="D254" s="3" t="s">
        <v>900</v>
      </c>
      <c r="E254" s="3" t="s">
        <v>46</v>
      </c>
      <c r="F254" s="2"/>
      <c r="G254" s="3">
        <v>237110</v>
      </c>
      <c r="H254" s="3" t="s">
        <v>901</v>
      </c>
    </row>
    <row r="255" spans="1:8" ht="26.25" x14ac:dyDescent="0.25">
      <c r="A255" s="3" t="s">
        <v>902</v>
      </c>
      <c r="B255" s="3"/>
      <c r="C255" s="3" t="str">
        <f>"Court Reporting Services Depositions, Public Hearings"</f>
        <v>Court Reporting Services Depositions, Public Hearings</v>
      </c>
      <c r="D255" s="3" t="s">
        <v>9</v>
      </c>
      <c r="E255" s="3" t="s">
        <v>903</v>
      </c>
      <c r="F255" s="3" t="str">
        <f>"317-501-2272"</f>
        <v>317-501-2272</v>
      </c>
      <c r="G255" s="3">
        <v>561492</v>
      </c>
      <c r="H255" s="3" t="s">
        <v>904</v>
      </c>
    </row>
    <row r="256" spans="1:8" ht="26.25" x14ac:dyDescent="0.25">
      <c r="A256" s="3" t="s">
        <v>905</v>
      </c>
      <c r="B256" s="3"/>
      <c r="C256" s="3" t="str">
        <f>"Comprehensive urban forestry and arboriculture consulting firm"</f>
        <v>Comprehensive urban forestry and arboriculture consulting firm</v>
      </c>
      <c r="D256" s="3" t="s">
        <v>906</v>
      </c>
      <c r="E256" s="3" t="s">
        <v>907</v>
      </c>
      <c r="F256" s="3" t="str">
        <f>"260.456.0171"</f>
        <v>260.456.0171</v>
      </c>
      <c r="G256" s="3">
        <v>541990</v>
      </c>
      <c r="H256" s="3" t="s">
        <v>378</v>
      </c>
    </row>
    <row r="257" spans="1:8" ht="102.75" x14ac:dyDescent="0.25">
      <c r="A257" s="3" t="s">
        <v>908</v>
      </c>
      <c r="B257" s="3"/>
      <c r="C257" s="3" t="s">
        <v>909</v>
      </c>
      <c r="D257" s="3" t="s">
        <v>910</v>
      </c>
      <c r="E257" s="3" t="s">
        <v>911</v>
      </c>
      <c r="F257" s="3" t="str">
        <f>"574-862-1920"</f>
        <v>574-862-1920</v>
      </c>
      <c r="G257" s="3">
        <v>221122</v>
      </c>
      <c r="H257" s="3" t="s">
        <v>912</v>
      </c>
    </row>
    <row r="258" spans="1:8" ht="77.25" x14ac:dyDescent="0.25">
      <c r="A258" s="3" t="s">
        <v>913</v>
      </c>
      <c r="B258" s="3"/>
      <c r="C258" s="3" t="str">
        <f>"Janitorial supply company selling paper, cleaning chemicals, mops, abrasive products, floor pads, hand pads,brushes,brooms,trash receptacles, gloves, trash can liners, floor equipment and vacuums"</f>
        <v>Janitorial supply company selling paper, cleaning chemicals, mops, abrasive products, floor pads, hand pads,brushes,brooms,trash receptacles, gloves, trash can liners, floor equipment and vacuums</v>
      </c>
      <c r="D258" s="3" t="s">
        <v>9</v>
      </c>
      <c r="E258" s="3" t="s">
        <v>914</v>
      </c>
      <c r="F258" s="3" t="str">
        <f>"812-284-5923"</f>
        <v>812-284-5923</v>
      </c>
      <c r="G258" s="3">
        <v>561720</v>
      </c>
      <c r="H258" s="3" t="s">
        <v>222</v>
      </c>
    </row>
    <row r="259" spans="1:8" ht="26.25" x14ac:dyDescent="0.25">
      <c r="A259" s="3" t="s">
        <v>915</v>
      </c>
      <c r="B259" s="3"/>
      <c r="C259" s="3" t="str">
        <f>"RETAIL WELDING SUPPLIES AND INDUSTRIAL GAS DEALER"</f>
        <v>RETAIL WELDING SUPPLIES AND INDUSTRIAL GAS DEALER</v>
      </c>
      <c r="D259" s="3" t="s">
        <v>916</v>
      </c>
      <c r="E259" s="3" t="s">
        <v>917</v>
      </c>
      <c r="F259" s="3" t="str">
        <f>"812-738-4344"</f>
        <v>812-738-4344</v>
      </c>
      <c r="G259" s="3">
        <v>454312</v>
      </c>
      <c r="H259" s="3" t="s">
        <v>918</v>
      </c>
    </row>
    <row r="260" spans="1:8" ht="26.25" x14ac:dyDescent="0.25">
      <c r="A260" s="3" t="s">
        <v>919</v>
      </c>
      <c r="B260" s="3"/>
      <c r="C260" s="3" t="str">
        <f>"Arhcitectural/Engineering and Planning"</f>
        <v>Arhcitectural/Engineering and Planning</v>
      </c>
      <c r="D260" s="3" t="s">
        <v>9</v>
      </c>
      <c r="E260" s="3" t="s">
        <v>920</v>
      </c>
      <c r="F260" s="3" t="str">
        <f>"317-251-6172"</f>
        <v>317-251-6172</v>
      </c>
      <c r="G260" s="3">
        <v>541310</v>
      </c>
      <c r="H260" s="3" t="s">
        <v>446</v>
      </c>
    </row>
    <row r="261" spans="1:8" ht="102.75" x14ac:dyDescent="0.25">
      <c r="A261" s="3" t="s">
        <v>921</v>
      </c>
      <c r="B261" s="3"/>
      <c r="C261" s="3" t="s">
        <v>922</v>
      </c>
      <c r="D261" s="3" t="s">
        <v>923</v>
      </c>
      <c r="E261" s="3" t="s">
        <v>924</v>
      </c>
      <c r="F261" s="3" t="str">
        <f>"574-722-4451"</f>
        <v>574-722-4451</v>
      </c>
      <c r="G261" s="3">
        <v>624190</v>
      </c>
      <c r="H261" s="3" t="s">
        <v>54</v>
      </c>
    </row>
    <row r="262" spans="1:8" ht="26.25" x14ac:dyDescent="0.25">
      <c r="A262" s="3" t="s">
        <v>925</v>
      </c>
      <c r="B262" s="3"/>
      <c r="C262" s="3" t="str">
        <f>"Painting Commercial and Residential"</f>
        <v>Painting Commercial and Residential</v>
      </c>
      <c r="D262" s="3" t="s">
        <v>9</v>
      </c>
      <c r="E262" s="3" t="s">
        <v>926</v>
      </c>
      <c r="F262" s="3" t="str">
        <f>"317-359-5975"</f>
        <v>317-359-5975</v>
      </c>
      <c r="G262" s="3">
        <v>23521</v>
      </c>
      <c r="H262" s="3" t="s">
        <v>462</v>
      </c>
    </row>
    <row r="263" spans="1:8" ht="115.5" x14ac:dyDescent="0.25">
      <c r="A263" s="3" t="s">
        <v>927</v>
      </c>
      <c r="B263" s="3"/>
      <c r="C263" s="3" t="s">
        <v>928</v>
      </c>
      <c r="D263" s="3" t="s">
        <v>929</v>
      </c>
      <c r="E263" s="3" t="s">
        <v>930</v>
      </c>
      <c r="F263" s="3" t="str">
        <f>"3177873700"</f>
        <v>3177873700</v>
      </c>
      <c r="G263" s="3">
        <v>541620</v>
      </c>
      <c r="H263" s="3" t="s">
        <v>216</v>
      </c>
    </row>
    <row r="264" spans="1:8" ht="102.75" x14ac:dyDescent="0.25">
      <c r="A264" s="3" t="s">
        <v>931</v>
      </c>
      <c r="B264" s="3"/>
      <c r="C264" s="3" t="s">
        <v>932</v>
      </c>
      <c r="D264" s="3" t="s">
        <v>933</v>
      </c>
      <c r="E264" s="3" t="s">
        <v>934</v>
      </c>
      <c r="F264" s="3" t="str">
        <f>"812-535-1445"</f>
        <v>812-535-1445</v>
      </c>
      <c r="G264" s="3">
        <v>54133</v>
      </c>
      <c r="H264" s="3" t="s">
        <v>82</v>
      </c>
    </row>
    <row r="265" spans="1:8" ht="26.25" x14ac:dyDescent="0.25">
      <c r="A265" s="3" t="s">
        <v>935</v>
      </c>
      <c r="B265" s="3"/>
      <c r="C265" s="3" t="str">
        <f>"Multi-specialty Clinic"</f>
        <v>Multi-specialty Clinic</v>
      </c>
      <c r="D265" s="3" t="s">
        <v>936</v>
      </c>
      <c r="E265" s="3" t="s">
        <v>46</v>
      </c>
      <c r="F265" s="3" t="str">
        <f>"765-448-8000"</f>
        <v>765-448-8000</v>
      </c>
      <c r="G265" s="3">
        <v>621498</v>
      </c>
      <c r="H265" s="3" t="s">
        <v>937</v>
      </c>
    </row>
    <row r="266" spans="1:8" ht="166.5" x14ac:dyDescent="0.25">
      <c r="A266" s="3" t="s">
        <v>938</v>
      </c>
      <c r="B266" s="3"/>
      <c r="C266" s="3" t="s">
        <v>939</v>
      </c>
      <c r="D266" s="3" t="s">
        <v>940</v>
      </c>
      <c r="E266" s="3" t="s">
        <v>941</v>
      </c>
      <c r="F266" s="3" t="str">
        <f>"317-955-2764"</f>
        <v>317-955-2764</v>
      </c>
      <c r="G266" s="3">
        <v>923120</v>
      </c>
      <c r="H266" s="3" t="s">
        <v>611</v>
      </c>
    </row>
    <row r="267" spans="1:8" ht="306.75" x14ac:dyDescent="0.25">
      <c r="A267" s="3" t="s">
        <v>942</v>
      </c>
      <c r="B267" s="3"/>
      <c r="C267" s="3" t="s">
        <v>943</v>
      </c>
      <c r="D267" s="3" t="s">
        <v>944</v>
      </c>
      <c r="E267" s="3" t="s">
        <v>945</v>
      </c>
      <c r="F267" s="3" t="str">
        <f>"1-574-936-9955"</f>
        <v>1-574-936-9955</v>
      </c>
      <c r="G267" s="3">
        <v>561710</v>
      </c>
      <c r="H267" s="3" t="s">
        <v>946</v>
      </c>
    </row>
    <row r="268" spans="1:8" ht="102.75" x14ac:dyDescent="0.25">
      <c r="A268" s="3" t="s">
        <v>947</v>
      </c>
      <c r="B268" s="3"/>
      <c r="C268" s="3" t="s">
        <v>948</v>
      </c>
      <c r="D268" s="3" t="s">
        <v>949</v>
      </c>
      <c r="E268" s="3" t="s">
        <v>950</v>
      </c>
      <c r="F268" s="3" t="str">
        <f>"765-448-1821"</f>
        <v>765-448-1821</v>
      </c>
      <c r="G268" s="3">
        <v>442299</v>
      </c>
      <c r="H268" s="3" t="s">
        <v>951</v>
      </c>
    </row>
    <row r="269" spans="1:8" ht="51.75" x14ac:dyDescent="0.25">
      <c r="A269" s="3" t="s">
        <v>952</v>
      </c>
      <c r="B269" s="3"/>
      <c r="C269" s="3" t="str">
        <f>"Artisan Terrazzo provides installation and maintainence of hardwood, VCT, ceramic, polymer, terrazzo, marble, slate, and granite floors."</f>
        <v>Artisan Terrazzo provides installation and maintainence of hardwood, VCT, ceramic, polymer, terrazzo, marble, slate, and granite floors.</v>
      </c>
      <c r="D269" s="3" t="s">
        <v>953</v>
      </c>
      <c r="E269" s="3" t="s">
        <v>954</v>
      </c>
      <c r="F269" s="3" t="str">
        <f>"312-342-0358"</f>
        <v>312-342-0358</v>
      </c>
      <c r="G269" s="3">
        <v>23552</v>
      </c>
      <c r="H269" s="3" t="s">
        <v>955</v>
      </c>
    </row>
    <row r="270" spans="1:8" ht="39" x14ac:dyDescent="0.25">
      <c r="A270" s="3" t="s">
        <v>956</v>
      </c>
      <c r="B270" s="3"/>
      <c r="C270" s="3" t="str">
        <f>"SPECIALIZING IN GENERAL OFFICE CLEANING AS WELL AS CARPET AND HARD FLOOR CLEANING. OVER 22 YEARS OF EXPERIENCE"</f>
        <v>SPECIALIZING IN GENERAL OFFICE CLEANING AS WELL AS CARPET AND HARD FLOOR CLEANING. OVER 22 YEARS OF EXPERIENCE</v>
      </c>
      <c r="D270" s="3" t="s">
        <v>9</v>
      </c>
      <c r="E270" s="3" t="s">
        <v>957</v>
      </c>
      <c r="F270" s="3" t="str">
        <f>"317-828-5151"</f>
        <v>317-828-5151</v>
      </c>
      <c r="G270" s="3">
        <v>56172</v>
      </c>
      <c r="H270" s="3" t="s">
        <v>222</v>
      </c>
    </row>
    <row r="271" spans="1:8" ht="192" x14ac:dyDescent="0.25">
      <c r="A271" s="3" t="s">
        <v>958</v>
      </c>
      <c r="B271" s="3"/>
      <c r="C271" s="3" t="s">
        <v>959</v>
      </c>
      <c r="D271" s="3" t="s">
        <v>9</v>
      </c>
      <c r="E271" s="3" t="s">
        <v>960</v>
      </c>
      <c r="F271" s="3" t="str">
        <f>"(317) 334-1334"</f>
        <v>(317) 334-1334</v>
      </c>
      <c r="G271" s="3">
        <v>54133</v>
      </c>
      <c r="H271" s="3" t="s">
        <v>82</v>
      </c>
    </row>
    <row r="272" spans="1:8" ht="51.75" x14ac:dyDescent="0.25">
      <c r="A272" s="3" t="s">
        <v>961</v>
      </c>
      <c r="B272" s="3"/>
      <c r="C272" s="3" t="str">
        <f>"Fargo photo ID printers and service. Photo ID supplies and accessories Engraved products, including name plates, badges. Rubber stamps and dater stamps."</f>
        <v>Fargo photo ID printers and service. Photo ID supplies and accessories Engraved products, including name plates, badges. Rubber stamps and dater stamps.</v>
      </c>
      <c r="D272" s="3" t="s">
        <v>962</v>
      </c>
      <c r="E272" s="3" t="s">
        <v>963</v>
      </c>
      <c r="F272" s="3" t="str">
        <f>"317-488-1030"</f>
        <v>317-488-1030</v>
      </c>
      <c r="G272" s="3">
        <v>561621</v>
      </c>
      <c r="H272" s="3" t="s">
        <v>827</v>
      </c>
    </row>
    <row r="273" spans="1:8" ht="115.5" x14ac:dyDescent="0.25">
      <c r="A273" s="3" t="s">
        <v>964</v>
      </c>
      <c r="B273" s="3"/>
      <c r="C273" s="3" t="s">
        <v>965</v>
      </c>
      <c r="D273" s="3" t="s">
        <v>966</v>
      </c>
      <c r="E273" s="3" t="s">
        <v>967</v>
      </c>
      <c r="F273" s="3" t="str">
        <f>"765.278.6116"</f>
        <v>765.278.6116</v>
      </c>
      <c r="G273" s="3">
        <v>23599</v>
      </c>
      <c r="H273" s="3" t="s">
        <v>248</v>
      </c>
    </row>
    <row r="274" spans="1:8" ht="141" x14ac:dyDescent="0.25">
      <c r="A274" s="3" t="s">
        <v>968</v>
      </c>
      <c r="B274" s="3"/>
      <c r="C274" s="3" t="s">
        <v>969</v>
      </c>
      <c r="D274" s="3" t="s">
        <v>9</v>
      </c>
      <c r="E274" s="3" t="s">
        <v>970</v>
      </c>
      <c r="F274" s="3" t="str">
        <f>"317-384-1535"</f>
        <v>317-384-1535</v>
      </c>
      <c r="G274" s="3">
        <v>541930</v>
      </c>
      <c r="H274" s="3" t="s">
        <v>971</v>
      </c>
    </row>
    <row r="275" spans="1:8" ht="179.25" x14ac:dyDescent="0.25">
      <c r="A275" s="3" t="s">
        <v>972</v>
      </c>
      <c r="B275" s="3"/>
      <c r="C275" s="3" t="s">
        <v>973</v>
      </c>
      <c r="D275" s="3" t="s">
        <v>974</v>
      </c>
      <c r="E275" s="3" t="s">
        <v>975</v>
      </c>
      <c r="F275" s="3" t="str">
        <f>"260-424-3373"</f>
        <v>260-424-3373</v>
      </c>
      <c r="G275" s="3">
        <v>541810</v>
      </c>
      <c r="H275" s="3" t="s">
        <v>976</v>
      </c>
    </row>
    <row r="276" spans="1:8" ht="26.25" x14ac:dyDescent="0.25">
      <c r="A276" s="3" t="s">
        <v>977</v>
      </c>
      <c r="B276" s="3"/>
      <c r="C276" s="3" t="str">
        <f>"Retail sale of ashrae filters."</f>
        <v>Retail sale of ashrae filters.</v>
      </c>
      <c r="D276" s="3" t="s">
        <v>9</v>
      </c>
      <c r="E276" s="3" t="s">
        <v>978</v>
      </c>
      <c r="F276" s="3" t="str">
        <f>"317-413-9662"</f>
        <v>317-413-9662</v>
      </c>
      <c r="G276" s="3">
        <v>238220</v>
      </c>
      <c r="H276" s="3" t="s">
        <v>348</v>
      </c>
    </row>
    <row r="277" spans="1:8" ht="39" x14ac:dyDescent="0.25">
      <c r="A277" s="3" t="s">
        <v>979</v>
      </c>
      <c r="B277" s="3"/>
      <c r="C277" s="3" t="str">
        <f>"SUPPLIER AND INSTALLER OF ELECTRIC GATE OPERATORS,DOOR OPENERS AND ACCESS CONTROL HARDWARE"</f>
        <v>SUPPLIER AND INSTALLER OF ELECTRIC GATE OPERATORS,DOOR OPENERS AND ACCESS CONTROL HARDWARE</v>
      </c>
      <c r="D277" s="3" t="s">
        <v>9</v>
      </c>
      <c r="E277" s="3" t="s">
        <v>980</v>
      </c>
      <c r="F277" s="3" t="str">
        <f>"708.769.0221"</f>
        <v>708.769.0221</v>
      </c>
      <c r="G277" s="3">
        <v>238210</v>
      </c>
      <c r="H277" s="3" t="s">
        <v>306</v>
      </c>
    </row>
    <row r="278" spans="1:8" ht="26.25" x14ac:dyDescent="0.25">
      <c r="A278" s="3" t="s">
        <v>981</v>
      </c>
      <c r="B278" s="3"/>
      <c r="C278" s="3" t="str">
        <f>"Reseller to state and local government in Indiana"</f>
        <v>Reseller to state and local government in Indiana</v>
      </c>
      <c r="D278" s="3" t="s">
        <v>9</v>
      </c>
      <c r="E278" s="3" t="s">
        <v>982</v>
      </c>
      <c r="F278" s="3" t="str">
        <f>"317 8653506"</f>
        <v>317 8653506</v>
      </c>
      <c r="G278" s="3">
        <v>423990</v>
      </c>
      <c r="H278" s="3" t="s">
        <v>983</v>
      </c>
    </row>
    <row r="279" spans="1:8" ht="26.25" x14ac:dyDescent="0.25">
      <c r="A279" s="3" t="s">
        <v>984</v>
      </c>
      <c r="B279" s="3"/>
      <c r="C279" s="3" t="str">
        <f>"Reseller to state and local government in Indiana"</f>
        <v>Reseller to state and local government in Indiana</v>
      </c>
      <c r="D279" s="3" t="s">
        <v>9</v>
      </c>
      <c r="E279" s="3" t="s">
        <v>982</v>
      </c>
      <c r="F279" s="3" t="str">
        <f>"3178653506"</f>
        <v>3178653506</v>
      </c>
      <c r="G279" s="3">
        <v>423990</v>
      </c>
      <c r="H279" s="3" t="s">
        <v>983</v>
      </c>
    </row>
    <row r="280" spans="1:8" ht="26.25" x14ac:dyDescent="0.25">
      <c r="A280" s="3" t="s">
        <v>985</v>
      </c>
      <c r="B280" s="3"/>
      <c r="C280" s="3" t="str">
        <f>"provide occupational therapy services"</f>
        <v>provide occupational therapy services</v>
      </c>
      <c r="D280" s="3" t="s">
        <v>9</v>
      </c>
      <c r="E280" s="3" t="s">
        <v>986</v>
      </c>
      <c r="F280" s="3" t="str">
        <f>"2192613834"</f>
        <v>2192613834</v>
      </c>
      <c r="G280" s="3">
        <v>621340</v>
      </c>
      <c r="H280" s="3" t="s">
        <v>987</v>
      </c>
    </row>
    <row r="281" spans="1:8" ht="39" x14ac:dyDescent="0.25">
      <c r="A281" s="3" t="s">
        <v>988</v>
      </c>
      <c r="B281" s="3"/>
      <c r="C281" s="3" t="str">
        <f>"comprehensive mental health center providing mental health and substance abuse services"</f>
        <v>comprehensive mental health center providing mental health and substance abuse services</v>
      </c>
      <c r="D281" s="3" t="s">
        <v>989</v>
      </c>
      <c r="E281" s="3" t="s">
        <v>46</v>
      </c>
      <c r="F281" s="2"/>
      <c r="G281" s="3">
        <v>621420</v>
      </c>
      <c r="H281" s="3" t="s">
        <v>990</v>
      </c>
    </row>
    <row r="282" spans="1:8" ht="128.25" x14ac:dyDescent="0.25">
      <c r="A282" s="3" t="s">
        <v>991</v>
      </c>
      <c r="B282" s="3"/>
      <c r="C282" s="3" t="s">
        <v>992</v>
      </c>
      <c r="D282" s="3" t="s">
        <v>993</v>
      </c>
      <c r="E282" s="3" t="s">
        <v>994</v>
      </c>
      <c r="F282" s="3" t="str">
        <f>"3172534714"</f>
        <v>3172534714</v>
      </c>
      <c r="G282" s="3">
        <v>51211</v>
      </c>
      <c r="H282" s="3" t="s">
        <v>406</v>
      </c>
    </row>
    <row r="283" spans="1:8" ht="204.75" x14ac:dyDescent="0.25">
      <c r="A283" s="3" t="s">
        <v>995</v>
      </c>
      <c r="B283" s="3"/>
      <c r="C283" s="3" t="s">
        <v>996</v>
      </c>
      <c r="D283" s="3" t="s">
        <v>997</v>
      </c>
      <c r="E283" s="3" t="s">
        <v>998</v>
      </c>
      <c r="F283" s="3" t="str">
        <f>"317-872-7550"</f>
        <v>317-872-7550</v>
      </c>
      <c r="G283" s="3">
        <v>32</v>
      </c>
      <c r="H283" s="3" t="s">
        <v>999</v>
      </c>
    </row>
    <row r="284" spans="1:8" ht="51.75" x14ac:dyDescent="0.25">
      <c r="A284" s="3" t="s">
        <v>1000</v>
      </c>
      <c r="B284" s="3"/>
      <c r="C284" s="3" t="str">
        <f>"Astra Digital is a custom Software Development and IT Staff Augmentation company proficient in using .Net, C#, Delphi, VB.Net, Java, J2EE Software Solutions."</f>
        <v>Astra Digital is a custom Software Development and IT Staff Augmentation company proficient in using .Net, C#, Delphi, VB.Net, Java, J2EE Software Solutions.</v>
      </c>
      <c r="D284" s="3" t="s">
        <v>1001</v>
      </c>
      <c r="E284" s="3" t="s">
        <v>1002</v>
      </c>
      <c r="F284" s="3" t="str">
        <f>"317-337-0950"</f>
        <v>317-337-0950</v>
      </c>
      <c r="G284" s="3">
        <v>518</v>
      </c>
      <c r="H284" s="3" t="s">
        <v>1003</v>
      </c>
    </row>
    <row r="285" spans="1:8" ht="26.25" x14ac:dyDescent="0.25">
      <c r="A285" s="3" t="s">
        <v>1004</v>
      </c>
      <c r="B285" s="3"/>
      <c r="C285" s="3" t="str">
        <f>"Wireline and Wireless Communications Company"</f>
        <v>Wireline and Wireless Communications Company</v>
      </c>
      <c r="D285" s="3" t="s">
        <v>1005</v>
      </c>
      <c r="E285" s="3" t="s">
        <v>46</v>
      </c>
      <c r="F285" s="3" t="str">
        <f>"800-CALL-ATT"</f>
        <v>800-CALL-ATT</v>
      </c>
      <c r="G285" s="3">
        <v>5133</v>
      </c>
      <c r="H285" s="3" t="s">
        <v>682</v>
      </c>
    </row>
    <row r="286" spans="1:8" ht="39" x14ac:dyDescent="0.25">
      <c r="A286" s="3" t="s">
        <v>1006</v>
      </c>
      <c r="B286" s="3"/>
      <c r="C286" s="3" t="str">
        <f>"Provide Traffic Controllers for companies that are need traffic direction while working on the streets of Indiana"</f>
        <v>Provide Traffic Controllers for companies that are need traffic direction while working on the streets of Indiana</v>
      </c>
      <c r="D286" s="3" t="s">
        <v>9</v>
      </c>
      <c r="E286" s="3" t="s">
        <v>1007</v>
      </c>
      <c r="F286" s="3" t="str">
        <f>"317-888-4418"</f>
        <v>317-888-4418</v>
      </c>
      <c r="G286" s="3">
        <v>561612</v>
      </c>
      <c r="H286" s="3" t="s">
        <v>362</v>
      </c>
    </row>
    <row r="287" spans="1:8" ht="77.25" x14ac:dyDescent="0.25">
      <c r="A287" s="3" t="s">
        <v>1008</v>
      </c>
      <c r="B287" s="3"/>
      <c r="C287" s="3" t="str">
        <f>"We sell and service outdoor power equipment. Our major product lines are Cub Cadet, Scag, Toro, Snapper, Honda mowers and generators, Stihl, Echo, Billy Goat, Briggs and Stratton, Troybilt, Kohler, Kawasaki, Tecumseh and Honda engines."</f>
        <v>We sell and service outdoor power equipment. Our major product lines are Cub Cadet, Scag, Toro, Snapper, Honda mowers and generators, Stihl, Echo, Billy Goat, Briggs and Stratton, Troybilt, Kohler, Kawasaki, Tecumseh and Honda engines.</v>
      </c>
      <c r="D287" s="3" t="s">
        <v>1009</v>
      </c>
      <c r="E287" s="3" t="s">
        <v>1010</v>
      </c>
      <c r="F287" s="3" t="str">
        <f>"8124763841"</f>
        <v>8124763841</v>
      </c>
      <c r="G287" s="3">
        <v>444210</v>
      </c>
      <c r="H287" s="3" t="s">
        <v>392</v>
      </c>
    </row>
    <row r="288" spans="1:8" ht="153.75" x14ac:dyDescent="0.25">
      <c r="A288" s="3" t="s">
        <v>1011</v>
      </c>
      <c r="B288" s="3"/>
      <c r="C288" s="3" t="s">
        <v>1012</v>
      </c>
      <c r="D288" s="3" t="s">
        <v>1013</v>
      </c>
      <c r="E288" s="3" t="s">
        <v>1014</v>
      </c>
      <c r="F288" s="3" t="str">
        <f>"855 324-3085"</f>
        <v>855 324-3085</v>
      </c>
      <c r="G288" s="3">
        <v>4411</v>
      </c>
      <c r="H288" s="3" t="s">
        <v>1015</v>
      </c>
    </row>
    <row r="289" spans="1:8" ht="64.5" x14ac:dyDescent="0.25">
      <c r="A289" s="3" t="s">
        <v>1016</v>
      </c>
      <c r="B289" s="3"/>
      <c r="C289" s="3" t="str">
        <f>"First Aid and First Aid Room supplies. Safety Glasses. Hearing Protection. Hand and Wrist Supports. Back Supports. Portable Oxygen units. AED Automated External Defibrillators and Accessories."</f>
        <v>First Aid and First Aid Room supplies. Safety Glasses. Hearing Protection. Hand and Wrist Supports. Back Supports. Portable Oxygen units. AED Automated External Defibrillators and Accessories.</v>
      </c>
      <c r="D289" s="3" t="s">
        <v>1017</v>
      </c>
      <c r="E289" s="3" t="s">
        <v>1018</v>
      </c>
      <c r="F289" s="3" t="str">
        <f>"317 898 3344"</f>
        <v>317 898 3344</v>
      </c>
      <c r="G289" s="3">
        <v>424990</v>
      </c>
      <c r="H289" s="3" t="s">
        <v>1019</v>
      </c>
    </row>
    <row r="290" spans="1:8" ht="51.75" x14ac:dyDescent="0.25">
      <c r="A290" s="3" t="s">
        <v>1020</v>
      </c>
      <c r="B290" s="3"/>
      <c r="C290" s="3" t="str">
        <f>"Production of elegant desserts - cake, cheesecakes, etc. distributed through wholesale, restaurants and business/government functions"</f>
        <v>Production of elegant desserts - cake, cheesecakes, etc. distributed through wholesale, restaurants and business/government functions</v>
      </c>
      <c r="D290" s="3" t="s">
        <v>1021</v>
      </c>
      <c r="E290" s="3" t="s">
        <v>46</v>
      </c>
      <c r="F290" s="2"/>
      <c r="G290" s="3">
        <v>311813</v>
      </c>
      <c r="H290" s="3" t="s">
        <v>1022</v>
      </c>
    </row>
    <row r="291" spans="1:8" ht="26.25" x14ac:dyDescent="0.25">
      <c r="A291" s="3" t="s">
        <v>1023</v>
      </c>
      <c r="B291" s="3"/>
      <c r="C291" s="3" t="str">
        <f>"Installation, repair, and programming of ATMs."</f>
        <v>Installation, repair, and programming of ATMs.</v>
      </c>
      <c r="D291" s="3" t="s">
        <v>9</v>
      </c>
      <c r="E291" s="3" t="s">
        <v>1024</v>
      </c>
      <c r="F291" s="3" t="str">
        <f>"317-501-1764"</f>
        <v>317-501-1764</v>
      </c>
      <c r="G291" s="3">
        <v>541519</v>
      </c>
      <c r="H291" s="3" t="s">
        <v>898</v>
      </c>
    </row>
    <row r="292" spans="1:8" ht="39" x14ac:dyDescent="0.25">
      <c r="A292" s="3" t="s">
        <v>1025</v>
      </c>
      <c r="B292" s="3"/>
      <c r="C292" s="3" t="str">
        <f>"We provide ATMs to the Indiana State Fairgrounds and county fairgrounds for use during their events."</f>
        <v>We provide ATMs to the Indiana State Fairgrounds and county fairgrounds for use during their events.</v>
      </c>
      <c r="D292" s="3" t="s">
        <v>1026</v>
      </c>
      <c r="E292" s="3" t="s">
        <v>1027</v>
      </c>
      <c r="F292" s="3" t="str">
        <f>"317-336-7522"</f>
        <v>317-336-7522</v>
      </c>
      <c r="G292" s="3">
        <v>52599</v>
      </c>
      <c r="H292" s="3" t="s">
        <v>1028</v>
      </c>
    </row>
    <row r="293" spans="1:8" ht="26.25" x14ac:dyDescent="0.25">
      <c r="A293" s="3" t="s">
        <v>1029</v>
      </c>
      <c r="B293" s="3"/>
      <c r="C293" s="3" t="str">
        <f>"JANITORIAL SERVICES IN KNOX AND SURROUNDING COUNTIES IN INDIANA"</f>
        <v>JANITORIAL SERVICES IN KNOX AND SURROUNDING COUNTIES IN INDIANA</v>
      </c>
      <c r="D293" s="3" t="s">
        <v>9</v>
      </c>
      <c r="E293" s="3" t="s">
        <v>46</v>
      </c>
      <c r="F293" s="2"/>
      <c r="G293" s="3">
        <v>561720</v>
      </c>
      <c r="H293" s="3" t="s">
        <v>222</v>
      </c>
    </row>
    <row r="294" spans="1:8" ht="77.25" x14ac:dyDescent="0.25">
      <c r="A294" s="3" t="s">
        <v>1030</v>
      </c>
      <c r="B294" s="3"/>
      <c r="C294" s="3" t="str">
        <f>"We are a light, medium, and heavy duty truck &amp; trailer parts distributor. We specialize in air, electric, and hydraulic brakes. We also have a wide variety of lights, fenders,mirrors,wheels, hubs,drums,shop tools, and equipment."</f>
        <v>We are a light, medium, and heavy duty truck &amp; trailer parts distributor. We specialize in air, electric, and hydraulic brakes. We also have a wide variety of lights, fenders,mirrors,wheels, hubs,drums,shop tools, and equipment.</v>
      </c>
      <c r="D294" s="3" t="s">
        <v>1031</v>
      </c>
      <c r="E294" s="3" t="s">
        <v>1032</v>
      </c>
      <c r="F294" s="3" t="str">
        <f>"800-999-3157"</f>
        <v>800-999-3157</v>
      </c>
      <c r="G294" s="3">
        <v>423120</v>
      </c>
      <c r="H294" s="3" t="s">
        <v>1033</v>
      </c>
    </row>
    <row r="295" spans="1:8" ht="26.25" x14ac:dyDescent="0.25">
      <c r="A295" s="3" t="s">
        <v>1034</v>
      </c>
      <c r="B295" s="3"/>
      <c r="C295" s="3" t="str">
        <f>"Automatic Door equipment sales, installation, and service."</f>
        <v>Automatic Door equipment sales, installation, and service.</v>
      </c>
      <c r="D295" s="3" t="s">
        <v>9</v>
      </c>
      <c r="E295" s="3" t="s">
        <v>1035</v>
      </c>
      <c r="F295" s="3" t="str">
        <f>"317-920-3750"</f>
        <v>317-920-3750</v>
      </c>
      <c r="G295" s="3">
        <v>238290</v>
      </c>
      <c r="H295" s="3" t="s">
        <v>237</v>
      </c>
    </row>
    <row r="296" spans="1:8" ht="332.25" x14ac:dyDescent="0.25">
      <c r="A296" s="3" t="s">
        <v>1036</v>
      </c>
      <c r="B296" s="3"/>
      <c r="C296" s="3" t="s">
        <v>1037</v>
      </c>
      <c r="D296" s="3" t="s">
        <v>1038</v>
      </c>
      <c r="E296" s="3" t="s">
        <v>1039</v>
      </c>
      <c r="F296" s="3" t="str">
        <f>"317-818-1068"</f>
        <v>317-818-1068</v>
      </c>
      <c r="G296" s="3">
        <v>541330</v>
      </c>
      <c r="H296" s="3" t="s">
        <v>82</v>
      </c>
    </row>
    <row r="297" spans="1:8" ht="230.25" x14ac:dyDescent="0.25">
      <c r="A297" s="3" t="s">
        <v>1040</v>
      </c>
      <c r="B297" s="3"/>
      <c r="C297" s="3" t="s">
        <v>1041</v>
      </c>
      <c r="D297" s="3" t="s">
        <v>1042</v>
      </c>
      <c r="E297" s="3" t="s">
        <v>1043</v>
      </c>
      <c r="F297" s="3" t="str">
        <f>"260-497-9620"</f>
        <v>260-497-9620</v>
      </c>
      <c r="G297" s="3">
        <v>541620</v>
      </c>
      <c r="H297" s="3" t="s">
        <v>216</v>
      </c>
    </row>
    <row r="298" spans="1:8" ht="39" x14ac:dyDescent="0.25">
      <c r="A298" s="3" t="s">
        <v>1044</v>
      </c>
      <c r="B298" s="3"/>
      <c r="C298" s="3" t="str">
        <f>"Document translations Spanish/English, Document Preparation, Tax Preparation and Notary Public."</f>
        <v>Document translations Spanish/English, Document Preparation, Tax Preparation and Notary Public.</v>
      </c>
      <c r="D298" s="3" t="s">
        <v>9</v>
      </c>
      <c r="E298" s="3" t="s">
        <v>1045</v>
      </c>
      <c r="F298" s="3" t="str">
        <f>"8124188964"</f>
        <v>8124188964</v>
      </c>
      <c r="G298" s="3">
        <v>541213</v>
      </c>
      <c r="H298" s="3" t="s">
        <v>209</v>
      </c>
    </row>
    <row r="299" spans="1:8" ht="217.5" x14ac:dyDescent="0.25">
      <c r="A299" s="3" t="s">
        <v>1046</v>
      </c>
      <c r="B299" s="3"/>
      <c r="C299" s="3" t="s">
        <v>1047</v>
      </c>
      <c r="D299" s="3" t="s">
        <v>1048</v>
      </c>
      <c r="E299" s="3" t="s">
        <v>1049</v>
      </c>
      <c r="F299" s="3" t="str">
        <f>"330-372-6000"</f>
        <v>330-372-6000</v>
      </c>
      <c r="G299" s="3">
        <v>72231</v>
      </c>
      <c r="H299" s="3" t="s">
        <v>1050</v>
      </c>
    </row>
    <row r="300" spans="1:8" ht="90" x14ac:dyDescent="0.25">
      <c r="A300" s="3" t="s">
        <v>1051</v>
      </c>
      <c r="B300" s="3"/>
      <c r="C300" s="3" t="s">
        <v>1052</v>
      </c>
      <c r="D300" s="3" t="s">
        <v>9</v>
      </c>
      <c r="E300" s="3" t="s">
        <v>1053</v>
      </c>
      <c r="F300" s="3" t="str">
        <f>"(765) 423-1798"</f>
        <v>(765) 423-1798</v>
      </c>
      <c r="G300" s="3">
        <v>561320</v>
      </c>
      <c r="H300" s="3" t="s">
        <v>15</v>
      </c>
    </row>
    <row r="301" spans="1:8" ht="141" x14ac:dyDescent="0.25">
      <c r="A301" s="3" t="s">
        <v>1054</v>
      </c>
      <c r="B301" s="3"/>
      <c r="C301" s="3" t="s">
        <v>1055</v>
      </c>
      <c r="D301" s="3" t="s">
        <v>1056</v>
      </c>
      <c r="E301" s="3" t="s">
        <v>1057</v>
      </c>
      <c r="F301" s="3" t="str">
        <f>"866-937-5550"</f>
        <v>866-937-5550</v>
      </c>
      <c r="G301" s="3">
        <v>541512</v>
      </c>
      <c r="H301" s="3" t="s">
        <v>19</v>
      </c>
    </row>
    <row r="302" spans="1:8" ht="128.25" x14ac:dyDescent="0.25">
      <c r="A302" s="3" t="s">
        <v>1058</v>
      </c>
      <c r="B302" s="3"/>
      <c r="C302" s="3" t="s">
        <v>1059</v>
      </c>
      <c r="D302" s="3" t="s">
        <v>1060</v>
      </c>
      <c r="E302" s="3" t="s">
        <v>1061</v>
      </c>
      <c r="F302" s="3" t="str">
        <f>"260-349-5889"</f>
        <v>260-349-5889</v>
      </c>
      <c r="G302" s="3">
        <v>541310</v>
      </c>
      <c r="H302" s="3" t="s">
        <v>446</v>
      </c>
    </row>
    <row r="303" spans="1:8" ht="51.75" x14ac:dyDescent="0.25">
      <c r="A303" s="3" t="s">
        <v>1062</v>
      </c>
      <c r="B303" s="3"/>
      <c r="C303" s="3" t="str">
        <f>"COMMERCIAL UPHOLSTERY, OFFICE, LOBBY, RESTAURANTS, HOTELS, MOTELS, CUSTOM MANUFACTURING BOOTHS AND LOBBLY SEATING"</f>
        <v>COMMERCIAL UPHOLSTERY, OFFICE, LOBBY, RESTAURANTS, HOTELS, MOTELS, CUSTOM MANUFACTURING BOOTHS AND LOBBLY SEATING</v>
      </c>
      <c r="D303" s="3" t="s">
        <v>1063</v>
      </c>
      <c r="E303" s="3" t="s">
        <v>1064</v>
      </c>
      <c r="F303" s="3" t="str">
        <f>"812-829-1321"</f>
        <v>812-829-1321</v>
      </c>
      <c r="G303" s="3">
        <v>811420</v>
      </c>
      <c r="H303" s="3" t="s">
        <v>1065</v>
      </c>
    </row>
    <row r="304" spans="1:8" ht="51.75" x14ac:dyDescent="0.25">
      <c r="A304" s="3" t="s">
        <v>1066</v>
      </c>
      <c r="B304" s="3"/>
      <c r="C304" s="3" t="str">
        <f>"We are a full service printing and copy center including a complete art and design department specializing in short runs completed in a timely manner."</f>
        <v>We are a full service printing and copy center including a complete art and design department specializing in short runs completed in a timely manner.</v>
      </c>
      <c r="D304" s="3" t="s">
        <v>9</v>
      </c>
      <c r="E304" s="3" t="s">
        <v>1067</v>
      </c>
      <c r="F304" s="3" t="str">
        <f>"812-477-4453"</f>
        <v>812-477-4453</v>
      </c>
      <c r="G304" s="3">
        <v>323114</v>
      </c>
      <c r="H304" s="3" t="s">
        <v>1068</v>
      </c>
    </row>
    <row r="305" spans="1:8" ht="64.5" x14ac:dyDescent="0.25">
      <c r="A305" s="3" t="s">
        <v>1069</v>
      </c>
      <c r="B305" s="3"/>
      <c r="C305" s="3" t="str">
        <f>"AZTEC WFR INC was established in 2004. The company's initial focus was welding. Two years later, the company expanded into concrete work, sewer rehabilitation, landscaping, and production of parts."</f>
        <v>AZTEC WFR INC was established in 2004. The company's initial focus was welding. Two years later, the company expanded into concrete work, sewer rehabilitation, landscaping, and production of parts.</v>
      </c>
      <c r="D305" s="3" t="s">
        <v>1070</v>
      </c>
      <c r="E305" s="3" t="s">
        <v>1071</v>
      </c>
      <c r="F305" s="3" t="str">
        <f>"317-545-4233"</f>
        <v>317-545-4233</v>
      </c>
      <c r="G305" s="3">
        <v>238190</v>
      </c>
      <c r="H305" s="3" t="s">
        <v>1072</v>
      </c>
    </row>
    <row r="306" spans="1:8" ht="128.25" x14ac:dyDescent="0.25">
      <c r="A306" s="3" t="s">
        <v>1073</v>
      </c>
      <c r="B306" s="3"/>
      <c r="C306" s="3" t="s">
        <v>1074</v>
      </c>
      <c r="D306" s="3" t="s">
        <v>1075</v>
      </c>
      <c r="E306" s="3" t="s">
        <v>1076</v>
      </c>
      <c r="F306" s="3" t="str">
        <f>"317-781-7680"</f>
        <v>317-781-7680</v>
      </c>
      <c r="G306" s="3">
        <v>811213</v>
      </c>
      <c r="H306" s="3" t="s">
        <v>1077</v>
      </c>
    </row>
    <row r="307" spans="1:8" ht="90" x14ac:dyDescent="0.25">
      <c r="A307" s="3" t="s">
        <v>1078</v>
      </c>
      <c r="B307" s="3"/>
      <c r="C307" s="3" t="s">
        <v>1079</v>
      </c>
      <c r="D307" s="3" t="s">
        <v>1080</v>
      </c>
      <c r="E307" s="3" t="s">
        <v>46</v>
      </c>
      <c r="F307" s="3" t="str">
        <f>"317-570-0300"</f>
        <v>317-570-0300</v>
      </c>
      <c r="G307" s="3">
        <v>812112</v>
      </c>
      <c r="H307" s="3" t="s">
        <v>1081</v>
      </c>
    </row>
    <row r="308" spans="1:8" ht="39" x14ac:dyDescent="0.25">
      <c r="A308" s="3" t="s">
        <v>1082</v>
      </c>
      <c r="B308" s="3"/>
      <c r="C308" s="3" t="str">
        <f>"Banners, Vehicle Graphics, Yard Signs, Construction Site Signs, Wall Murals, Real Estate Signs, Lobby Signs, Monument Signs."</f>
        <v>Banners, Vehicle Graphics, Yard Signs, Construction Site Signs, Wall Murals, Real Estate Signs, Lobby Signs, Monument Signs.</v>
      </c>
      <c r="D308" s="3" t="s">
        <v>1083</v>
      </c>
      <c r="E308" s="3" t="s">
        <v>1084</v>
      </c>
      <c r="F308" s="3" t="str">
        <f>"3172225665"</f>
        <v>3172225665</v>
      </c>
      <c r="G308" s="3">
        <v>339950</v>
      </c>
      <c r="H308" s="3" t="s">
        <v>68</v>
      </c>
    </row>
    <row r="309" spans="1:8" x14ac:dyDescent="0.25">
      <c r="A309" s="3" t="s">
        <v>1085</v>
      </c>
      <c r="B309" s="3"/>
      <c r="C309" s="2"/>
      <c r="D309" s="3" t="s">
        <v>9</v>
      </c>
      <c r="E309" s="3" t="s">
        <v>46</v>
      </c>
      <c r="F309" s="2"/>
      <c r="G309" s="3">
        <v>236</v>
      </c>
      <c r="H309" s="3" t="s">
        <v>291</v>
      </c>
    </row>
    <row r="310" spans="1:8" ht="51.75" x14ac:dyDescent="0.25">
      <c r="A310" s="3" t="s">
        <v>1086</v>
      </c>
      <c r="B310" s="3"/>
      <c r="C310" s="3" t="str">
        <f>"Institutional/Industrial/Commercial/Residential heating and air conditioning including commercial refrigeration. We are a Bally Refrigerated Structure representative."</f>
        <v>Institutional/Industrial/Commercial/Residential heating and air conditioning including commercial refrigeration. We are a Bally Refrigerated Structure representative.</v>
      </c>
      <c r="D310" s="3" t="s">
        <v>1087</v>
      </c>
      <c r="E310" s="3" t="s">
        <v>1088</v>
      </c>
      <c r="F310" s="3" t="str">
        <f>"317-262-4070"</f>
        <v>317-262-4070</v>
      </c>
      <c r="G310" s="3">
        <v>238220</v>
      </c>
      <c r="H310" s="3" t="s">
        <v>348</v>
      </c>
    </row>
    <row r="311" spans="1:8" ht="77.25" x14ac:dyDescent="0.25">
      <c r="A311" s="3" t="s">
        <v>1089</v>
      </c>
      <c r="B311" s="3"/>
      <c r="C311" s="3" t="str">
        <f>"Provide lawn maintenance, landscape design and installation. Specializing in computer imaging designs, hydroseeding, tree and shrub install, retaining walls, pavers, mowing, fertilizing, and weed control."</f>
        <v>Provide lawn maintenance, landscape design and installation. Specializing in computer imaging designs, hydroseeding, tree and shrub install, retaining walls, pavers, mowing, fertilizing, and weed control.</v>
      </c>
      <c r="D311" s="3" t="s">
        <v>9</v>
      </c>
      <c r="E311" s="3" t="s">
        <v>1090</v>
      </c>
      <c r="F311" s="3" t="str">
        <f>"812-873-5296"</f>
        <v>812-873-5296</v>
      </c>
      <c r="G311" s="3">
        <v>561730</v>
      </c>
      <c r="H311" s="3" t="s">
        <v>65</v>
      </c>
    </row>
    <row r="312" spans="1:8" ht="39" x14ac:dyDescent="0.25">
      <c r="A312" s="3" t="s">
        <v>1091</v>
      </c>
      <c r="B312" s="3"/>
      <c r="C312" s="3" t="str">
        <f>"A service company that repairs or modifies elevators for businesses or industrial purposes."</f>
        <v>A service company that repairs or modifies elevators for businesses or industrial purposes.</v>
      </c>
      <c r="D312" s="3" t="s">
        <v>9</v>
      </c>
      <c r="E312" s="3" t="s">
        <v>46</v>
      </c>
      <c r="F312" s="3" t="str">
        <f>"502-363-9300"</f>
        <v>502-363-9300</v>
      </c>
      <c r="G312" s="3">
        <v>339</v>
      </c>
      <c r="H312" s="3" t="s">
        <v>1092</v>
      </c>
    </row>
    <row r="313" spans="1:8" ht="115.5" x14ac:dyDescent="0.25">
      <c r="A313" s="3" t="s">
        <v>1093</v>
      </c>
      <c r="B313" s="3"/>
      <c r="C313" s="3" t="s">
        <v>1094</v>
      </c>
      <c r="D313" s="3" t="s">
        <v>1095</v>
      </c>
      <c r="E313" s="3" t="s">
        <v>1096</v>
      </c>
      <c r="F313" s="3" t="str">
        <f>"260-918-1875"</f>
        <v>260-918-1875</v>
      </c>
      <c r="G313" s="3">
        <v>5141</v>
      </c>
      <c r="H313" s="3" t="s">
        <v>1097</v>
      </c>
    </row>
    <row r="314" spans="1:8" ht="51.75" x14ac:dyDescent="0.25">
      <c r="A314" s="3" t="s">
        <v>1098</v>
      </c>
      <c r="B314" s="3"/>
      <c r="C314" s="3" t="str">
        <f>"Real estate and ancillary services through the use of an array of licensed professionals from licensed agents to licensed professional brokers"</f>
        <v>Real estate and ancillary services through the use of an array of licensed professionals from licensed agents to licensed professional brokers</v>
      </c>
      <c r="D314" s="3" t="s">
        <v>1099</v>
      </c>
      <c r="E314" s="3" t="s">
        <v>1100</v>
      </c>
      <c r="F314" s="3" t="str">
        <f>"317/251-4663"</f>
        <v>317/251-4663</v>
      </c>
      <c r="G314" s="3">
        <v>531210</v>
      </c>
      <c r="H314" s="3" t="s">
        <v>1101</v>
      </c>
    </row>
    <row r="315" spans="1:8" ht="243" x14ac:dyDescent="0.25">
      <c r="A315" s="3" t="s">
        <v>1102</v>
      </c>
      <c r="B315" s="3"/>
      <c r="C315" s="3" t="s">
        <v>1103</v>
      </c>
      <c r="D315" s="3" t="s">
        <v>9</v>
      </c>
      <c r="E315" s="3" t="s">
        <v>1104</v>
      </c>
      <c r="F315" s="3" t="str">
        <f>"317-639-0452"</f>
        <v>317-639-0452</v>
      </c>
      <c r="G315" s="3">
        <v>531210</v>
      </c>
      <c r="H315" s="3" t="s">
        <v>1101</v>
      </c>
    </row>
    <row r="316" spans="1:8" ht="51.75" x14ac:dyDescent="0.25">
      <c r="A316" s="3" t="s">
        <v>1105</v>
      </c>
      <c r="B316" s="3"/>
      <c r="C316" s="3" t="str">
        <f>"Abner Drainage has provided 35 years of quality work in subsurface drainage . Feel free to Call me and we can discuss your next project of drainage."</f>
        <v>Abner Drainage has provided 35 years of quality work in subsurface drainage . Feel free to Call me and we can discuss your next project of drainage.</v>
      </c>
      <c r="D316" s="3" t="s">
        <v>9</v>
      </c>
      <c r="E316" s="3" t="s">
        <v>1106</v>
      </c>
      <c r="F316" s="3" t="str">
        <f>"812 966 2933"</f>
        <v>812 966 2933</v>
      </c>
      <c r="G316" s="3">
        <v>23491</v>
      </c>
      <c r="H316" s="3" t="s">
        <v>1107</v>
      </c>
    </row>
    <row r="317" spans="1:8" ht="306.75" x14ac:dyDescent="0.25">
      <c r="A317" s="3" t="s">
        <v>1108</v>
      </c>
      <c r="B317" s="3"/>
      <c r="C317" s="3" t="s">
        <v>1109</v>
      </c>
      <c r="D317" s="3" t="s">
        <v>1110</v>
      </c>
      <c r="E317" s="3" t="s">
        <v>1111</v>
      </c>
      <c r="F317" s="3" t="str">
        <f>"260-436-6636"</f>
        <v>260-436-6636</v>
      </c>
      <c r="G317" s="3">
        <v>621112</v>
      </c>
      <c r="H317" s="3" t="s">
        <v>1112</v>
      </c>
    </row>
    <row r="318" spans="1:8" ht="51.75" x14ac:dyDescent="0.25">
      <c r="A318" s="3" t="s">
        <v>1113</v>
      </c>
      <c r="B318" s="3"/>
      <c r="C318" s="3" t="str">
        <f>"Abonmarche provides Architectural, Engineering, Surveying, and Planning Services to private and governmental clients throughout the midwest."</f>
        <v>Abonmarche provides Architectural, Engineering, Surveying, and Planning Services to private and governmental clients throughout the midwest.</v>
      </c>
      <c r="D318" s="3" t="s">
        <v>1114</v>
      </c>
      <c r="E318" s="3" t="s">
        <v>1115</v>
      </c>
      <c r="F318" s="3" t="str">
        <f>"574-232-8700"</f>
        <v>574-232-8700</v>
      </c>
      <c r="G318" s="3">
        <v>5413</v>
      </c>
      <c r="H318" s="3" t="s">
        <v>1116</v>
      </c>
    </row>
    <row r="319" spans="1:8" ht="26.25" x14ac:dyDescent="0.25">
      <c r="A319" s="3" t="s">
        <v>1117</v>
      </c>
      <c r="B319" s="3"/>
      <c r="C319" s="3" t="str">
        <f>"All things construction."</f>
        <v>All things construction.</v>
      </c>
      <c r="D319" s="3" t="s">
        <v>1118</v>
      </c>
      <c r="E319" s="3" t="s">
        <v>1119</v>
      </c>
      <c r="F319" s="3" t="str">
        <f>"219.363.0724"</f>
        <v>219.363.0724</v>
      </c>
      <c r="G319" s="3">
        <v>23</v>
      </c>
      <c r="H319" s="3" t="s">
        <v>133</v>
      </c>
    </row>
    <row r="320" spans="1:8" ht="128.25" x14ac:dyDescent="0.25">
      <c r="A320" s="3" t="s">
        <v>1120</v>
      </c>
      <c r="B320" s="3"/>
      <c r="C320" s="3" t="s">
        <v>1121</v>
      </c>
      <c r="D320" s="3" t="s">
        <v>9</v>
      </c>
      <c r="E320" s="3" t="s">
        <v>1122</v>
      </c>
      <c r="F320" s="3" t="str">
        <f>"7656236286"</f>
        <v>7656236286</v>
      </c>
      <c r="G320" s="3">
        <v>541720</v>
      </c>
      <c r="H320" s="3" t="s">
        <v>1123</v>
      </c>
    </row>
    <row r="321" spans="1:8" ht="26.25" x14ac:dyDescent="0.25">
      <c r="A321" s="3" t="s">
        <v>1124</v>
      </c>
      <c r="B321" s="3"/>
      <c r="C321" s="3" t="str">
        <f>"Provide consultation for children and Adults with developmental Disabilities."</f>
        <v>Provide consultation for children and Adults with developmental Disabilities.</v>
      </c>
      <c r="D321" s="3" t="s">
        <v>9</v>
      </c>
      <c r="E321" s="3" t="s">
        <v>1125</v>
      </c>
      <c r="F321" s="3" t="str">
        <f>"317-271-5381"</f>
        <v>317-271-5381</v>
      </c>
      <c r="G321" s="3">
        <v>62412</v>
      </c>
      <c r="H321" s="3" t="s">
        <v>22</v>
      </c>
    </row>
    <row r="322" spans="1:8" ht="102.75" x14ac:dyDescent="0.25">
      <c r="A322" s="3" t="s">
        <v>1126</v>
      </c>
      <c r="B322" s="3"/>
      <c r="C322" s="3" t="s">
        <v>1127</v>
      </c>
      <c r="D322" s="3" t="s">
        <v>1128</v>
      </c>
      <c r="E322" s="3" t="s">
        <v>1129</v>
      </c>
      <c r="F322" s="3" t="str">
        <f>"317-845-9898"</f>
        <v>317-845-9898</v>
      </c>
      <c r="G322" s="3">
        <v>541370</v>
      </c>
      <c r="H322" s="3" t="s">
        <v>160</v>
      </c>
    </row>
    <row r="323" spans="1:8" ht="26.25" x14ac:dyDescent="0.25">
      <c r="A323" s="3" t="s">
        <v>1130</v>
      </c>
      <c r="B323" s="3"/>
      <c r="C323" s="3" t="str">
        <f>"We are a Van freight truckload carrier, and offer warehouse, and manufacturing space."</f>
        <v>We are a Van freight truckload carrier, and offer warehouse, and manufacturing space.</v>
      </c>
      <c r="D323" s="3" t="s">
        <v>9</v>
      </c>
      <c r="E323" s="3" t="s">
        <v>1131</v>
      </c>
      <c r="F323" s="3" t="str">
        <f>"765-932-4184"</f>
        <v>765-932-4184</v>
      </c>
      <c r="G323" s="3">
        <v>48412</v>
      </c>
      <c r="H323" s="3" t="s">
        <v>758</v>
      </c>
    </row>
    <row r="324" spans="1:8" ht="141" x14ac:dyDescent="0.25">
      <c r="A324" s="3" t="s">
        <v>1132</v>
      </c>
      <c r="B324" s="3"/>
      <c r="C324" s="3" t="s">
        <v>1133</v>
      </c>
      <c r="D324" s="3" t="s">
        <v>1134</v>
      </c>
      <c r="E324" s="3" t="s">
        <v>1135</v>
      </c>
      <c r="F324" s="3" t="str">
        <f>"765-935-7501"</f>
        <v>765-935-7501</v>
      </c>
      <c r="G324" s="3">
        <v>335222</v>
      </c>
      <c r="H324" s="3" t="s">
        <v>1136</v>
      </c>
    </row>
    <row r="325" spans="1:8" ht="319.5" x14ac:dyDescent="0.25">
      <c r="A325" s="3" t="s">
        <v>1137</v>
      </c>
      <c r="B325" s="3"/>
      <c r="C325" s="3" t="s">
        <v>1138</v>
      </c>
      <c r="D325" s="3" t="s">
        <v>9</v>
      </c>
      <c r="E325" s="3" t="s">
        <v>1139</v>
      </c>
      <c r="F325" s="3" t="str">
        <f>"219-933-8157"</f>
        <v>219-933-8157</v>
      </c>
      <c r="G325" s="3">
        <v>624190</v>
      </c>
      <c r="H325" s="3" t="s">
        <v>54</v>
      </c>
    </row>
    <row r="326" spans="1:8" ht="90" x14ac:dyDescent="0.25">
      <c r="A326" s="3" t="s">
        <v>1140</v>
      </c>
      <c r="B326" s="3"/>
      <c r="C326" s="3" t="s">
        <v>1141</v>
      </c>
      <c r="D326" s="3" t="s">
        <v>1142</v>
      </c>
      <c r="E326" s="3" t="s">
        <v>1143</v>
      </c>
      <c r="F326" s="3" t="str">
        <f>"866-324-7444"</f>
        <v>866-324-7444</v>
      </c>
      <c r="G326" s="3">
        <v>42</v>
      </c>
      <c r="H326" s="3" t="s">
        <v>674</v>
      </c>
    </row>
    <row r="327" spans="1:8" x14ac:dyDescent="0.25">
      <c r="A327" s="3" t="s">
        <v>1144</v>
      </c>
      <c r="B327" s="3"/>
      <c r="C327" s="3" t="str">
        <f>" "</f>
        <v xml:space="preserve"> </v>
      </c>
      <c r="D327" s="3" t="s">
        <v>9</v>
      </c>
      <c r="E327" s="3" t="s">
        <v>46</v>
      </c>
      <c r="F327" s="2"/>
      <c r="G327" s="3">
        <v>561320</v>
      </c>
      <c r="H327" s="3" t="s">
        <v>15</v>
      </c>
    </row>
    <row r="328" spans="1:8" x14ac:dyDescent="0.25">
      <c r="A328" s="3" t="s">
        <v>1145</v>
      </c>
      <c r="B328" s="3"/>
      <c r="C328" s="2"/>
      <c r="D328" s="3" t="s">
        <v>9</v>
      </c>
      <c r="E328" s="3" t="s">
        <v>46</v>
      </c>
      <c r="F328" s="2"/>
      <c r="G328" s="3">
        <v>541191</v>
      </c>
      <c r="H328" s="3" t="s">
        <v>1146</v>
      </c>
    </row>
    <row r="329" spans="1:8" ht="243" x14ac:dyDescent="0.25">
      <c r="A329" s="3" t="s">
        <v>1147</v>
      </c>
      <c r="B329" s="3"/>
      <c r="C329" s="3" t="s">
        <v>1148</v>
      </c>
      <c r="D329" s="3" t="s">
        <v>1149</v>
      </c>
      <c r="E329" s="3" t="s">
        <v>1150</v>
      </c>
      <c r="F329" s="3" t="str">
        <f>"317-434-3003"</f>
        <v>317-434-3003</v>
      </c>
      <c r="G329" s="3">
        <v>221</v>
      </c>
      <c r="H329" s="3" t="s">
        <v>1151</v>
      </c>
    </row>
    <row r="330" spans="1:8" ht="153.75" x14ac:dyDescent="0.25">
      <c r="A330" s="3" t="s">
        <v>1152</v>
      </c>
      <c r="B330" s="3"/>
      <c r="C330" s="3" t="s">
        <v>1153</v>
      </c>
      <c r="D330" s="3" t="s">
        <v>1154</v>
      </c>
      <c r="E330" s="3" t="s">
        <v>1155</v>
      </c>
      <c r="F330" s="3" t="str">
        <f>"3178470738"</f>
        <v>3178470738</v>
      </c>
      <c r="G330" s="3">
        <v>722320</v>
      </c>
      <c r="H330" s="3" t="s">
        <v>266</v>
      </c>
    </row>
    <row r="331" spans="1:8" ht="243" x14ac:dyDescent="0.25">
      <c r="A331" s="3" t="s">
        <v>1156</v>
      </c>
      <c r="B331" s="3"/>
      <c r="C331" s="3" t="s">
        <v>1157</v>
      </c>
      <c r="D331" s="3" t="s">
        <v>1158</v>
      </c>
      <c r="E331" s="3" t="s">
        <v>1159</v>
      </c>
      <c r="F331" s="3" t="str">
        <f>"765-420-8324"</f>
        <v>765-420-8324</v>
      </c>
      <c r="G331" s="3">
        <v>541512</v>
      </c>
      <c r="H331" s="3" t="s">
        <v>19</v>
      </c>
    </row>
    <row r="332" spans="1:8" ht="166.5" x14ac:dyDescent="0.25">
      <c r="A332" s="3" t="s">
        <v>1160</v>
      </c>
      <c r="B332" s="3"/>
      <c r="C332" s="3" t="s">
        <v>1161</v>
      </c>
      <c r="D332" s="3" t="s">
        <v>1162</v>
      </c>
      <c r="E332" s="3" t="s">
        <v>1163</v>
      </c>
      <c r="F332" s="3" t="str">
        <f>"219-730-7621"</f>
        <v>219-730-7621</v>
      </c>
      <c r="G332" s="3">
        <v>511120</v>
      </c>
      <c r="H332" s="3" t="s">
        <v>149</v>
      </c>
    </row>
    <row r="333" spans="1:8" ht="230.25" x14ac:dyDescent="0.25">
      <c r="A333" s="3" t="s">
        <v>1164</v>
      </c>
      <c r="B333" s="3"/>
      <c r="C333" s="3" t="s">
        <v>1165</v>
      </c>
      <c r="D333" s="3" t="s">
        <v>1166</v>
      </c>
      <c r="E333" s="3" t="s">
        <v>1167</v>
      </c>
      <c r="F333" s="3" t="str">
        <f>"775 685-4000"</f>
        <v>775 685-4000</v>
      </c>
      <c r="G333" s="3">
        <v>62</v>
      </c>
      <c r="H333" s="3" t="s">
        <v>1168</v>
      </c>
    </row>
    <row r="334" spans="1:8" ht="64.5" x14ac:dyDescent="0.25">
      <c r="A334" s="3" t="s">
        <v>1169</v>
      </c>
      <c r="B334" s="3"/>
      <c r="C334" s="3" t="str">
        <f>"We are an electrical contractor servicing Indianapolis and the surrounding areas. Residential, Commercial and Industrial. Master Electrician with 19 years experience. Licensed, Insured and Bonded 24/7 Service"</f>
        <v>We are an electrical contractor servicing Indianapolis and the surrounding areas. Residential, Commercial and Industrial. Master Electrician with 19 years experience. Licensed, Insured and Bonded 24/7 Service</v>
      </c>
      <c r="D334" s="3" t="s">
        <v>9</v>
      </c>
      <c r="E334" s="3" t="s">
        <v>1170</v>
      </c>
      <c r="F334" s="3" t="str">
        <f>"317-292-1663"</f>
        <v>317-292-1663</v>
      </c>
      <c r="G334" s="3">
        <v>238210</v>
      </c>
      <c r="H334" s="3" t="s">
        <v>306</v>
      </c>
    </row>
    <row r="335" spans="1:8" ht="294" x14ac:dyDescent="0.25">
      <c r="A335" s="3" t="s">
        <v>1171</v>
      </c>
      <c r="B335" s="3"/>
      <c r="C335" s="3" t="s">
        <v>1172</v>
      </c>
      <c r="D335" s="3" t="s">
        <v>1173</v>
      </c>
      <c r="E335" s="3" t="s">
        <v>1174</v>
      </c>
      <c r="F335" s="3" t="str">
        <f>"219-369-9779"</f>
        <v>219-369-9779</v>
      </c>
      <c r="G335" s="3">
        <v>33995</v>
      </c>
      <c r="H335" s="3" t="s">
        <v>68</v>
      </c>
    </row>
    <row r="336" spans="1:8" ht="64.5" x14ac:dyDescent="0.25">
      <c r="A336" s="3" t="s">
        <v>1175</v>
      </c>
      <c r="B336" s="3"/>
      <c r="C336" s="3" t="str">
        <f>"We provide a low cost form of advertising to small businesses and government agencies. We offer magnetic signs, yard signs, banners, vehicle lettering and other printed materials."</f>
        <v>We provide a low cost form of advertising to small businesses and government agencies. We offer magnetic signs, yard signs, banners, vehicle lettering and other printed materials.</v>
      </c>
      <c r="D336" s="3" t="s">
        <v>1176</v>
      </c>
      <c r="E336" s="3" t="s">
        <v>1174</v>
      </c>
      <c r="F336" s="3" t="str">
        <f>"2193699779"</f>
        <v>2193699779</v>
      </c>
      <c r="G336" s="3">
        <v>33995</v>
      </c>
      <c r="H336" s="3" t="s">
        <v>68</v>
      </c>
    </row>
    <row r="337" spans="1:8" ht="26.25" x14ac:dyDescent="0.25">
      <c r="A337" s="3" t="s">
        <v>1177</v>
      </c>
      <c r="B337" s="3"/>
      <c r="C337" s="3" t="str">
        <f>" "</f>
        <v xml:space="preserve"> </v>
      </c>
      <c r="D337" s="3" t="s">
        <v>1178</v>
      </c>
      <c r="E337" s="3" t="s">
        <v>1179</v>
      </c>
      <c r="F337" s="3" t="str">
        <f>"317-632-8687"</f>
        <v>317-632-8687</v>
      </c>
      <c r="G337" s="3">
        <v>812990</v>
      </c>
      <c r="H337" s="3" t="s">
        <v>294</v>
      </c>
    </row>
    <row r="338" spans="1:8" ht="26.25" x14ac:dyDescent="0.25">
      <c r="A338" s="3" t="s">
        <v>1180</v>
      </c>
      <c r="B338" s="3"/>
      <c r="C338" s="3" t="str">
        <f>" "</f>
        <v xml:space="preserve"> </v>
      </c>
      <c r="D338" s="3" t="s">
        <v>1181</v>
      </c>
      <c r="E338" s="3" t="s">
        <v>1182</v>
      </c>
      <c r="F338" s="3" t="str">
        <f>"317-228-9865"</f>
        <v>317-228-9865</v>
      </c>
      <c r="G338" s="3">
        <v>524210</v>
      </c>
      <c r="H338" s="3" t="s">
        <v>1183</v>
      </c>
    </row>
    <row r="339" spans="1:8" ht="102.75" x14ac:dyDescent="0.25">
      <c r="A339" s="3" t="s">
        <v>1184</v>
      </c>
      <c r="B339" s="3"/>
      <c r="C339" s="3" t="s">
        <v>1185</v>
      </c>
      <c r="D339" s="3" t="s">
        <v>1186</v>
      </c>
      <c r="E339" s="3" t="s">
        <v>1187</v>
      </c>
      <c r="F339" s="3" t="str">
        <f>"317-570-5436"</f>
        <v>317-570-5436</v>
      </c>
      <c r="G339" s="3">
        <v>444190</v>
      </c>
      <c r="H339" s="3" t="s">
        <v>1188</v>
      </c>
    </row>
    <row r="340" spans="1:8" ht="39" x14ac:dyDescent="0.25">
      <c r="A340" s="3" t="s">
        <v>1189</v>
      </c>
      <c r="B340" s="3"/>
      <c r="C340" s="3" t="str">
        <f>"Sell, Service and Install Commercial and Residential garage doors, rolling steel and gates."</f>
        <v>Sell, Service and Install Commercial and Residential garage doors, rolling steel and gates.</v>
      </c>
      <c r="D340" s="3" t="s">
        <v>1186</v>
      </c>
      <c r="E340" s="3" t="s">
        <v>1190</v>
      </c>
      <c r="F340" s="3" t="str">
        <f>"317-570-5436"</f>
        <v>317-570-5436</v>
      </c>
      <c r="G340" s="3">
        <v>238290</v>
      </c>
      <c r="H340" s="3" t="s">
        <v>237</v>
      </c>
    </row>
    <row r="341" spans="1:8" ht="77.25" x14ac:dyDescent="0.25">
      <c r="A341" s="3" t="s">
        <v>1191</v>
      </c>
      <c r="B341" s="3"/>
      <c r="C341" s="3" t="str">
        <f>"Providers of temperature controlled and standard mini-storage as well as a variety of commercial and light industrial properties and land. Also provide commercial and light industrial construction as a design build contractor."</f>
        <v>Providers of temperature controlled and standard mini-storage as well as a variety of commercial and light industrial properties and land. Also provide commercial and light industrial construction as a design build contractor.</v>
      </c>
      <c r="D341" s="3" t="s">
        <v>1192</v>
      </c>
      <c r="E341" s="3" t="s">
        <v>1193</v>
      </c>
      <c r="F341" s="3" t="str">
        <f>"8123671701"</f>
        <v>8123671701</v>
      </c>
      <c r="G341" s="3">
        <v>531190</v>
      </c>
      <c r="H341" s="3" t="s">
        <v>1194</v>
      </c>
    </row>
    <row r="342" spans="1:8" ht="26.25" x14ac:dyDescent="0.25">
      <c r="A342" s="3" t="s">
        <v>1195</v>
      </c>
      <c r="B342" s="3"/>
      <c r="C342" s="3" t="str">
        <f>"Therapy Rehab Staffing &amp; Management Services"</f>
        <v>Therapy Rehab Staffing &amp; Management Services</v>
      </c>
      <c r="D342" s="3" t="s">
        <v>1196</v>
      </c>
      <c r="E342" s="3" t="s">
        <v>1197</v>
      </c>
      <c r="F342" s="3" t="str">
        <f>"317-388-0800"</f>
        <v>317-388-0800</v>
      </c>
      <c r="G342" s="3">
        <v>561320</v>
      </c>
      <c r="H342" s="3" t="s">
        <v>15</v>
      </c>
    </row>
    <row r="343" spans="1:8" ht="166.5" x14ac:dyDescent="0.25">
      <c r="A343" s="3" t="s">
        <v>1198</v>
      </c>
      <c r="B343" s="3"/>
      <c r="C343" s="3" t="s">
        <v>1199</v>
      </c>
      <c r="D343" s="3" t="s">
        <v>1200</v>
      </c>
      <c r="E343" s="3" t="s">
        <v>1201</v>
      </c>
      <c r="F343" s="3" t="str">
        <f>"317-784-2255"</f>
        <v>317-784-2255</v>
      </c>
      <c r="G343" s="3">
        <v>446</v>
      </c>
      <c r="H343" s="3" t="s">
        <v>1202</v>
      </c>
    </row>
    <row r="344" spans="1:8" ht="166.5" x14ac:dyDescent="0.25">
      <c r="A344" s="3" t="s">
        <v>1203</v>
      </c>
      <c r="B344" s="3"/>
      <c r="C344" s="3" t="s">
        <v>1204</v>
      </c>
      <c r="D344" s="3" t="s">
        <v>9</v>
      </c>
      <c r="E344" s="3" t="s">
        <v>1205</v>
      </c>
      <c r="F344" s="3" t="str">
        <f>"317-250-2870"</f>
        <v>317-250-2870</v>
      </c>
      <c r="G344" s="3">
        <v>54141</v>
      </c>
      <c r="H344" s="3" t="s">
        <v>687</v>
      </c>
    </row>
    <row r="345" spans="1:8" ht="128.25" x14ac:dyDescent="0.25">
      <c r="A345" s="3" t="s">
        <v>1206</v>
      </c>
      <c r="B345" s="3"/>
      <c r="C345" s="3" t="s">
        <v>1207</v>
      </c>
      <c r="D345" s="3" t="s">
        <v>1208</v>
      </c>
      <c r="E345" s="3" t="s">
        <v>1209</v>
      </c>
      <c r="F345" s="3" t="str">
        <f>"574-262-3252"</f>
        <v>574-262-3252</v>
      </c>
      <c r="G345" s="3">
        <v>4413</v>
      </c>
      <c r="H345" s="3" t="s">
        <v>1210</v>
      </c>
    </row>
    <row r="346" spans="1:8" ht="39" x14ac:dyDescent="0.25">
      <c r="A346" s="3" t="s">
        <v>1211</v>
      </c>
      <c r="B346" s="3"/>
      <c r="C346" s="3" t="str">
        <f>"We provide quality archaeological consulting services for both the private and public sectors."</f>
        <v>We provide quality archaeological consulting services for both the private and public sectors.</v>
      </c>
      <c r="D346" s="3" t="s">
        <v>9</v>
      </c>
      <c r="E346" s="3" t="s">
        <v>1212</v>
      </c>
      <c r="F346" s="3" t="str">
        <f>"(317) 773-2774"</f>
        <v>(317) 773-2774</v>
      </c>
      <c r="G346" s="3">
        <v>541620</v>
      </c>
      <c r="H346" s="3" t="s">
        <v>216</v>
      </c>
    </row>
    <row r="347" spans="1:8" ht="268.5" x14ac:dyDescent="0.25">
      <c r="A347" s="3" t="s">
        <v>1213</v>
      </c>
      <c r="B347" s="3"/>
      <c r="C347" s="3" t="s">
        <v>1214</v>
      </c>
      <c r="D347" s="3" t="s">
        <v>9</v>
      </c>
      <c r="E347" s="3" t="s">
        <v>1215</v>
      </c>
      <c r="F347" s="3" t="str">
        <f>"317-253-6199"</f>
        <v>317-253-6199</v>
      </c>
      <c r="G347" s="3">
        <v>71</v>
      </c>
      <c r="H347" s="3" t="s">
        <v>1216</v>
      </c>
    </row>
    <row r="348" spans="1:8" ht="90" x14ac:dyDescent="0.25">
      <c r="A348" s="3" t="s">
        <v>1217</v>
      </c>
      <c r="B348" s="3"/>
      <c r="C348" s="3" t="s">
        <v>1218</v>
      </c>
      <c r="D348" s="3" t="s">
        <v>1219</v>
      </c>
      <c r="E348" s="3" t="s">
        <v>1220</v>
      </c>
      <c r="F348" s="3" t="str">
        <f>"317 750 0208"</f>
        <v>317 750 0208</v>
      </c>
      <c r="G348" s="3">
        <v>54161</v>
      </c>
      <c r="H348" s="3" t="s">
        <v>1221</v>
      </c>
    </row>
    <row r="349" spans="1:8" ht="39" x14ac:dyDescent="0.25">
      <c r="A349" s="3" t="s">
        <v>1222</v>
      </c>
      <c r="B349" s="3"/>
      <c r="C349" s="3" t="str">
        <f>"Consulting firm specializing in strategic planning, management development, training and public image enhancement."</f>
        <v>Consulting firm specializing in strategic planning, management development, training and public image enhancement.</v>
      </c>
      <c r="D349" s="3" t="s">
        <v>9</v>
      </c>
      <c r="E349" s="3" t="s">
        <v>1223</v>
      </c>
      <c r="F349" s="3" t="str">
        <f>"260-414-1425"</f>
        <v>260-414-1425</v>
      </c>
      <c r="G349" s="3">
        <v>611430</v>
      </c>
      <c r="H349" s="3" t="s">
        <v>1224</v>
      </c>
    </row>
    <row r="350" spans="1:8" ht="102.75" x14ac:dyDescent="0.25">
      <c r="A350" s="3" t="s">
        <v>1225</v>
      </c>
      <c r="B350" s="3"/>
      <c r="C350" s="3" t="s">
        <v>1226</v>
      </c>
      <c r="D350" s="3" t="s">
        <v>1227</v>
      </c>
      <c r="E350" s="3" t="s">
        <v>1228</v>
      </c>
      <c r="F350" s="3" t="str">
        <f>"317-842-4769"</f>
        <v>317-842-4769</v>
      </c>
      <c r="G350" s="3">
        <v>54121</v>
      </c>
      <c r="H350" s="3" t="s">
        <v>311</v>
      </c>
    </row>
    <row r="351" spans="1:8" ht="51.75" x14ac:dyDescent="0.25">
      <c r="A351" s="3" t="s">
        <v>1229</v>
      </c>
      <c r="B351" s="3"/>
      <c r="C351" s="3" t="str">
        <f>"Accreditation Services, namely, evaluating organizations to determine whether the organizations conform to an established standard."</f>
        <v>Accreditation Services, namely, evaluating organizations to determine whether the organizations conform to an established standard.</v>
      </c>
      <c r="D351" s="3" t="s">
        <v>1230</v>
      </c>
      <c r="E351" s="3" t="s">
        <v>1231</v>
      </c>
      <c r="F351" s="3" t="str">
        <f>"260-637-2705"</f>
        <v>260-637-2705</v>
      </c>
      <c r="G351" s="3">
        <v>541990</v>
      </c>
      <c r="H351" s="3" t="s">
        <v>378</v>
      </c>
    </row>
    <row r="352" spans="1:8" ht="319.5" x14ac:dyDescent="0.25">
      <c r="A352" s="3" t="s">
        <v>1232</v>
      </c>
      <c r="B352" s="3"/>
      <c r="C352" s="3" t="s">
        <v>1233</v>
      </c>
      <c r="D352" s="3" t="s">
        <v>1234</v>
      </c>
      <c r="E352" s="3" t="s">
        <v>1235</v>
      </c>
      <c r="F352" s="3" t="str">
        <f>"574-297-1199"</f>
        <v>574-297-1199</v>
      </c>
      <c r="G352" s="3">
        <v>2389</v>
      </c>
      <c r="H352" s="3" t="s">
        <v>1236</v>
      </c>
    </row>
    <row r="353" spans="1:8" ht="51.75" x14ac:dyDescent="0.25">
      <c r="A353" s="3" t="s">
        <v>1237</v>
      </c>
      <c r="B353" s="3"/>
      <c r="C353" s="3" t="str">
        <f>"ASL Testing provides oral drug testing and confirmation services for employers, treatment facilities, schools and government agencies."</f>
        <v>ASL Testing provides oral drug testing and confirmation services for employers, treatment facilities, schools and government agencies.</v>
      </c>
      <c r="D353" s="3" t="s">
        <v>1238</v>
      </c>
      <c r="E353" s="3" t="s">
        <v>1239</v>
      </c>
      <c r="F353" s="3" t="str">
        <f>"574-264-3828"</f>
        <v>574-264-3828</v>
      </c>
      <c r="G353" s="3">
        <v>621511</v>
      </c>
      <c r="H353" s="3" t="s">
        <v>1240</v>
      </c>
    </row>
    <row r="354" spans="1:8" ht="26.25" x14ac:dyDescent="0.25">
      <c r="A354" s="3" t="s">
        <v>1241</v>
      </c>
      <c r="B354" s="3"/>
      <c r="C354" s="3" t="str">
        <f>"custom converter of specialized vehicles"</f>
        <v>custom converter of specialized vehicles</v>
      </c>
      <c r="D354" s="3" t="s">
        <v>1242</v>
      </c>
      <c r="E354" s="3" t="s">
        <v>46</v>
      </c>
      <c r="F354" s="3" t="str">
        <f>"574-389-9000"</f>
        <v>574-389-9000</v>
      </c>
      <c r="G354" s="3">
        <v>551112</v>
      </c>
      <c r="H354" s="3" t="s">
        <v>1243</v>
      </c>
    </row>
    <row r="355" spans="1:8" ht="192" x14ac:dyDescent="0.25">
      <c r="A355" s="3" t="s">
        <v>1244</v>
      </c>
      <c r="B355" s="3"/>
      <c r="C355" s="3" t="s">
        <v>1245</v>
      </c>
      <c r="D355" s="3" t="s">
        <v>1246</v>
      </c>
      <c r="E355" s="3" t="s">
        <v>1247</v>
      </c>
      <c r="F355" s="3" t="str">
        <f>"812-944-8603"</f>
        <v>812-944-8603</v>
      </c>
      <c r="G355" s="3">
        <v>32311</v>
      </c>
      <c r="H355" s="3" t="s">
        <v>531</v>
      </c>
    </row>
    <row r="356" spans="1:8" ht="39" x14ac:dyDescent="0.25">
      <c r="A356" s="3" t="s">
        <v>1248</v>
      </c>
      <c r="B356" s="3"/>
      <c r="C356" s="3" t="str">
        <f>"Fabricating of purchased or supplied steel material to customer specifications using CNC saws, lathes and mill workcenters."</f>
        <v>Fabricating of purchased or supplied steel material to customer specifications using CNC saws, lathes and mill workcenters.</v>
      </c>
      <c r="D356" s="3" t="s">
        <v>1249</v>
      </c>
      <c r="E356" s="3" t="s">
        <v>1250</v>
      </c>
      <c r="F356" s="3" t="str">
        <f>"574-834-2877"</f>
        <v>574-834-2877</v>
      </c>
      <c r="G356" s="3">
        <v>3312</v>
      </c>
      <c r="H356" s="3" t="s">
        <v>1251</v>
      </c>
    </row>
    <row r="357" spans="1:8" ht="51.75" x14ac:dyDescent="0.25">
      <c r="A357" s="3" t="s">
        <v>1252</v>
      </c>
      <c r="B357" s="3"/>
      <c r="C357" s="3" t="str">
        <f>"Accurate General Contractors, LLC is an Indiana based construction company that specializes in Lead Paint Abatement and Rehabilitation of homes."</f>
        <v>Accurate General Contractors, LLC is an Indiana based construction company that specializes in Lead Paint Abatement and Rehabilitation of homes.</v>
      </c>
      <c r="D357" s="3" t="s">
        <v>9</v>
      </c>
      <c r="E357" s="3" t="s">
        <v>46</v>
      </c>
      <c r="F357" s="2"/>
      <c r="G357" s="3">
        <v>23</v>
      </c>
      <c r="H357" s="3" t="s">
        <v>133</v>
      </c>
    </row>
    <row r="358" spans="1:8" ht="90" x14ac:dyDescent="0.25">
      <c r="A358" s="3" t="s">
        <v>1253</v>
      </c>
      <c r="B358" s="3"/>
      <c r="C358" s="3" t="s">
        <v>1254</v>
      </c>
      <c r="D358" s="3" t="s">
        <v>9</v>
      </c>
      <c r="E358" s="3" t="s">
        <v>1255</v>
      </c>
      <c r="F358" s="3" t="str">
        <f>"(812)533-0195"</f>
        <v>(812)533-0195</v>
      </c>
      <c r="G358" s="3">
        <v>238290</v>
      </c>
      <c r="H358" s="3" t="s">
        <v>237</v>
      </c>
    </row>
    <row r="359" spans="1:8" ht="51.75" x14ac:dyDescent="0.25">
      <c r="A359" s="3" t="s">
        <v>1256</v>
      </c>
      <c r="B359" s="3"/>
      <c r="C359" s="3" t="str">
        <f>"Parking lot &amp; road striping &amp; eradication. Provide &amp; install signage. Will assure that business parking is in compliance with A.D.A."</f>
        <v>Parking lot &amp; road striping &amp; eradication. Provide &amp; install signage. Will assure that business parking is in compliance with A.D.A.</v>
      </c>
      <c r="D359" s="3" t="s">
        <v>1257</v>
      </c>
      <c r="E359" s="3" t="s">
        <v>1258</v>
      </c>
      <c r="F359" s="3" t="str">
        <f>"765-759-6000"</f>
        <v>765-759-6000</v>
      </c>
      <c r="G359" s="3">
        <v>237310</v>
      </c>
      <c r="H359" s="3" t="s">
        <v>768</v>
      </c>
    </row>
    <row r="360" spans="1:8" ht="153.75" x14ac:dyDescent="0.25">
      <c r="A360" s="3" t="s">
        <v>1259</v>
      </c>
      <c r="B360" s="3"/>
      <c r="C360" s="3" t="s">
        <v>1260</v>
      </c>
      <c r="D360" s="3" t="s">
        <v>1261</v>
      </c>
      <c r="E360" s="3" t="s">
        <v>1262</v>
      </c>
      <c r="F360" s="3" t="str">
        <f>"317-845-1267"</f>
        <v>317-845-1267</v>
      </c>
      <c r="G360" s="3">
        <v>54121</v>
      </c>
      <c r="H360" s="3" t="s">
        <v>311</v>
      </c>
    </row>
    <row r="361" spans="1:8" ht="115.5" x14ac:dyDescent="0.25">
      <c r="A361" s="3" t="s">
        <v>1263</v>
      </c>
      <c r="B361" s="3"/>
      <c r="C361" s="3" t="s">
        <v>1264</v>
      </c>
      <c r="D361" s="3" t="s">
        <v>9</v>
      </c>
      <c r="E361" s="3" t="s">
        <v>1265</v>
      </c>
      <c r="F361" s="3" t="str">
        <f>"574-453-8997"</f>
        <v>574-453-8997</v>
      </c>
      <c r="G361" s="3">
        <v>423840</v>
      </c>
      <c r="H361" s="3" t="s">
        <v>553</v>
      </c>
    </row>
    <row r="362" spans="1:8" ht="39" x14ac:dyDescent="0.25">
      <c r="A362" s="3" t="s">
        <v>1266</v>
      </c>
      <c r="B362" s="3"/>
      <c r="C362" s="3" t="str">
        <f>"Manufacture plastic injection molds specializing in insert molds and plastic injection molding"</f>
        <v>Manufacture plastic injection molds specializing in insert molds and plastic injection molding</v>
      </c>
      <c r="D362" s="3" t="s">
        <v>1267</v>
      </c>
      <c r="E362" s="3" t="s">
        <v>46</v>
      </c>
      <c r="F362" s="3" t="str">
        <f>"260-471-6102"</f>
        <v>260-471-6102</v>
      </c>
      <c r="G362" s="3">
        <v>32619</v>
      </c>
      <c r="H362" s="3" t="s">
        <v>1268</v>
      </c>
    </row>
    <row r="363" spans="1:8" ht="64.5" x14ac:dyDescent="0.25">
      <c r="A363" s="3" t="s">
        <v>1269</v>
      </c>
      <c r="B363" s="3"/>
      <c r="C363" s="3" t="str">
        <f>"Ace Corporation LLC provides the commercial cleaning to any small and large buildings including; floor maintenance, kitchen&amp;bathroom detail scrubbing, window treatments, and daily work."</f>
        <v>Ace Corporation LLC provides the commercial cleaning to any small and large buildings including; floor maintenance, kitchen&amp;bathroom detail scrubbing, window treatments, and daily work.</v>
      </c>
      <c r="D363" s="3" t="s">
        <v>9</v>
      </c>
      <c r="E363" s="3" t="s">
        <v>1270</v>
      </c>
      <c r="F363" s="3" t="str">
        <f>"3176077444"</f>
        <v>3176077444</v>
      </c>
      <c r="G363" s="3">
        <v>561720</v>
      </c>
      <c r="H363" s="3" t="s">
        <v>222</v>
      </c>
    </row>
    <row r="364" spans="1:8" ht="102.75" x14ac:dyDescent="0.25">
      <c r="A364" s="3" t="s">
        <v>1269</v>
      </c>
      <c r="B364" s="3"/>
      <c r="C364" s="3" t="s">
        <v>1271</v>
      </c>
      <c r="D364" s="3" t="s">
        <v>9</v>
      </c>
      <c r="E364" s="3" t="s">
        <v>1270</v>
      </c>
      <c r="F364" s="3" t="str">
        <f>"317-213-4822"</f>
        <v>317-213-4822</v>
      </c>
      <c r="G364" s="3">
        <v>561720</v>
      </c>
      <c r="H364" s="3" t="s">
        <v>222</v>
      </c>
    </row>
    <row r="365" spans="1:8" ht="115.5" x14ac:dyDescent="0.25">
      <c r="A365" s="3" t="s">
        <v>1272</v>
      </c>
      <c r="B365" s="3"/>
      <c r="C365" s="3" t="s">
        <v>1273</v>
      </c>
      <c r="D365" s="3" t="s">
        <v>1274</v>
      </c>
      <c r="E365" s="3" t="s">
        <v>1275</v>
      </c>
      <c r="F365" s="3" t="str">
        <f>"317-926-3951"</f>
        <v>317-926-3951</v>
      </c>
      <c r="G365" s="3">
        <v>56162</v>
      </c>
      <c r="H365" s="3" t="s">
        <v>1276</v>
      </c>
    </row>
    <row r="366" spans="1:8" ht="39" x14ac:dyDescent="0.25">
      <c r="A366" s="3" t="s">
        <v>1277</v>
      </c>
      <c r="B366" s="3"/>
      <c r="C366" s="3" t="str">
        <f>"manufacture of interior and exterior signs and related products. We also manufacture ADA compliant signs."</f>
        <v>manufacture of interior and exterior signs and related products. We also manufacture ADA compliant signs.</v>
      </c>
      <c r="D366" s="3" t="s">
        <v>1278</v>
      </c>
      <c r="E366" s="3" t="s">
        <v>1279</v>
      </c>
      <c r="F366" s="3" t="str">
        <f>"765-288-1010"</f>
        <v>765-288-1010</v>
      </c>
      <c r="G366" s="3">
        <v>339950</v>
      </c>
      <c r="H366" s="3" t="s">
        <v>68</v>
      </c>
    </row>
    <row r="367" spans="1:8" ht="141" x14ac:dyDescent="0.25">
      <c r="A367" s="3" t="s">
        <v>1280</v>
      </c>
      <c r="B367" s="3"/>
      <c r="C367" s="3" t="s">
        <v>1281</v>
      </c>
      <c r="D367" s="3" t="s">
        <v>9</v>
      </c>
      <c r="E367" s="3" t="s">
        <v>46</v>
      </c>
      <c r="F367" s="3" t="str">
        <f>"317-887-3100"</f>
        <v>317-887-3100</v>
      </c>
      <c r="G367" s="3">
        <v>561730</v>
      </c>
      <c r="H367" s="3" t="s">
        <v>65</v>
      </c>
    </row>
    <row r="368" spans="1:8" ht="26.25" x14ac:dyDescent="0.25">
      <c r="A368" s="3" t="s">
        <v>1282</v>
      </c>
      <c r="B368" s="3"/>
      <c r="C368" s="2"/>
      <c r="D368" s="3" t="s">
        <v>9</v>
      </c>
      <c r="E368" s="3" t="s">
        <v>1283</v>
      </c>
      <c r="F368" s="3" t="str">
        <f>"765-689-3724"</f>
        <v>765-689-3724</v>
      </c>
      <c r="G368" s="3">
        <v>333992</v>
      </c>
      <c r="H368" s="3" t="s">
        <v>1284</v>
      </c>
    </row>
    <row r="369" spans="1:8" ht="51.75" x14ac:dyDescent="0.25">
      <c r="A369" s="3" t="s">
        <v>1285</v>
      </c>
      <c r="B369" s="3"/>
      <c r="C369" s="3" t="str">
        <f>"We provide motivational speakers, coaching, training seminars for various events. Publish books that honor God and/or Country."</f>
        <v>We provide motivational speakers, coaching, training seminars for various events. Publish books that honor God and/or Country.</v>
      </c>
      <c r="D369" s="3" t="s">
        <v>1286</v>
      </c>
      <c r="E369" s="3" t="s">
        <v>1287</v>
      </c>
      <c r="F369" s="3" t="str">
        <f>"812-278-8785"</f>
        <v>812-278-8785</v>
      </c>
      <c r="G369" s="3">
        <v>541620</v>
      </c>
      <c r="H369" s="3" t="s">
        <v>216</v>
      </c>
    </row>
    <row r="370" spans="1:8" ht="39" x14ac:dyDescent="0.25">
      <c r="A370" s="3" t="s">
        <v>1288</v>
      </c>
      <c r="B370" s="3"/>
      <c r="C370" s="3" t="str">
        <f>"Provide temporary Nursing Services to Hospitals, Nursing Homes,Correctional Facilities and the general public."</f>
        <v>Provide temporary Nursing Services to Hospitals, Nursing Homes,Correctional Facilities and the general public.</v>
      </c>
      <c r="D370" s="3" t="s">
        <v>1289</v>
      </c>
      <c r="E370" s="3" t="s">
        <v>1290</v>
      </c>
      <c r="F370" s="3" t="str">
        <f>"317-257-3545"</f>
        <v>317-257-3545</v>
      </c>
      <c r="G370" s="3">
        <v>621610</v>
      </c>
      <c r="H370" s="3" t="s">
        <v>328</v>
      </c>
    </row>
    <row r="371" spans="1:8" ht="77.25" x14ac:dyDescent="0.25">
      <c r="A371" s="3" t="s">
        <v>1291</v>
      </c>
      <c r="B371" s="3"/>
      <c r="C371" s="3" t="str">
        <f>"Law Enforcement Supplies: Firearms &amp; Ammo &amp; related equipment sales. Class 3 Firearms dealer: Machineguns, Silencers, Short Barrel Rifle/Shotgun, Any Other Weapons, Night Vision/Thermal Vision Devices, Optics."</f>
        <v>Law Enforcement Supplies: Firearms &amp; Ammo &amp; related equipment sales. Class 3 Firearms dealer: Machineguns, Silencers, Short Barrel Rifle/Shotgun, Any Other Weapons, Night Vision/Thermal Vision Devices, Optics.</v>
      </c>
      <c r="D371" s="3" t="s">
        <v>1292</v>
      </c>
      <c r="E371" s="3" t="s">
        <v>46</v>
      </c>
      <c r="F371" s="3" t="str">
        <f>"812-522-4008"</f>
        <v>812-522-4008</v>
      </c>
      <c r="G371" s="3">
        <v>922120</v>
      </c>
      <c r="H371" s="3" t="s">
        <v>1293</v>
      </c>
    </row>
    <row r="372" spans="1:8" ht="204.75" x14ac:dyDescent="0.25">
      <c r="A372" s="3" t="s">
        <v>1294</v>
      </c>
      <c r="B372" s="3"/>
      <c r="C372" s="3" t="s">
        <v>1295</v>
      </c>
      <c r="D372" s="3" t="s">
        <v>1296</v>
      </c>
      <c r="E372" s="3" t="s">
        <v>46</v>
      </c>
      <c r="F372" s="3" t="str">
        <f>"800-235-0938"</f>
        <v>800-235-0938</v>
      </c>
      <c r="G372" s="3">
        <v>524210</v>
      </c>
      <c r="H372" s="3" t="s">
        <v>1183</v>
      </c>
    </row>
    <row r="373" spans="1:8" ht="141" x14ac:dyDescent="0.25">
      <c r="A373" s="3" t="s">
        <v>1297</v>
      </c>
      <c r="B373" s="3"/>
      <c r="C373" s="3" t="s">
        <v>1298</v>
      </c>
      <c r="D373" s="3" t="s">
        <v>1299</v>
      </c>
      <c r="E373" s="3" t="s">
        <v>1300</v>
      </c>
      <c r="F373" s="3" t="str">
        <f>"317-872-7100"</f>
        <v>317-872-7100</v>
      </c>
      <c r="G373" s="3">
        <v>4213</v>
      </c>
      <c r="H373" s="3" t="s">
        <v>1301</v>
      </c>
    </row>
    <row r="374" spans="1:8" ht="179.25" x14ac:dyDescent="0.25">
      <c r="A374" s="3" t="s">
        <v>1302</v>
      </c>
      <c r="B374" s="3"/>
      <c r="C374" s="3" t="s">
        <v>1303</v>
      </c>
      <c r="D374" s="3" t="s">
        <v>9</v>
      </c>
      <c r="E374" s="3" t="s">
        <v>46</v>
      </c>
      <c r="F374" s="2"/>
      <c r="G374" s="3">
        <v>541690</v>
      </c>
      <c r="H374" s="3" t="s">
        <v>652</v>
      </c>
    </row>
    <row r="375" spans="1:8" ht="64.5" x14ac:dyDescent="0.25">
      <c r="A375" s="3" t="s">
        <v>1304</v>
      </c>
      <c r="B375" s="3"/>
      <c r="C375" s="3" t="str">
        <f>"Acropolis Restaurant &amp; Catering is a family-owned restaurant speciliazing in dine-in and catering offerings with traditional American and Mediterranean cuisine choices."</f>
        <v>Acropolis Restaurant &amp; Catering is a family-owned restaurant speciliazing in dine-in and catering offerings with traditional American and Mediterranean cuisine choices.</v>
      </c>
      <c r="D375" s="3" t="s">
        <v>1305</v>
      </c>
      <c r="E375" s="3" t="s">
        <v>1306</v>
      </c>
      <c r="F375" s="3" t="str">
        <f>"812/475-9320"</f>
        <v>812/475-9320</v>
      </c>
      <c r="G375" s="3">
        <v>722110</v>
      </c>
      <c r="H375" s="3" t="s">
        <v>1307</v>
      </c>
    </row>
    <row r="376" spans="1:8" ht="179.25" x14ac:dyDescent="0.25">
      <c r="A376" s="3" t="s">
        <v>1308</v>
      </c>
      <c r="B376" s="3"/>
      <c r="C376" s="3" t="s">
        <v>1309</v>
      </c>
      <c r="D376" s="3" t="s">
        <v>9</v>
      </c>
      <c r="E376" s="3" t="s">
        <v>1310</v>
      </c>
      <c r="F376" s="3" t="str">
        <f>"317-297-4401"</f>
        <v>317-297-4401</v>
      </c>
      <c r="G376" s="3">
        <v>531110</v>
      </c>
      <c r="H376" s="3" t="s">
        <v>1311</v>
      </c>
    </row>
    <row r="377" spans="1:8" ht="39" x14ac:dyDescent="0.25">
      <c r="A377" s="3" t="s">
        <v>1312</v>
      </c>
      <c r="B377" s="3"/>
      <c r="C377" s="3" t="str">
        <f>"Pressure Washing Equipment , Floor Care Equipment, Sales &amp; Service, Parts and Janitorial products."</f>
        <v>Pressure Washing Equipment , Floor Care Equipment, Sales &amp; Service, Parts and Janitorial products.</v>
      </c>
      <c r="D377" s="3" t="s">
        <v>1313</v>
      </c>
      <c r="E377" s="3" t="s">
        <v>1314</v>
      </c>
      <c r="F377" s="3" t="str">
        <f>"317-788-9781"</f>
        <v>317-788-9781</v>
      </c>
      <c r="G377" s="3">
        <v>423850</v>
      </c>
      <c r="H377" s="3" t="s">
        <v>419</v>
      </c>
    </row>
    <row r="378" spans="1:8" ht="141" x14ac:dyDescent="0.25">
      <c r="A378" s="3" t="s">
        <v>1315</v>
      </c>
      <c r="B378" s="3"/>
      <c r="C378" s="3" t="s">
        <v>1316</v>
      </c>
      <c r="D378" s="3" t="s">
        <v>1317</v>
      </c>
      <c r="E378" s="3" t="s">
        <v>46</v>
      </c>
      <c r="F378" s="3" t="str">
        <f>"812-477-5546"</f>
        <v>812-477-5546</v>
      </c>
      <c r="G378" s="3">
        <v>561710</v>
      </c>
      <c r="H378" s="3" t="s">
        <v>946</v>
      </c>
    </row>
    <row r="379" spans="1:8" ht="64.5" x14ac:dyDescent="0.25">
      <c r="A379" s="3" t="s">
        <v>1318</v>
      </c>
      <c r="B379" s="3"/>
      <c r="C379" s="3" t="str">
        <f>"Temporary employment staffing agency. Temp, temp to perm placements. Industrial, Secretarial, Technical, General. We have 4 locations in Indiana: Evansville, Princeton, Vincennes and Jasper."</f>
        <v>Temporary employment staffing agency. Temp, temp to perm placements. Industrial, Secretarial, Technical, General. We have 4 locations in Indiana: Evansville, Princeton, Vincennes and Jasper.</v>
      </c>
      <c r="D379" s="3" t="s">
        <v>1319</v>
      </c>
      <c r="E379" s="3" t="s">
        <v>1320</v>
      </c>
      <c r="F379" s="3" t="str">
        <f>"812-479-8373"</f>
        <v>812-479-8373</v>
      </c>
      <c r="G379" s="3">
        <v>561320</v>
      </c>
      <c r="H379" s="3" t="s">
        <v>15</v>
      </c>
    </row>
    <row r="380" spans="1:8" ht="102.75" x14ac:dyDescent="0.25">
      <c r="A380" s="3" t="s">
        <v>1321</v>
      </c>
      <c r="B380" s="3"/>
      <c r="C380" s="3" t="s">
        <v>1322</v>
      </c>
      <c r="D380" s="3" t="s">
        <v>1323</v>
      </c>
      <c r="E380" s="3" t="s">
        <v>1324</v>
      </c>
      <c r="F380" s="3" t="str">
        <f>"317-923-8580"</f>
        <v>317-923-8580</v>
      </c>
      <c r="G380" s="3">
        <v>541921</v>
      </c>
      <c r="H380" s="3" t="s">
        <v>1325</v>
      </c>
    </row>
    <row r="381" spans="1:8" ht="77.25" x14ac:dyDescent="0.25">
      <c r="A381" s="3" t="s">
        <v>1326</v>
      </c>
      <c r="B381" s="3"/>
      <c r="C381" s="3" t="str">
        <f>"We provide on-site healthcare for employers with a comprehensive program that delivers on-site care, engages patients in behavior change, supports a culture of health and guides patients through the health care continuum."</f>
        <v>We provide on-site healthcare for employers with a comprehensive program that delivers on-site care, engages patients in behavior change, supports a culture of health and guides patients through the health care continuum.</v>
      </c>
      <c r="D381" s="3" t="s">
        <v>1327</v>
      </c>
      <c r="E381" s="3" t="s">
        <v>1328</v>
      </c>
      <c r="F381" s="3" t="str">
        <f>"317-557-7328"</f>
        <v>317-557-7328</v>
      </c>
      <c r="G381" s="3">
        <v>621498</v>
      </c>
      <c r="H381" s="3" t="s">
        <v>937</v>
      </c>
    </row>
    <row r="382" spans="1:8" ht="255.75" x14ac:dyDescent="0.25">
      <c r="A382" s="3" t="s">
        <v>1329</v>
      </c>
      <c r="B382" s="3"/>
      <c r="C382" s="3" t="s">
        <v>1330</v>
      </c>
      <c r="D382" s="3" t="s">
        <v>1331</v>
      </c>
      <c r="E382" s="3" t="s">
        <v>1332</v>
      </c>
      <c r="F382" s="3" t="str">
        <f>"219-836-2775"</f>
        <v>219-836-2775</v>
      </c>
      <c r="G382" s="3">
        <v>812112</v>
      </c>
      <c r="H382" s="3" t="s">
        <v>1081</v>
      </c>
    </row>
    <row r="383" spans="1:8" ht="26.25" x14ac:dyDescent="0.25">
      <c r="A383" s="3" t="s">
        <v>1333</v>
      </c>
      <c r="B383" s="3"/>
      <c r="C383" s="3" t="str">
        <f>"Full service environmental services company."</f>
        <v>Full service environmental services company.</v>
      </c>
      <c r="D383" s="3" t="s">
        <v>9</v>
      </c>
      <c r="E383" s="3" t="s">
        <v>46</v>
      </c>
      <c r="F383" s="3" t="str">
        <f>"317-871-8560"</f>
        <v>317-871-8560</v>
      </c>
      <c r="G383" s="3">
        <v>54162</v>
      </c>
      <c r="H383" s="3" t="s">
        <v>216</v>
      </c>
    </row>
    <row r="384" spans="1:8" ht="39" x14ac:dyDescent="0.25">
      <c r="A384" s="3" t="s">
        <v>1334</v>
      </c>
      <c r="B384" s="3"/>
      <c r="C384" s="3" t="str">
        <f>"A local health and fitness magazine distributed thru the north side of Indianapolis great area."</f>
        <v>A local health and fitness magazine distributed thru the north side of Indianapolis great area.</v>
      </c>
      <c r="D384" s="3" t="s">
        <v>1335</v>
      </c>
      <c r="E384" s="3" t="s">
        <v>1336</v>
      </c>
      <c r="F384" s="3" t="str">
        <f>"3177761689"</f>
        <v>3177761689</v>
      </c>
      <c r="G384" s="3">
        <v>5418</v>
      </c>
      <c r="H384" s="3" t="s">
        <v>1337</v>
      </c>
    </row>
    <row r="385" spans="1:8" ht="128.25" x14ac:dyDescent="0.25">
      <c r="A385" s="3" t="s">
        <v>1338</v>
      </c>
      <c r="B385" s="3"/>
      <c r="C385" s="3" t="s">
        <v>1339</v>
      </c>
      <c r="D385" s="3" t="s">
        <v>1340</v>
      </c>
      <c r="E385" s="3" t="s">
        <v>1341</v>
      </c>
      <c r="F385" s="3" t="str">
        <f>"(765) 489-1834"</f>
        <v>(765) 489-1834</v>
      </c>
      <c r="G385" s="3">
        <v>541519</v>
      </c>
      <c r="H385" s="3" t="s">
        <v>898</v>
      </c>
    </row>
    <row r="386" spans="1:8" ht="51.75" x14ac:dyDescent="0.25">
      <c r="A386" s="3" t="s">
        <v>1342</v>
      </c>
      <c r="B386" s="3"/>
      <c r="C386" s="3" t="str">
        <f>"Through tailored recommendations or accompanying, we help organizations to adopt better business practices, planning and usage of technology."</f>
        <v>Through tailored recommendations or accompanying, we help organizations to adopt better business practices, planning and usage of technology.</v>
      </c>
      <c r="D386" s="3" t="s">
        <v>1343</v>
      </c>
      <c r="E386" s="3" t="s">
        <v>1344</v>
      </c>
      <c r="F386" s="3" t="str">
        <f>"317-879-9532"</f>
        <v>317-879-9532</v>
      </c>
      <c r="G386" s="3">
        <v>5416</v>
      </c>
      <c r="H386" s="3" t="s">
        <v>194</v>
      </c>
    </row>
    <row r="387" spans="1:8" ht="306.75" x14ac:dyDescent="0.25">
      <c r="A387" s="3" t="s">
        <v>1345</v>
      </c>
      <c r="B387" s="3"/>
      <c r="C387" s="3" t="s">
        <v>1346</v>
      </c>
      <c r="D387" s="3" t="s">
        <v>9</v>
      </c>
      <c r="E387" s="3" t="s">
        <v>1347</v>
      </c>
      <c r="F387" s="3" t="str">
        <f>"317.846.6449"</f>
        <v>317.846.6449</v>
      </c>
      <c r="G387" s="3">
        <v>454390</v>
      </c>
      <c r="H387" s="3" t="s">
        <v>1348</v>
      </c>
    </row>
    <row r="388" spans="1:8" ht="115.5" x14ac:dyDescent="0.25">
      <c r="A388" s="3" t="s">
        <v>1349</v>
      </c>
      <c r="B388" s="3"/>
      <c r="C388" s="3" t="s">
        <v>1350</v>
      </c>
      <c r="D388" s="3" t="s">
        <v>1351</v>
      </c>
      <c r="E388" s="3" t="s">
        <v>1352</v>
      </c>
      <c r="F388" s="3" t="str">
        <f>"812.477.9704"</f>
        <v>812.477.9704</v>
      </c>
      <c r="G388" s="3">
        <v>541890</v>
      </c>
      <c r="H388" s="3" t="s">
        <v>401</v>
      </c>
    </row>
    <row r="389" spans="1:8" ht="102.75" x14ac:dyDescent="0.25">
      <c r="A389" s="3" t="s">
        <v>1353</v>
      </c>
      <c r="B389" s="3"/>
      <c r="C389" s="3" t="s">
        <v>1354</v>
      </c>
      <c r="D389" s="3" t="s">
        <v>1355</v>
      </c>
      <c r="E389" s="3" t="s">
        <v>1356</v>
      </c>
      <c r="F389" s="3" t="str">
        <f>"(765)457-6787"</f>
        <v>(765)457-6787</v>
      </c>
      <c r="G389" s="3">
        <v>531320</v>
      </c>
      <c r="H389" s="3" t="s">
        <v>34</v>
      </c>
    </row>
    <row r="390" spans="1:8" ht="90" x14ac:dyDescent="0.25">
      <c r="A390" s="3" t="s">
        <v>1357</v>
      </c>
      <c r="B390" s="3"/>
      <c r="C390" s="3" t="s">
        <v>1358</v>
      </c>
      <c r="D390" s="3" t="s">
        <v>1359</v>
      </c>
      <c r="E390" s="3" t="s">
        <v>1360</v>
      </c>
      <c r="F390" s="3" t="str">
        <f>"317-575-1805"</f>
        <v>317-575-1805</v>
      </c>
      <c r="G390" s="3">
        <v>33995</v>
      </c>
      <c r="H390" s="3" t="s">
        <v>68</v>
      </c>
    </row>
    <row r="391" spans="1:8" ht="128.25" x14ac:dyDescent="0.25">
      <c r="A391" s="3" t="s">
        <v>1361</v>
      </c>
      <c r="B391" s="3"/>
      <c r="C391" s="3" t="s">
        <v>1362</v>
      </c>
      <c r="D391" s="3" t="s">
        <v>9</v>
      </c>
      <c r="E391" s="3" t="s">
        <v>1363</v>
      </c>
      <c r="F391" s="3" t="str">
        <f>"3174432205"</f>
        <v>3174432205</v>
      </c>
      <c r="G391" s="3">
        <v>233</v>
      </c>
      <c r="H391" s="3" t="s">
        <v>131</v>
      </c>
    </row>
    <row r="392" spans="1:8" ht="39" x14ac:dyDescent="0.25">
      <c r="A392" s="3" t="s">
        <v>1364</v>
      </c>
      <c r="B392" s="3"/>
      <c r="C392" s="3" t="str">
        <f>"WBE Certified, Environmental Consulting, General Contracting and Construction, Construction Management, Excavation"</f>
        <v>WBE Certified, Environmental Consulting, General Contracting and Construction, Construction Management, Excavation</v>
      </c>
      <c r="D392" s="3" t="s">
        <v>9</v>
      </c>
      <c r="E392" s="3" t="s">
        <v>1365</v>
      </c>
      <c r="F392" s="3" t="str">
        <f>"317-750-1898"</f>
        <v>317-750-1898</v>
      </c>
      <c r="G392" s="3">
        <v>23622</v>
      </c>
      <c r="H392" s="3" t="s">
        <v>598</v>
      </c>
    </row>
    <row r="393" spans="1:8" ht="26.25" x14ac:dyDescent="0.25">
      <c r="A393" s="3" t="s">
        <v>1366</v>
      </c>
      <c r="B393" s="3"/>
      <c r="C393" s="3" t="str">
        <f>"Residentual and commercial electrical business with 30 to 35 employees."</f>
        <v>Residentual and commercial electrical business with 30 to 35 employees.</v>
      </c>
      <c r="D393" s="3" t="s">
        <v>9</v>
      </c>
      <c r="E393" s="3" t="s">
        <v>46</v>
      </c>
      <c r="F393" s="2"/>
      <c r="G393" s="3">
        <v>23</v>
      </c>
      <c r="H393" s="3" t="s">
        <v>133</v>
      </c>
    </row>
    <row r="394" spans="1:8" ht="217.5" x14ac:dyDescent="0.25">
      <c r="A394" s="3" t="s">
        <v>1367</v>
      </c>
      <c r="B394" s="3"/>
      <c r="C394" s="3" t="s">
        <v>1368</v>
      </c>
      <c r="D394" s="3" t="s">
        <v>1369</v>
      </c>
      <c r="E394" s="3" t="s">
        <v>1370</v>
      </c>
      <c r="F394" s="3" t="str">
        <f>"317-706-6734"</f>
        <v>317-706-6734</v>
      </c>
      <c r="G394" s="3">
        <v>541199</v>
      </c>
      <c r="H394" s="3" t="s">
        <v>1371</v>
      </c>
    </row>
    <row r="395" spans="1:8" ht="26.25" x14ac:dyDescent="0.25">
      <c r="A395" s="3" t="s">
        <v>1372</v>
      </c>
      <c r="B395" s="3"/>
      <c r="C395" s="3" t="str">
        <f>"Full service landscape company"</f>
        <v>Full service landscape company</v>
      </c>
      <c r="D395" s="3" t="s">
        <v>1373</v>
      </c>
      <c r="E395" s="3" t="s">
        <v>1374</v>
      </c>
      <c r="F395" s="3" t="str">
        <f>"260.482.7071"</f>
        <v>260.482.7071</v>
      </c>
      <c r="G395" s="3">
        <v>541990</v>
      </c>
      <c r="H395" s="3" t="s">
        <v>378</v>
      </c>
    </row>
    <row r="396" spans="1:8" ht="102.75" x14ac:dyDescent="0.25">
      <c r="A396" s="3" t="s">
        <v>1375</v>
      </c>
      <c r="B396" s="3"/>
      <c r="C396" s="3" t="s">
        <v>1376</v>
      </c>
      <c r="D396" s="3" t="s">
        <v>1377</v>
      </c>
      <c r="E396" s="3" t="s">
        <v>1378</v>
      </c>
      <c r="F396" s="3" t="str">
        <f>"317-872-8368"</f>
        <v>317-872-8368</v>
      </c>
      <c r="G396" s="3">
        <v>532299</v>
      </c>
      <c r="H396" s="3" t="s">
        <v>1379</v>
      </c>
    </row>
    <row r="397" spans="1:8" ht="102.75" x14ac:dyDescent="0.25">
      <c r="A397" s="3" t="s">
        <v>1380</v>
      </c>
      <c r="B397" s="3"/>
      <c r="C397" s="3" t="s">
        <v>1381</v>
      </c>
      <c r="D397" s="3" t="s">
        <v>1382</v>
      </c>
      <c r="E397" s="3" t="s">
        <v>1383</v>
      </c>
      <c r="F397" s="3" t="str">
        <f>"317. 529.9291"</f>
        <v>317. 529.9291</v>
      </c>
      <c r="G397" s="3">
        <v>541611</v>
      </c>
      <c r="H397" s="3" t="s">
        <v>278</v>
      </c>
    </row>
    <row r="398" spans="1:8" ht="306.75" x14ac:dyDescent="0.25">
      <c r="A398" s="3" t="s">
        <v>1384</v>
      </c>
      <c r="B398" s="3"/>
      <c r="C398" s="3" t="s">
        <v>1385</v>
      </c>
      <c r="D398" s="3" t="s">
        <v>1386</v>
      </c>
      <c r="E398" s="3" t="s">
        <v>1387</v>
      </c>
      <c r="F398" s="3" t="str">
        <f>"317-271-4300"</f>
        <v>317-271-4300</v>
      </c>
      <c r="G398" s="3">
        <v>524210</v>
      </c>
      <c r="H398" s="3" t="s">
        <v>1183</v>
      </c>
    </row>
    <row r="399" spans="1:8" ht="90" x14ac:dyDescent="0.25">
      <c r="A399" s="3" t="s">
        <v>1388</v>
      </c>
      <c r="B399" s="3"/>
      <c r="C399" s="3" t="str">
        <f>"SOFTWARE SOLUTIONS: Adaptive Systems, Inc. specializes in design and development of award winning, custom software and e-business solutions for small business, mid-market and Fortune 500 Corporations. Fixed priced solutions and Staff augmentation services"</f>
        <v>SOFTWARE SOLUTIONS: Adaptive Systems, Inc. specializes in design and development of award winning, custom software and e-business solutions for small business, mid-market and Fortune 500 Corporations. Fixed priced solutions and Staff augmentation services</v>
      </c>
      <c r="D399" s="3" t="s">
        <v>1389</v>
      </c>
      <c r="E399" s="3" t="s">
        <v>1390</v>
      </c>
      <c r="F399" s="3" t="str">
        <f>"317-776-8822"</f>
        <v>317-776-8822</v>
      </c>
      <c r="G399" s="3">
        <v>5415</v>
      </c>
      <c r="H399" s="3" t="s">
        <v>188</v>
      </c>
    </row>
    <row r="400" spans="1:8" ht="90" x14ac:dyDescent="0.25">
      <c r="A400" s="3" t="s">
        <v>1391</v>
      </c>
      <c r="B400" s="3"/>
      <c r="C400" s="3" t="s">
        <v>1392</v>
      </c>
      <c r="D400" s="3" t="s">
        <v>1393</v>
      </c>
      <c r="E400" s="3" t="s">
        <v>1394</v>
      </c>
      <c r="F400" s="3" t="str">
        <f>"317-633-0520"</f>
        <v>317-633-0520</v>
      </c>
      <c r="G400" s="3">
        <v>423420</v>
      </c>
      <c r="H400" s="3" t="s">
        <v>521</v>
      </c>
    </row>
    <row r="401" spans="1:8" ht="26.25" x14ac:dyDescent="0.25">
      <c r="A401" s="3" t="s">
        <v>1395</v>
      </c>
      <c r="B401" s="3"/>
      <c r="C401" s="3" t="str">
        <f>"Short Term Staffing and HR Consulting firm"</f>
        <v>Short Term Staffing and HR Consulting firm</v>
      </c>
      <c r="D401" s="3" t="s">
        <v>1396</v>
      </c>
      <c r="E401" s="3" t="s">
        <v>1397</v>
      </c>
      <c r="F401" s="3" t="str">
        <f>"260-602-6736"</f>
        <v>260-602-6736</v>
      </c>
      <c r="G401" s="3">
        <v>561320</v>
      </c>
      <c r="H401" s="3" t="s">
        <v>15</v>
      </c>
    </row>
    <row r="402" spans="1:8" ht="115.5" x14ac:dyDescent="0.25">
      <c r="A402" s="3" t="s">
        <v>1398</v>
      </c>
      <c r="B402" s="3"/>
      <c r="C402" s="3" t="s">
        <v>1399</v>
      </c>
      <c r="D402" s="3" t="s">
        <v>1400</v>
      </c>
      <c r="E402" s="3" t="s">
        <v>46</v>
      </c>
      <c r="F402" s="2"/>
      <c r="G402" s="3">
        <v>541511</v>
      </c>
      <c r="H402" s="3" t="s">
        <v>122</v>
      </c>
    </row>
    <row r="403" spans="1:8" ht="90" x14ac:dyDescent="0.25">
      <c r="A403" s="3" t="s">
        <v>1401</v>
      </c>
      <c r="B403" s="3"/>
      <c r="C403" s="3" t="s">
        <v>1402</v>
      </c>
      <c r="D403" s="3" t="s">
        <v>9</v>
      </c>
      <c r="E403" s="3" t="s">
        <v>1403</v>
      </c>
      <c r="F403" s="3" t="str">
        <f>"317-924-5532"</f>
        <v>317-924-5532</v>
      </c>
      <c r="G403" s="3">
        <v>541990</v>
      </c>
      <c r="H403" s="3" t="s">
        <v>378</v>
      </c>
    </row>
    <row r="404" spans="1:8" ht="39" x14ac:dyDescent="0.25">
      <c r="A404" s="3" t="s">
        <v>1404</v>
      </c>
      <c r="B404" s="3"/>
      <c r="C404" s="3" t="str">
        <f>"We are a Durable Medical Equipment Supplier and a disposable garment company."</f>
        <v>We are a Durable Medical Equipment Supplier and a disposable garment company.</v>
      </c>
      <c r="D404" s="3" t="s">
        <v>9</v>
      </c>
      <c r="E404" s="3" t="s">
        <v>1405</v>
      </c>
      <c r="F404" s="3" t="str">
        <f>"317-947-6024"</f>
        <v>317-947-6024</v>
      </c>
      <c r="G404" s="3">
        <v>423450</v>
      </c>
      <c r="H404" s="3" t="s">
        <v>1406</v>
      </c>
    </row>
    <row r="405" spans="1:8" ht="39" x14ac:dyDescent="0.25">
      <c r="A405" s="3" t="s">
        <v>1407</v>
      </c>
      <c r="B405" s="3"/>
      <c r="C405" s="3" t="str">
        <f>"Individual and Family counseling, coaching, therapy, crisis intervention, adoption, home study, post adoption and search services."</f>
        <v>Individual and Family counseling, coaching, therapy, crisis intervention, adoption, home study, post adoption and search services.</v>
      </c>
      <c r="D405" s="3" t="s">
        <v>1408</v>
      </c>
      <c r="E405" s="3" t="s">
        <v>1409</v>
      </c>
      <c r="F405" s="3" t="str">
        <f>"317-670-9413"</f>
        <v>317-670-9413</v>
      </c>
      <c r="G405" s="3">
        <v>624190</v>
      </c>
      <c r="H405" s="3" t="s">
        <v>54</v>
      </c>
    </row>
    <row r="406" spans="1:8" ht="319.5" x14ac:dyDescent="0.25">
      <c r="A406" s="3" t="s">
        <v>1410</v>
      </c>
      <c r="B406" s="3"/>
      <c r="C406" s="3" t="s">
        <v>1411</v>
      </c>
      <c r="D406" s="3" t="s">
        <v>1412</v>
      </c>
      <c r="E406" s="3" t="s">
        <v>1413</v>
      </c>
      <c r="F406" s="3" t="str">
        <f>"219-794-1277"</f>
        <v>219-794-1277</v>
      </c>
      <c r="G406" s="3">
        <v>234</v>
      </c>
      <c r="H406" s="3" t="s">
        <v>1414</v>
      </c>
    </row>
    <row r="407" spans="1:8" ht="268.5" x14ac:dyDescent="0.25">
      <c r="A407" s="3" t="s">
        <v>1415</v>
      </c>
      <c r="B407" s="3"/>
      <c r="C407" s="3" t="s">
        <v>1416</v>
      </c>
      <c r="D407" s="3" t="s">
        <v>1412</v>
      </c>
      <c r="E407" s="3" t="s">
        <v>1417</v>
      </c>
      <c r="F407" s="3" t="str">
        <f>"219-794-1277"</f>
        <v>219-794-1277</v>
      </c>
      <c r="G407" s="3">
        <v>236210</v>
      </c>
      <c r="H407" s="3" t="s">
        <v>1418</v>
      </c>
    </row>
    <row r="408" spans="1:8" ht="90" x14ac:dyDescent="0.25">
      <c r="A408" s="3" t="s">
        <v>1419</v>
      </c>
      <c r="B408" s="3"/>
      <c r="C408" s="3" t="s">
        <v>1420</v>
      </c>
      <c r="D408" s="3" t="s">
        <v>1421</v>
      </c>
      <c r="E408" s="3" t="s">
        <v>1422</v>
      </c>
      <c r="F408" s="3" t="str">
        <f>"317 381-9585"</f>
        <v>317 381-9585</v>
      </c>
      <c r="G408" s="3">
        <v>423830</v>
      </c>
      <c r="H408" s="3" t="s">
        <v>172</v>
      </c>
    </row>
    <row r="409" spans="1:8" ht="90" x14ac:dyDescent="0.25">
      <c r="A409" s="3" t="s">
        <v>1423</v>
      </c>
      <c r="B409" s="3"/>
      <c r="C409" s="3" t="s">
        <v>1424</v>
      </c>
      <c r="D409" s="3" t="s">
        <v>1425</v>
      </c>
      <c r="E409" s="3" t="s">
        <v>1426</v>
      </c>
      <c r="F409" s="3" t="str">
        <f>"219 769 5909"</f>
        <v>219 769 5909</v>
      </c>
      <c r="G409" s="3">
        <v>811219</v>
      </c>
      <c r="H409" s="3" t="s">
        <v>1427</v>
      </c>
    </row>
    <row r="410" spans="1:8" ht="306.75" x14ac:dyDescent="0.25">
      <c r="A410" s="3" t="s">
        <v>1428</v>
      </c>
      <c r="B410" s="3"/>
      <c r="C410" s="3" t="s">
        <v>1429</v>
      </c>
      <c r="D410" s="3" t="s">
        <v>1430</v>
      </c>
      <c r="E410" s="3" t="s">
        <v>1431</v>
      </c>
      <c r="F410" s="3" t="str">
        <f>"317-228-0123"</f>
        <v>317-228-0123</v>
      </c>
      <c r="G410" s="3">
        <v>811121</v>
      </c>
      <c r="H410" s="3" t="s">
        <v>1432</v>
      </c>
    </row>
    <row r="411" spans="1:8" ht="64.5" x14ac:dyDescent="0.25">
      <c r="A411" s="3" t="s">
        <v>1433</v>
      </c>
      <c r="B411" s="3"/>
      <c r="C411" s="3" t="str">
        <f>"We provide armed and unarmed security guards, off duty police officers, security road patrols, traffic directors, private investigotors, and motorcade services to a variety of industries in Indiana."</f>
        <v>We provide armed and unarmed security guards, off duty police officers, security road patrols, traffic directors, private investigotors, and motorcade services to a variety of industries in Indiana.</v>
      </c>
      <c r="D411" s="3" t="s">
        <v>1434</v>
      </c>
      <c r="E411" s="3" t="s">
        <v>1435</v>
      </c>
      <c r="F411" s="3" t="str">
        <f>"317-270-9700"</f>
        <v>317-270-9700</v>
      </c>
      <c r="G411" s="3">
        <v>561612</v>
      </c>
      <c r="H411" s="3" t="s">
        <v>362</v>
      </c>
    </row>
    <row r="412" spans="1:8" ht="51.75" x14ac:dyDescent="0.25">
      <c r="A412" s="3" t="s">
        <v>1436</v>
      </c>
      <c r="B412" s="3"/>
      <c r="C412" s="3" t="str">
        <f>"State licensed and insured pest control compnay doing business within the state of Indiana. Commerical and residential service is provided."</f>
        <v>State licensed and insured pest control compnay doing business within the state of Indiana. Commerical and residential service is provided.</v>
      </c>
      <c r="D412" s="3" t="s">
        <v>1437</v>
      </c>
      <c r="E412" s="3" t="s">
        <v>1438</v>
      </c>
      <c r="F412" s="3" t="str">
        <f>"317-280-0688"</f>
        <v>317-280-0688</v>
      </c>
      <c r="G412" s="3">
        <v>325320</v>
      </c>
      <c r="H412" s="3" t="s">
        <v>1439</v>
      </c>
    </row>
    <row r="413" spans="1:8" ht="153.75" x14ac:dyDescent="0.25">
      <c r="A413" s="3" t="s">
        <v>1440</v>
      </c>
      <c r="B413" s="3"/>
      <c r="C413" s="3" t="s">
        <v>1441</v>
      </c>
      <c r="D413" s="3" t="s">
        <v>9</v>
      </c>
      <c r="E413" s="3" t="s">
        <v>1442</v>
      </c>
      <c r="F413" s="3" t="str">
        <f>"812 345 6720"</f>
        <v>812 345 6720</v>
      </c>
      <c r="G413" s="3">
        <v>541611</v>
      </c>
      <c r="H413" s="3" t="s">
        <v>278</v>
      </c>
    </row>
    <row r="414" spans="1:8" ht="26.25" x14ac:dyDescent="0.25">
      <c r="A414" s="3" t="s">
        <v>1443</v>
      </c>
      <c r="B414" s="3"/>
      <c r="C414" s="3" t="str">
        <f>"We provide residential real estate appraisals services."</f>
        <v>We provide residential real estate appraisals services.</v>
      </c>
      <c r="D414" s="3" t="s">
        <v>9</v>
      </c>
      <c r="E414" s="3" t="s">
        <v>1444</v>
      </c>
      <c r="F414" s="3" t="str">
        <f>"317-340-9992"</f>
        <v>317-340-9992</v>
      </c>
      <c r="G414" s="3">
        <v>531320</v>
      </c>
      <c r="H414" s="3" t="s">
        <v>34</v>
      </c>
    </row>
    <row r="415" spans="1:8" ht="26.25" x14ac:dyDescent="0.25">
      <c r="A415" s="3" t="s">
        <v>1445</v>
      </c>
      <c r="B415" s="3"/>
      <c r="C415" s="3" t="str">
        <f>"Full auto repair service."</f>
        <v>Full auto repair service.</v>
      </c>
      <c r="D415" s="3" t="s">
        <v>9</v>
      </c>
      <c r="E415" s="3" t="s">
        <v>46</v>
      </c>
      <c r="F415" s="3" t="str">
        <f>"812-330-1620"</f>
        <v>812-330-1620</v>
      </c>
      <c r="G415" s="3">
        <v>811</v>
      </c>
      <c r="H415" s="3" t="s">
        <v>816</v>
      </c>
    </row>
    <row r="416" spans="1:8" ht="39" x14ac:dyDescent="0.25">
      <c r="A416" s="3" t="s">
        <v>1446</v>
      </c>
      <c r="B416" s="3"/>
      <c r="C416" s="3" t="str">
        <f>"Boiler control, calibration, tuning, and instrumentation. Service-control &amp; maintenance."</f>
        <v>Boiler control, calibration, tuning, and instrumentation. Service-control &amp; maintenance.</v>
      </c>
      <c r="D416" s="3" t="s">
        <v>1447</v>
      </c>
      <c r="E416" s="3" t="s">
        <v>1448</v>
      </c>
      <c r="F416" s="3" t="str">
        <f>"219.558.8494"</f>
        <v>219.558.8494</v>
      </c>
      <c r="G416" s="3">
        <v>541330</v>
      </c>
      <c r="H416" s="3" t="s">
        <v>82</v>
      </c>
    </row>
    <row r="417" spans="1:8" ht="77.25" x14ac:dyDescent="0.25">
      <c r="A417" s="3" t="s">
        <v>1449</v>
      </c>
      <c r="B417" s="3"/>
      <c r="C417" s="3" t="str">
        <f>"Specializing in liquid spray rubber for flat roofs and other subtrate roofs. Below ground and above groung waterproofing. We have water based cleaners for concrete and wood as well as resurfacers. Our products are low VOC contained."</f>
        <v>Specializing in liquid spray rubber for flat roofs and other subtrate roofs. Below ground and above groung waterproofing. We have water based cleaners for concrete and wood as well as resurfacers. Our products are low VOC contained.</v>
      </c>
      <c r="D417" s="3" t="s">
        <v>1450</v>
      </c>
      <c r="E417" s="3" t="s">
        <v>1451</v>
      </c>
      <c r="F417" s="3" t="str">
        <f>"219-508-4214"</f>
        <v>219-508-4214</v>
      </c>
      <c r="G417" s="3">
        <v>238990</v>
      </c>
      <c r="H417" s="3" t="s">
        <v>481</v>
      </c>
    </row>
    <row r="418" spans="1:8" ht="51.75" x14ac:dyDescent="0.25">
      <c r="A418" s="3" t="s">
        <v>1452</v>
      </c>
      <c r="B418" s="3"/>
      <c r="C418" s="3" t="str">
        <f>"Criminal and Civil Record checks Collecting information filed at Indiana Courthouses for credit reports Verification of information for consumer credit reports"</f>
        <v>Criminal and Civil Record checks Collecting information filed at Indiana Courthouses for credit reports Verification of information for consumer credit reports</v>
      </c>
      <c r="D418" s="3" t="s">
        <v>1453</v>
      </c>
      <c r="E418" s="3" t="s">
        <v>1454</v>
      </c>
      <c r="F418" s="3" t="str">
        <f>"260-824-1553"</f>
        <v>260-824-1553</v>
      </c>
      <c r="G418" s="3">
        <v>519</v>
      </c>
      <c r="H418" s="3" t="s">
        <v>1455</v>
      </c>
    </row>
    <row r="419" spans="1:8" ht="153.75" x14ac:dyDescent="0.25">
      <c r="A419" s="3" t="s">
        <v>1456</v>
      </c>
      <c r="B419" s="3"/>
      <c r="C419" s="3" t="s">
        <v>1457</v>
      </c>
      <c r="D419" s="3" t="s">
        <v>1458</v>
      </c>
      <c r="E419" s="3" t="s">
        <v>1459</v>
      </c>
      <c r="F419" s="3" t="str">
        <f>"812 278-8109"</f>
        <v>812 278-8109</v>
      </c>
      <c r="G419" s="3">
        <v>54181</v>
      </c>
      <c r="H419" s="3" t="s">
        <v>976</v>
      </c>
    </row>
    <row r="420" spans="1:8" ht="128.25" x14ac:dyDescent="0.25">
      <c r="A420" s="3" t="s">
        <v>1460</v>
      </c>
      <c r="B420" s="3"/>
      <c r="C420" s="3" t="s">
        <v>1461</v>
      </c>
      <c r="D420" s="3" t="s">
        <v>1458</v>
      </c>
      <c r="E420" s="3" t="s">
        <v>1462</v>
      </c>
      <c r="F420" s="3" t="str">
        <f>"812 278-8109"</f>
        <v>812 278-8109</v>
      </c>
      <c r="G420" s="3">
        <v>541810</v>
      </c>
      <c r="H420" s="3" t="s">
        <v>976</v>
      </c>
    </row>
    <row r="421" spans="1:8" ht="26.25" x14ac:dyDescent="0.25">
      <c r="A421" s="3" t="s">
        <v>1463</v>
      </c>
      <c r="B421" s="3"/>
      <c r="C421" s="3" t="str">
        <f>"Civil/Geotechnical Engineering Consulting Services"</f>
        <v>Civil/Geotechnical Engineering Consulting Services</v>
      </c>
      <c r="D421" s="3" t="s">
        <v>9</v>
      </c>
      <c r="E421" s="3" t="s">
        <v>1464</v>
      </c>
      <c r="F421" s="2"/>
      <c r="G421" s="3">
        <v>541330</v>
      </c>
      <c r="H421" s="3" t="s">
        <v>82</v>
      </c>
    </row>
    <row r="422" spans="1:8" ht="26.25" x14ac:dyDescent="0.25">
      <c r="A422" s="3" t="s">
        <v>1465</v>
      </c>
      <c r="B422" s="3"/>
      <c r="C422" s="3" t="str">
        <f>"Commercial and residential termite and pest control service"</f>
        <v>Commercial and residential termite and pest control service</v>
      </c>
      <c r="D422" s="3" t="s">
        <v>1466</v>
      </c>
      <c r="E422" s="3" t="s">
        <v>1467</v>
      </c>
      <c r="F422" s="3" t="str">
        <f>"317-572-8024"</f>
        <v>317-572-8024</v>
      </c>
      <c r="G422" s="3">
        <v>561710</v>
      </c>
      <c r="H422" s="3" t="s">
        <v>946</v>
      </c>
    </row>
    <row r="423" spans="1:8" ht="26.25" x14ac:dyDescent="0.25">
      <c r="A423" s="3" t="s">
        <v>1468</v>
      </c>
      <c r="B423" s="3"/>
      <c r="C423" s="3" t="str">
        <f>"fitness equipment sales and service"</f>
        <v>fitness equipment sales and service</v>
      </c>
      <c r="D423" s="3" t="s">
        <v>1469</v>
      </c>
      <c r="E423" s="3" t="s">
        <v>1470</v>
      </c>
      <c r="F423" s="3" t="str">
        <f>"812-243-3154"</f>
        <v>812-243-3154</v>
      </c>
      <c r="G423" s="3">
        <v>71394</v>
      </c>
      <c r="H423" s="3" t="s">
        <v>1471</v>
      </c>
    </row>
    <row r="424" spans="1:8" ht="128.25" x14ac:dyDescent="0.25">
      <c r="A424" s="3" t="s">
        <v>1472</v>
      </c>
      <c r="B424" s="3"/>
      <c r="C424" s="3" t="s">
        <v>1473</v>
      </c>
      <c r="D424" s="3" t="s">
        <v>1474</v>
      </c>
      <c r="E424" s="3" t="s">
        <v>1475</v>
      </c>
      <c r="F424" s="3" t="str">
        <f>"317-641-5185"</f>
        <v>317-641-5185</v>
      </c>
      <c r="G424" s="3">
        <v>446</v>
      </c>
      <c r="H424" s="3" t="s">
        <v>1202</v>
      </c>
    </row>
    <row r="425" spans="1:8" ht="141" x14ac:dyDescent="0.25">
      <c r="A425" s="3" t="s">
        <v>1476</v>
      </c>
      <c r="B425" s="3"/>
      <c r="C425" s="3" t="s">
        <v>1477</v>
      </c>
      <c r="D425" s="3" t="s">
        <v>1478</v>
      </c>
      <c r="E425" s="3" t="s">
        <v>1479</v>
      </c>
      <c r="F425" s="3" t="str">
        <f>"877-428-2610"</f>
        <v>877-428-2610</v>
      </c>
      <c r="G425" s="3">
        <v>512110</v>
      </c>
      <c r="H425" s="3" t="s">
        <v>406</v>
      </c>
    </row>
    <row r="426" spans="1:8" ht="319.5" x14ac:dyDescent="0.25">
      <c r="A426" s="3" t="s">
        <v>1480</v>
      </c>
      <c r="B426" s="3"/>
      <c r="C426" s="3" t="s">
        <v>1481</v>
      </c>
      <c r="D426" s="3" t="s">
        <v>1482</v>
      </c>
      <c r="E426" s="3" t="s">
        <v>46</v>
      </c>
      <c r="F426" s="3" t="str">
        <f>"310-575-0900"</f>
        <v>310-575-0900</v>
      </c>
      <c r="G426" s="3">
        <v>524298</v>
      </c>
      <c r="H426" s="3" t="s">
        <v>1483</v>
      </c>
    </row>
    <row r="427" spans="1:8" ht="39" x14ac:dyDescent="0.25">
      <c r="A427" s="3" t="s">
        <v>1484</v>
      </c>
      <c r="B427" s="3"/>
      <c r="C427" s="3" t="str">
        <f>"Repairs, Annual Service and sales of Audiometric equipment for schools, doctors, hospitals,and industry."</f>
        <v>Repairs, Annual Service and sales of Audiometric equipment for schools, doctors, hospitals,and industry.</v>
      </c>
      <c r="D427" s="3" t="s">
        <v>1485</v>
      </c>
      <c r="E427" s="3" t="s">
        <v>1486</v>
      </c>
      <c r="F427" s="3" t="str">
        <f>"(317) 773-7572"</f>
        <v>(317) 773-7572</v>
      </c>
      <c r="G427" s="3">
        <v>811219</v>
      </c>
      <c r="H427" s="3" t="s">
        <v>1427</v>
      </c>
    </row>
    <row r="428" spans="1:8" ht="332.25" x14ac:dyDescent="0.25">
      <c r="A428" s="3" t="s">
        <v>1487</v>
      </c>
      <c r="B428" s="3"/>
      <c r="C428" s="3" t="s">
        <v>1488</v>
      </c>
      <c r="D428" s="3" t="s">
        <v>1489</v>
      </c>
      <c r="E428" s="3" t="s">
        <v>1490</v>
      </c>
      <c r="F428" s="3" t="str">
        <f>"219-545-5151"</f>
        <v>219-545-5151</v>
      </c>
      <c r="G428" s="3">
        <v>54151</v>
      </c>
      <c r="H428" s="3" t="s">
        <v>188</v>
      </c>
    </row>
    <row r="429" spans="1:8" ht="90" x14ac:dyDescent="0.25">
      <c r="A429" s="3" t="s">
        <v>1491</v>
      </c>
      <c r="B429" s="3"/>
      <c r="C429" s="3" t="s">
        <v>1492</v>
      </c>
      <c r="D429" s="3" t="s">
        <v>1493</v>
      </c>
      <c r="E429" s="3" t="s">
        <v>1494</v>
      </c>
      <c r="F429" s="3" t="str">
        <f>"812.932.1010"</f>
        <v>812.932.1010</v>
      </c>
      <c r="G429" s="3">
        <v>332811</v>
      </c>
      <c r="H429" s="3" t="s">
        <v>1495</v>
      </c>
    </row>
    <row r="430" spans="1:8" ht="51.75" x14ac:dyDescent="0.25">
      <c r="A430" s="3" t="s">
        <v>1496</v>
      </c>
      <c r="B430" s="3"/>
      <c r="C430" s="3" t="str">
        <f>"Pest control for ants, bees, fleas, spiders, roaches, raccoons, rodents, moles, mosquitoes and more!! Humane animal rescue / removal."</f>
        <v>Pest control for ants, bees, fleas, spiders, roaches, raccoons, rodents, moles, mosquitoes and more!! Humane animal rescue / removal.</v>
      </c>
      <c r="D430" s="3" t="s">
        <v>9</v>
      </c>
      <c r="E430" s="3" t="s">
        <v>1497</v>
      </c>
      <c r="F430" s="3" t="str">
        <f>"3178445258"</f>
        <v>3178445258</v>
      </c>
      <c r="G430" s="3">
        <v>561710</v>
      </c>
      <c r="H430" s="3" t="s">
        <v>946</v>
      </c>
    </row>
    <row r="431" spans="1:8" ht="26.25" x14ac:dyDescent="0.25">
      <c r="A431" s="3" t="s">
        <v>1498</v>
      </c>
      <c r="B431" s="3"/>
      <c r="C431" s="3" t="str">
        <f>"Masonry Restoration"</f>
        <v>Masonry Restoration</v>
      </c>
      <c r="D431" s="3" t="s">
        <v>9</v>
      </c>
      <c r="E431" s="3" t="s">
        <v>1499</v>
      </c>
      <c r="F431" s="3" t="str">
        <f>"317-353-8182"</f>
        <v>317-353-8182</v>
      </c>
      <c r="G431" s="3">
        <v>23</v>
      </c>
      <c r="H431" s="3" t="s">
        <v>133</v>
      </c>
    </row>
    <row r="432" spans="1:8" ht="128.25" x14ac:dyDescent="0.25">
      <c r="A432" s="3" t="s">
        <v>1500</v>
      </c>
      <c r="B432" s="3"/>
      <c r="C432" s="3" t="s">
        <v>1501</v>
      </c>
      <c r="D432" s="3" t="s">
        <v>1502</v>
      </c>
      <c r="E432" s="3" t="s">
        <v>1503</v>
      </c>
      <c r="F432" s="3" t="str">
        <f>"574-834-4869"</f>
        <v>574-834-4869</v>
      </c>
      <c r="G432" s="3">
        <v>541511</v>
      </c>
      <c r="H432" s="3" t="s">
        <v>122</v>
      </c>
    </row>
    <row r="433" spans="1:8" ht="90" x14ac:dyDescent="0.25">
      <c r="A433" s="3" t="s">
        <v>1504</v>
      </c>
      <c r="B433" s="3"/>
      <c r="C433" s="3" t="s">
        <v>1505</v>
      </c>
      <c r="D433" s="3" t="s">
        <v>1506</v>
      </c>
      <c r="E433" s="3" t="s">
        <v>1507</v>
      </c>
      <c r="F433" s="3" t="str">
        <f>"317 895 5630"</f>
        <v>317 895 5630</v>
      </c>
      <c r="G433" s="3">
        <v>541380</v>
      </c>
      <c r="H433" s="3" t="s">
        <v>226</v>
      </c>
    </row>
    <row r="434" spans="1:8" ht="26.25" x14ac:dyDescent="0.25">
      <c r="A434" s="3" t="s">
        <v>1508</v>
      </c>
      <c r="B434" s="3"/>
      <c r="C434" s="3" t="str">
        <f>"Distrubution of merchandise to the surveying and engineering industries"</f>
        <v>Distrubution of merchandise to the surveying and engineering industries</v>
      </c>
      <c r="D434" s="3" t="s">
        <v>790</v>
      </c>
      <c r="E434" s="3" t="s">
        <v>1509</v>
      </c>
      <c r="F434" s="3" t="str">
        <f>"317-356-9800"</f>
        <v>317-356-9800</v>
      </c>
      <c r="G434" s="3">
        <v>423490</v>
      </c>
      <c r="H434" s="3" t="s">
        <v>1510</v>
      </c>
    </row>
    <row r="435" spans="1:8" ht="230.25" x14ac:dyDescent="0.25">
      <c r="A435" s="3" t="s">
        <v>1511</v>
      </c>
      <c r="B435" s="3"/>
      <c r="C435" s="3" t="s">
        <v>1512</v>
      </c>
      <c r="D435" s="3" t="s">
        <v>1513</v>
      </c>
      <c r="E435" s="3" t="s">
        <v>1514</v>
      </c>
      <c r="F435" s="3" t="str">
        <f>"219-759-5601"</f>
        <v>219-759-5601</v>
      </c>
      <c r="G435" s="3">
        <v>611430</v>
      </c>
      <c r="H435" s="3" t="s">
        <v>1224</v>
      </c>
    </row>
    <row r="436" spans="1:8" ht="26.25" x14ac:dyDescent="0.25">
      <c r="A436" s="3" t="s">
        <v>1515</v>
      </c>
      <c r="B436" s="3"/>
      <c r="C436" s="3" t="str">
        <f>" "</f>
        <v xml:space="preserve"> </v>
      </c>
      <c r="D436" s="3" t="s">
        <v>1516</v>
      </c>
      <c r="E436" s="3" t="s">
        <v>1517</v>
      </c>
      <c r="F436" s="3" t="str">
        <f>"877-887-3773"</f>
        <v>877-887-3773</v>
      </c>
      <c r="G436" s="3">
        <v>332993</v>
      </c>
      <c r="H436" s="3" t="s">
        <v>1518</v>
      </c>
    </row>
    <row r="437" spans="1:8" ht="90" x14ac:dyDescent="0.25">
      <c r="A437" s="3" t="s">
        <v>1519</v>
      </c>
      <c r="B437" s="3"/>
      <c r="C437" s="3" t="s">
        <v>1520</v>
      </c>
      <c r="D437" s="3" t="s">
        <v>1521</v>
      </c>
      <c r="E437" s="3" t="s">
        <v>1522</v>
      </c>
      <c r="F437" s="3" t="str">
        <f>"317 833-6893"</f>
        <v>317 833-6893</v>
      </c>
      <c r="G437" s="3">
        <v>541690</v>
      </c>
      <c r="H437" s="3" t="s">
        <v>652</v>
      </c>
    </row>
    <row r="438" spans="1:8" ht="39" x14ac:dyDescent="0.25">
      <c r="A438" s="3" t="s">
        <v>1523</v>
      </c>
      <c r="B438" s="3"/>
      <c r="C438" s="3" t="str">
        <f>"Lawn, Landscape, Nursery, Right Away chemicals, fertilizer, seed, erosion control, and supplies."</f>
        <v>Lawn, Landscape, Nursery, Right Away chemicals, fertilizer, seed, erosion control, and supplies.</v>
      </c>
      <c r="D438" s="3" t="s">
        <v>1524</v>
      </c>
      <c r="E438" s="3" t="s">
        <v>1525</v>
      </c>
      <c r="F438" s="3" t="str">
        <f>"1-877-433-7037"</f>
        <v>1-877-433-7037</v>
      </c>
      <c r="G438" s="3">
        <v>42499</v>
      </c>
      <c r="H438" s="3" t="s">
        <v>1019</v>
      </c>
    </row>
    <row r="439" spans="1:8" ht="128.25" x14ac:dyDescent="0.25">
      <c r="A439" s="3" t="s">
        <v>1526</v>
      </c>
      <c r="B439" s="3"/>
      <c r="C439" s="3" t="s">
        <v>1527</v>
      </c>
      <c r="D439" s="3" t="s">
        <v>1528</v>
      </c>
      <c r="E439" s="3" t="s">
        <v>1529</v>
      </c>
      <c r="F439" s="3" t="str">
        <f>"812-662-7275"</f>
        <v>812-662-7275</v>
      </c>
      <c r="G439" s="3">
        <v>562998</v>
      </c>
      <c r="H439" s="3" t="s">
        <v>1530</v>
      </c>
    </row>
    <row r="440" spans="1:8" ht="64.5" x14ac:dyDescent="0.25">
      <c r="A440" s="3" t="s">
        <v>1531</v>
      </c>
      <c r="B440" s="3"/>
      <c r="C440" s="3" t="str">
        <f>"We provide venous access services for patients in hospitals and extended care facilities, including the placement of Peripherally Inserted Central Catheters (PICC Lines), and Midline catheters."</f>
        <v>We provide venous access services for patients in hospitals and extended care facilities, including the placement of Peripherally Inserted Central Catheters (PICC Lines), and Midline catheters.</v>
      </c>
      <c r="D440" s="3" t="s">
        <v>1532</v>
      </c>
      <c r="E440" s="3" t="s">
        <v>1533</v>
      </c>
      <c r="F440" s="3" t="str">
        <f>"812-278-8515"</f>
        <v>812-278-8515</v>
      </c>
      <c r="G440" s="3">
        <v>6219</v>
      </c>
      <c r="H440" s="3" t="s">
        <v>1534</v>
      </c>
    </row>
    <row r="441" spans="1:8" ht="90" x14ac:dyDescent="0.25">
      <c r="A441" s="3" t="s">
        <v>1535</v>
      </c>
      <c r="B441" s="3"/>
      <c r="C441" s="3" t="s">
        <v>1536</v>
      </c>
      <c r="D441" s="3" t="s">
        <v>1537</v>
      </c>
      <c r="E441" s="3" t="s">
        <v>1538</v>
      </c>
      <c r="F441" s="3" t="str">
        <f>"260-747-9234"</f>
        <v>260-747-9234</v>
      </c>
      <c r="G441" s="3">
        <v>811490</v>
      </c>
      <c r="H441" s="3" t="s">
        <v>1539</v>
      </c>
    </row>
    <row r="442" spans="1:8" ht="26.25" x14ac:dyDescent="0.25">
      <c r="A442" s="3" t="s">
        <v>1540</v>
      </c>
      <c r="B442" s="3"/>
      <c r="C442" s="3" t="str">
        <f>"Advertising, Marketing, Promotional Products, Wearables"</f>
        <v>Advertising, Marketing, Promotional Products, Wearables</v>
      </c>
      <c r="D442" s="3" t="s">
        <v>9</v>
      </c>
      <c r="E442" s="3" t="s">
        <v>1541</v>
      </c>
      <c r="F442" s="3" t="str">
        <f>"219-364-0475"</f>
        <v>219-364-0475</v>
      </c>
      <c r="G442" s="3">
        <v>323</v>
      </c>
      <c r="H442" s="3" t="s">
        <v>302</v>
      </c>
    </row>
    <row r="443" spans="1:8" ht="39" x14ac:dyDescent="0.25">
      <c r="A443" s="3" t="s">
        <v>1542</v>
      </c>
      <c r="B443" s="3"/>
      <c r="C443" s="3" t="str">
        <f>"Aerial photography as well as ground based photography specializing in High Dynamic Range and panoramic imaging."</f>
        <v>Aerial photography as well as ground based photography specializing in High Dynamic Range and panoramic imaging.</v>
      </c>
      <c r="D443" s="3" t="s">
        <v>1543</v>
      </c>
      <c r="E443" s="3" t="s">
        <v>1544</v>
      </c>
      <c r="F443" s="3" t="str">
        <f>"260-341-9039"</f>
        <v>260-341-9039</v>
      </c>
      <c r="G443" s="3">
        <v>541370</v>
      </c>
      <c r="H443" s="3" t="s">
        <v>160</v>
      </c>
    </row>
    <row r="444" spans="1:8" ht="64.5" x14ac:dyDescent="0.25">
      <c r="A444" s="3" t="s">
        <v>1542</v>
      </c>
      <c r="B444" s="3"/>
      <c r="C444" s="3" t="str">
        <f>"We specialize in high-resolution aerial photography in addition to interior and exterior architectural photography utilizing prime tilt-shift lens and HDR software for natural lighting."</f>
        <v>We specialize in high-resolution aerial photography in addition to interior and exterior architectural photography utilizing prime tilt-shift lens and HDR software for natural lighting.</v>
      </c>
      <c r="D444" s="3" t="s">
        <v>1543</v>
      </c>
      <c r="E444" s="3" t="s">
        <v>1544</v>
      </c>
      <c r="F444" s="3" t="str">
        <f>"260-341-9039"</f>
        <v>260-341-9039</v>
      </c>
      <c r="G444" s="3">
        <v>541922</v>
      </c>
      <c r="H444" s="3" t="s">
        <v>1545</v>
      </c>
    </row>
    <row r="445" spans="1:8" ht="64.5" x14ac:dyDescent="0.25">
      <c r="A445" s="3" t="s">
        <v>1546</v>
      </c>
      <c r="B445" s="3"/>
      <c r="C445" s="3" t="str">
        <f>"Copiers, Printers, Mutifunctional Imaging Equipment, Fax Machines, Network Scanners. Sales and service. Document Solutions and Document Management Systems"</f>
        <v>Copiers, Printers, Mutifunctional Imaging Equipment, Fax Machines, Network Scanners. Sales and service. Document Solutions and Document Management Systems</v>
      </c>
      <c r="D445" s="3" t="s">
        <v>9</v>
      </c>
      <c r="E445" s="3" t="s">
        <v>1547</v>
      </c>
      <c r="F445" s="3" t="str">
        <f>"317.271.4771"</f>
        <v>317.271.4771</v>
      </c>
      <c r="G445" s="3">
        <v>453210</v>
      </c>
      <c r="H445" s="3" t="s">
        <v>431</v>
      </c>
    </row>
    <row r="446" spans="1:8" ht="102.75" x14ac:dyDescent="0.25">
      <c r="A446" s="3" t="s">
        <v>1548</v>
      </c>
      <c r="B446" s="3"/>
      <c r="C446" s="3" t="s">
        <v>1549</v>
      </c>
      <c r="D446" s="3" t="s">
        <v>1550</v>
      </c>
      <c r="E446" s="3" t="s">
        <v>1551</v>
      </c>
      <c r="F446" s="3" t="str">
        <f>"260-490-1961"</f>
        <v>260-490-1961</v>
      </c>
      <c r="G446" s="3">
        <v>32311</v>
      </c>
      <c r="H446" s="3" t="s">
        <v>531</v>
      </c>
    </row>
    <row r="447" spans="1:8" ht="39" x14ac:dyDescent="0.25">
      <c r="A447" s="3" t="s">
        <v>1552</v>
      </c>
      <c r="B447" s="3"/>
      <c r="C447" s="3" t="str">
        <f>"Specializing in scratch and dent and reconditioned household appliances and electronics"</f>
        <v>Specializing in scratch and dent and reconditioned household appliances and electronics</v>
      </c>
      <c r="D447" s="3" t="s">
        <v>9</v>
      </c>
      <c r="E447" s="3" t="s">
        <v>46</v>
      </c>
      <c r="F447" s="3" t="str">
        <f>"317-788-8681"</f>
        <v>317-788-8681</v>
      </c>
      <c r="G447" s="3">
        <v>44311</v>
      </c>
      <c r="H447" s="3" t="s">
        <v>1553</v>
      </c>
    </row>
    <row r="448" spans="1:8" ht="26.25" x14ac:dyDescent="0.25">
      <c r="A448" s="3" t="s">
        <v>1554</v>
      </c>
      <c r="B448" s="3"/>
      <c r="C448" s="2"/>
      <c r="D448" s="3" t="s">
        <v>1555</v>
      </c>
      <c r="E448" s="3" t="s">
        <v>46</v>
      </c>
      <c r="F448" s="3" t="str">
        <f>"877-835-5840"</f>
        <v>877-835-5840</v>
      </c>
      <c r="G448" s="3">
        <v>441</v>
      </c>
      <c r="H448" s="3" t="s">
        <v>1556</v>
      </c>
    </row>
    <row r="449" spans="1:8" ht="179.25" x14ac:dyDescent="0.25">
      <c r="A449" s="3" t="s">
        <v>1557</v>
      </c>
      <c r="B449" s="3"/>
      <c r="C449" s="3" t="s">
        <v>1558</v>
      </c>
      <c r="D449" s="3" t="s">
        <v>1559</v>
      </c>
      <c r="E449" s="3" t="s">
        <v>1560</v>
      </c>
      <c r="F449" s="3" t="str">
        <f>"317-297-0461"</f>
        <v>317-297-0461</v>
      </c>
      <c r="G449" s="3">
        <v>423</v>
      </c>
      <c r="H449" s="3" t="s">
        <v>1561</v>
      </c>
    </row>
    <row r="450" spans="1:8" ht="51.75" x14ac:dyDescent="0.25">
      <c r="A450" s="3" t="s">
        <v>1562</v>
      </c>
      <c r="B450" s="3"/>
      <c r="C450" s="3" t="str">
        <f>"Supplier of physical therapy and rehabilitation equipment and supplies. Carry DME items, physical therapy items, rehabilitation items, fitness items."</f>
        <v>Supplier of physical therapy and rehabilitation equipment and supplies. Carry DME items, physical therapy items, rehabilitation items, fitness items.</v>
      </c>
      <c r="D450" s="3" t="s">
        <v>1563</v>
      </c>
      <c r="E450" s="3" t="s">
        <v>1564</v>
      </c>
      <c r="F450" s="3" t="str">
        <f>"317-581-1551"</f>
        <v>317-581-1551</v>
      </c>
      <c r="G450" s="3">
        <v>4238</v>
      </c>
      <c r="H450" s="3" t="s">
        <v>1565</v>
      </c>
    </row>
    <row r="451" spans="1:8" ht="102.75" x14ac:dyDescent="0.25">
      <c r="A451" s="3" t="s">
        <v>1566</v>
      </c>
      <c r="B451" s="3"/>
      <c r="C451" s="3" t="s">
        <v>1567</v>
      </c>
      <c r="D451" s="3" t="s">
        <v>9</v>
      </c>
      <c r="E451" s="3" t="s">
        <v>1568</v>
      </c>
      <c r="F451" s="3" t="str">
        <f>"317-910-9114"</f>
        <v>317-910-9114</v>
      </c>
      <c r="G451" s="3">
        <v>531390</v>
      </c>
      <c r="H451" s="3" t="s">
        <v>623</v>
      </c>
    </row>
    <row r="452" spans="1:8" ht="26.25" x14ac:dyDescent="0.25">
      <c r="A452" s="3" t="s">
        <v>1569</v>
      </c>
      <c r="B452" s="3"/>
      <c r="C452" s="3" t="str">
        <f>"We are an employment agency. We help fill temporary or permanent employment needs."</f>
        <v>We are an employment agency. We help fill temporary or permanent employment needs.</v>
      </c>
      <c r="D452" s="3" t="s">
        <v>9</v>
      </c>
      <c r="E452" s="3" t="s">
        <v>1570</v>
      </c>
      <c r="F452" s="3" t="str">
        <f>"812-649-9902"</f>
        <v>812-649-9902</v>
      </c>
      <c r="G452" s="3">
        <v>561320</v>
      </c>
      <c r="H452" s="3" t="s">
        <v>15</v>
      </c>
    </row>
    <row r="453" spans="1:8" ht="141" x14ac:dyDescent="0.25">
      <c r="A453" s="3" t="s">
        <v>1571</v>
      </c>
      <c r="B453" s="3"/>
      <c r="C453" s="3" t="s">
        <v>1572</v>
      </c>
      <c r="D453" s="3" t="s">
        <v>9</v>
      </c>
      <c r="E453" s="3" t="s">
        <v>46</v>
      </c>
      <c r="F453" s="2"/>
      <c r="G453" s="3">
        <v>541511</v>
      </c>
      <c r="H453" s="3" t="s">
        <v>122</v>
      </c>
    </row>
    <row r="454" spans="1:8" ht="306.75" x14ac:dyDescent="0.25">
      <c r="A454" s="3" t="s">
        <v>1573</v>
      </c>
      <c r="B454" s="3"/>
      <c r="C454" s="3" t="s">
        <v>1574</v>
      </c>
      <c r="D454" s="3" t="s">
        <v>1575</v>
      </c>
      <c r="E454" s="3" t="s">
        <v>1576</v>
      </c>
      <c r="F454" s="3" t="str">
        <f>"219-464-2442"</f>
        <v>219-464-2442</v>
      </c>
      <c r="G454" s="3">
        <v>5418</v>
      </c>
      <c r="H454" s="3" t="s">
        <v>1337</v>
      </c>
    </row>
    <row r="455" spans="1:8" ht="192" x14ac:dyDescent="0.25">
      <c r="A455" s="3" t="s">
        <v>1577</v>
      </c>
      <c r="B455" s="3"/>
      <c r="C455" s="3" t="s">
        <v>1578</v>
      </c>
      <c r="D455" s="3" t="s">
        <v>1579</v>
      </c>
      <c r="E455" s="3" t="s">
        <v>1580</v>
      </c>
      <c r="F455" s="3" t="str">
        <f>"317-577-4332"</f>
        <v>317-577-4332</v>
      </c>
      <c r="G455" s="3">
        <v>541890</v>
      </c>
      <c r="H455" s="3" t="s">
        <v>401</v>
      </c>
    </row>
    <row r="456" spans="1:8" ht="115.5" x14ac:dyDescent="0.25">
      <c r="A456" s="3" t="s">
        <v>1581</v>
      </c>
      <c r="B456" s="3"/>
      <c r="C456" s="3" t="s">
        <v>1582</v>
      </c>
      <c r="D456" s="3" t="s">
        <v>9</v>
      </c>
      <c r="E456" s="3" t="s">
        <v>1583</v>
      </c>
      <c r="F456" s="3" t="str">
        <f>"317-549-0133"</f>
        <v>317-549-0133</v>
      </c>
      <c r="G456" s="3">
        <v>541870</v>
      </c>
      <c r="H456" s="3" t="s">
        <v>657</v>
      </c>
    </row>
    <row r="457" spans="1:8" ht="39" x14ac:dyDescent="0.25">
      <c r="A457" s="3" t="s">
        <v>1584</v>
      </c>
      <c r="B457" s="3"/>
      <c r="C457" s="3" t="str">
        <f>"Advizex is a midsized system integrator focused on delivering IT solutions to the midwest market."</f>
        <v>Advizex is a midsized system integrator focused on delivering IT solutions to the midwest market.</v>
      </c>
      <c r="D457" s="3" t="s">
        <v>1585</v>
      </c>
      <c r="E457" s="3" t="s">
        <v>1586</v>
      </c>
      <c r="F457" s="3" t="str">
        <f>"216-901-1818"</f>
        <v>216-901-1818</v>
      </c>
      <c r="G457" s="3">
        <v>541512</v>
      </c>
      <c r="H457" s="3" t="s">
        <v>19</v>
      </c>
    </row>
    <row r="458" spans="1:8" ht="26.25" x14ac:dyDescent="0.25">
      <c r="A458" s="3" t="s">
        <v>1587</v>
      </c>
      <c r="B458" s="3"/>
      <c r="C458" s="3" t="str">
        <f>"Specializing in health and human service support activities."</f>
        <v>Specializing in health and human service support activities.</v>
      </c>
      <c r="D458" s="3" t="s">
        <v>1588</v>
      </c>
      <c r="E458" s="3" t="s">
        <v>46</v>
      </c>
      <c r="F458" s="3" t="str">
        <f>"219-738-9930"</f>
        <v>219-738-9930</v>
      </c>
      <c r="G458" s="3">
        <v>541611</v>
      </c>
      <c r="H458" s="3" t="s">
        <v>278</v>
      </c>
    </row>
    <row r="459" spans="1:8" ht="77.25" x14ac:dyDescent="0.25">
      <c r="A459" s="3" t="s">
        <v>1589</v>
      </c>
      <c r="B459" s="3"/>
      <c r="C459" s="3" t="str">
        <f>"Crime and trauma scene cleanup, trash houses, apartment unit cleaning, jail cells, cruisers, commercial accident cleaning, human and animal feces and bodily fluid, decomposition and other bio-hazardous waste removal."</f>
        <v>Crime and trauma scene cleanup, trash houses, apartment unit cleaning, jail cells, cruisers, commercial accident cleaning, human and animal feces and bodily fluid, decomposition and other bio-hazardous waste removal.</v>
      </c>
      <c r="D459" s="3" t="s">
        <v>1590</v>
      </c>
      <c r="E459" s="3" t="s">
        <v>1591</v>
      </c>
      <c r="F459" s="3" t="str">
        <f>"317-333-3993"</f>
        <v>317-333-3993</v>
      </c>
      <c r="G459" s="3">
        <v>561720</v>
      </c>
      <c r="H459" s="3" t="s">
        <v>222</v>
      </c>
    </row>
    <row r="460" spans="1:8" ht="102.75" x14ac:dyDescent="0.25">
      <c r="A460" s="3" t="s">
        <v>1592</v>
      </c>
      <c r="B460" s="3"/>
      <c r="C460" s="3" t="s">
        <v>1593</v>
      </c>
      <c r="D460" s="3" t="s">
        <v>1594</v>
      </c>
      <c r="E460" s="3" t="s">
        <v>1595</v>
      </c>
      <c r="F460" s="3" t="str">
        <f>"317-833-9000"</f>
        <v>317-833-9000</v>
      </c>
      <c r="G460" s="3">
        <v>541330</v>
      </c>
      <c r="H460" s="3" t="s">
        <v>82</v>
      </c>
    </row>
    <row r="461" spans="1:8" ht="51.75" x14ac:dyDescent="0.25">
      <c r="A461" s="3" t="s">
        <v>1596</v>
      </c>
      <c r="B461" s="3"/>
      <c r="C461" s="3" t="str">
        <f>"We are a Information Technology consulting and contractor service provider for LAN/WAN, Security and Remote Access related projects and needs."</f>
        <v>We are a Information Technology consulting and contractor service provider for LAN/WAN, Security and Remote Access related projects and needs.</v>
      </c>
      <c r="D461" s="3" t="s">
        <v>9</v>
      </c>
      <c r="E461" s="3" t="s">
        <v>1597</v>
      </c>
      <c r="F461" s="3" t="str">
        <f>"2199399600"</f>
        <v>2199399600</v>
      </c>
      <c r="G461" s="3">
        <v>514</v>
      </c>
      <c r="H461" s="3" t="s">
        <v>322</v>
      </c>
    </row>
    <row r="462" spans="1:8" ht="51.75" x14ac:dyDescent="0.25">
      <c r="A462" s="3" t="s">
        <v>1598</v>
      </c>
      <c r="B462" s="3"/>
      <c r="C462" s="3" t="str">
        <f>"Manufacturer's Representative of steam speciality items such as steam traps, humidifiers, valves, coils, pumps, unit heaters, heat exchangers, gauges"</f>
        <v>Manufacturer's Representative of steam speciality items such as steam traps, humidifiers, valves, coils, pumps, unit heaters, heat exchangers, gauges</v>
      </c>
      <c r="D462" s="3" t="s">
        <v>1599</v>
      </c>
      <c r="E462" s="3" t="s">
        <v>1600</v>
      </c>
      <c r="F462" s="3" t="str">
        <f>"317-858-7700"</f>
        <v>317-858-7700</v>
      </c>
      <c r="G462" s="3">
        <v>42184</v>
      </c>
      <c r="H462" s="3" t="s">
        <v>1601</v>
      </c>
    </row>
    <row r="463" spans="1:8" ht="51.75" x14ac:dyDescent="0.25">
      <c r="A463" s="3" t="s">
        <v>1602</v>
      </c>
      <c r="B463" s="3"/>
      <c r="C463" s="3" t="str">
        <f>"I provide Division 8 materials and services for General Contractors for commercial projects. I am currently seeking WBE certification."</f>
        <v>I provide Division 8 materials and services for General Contractors for commercial projects. I am currently seeking WBE certification.</v>
      </c>
      <c r="D463" s="3" t="s">
        <v>9</v>
      </c>
      <c r="E463" s="3" t="s">
        <v>1603</v>
      </c>
      <c r="F463" s="3" t="str">
        <f>"765-420-0103"</f>
        <v>765-420-0103</v>
      </c>
      <c r="G463" s="3">
        <v>44419</v>
      </c>
      <c r="H463" s="3" t="s">
        <v>1188</v>
      </c>
    </row>
    <row r="464" spans="1:8" ht="64.5" x14ac:dyDescent="0.25">
      <c r="A464" s="3" t="s">
        <v>1604</v>
      </c>
      <c r="B464" s="3"/>
      <c r="C464" s="3" t="str">
        <f>"Wholesale Screen Printing and Athletic Apparel Decorator. Offering quality printing and heat transfer at low cost. Offering Shirts, Sweatshirts, Athletic Jerseys, and embroidery."</f>
        <v>Wholesale Screen Printing and Athletic Apparel Decorator. Offering quality printing and heat transfer at low cost. Offering Shirts, Sweatshirts, Athletic Jerseys, and embroidery.</v>
      </c>
      <c r="D464" s="3" t="s">
        <v>9</v>
      </c>
      <c r="E464" s="3" t="s">
        <v>1605</v>
      </c>
      <c r="F464" s="3" t="str">
        <f>"812-363-4379"</f>
        <v>812-363-4379</v>
      </c>
      <c r="G464" s="3">
        <v>323113</v>
      </c>
      <c r="H464" s="3" t="s">
        <v>1606</v>
      </c>
    </row>
    <row r="465" spans="1:8" ht="102.75" x14ac:dyDescent="0.25">
      <c r="A465" s="3" t="s">
        <v>1607</v>
      </c>
      <c r="B465" s="3"/>
      <c r="C465" s="3" t="s">
        <v>1608</v>
      </c>
      <c r="D465" s="3" t="s">
        <v>1609</v>
      </c>
      <c r="E465" s="3" t="s">
        <v>1610</v>
      </c>
      <c r="F465" s="3" t="str">
        <f>"317.636.0445"</f>
        <v>317.636.0445</v>
      </c>
      <c r="G465" s="3">
        <v>4213</v>
      </c>
      <c r="H465" s="3" t="s">
        <v>1301</v>
      </c>
    </row>
    <row r="466" spans="1:8" ht="39" x14ac:dyDescent="0.25">
      <c r="A466" s="3" t="s">
        <v>1611</v>
      </c>
      <c r="B466" s="3"/>
      <c r="C466" s="3" t="str">
        <f>"Sales,Installation and Repair of Residential and Commercial Over head doors and Openers."</f>
        <v>Sales,Installation and Repair of Residential and Commercial Over head doors and Openers.</v>
      </c>
      <c r="D466" s="3" t="s">
        <v>1612</v>
      </c>
      <c r="E466" s="3" t="s">
        <v>1613</v>
      </c>
      <c r="F466" s="3" t="str">
        <f>"219-696-4279"</f>
        <v>219-696-4279</v>
      </c>
      <c r="G466" s="3">
        <v>238</v>
      </c>
      <c r="H466" s="3" t="s">
        <v>397</v>
      </c>
    </row>
    <row r="467" spans="1:8" ht="204.75" x14ac:dyDescent="0.25">
      <c r="A467" s="3" t="s">
        <v>1614</v>
      </c>
      <c r="B467" s="3"/>
      <c r="C467" s="3" t="s">
        <v>1615</v>
      </c>
      <c r="D467" s="3" t="s">
        <v>1616</v>
      </c>
      <c r="E467" s="3" t="s">
        <v>1617</v>
      </c>
      <c r="F467" s="3" t="str">
        <f>"800 681 9011"</f>
        <v>800 681 9011</v>
      </c>
      <c r="G467" s="3">
        <v>624120</v>
      </c>
      <c r="H467" s="3" t="s">
        <v>22</v>
      </c>
    </row>
    <row r="468" spans="1:8" ht="39" x14ac:dyDescent="0.25">
      <c r="A468" s="3" t="s">
        <v>1618</v>
      </c>
      <c r="B468" s="3"/>
      <c r="C468" s="3" t="str">
        <f>"Mowing, weed-eatting, gutter cleaning, &amp; anything outdoors. That you need done by somebody else. CALL NOW!!!!"</f>
        <v>Mowing, weed-eatting, gutter cleaning, &amp; anything outdoors. That you need done by somebody else. CALL NOW!!!!</v>
      </c>
      <c r="D468" s="3" t="s">
        <v>9</v>
      </c>
      <c r="E468" s="3" t="s">
        <v>1619</v>
      </c>
      <c r="F468" s="3" t="str">
        <f>"7653184836"</f>
        <v>7653184836</v>
      </c>
      <c r="G468" s="3">
        <v>561730</v>
      </c>
      <c r="H468" s="3" t="s">
        <v>65</v>
      </c>
    </row>
    <row r="469" spans="1:8" ht="51.75" x14ac:dyDescent="0.25">
      <c r="A469" s="3" t="s">
        <v>1620</v>
      </c>
      <c r="B469" s="3"/>
      <c r="C469" s="3" t="str">
        <f>"Affordable Painting, LLC offers interior and exterior painting services as well as, dry wall repair, power washing, and wood staining."</f>
        <v>Affordable Painting, LLC offers interior and exterior painting services as well as, dry wall repair, power washing, and wood staining.</v>
      </c>
      <c r="D469" s="3" t="s">
        <v>9</v>
      </c>
      <c r="E469" s="3" t="s">
        <v>1621</v>
      </c>
      <c r="F469" s="3" t="str">
        <f>"260-715-5805"</f>
        <v>260-715-5805</v>
      </c>
      <c r="G469" s="3">
        <v>23521</v>
      </c>
      <c r="H469" s="3" t="s">
        <v>462</v>
      </c>
    </row>
    <row r="470" spans="1:8" ht="77.25" x14ac:dyDescent="0.25">
      <c r="A470" s="3" t="s">
        <v>1622</v>
      </c>
      <c r="B470" s="3"/>
      <c r="C470" s="3" t="str">
        <f>"Install, maintain and service lawn in ground sprinkler systems Install, maintain and service Landscape lighting. Install, maintain and service water fountains,water gardens. Design, install, and maintain landscaping."</f>
        <v>Install, maintain and service lawn in ground sprinkler systems Install, maintain and service Landscape lighting. Install, maintain and service water fountains,water gardens. Design, install, and maintain landscaping.</v>
      </c>
      <c r="D470" s="3" t="s">
        <v>1623</v>
      </c>
      <c r="E470" s="3" t="s">
        <v>1624</v>
      </c>
      <c r="F470" s="3" t="str">
        <f>"317-828-2670"</f>
        <v>317-828-2670</v>
      </c>
      <c r="G470" s="3">
        <v>561730</v>
      </c>
      <c r="H470" s="3" t="s">
        <v>65</v>
      </c>
    </row>
    <row r="471" spans="1:8" ht="51.75" x14ac:dyDescent="0.25">
      <c r="A471" s="3" t="s">
        <v>1625</v>
      </c>
      <c r="B471" s="3"/>
      <c r="C471" s="3" t="str">
        <f>"Sales of medical, dental, and veterinary supplies and equipment to doctor's offices, surgery centers, hospitals, and dental offices."</f>
        <v>Sales of medical, dental, and veterinary supplies and equipment to doctor's offices, surgery centers, hospitals, and dental offices.</v>
      </c>
      <c r="D471" s="3" t="s">
        <v>1626</v>
      </c>
      <c r="E471" s="3" t="s">
        <v>1627</v>
      </c>
      <c r="F471" s="3" t="str">
        <f>"800-892-5352"</f>
        <v>800-892-5352</v>
      </c>
      <c r="G471" s="3">
        <v>423450</v>
      </c>
      <c r="H471" s="3" t="s">
        <v>1406</v>
      </c>
    </row>
    <row r="472" spans="1:8" ht="319.5" x14ac:dyDescent="0.25">
      <c r="A472" s="3" t="s">
        <v>1628</v>
      </c>
      <c r="B472" s="3"/>
      <c r="C472" s="3" t="s">
        <v>1629</v>
      </c>
      <c r="D472" s="3" t="s">
        <v>1630</v>
      </c>
      <c r="E472" s="3" t="s">
        <v>1631</v>
      </c>
      <c r="F472" s="3" t="str">
        <f>"317-714-2181"</f>
        <v>317-714-2181</v>
      </c>
      <c r="G472" s="3">
        <v>811212</v>
      </c>
      <c r="H472" s="3" t="s">
        <v>1632</v>
      </c>
    </row>
    <row r="473" spans="1:8" ht="77.25" x14ac:dyDescent="0.25">
      <c r="A473" s="3" t="s">
        <v>1633</v>
      </c>
      <c r="B473" s="3"/>
      <c r="C473" s="3" t="str">
        <f>"Ag Plus is cooperative whose mainly services farmers in their area. Additionally, Ag Plus has a Turf Store located in New Haven, Indiana. The Turf Store sells lawn care, turf fertilizer, various lawn seeds. and other turf and lawn related items."</f>
        <v>Ag Plus is cooperative whose mainly services farmers in their area. Additionally, Ag Plus has a Turf Store located in New Haven, Indiana. The Turf Store sells lawn care, turf fertilizer, various lawn seeds. and other turf and lawn related items.</v>
      </c>
      <c r="D473" s="3" t="s">
        <v>1634</v>
      </c>
      <c r="E473" s="3" t="s">
        <v>1635</v>
      </c>
      <c r="F473" s="3" t="str">
        <f>"260-723-5141"</f>
        <v>260-723-5141</v>
      </c>
      <c r="G473" s="3">
        <v>424910</v>
      </c>
      <c r="H473" s="3" t="s">
        <v>1636</v>
      </c>
    </row>
    <row r="474" spans="1:8" ht="26.25" x14ac:dyDescent="0.25">
      <c r="A474" s="3" t="s">
        <v>1637</v>
      </c>
      <c r="B474" s="3"/>
      <c r="C474" s="3" t="str">
        <f>"retail seed sales"</f>
        <v>retail seed sales</v>
      </c>
      <c r="D474" s="3" t="s">
        <v>1638</v>
      </c>
      <c r="E474" s="3" t="s">
        <v>1639</v>
      </c>
      <c r="F474" s="3" t="str">
        <f>"8009330259"</f>
        <v>8009330259</v>
      </c>
      <c r="G474" s="3">
        <v>115114</v>
      </c>
      <c r="H474" s="3" t="s">
        <v>1640</v>
      </c>
    </row>
    <row r="475" spans="1:8" ht="39" x14ac:dyDescent="0.25">
      <c r="A475" s="3" t="s">
        <v>1641</v>
      </c>
      <c r="B475" s="3"/>
      <c r="C475" s="3" t="str">
        <f>"Residential,commercial and industrial painting.Drywall installation and repair. wallpaper installation and removal."</f>
        <v>Residential,commercial and industrial painting.Drywall installation and repair. wallpaper installation and removal.</v>
      </c>
      <c r="D475" s="3" t="s">
        <v>1642</v>
      </c>
      <c r="E475" s="3" t="s">
        <v>1643</v>
      </c>
      <c r="F475" s="3" t="str">
        <f>"3177102960"</f>
        <v>3177102960</v>
      </c>
      <c r="G475" s="3">
        <v>238320</v>
      </c>
      <c r="H475" s="3" t="s">
        <v>462</v>
      </c>
    </row>
    <row r="476" spans="1:8" ht="230.25" x14ac:dyDescent="0.25">
      <c r="A476" s="3" t="s">
        <v>1644</v>
      </c>
      <c r="B476" s="3"/>
      <c r="C476" s="3" t="s">
        <v>1645</v>
      </c>
      <c r="D476" s="3" t="s">
        <v>9</v>
      </c>
      <c r="E476" s="3" t="s">
        <v>1646</v>
      </c>
      <c r="F476" s="3" t="str">
        <f>"(219) 938-4869"</f>
        <v>(219) 938-4869</v>
      </c>
      <c r="G476" s="3">
        <v>23571</v>
      </c>
      <c r="H476" s="3" t="s">
        <v>576</v>
      </c>
    </row>
    <row r="477" spans="1:8" ht="26.25" x14ac:dyDescent="0.25">
      <c r="A477" s="3" t="s">
        <v>1647</v>
      </c>
      <c r="B477" s="3"/>
      <c r="C477" s="3" t="str">
        <f>"Manufacturer of asphalt. Asphalt paver."</f>
        <v>Manufacturer of asphalt. Asphalt paver.</v>
      </c>
      <c r="D477" s="3" t="s">
        <v>1648</v>
      </c>
      <c r="E477" s="3" t="s">
        <v>46</v>
      </c>
      <c r="F477" s="3" t="str">
        <f>"219-477-6340"</f>
        <v>219-477-6340</v>
      </c>
      <c r="G477" s="3">
        <v>237310</v>
      </c>
      <c r="H477" s="3" t="s">
        <v>768</v>
      </c>
    </row>
    <row r="478" spans="1:8" ht="64.5" x14ac:dyDescent="0.25">
      <c r="A478" s="3" t="s">
        <v>1649</v>
      </c>
      <c r="B478" s="3"/>
      <c r="C478" s="3" t="str">
        <f>"Our company assist other companies with government introductions, training, technology and management planning. We have over 40 years of government experience."</f>
        <v>Our company assist other companies with government introductions, training, technology and management planning. We have over 40 years of government experience.</v>
      </c>
      <c r="D478" s="3" t="s">
        <v>9</v>
      </c>
      <c r="E478" s="3" t="s">
        <v>1650</v>
      </c>
      <c r="F478" s="3" t="str">
        <f>"3172924351"</f>
        <v>3172924351</v>
      </c>
      <c r="G478" s="3">
        <v>541611</v>
      </c>
      <c r="H478" s="3" t="s">
        <v>278</v>
      </c>
    </row>
    <row r="479" spans="1:8" ht="51.75" x14ac:dyDescent="0.25">
      <c r="A479" s="3" t="s">
        <v>1651</v>
      </c>
      <c r="B479" s="3"/>
      <c r="C479" s="3" t="str">
        <f>"AgileAssets is the leading provider of enterprise asset and maintenance management software applications for public agencies."</f>
        <v>AgileAssets is the leading provider of enterprise asset and maintenance management software applications for public agencies.</v>
      </c>
      <c r="D479" s="3" t="s">
        <v>1652</v>
      </c>
      <c r="E479" s="3" t="s">
        <v>1653</v>
      </c>
      <c r="F479" s="3" t="str">
        <f>"5123274200"</f>
        <v>5123274200</v>
      </c>
      <c r="G479" s="3">
        <v>541512</v>
      </c>
      <c r="H479" s="3" t="s">
        <v>19</v>
      </c>
    </row>
    <row r="480" spans="1:8" ht="141" x14ac:dyDescent="0.25">
      <c r="A480" s="3" t="s">
        <v>1654</v>
      </c>
      <c r="B480" s="3"/>
      <c r="C480" s="3" t="s">
        <v>1655</v>
      </c>
      <c r="D480" s="3" t="s">
        <v>9</v>
      </c>
      <c r="E480" s="3" t="s">
        <v>1656</v>
      </c>
      <c r="F480" s="3" t="str">
        <f>"317-536-6065"</f>
        <v>317-536-6065</v>
      </c>
      <c r="G480" s="3">
        <v>61143</v>
      </c>
      <c r="H480" s="3" t="s">
        <v>1224</v>
      </c>
    </row>
    <row r="481" spans="1:8" ht="26.25" x14ac:dyDescent="0.25">
      <c r="A481" s="3" t="s">
        <v>1657</v>
      </c>
      <c r="B481" s="3"/>
      <c r="C481" s="3" t="str">
        <f>"Aging With Grace is a community for retirees 55-Plus years of age"</f>
        <v>Aging With Grace is a community for retirees 55-Plus years of age</v>
      </c>
      <c r="D481" s="3" t="s">
        <v>9</v>
      </c>
      <c r="E481" s="3" t="s">
        <v>1658</v>
      </c>
      <c r="F481" s="3" t="str">
        <f>"317-536-6897"</f>
        <v>317-536-6897</v>
      </c>
      <c r="G481" s="3">
        <v>11</v>
      </c>
      <c r="H481" s="3" t="s">
        <v>175</v>
      </c>
    </row>
    <row r="482" spans="1:8" ht="64.5" x14ac:dyDescent="0.25">
      <c r="A482" s="3" t="s">
        <v>1659</v>
      </c>
      <c r="B482" s="3"/>
      <c r="C482" s="3" t="str">
        <f>"Provide fire extinguisher training meeting OSHA &amp; NFPA guidelines. Fire safety consulting. Sales: Digital Fire Extinguisher Training Equipment, Portable Traffic Safety Warning Devices, Safety Apparel"</f>
        <v>Provide fire extinguisher training meeting OSHA &amp; NFPA guidelines. Fire safety consulting. Sales: Digital Fire Extinguisher Training Equipment, Portable Traffic Safety Warning Devices, Safety Apparel</v>
      </c>
      <c r="D482" s="3" t="s">
        <v>1660</v>
      </c>
      <c r="E482" s="3" t="s">
        <v>46</v>
      </c>
      <c r="F482" s="2"/>
      <c r="G482" s="3">
        <v>561990</v>
      </c>
      <c r="H482" s="3" t="s">
        <v>219</v>
      </c>
    </row>
    <row r="483" spans="1:8" ht="26.25" x14ac:dyDescent="0.25">
      <c r="A483" s="3" t="s">
        <v>1661</v>
      </c>
      <c r="B483" s="3"/>
      <c r="C483" s="3" t="str">
        <f>"Clean air ducts and dryer vents both commerical and residential"</f>
        <v>Clean air ducts and dryer vents both commerical and residential</v>
      </c>
      <c r="D483" s="3" t="s">
        <v>1662</v>
      </c>
      <c r="E483" s="3" t="s">
        <v>1663</v>
      </c>
      <c r="F483" s="3" t="str">
        <f>"317-889-1099"</f>
        <v>317-889-1099</v>
      </c>
      <c r="G483" s="3">
        <v>812990</v>
      </c>
      <c r="H483" s="3" t="s">
        <v>294</v>
      </c>
    </row>
    <row r="484" spans="1:8" ht="294" x14ac:dyDescent="0.25">
      <c r="A484" s="3" t="s">
        <v>1664</v>
      </c>
      <c r="B484" s="3"/>
      <c r="C484" s="3" t="s">
        <v>1665</v>
      </c>
      <c r="D484" s="3" t="s">
        <v>1666</v>
      </c>
      <c r="E484" s="3" t="s">
        <v>1667</v>
      </c>
      <c r="F484" s="3" t="str">
        <f>"317-881-4976"</f>
        <v>317-881-4976</v>
      </c>
      <c r="G484" s="3">
        <v>454390</v>
      </c>
      <c r="H484" s="3" t="s">
        <v>1348</v>
      </c>
    </row>
    <row r="485" spans="1:8" ht="26.25" x14ac:dyDescent="0.25">
      <c r="A485" s="3" t="s">
        <v>1668</v>
      </c>
      <c r="B485" s="3"/>
      <c r="C485" s="3" t="str">
        <f>"Industrial Gas Company"</f>
        <v>Industrial Gas Company</v>
      </c>
      <c r="D485" s="3" t="s">
        <v>1669</v>
      </c>
      <c r="E485" s="3" t="s">
        <v>46</v>
      </c>
      <c r="F485" s="3" t="str">
        <f>"610-481-4911"</f>
        <v>610-481-4911</v>
      </c>
      <c r="G485" s="3">
        <v>325120</v>
      </c>
      <c r="H485" s="3" t="s">
        <v>1670</v>
      </c>
    </row>
    <row r="486" spans="1:8" ht="39" x14ac:dyDescent="0.25">
      <c r="A486" s="3" t="s">
        <v>1671</v>
      </c>
      <c r="B486" s="3"/>
      <c r="C486" s="3" t="str">
        <f>"Medical equipment rental and sale, primarily specialty beds and mattress systems for wound treatment/prevention."</f>
        <v>Medical equipment rental and sale, primarily specialty beds and mattress systems for wound treatment/prevention.</v>
      </c>
      <c r="D486" s="3" t="s">
        <v>9</v>
      </c>
      <c r="E486" s="3" t="s">
        <v>1672</v>
      </c>
      <c r="F486" s="3" t="str">
        <f>"317-570-1518"</f>
        <v>317-570-1518</v>
      </c>
      <c r="G486" s="3">
        <v>532490</v>
      </c>
      <c r="H486" s="3" t="s">
        <v>1673</v>
      </c>
    </row>
    <row r="487" spans="1:8" ht="64.5" x14ac:dyDescent="0.25">
      <c r="A487" s="3" t="s">
        <v>1674</v>
      </c>
      <c r="B487" s="3"/>
      <c r="C487" s="3" t="str">
        <f>"Telematics hardware, airtime and support services for mobile assets, including: cars, trucks (light to heavy duty), farm equipment, construction equipment, tractor trailers, cargo trailers, cargo railcars, etc."</f>
        <v>Telematics hardware, airtime and support services for mobile assets, including: cars, trucks (light to heavy duty), farm equipment, construction equipment, tractor trailers, cargo trailers, cargo railcars, etc.</v>
      </c>
      <c r="D487" s="3" t="s">
        <v>1675</v>
      </c>
      <c r="E487" s="3" t="s">
        <v>1676</v>
      </c>
      <c r="F487" s="3" t="str">
        <f>"765.432.1255"</f>
        <v>765.432.1255</v>
      </c>
      <c r="G487" s="3">
        <v>517910</v>
      </c>
      <c r="H487" s="3" t="s">
        <v>1677</v>
      </c>
    </row>
    <row r="488" spans="1:8" ht="39" x14ac:dyDescent="0.25">
      <c r="A488" s="3" t="s">
        <v>1678</v>
      </c>
      <c r="B488" s="3"/>
      <c r="C488" s="3" t="str">
        <f>"A full line construction equipment and supply house serving all of Indiana with locations in Indianapolis and Warsaw."</f>
        <v>A full line construction equipment and supply house serving all of Indiana with locations in Indianapolis and Warsaw.</v>
      </c>
      <c r="D488" s="3" t="s">
        <v>1679</v>
      </c>
      <c r="E488" s="3" t="s">
        <v>1680</v>
      </c>
      <c r="F488" s="3" t="str">
        <f>"317-781-9400"</f>
        <v>317-781-9400</v>
      </c>
      <c r="G488" s="3">
        <v>5324</v>
      </c>
      <c r="H488" s="3" t="s">
        <v>1681</v>
      </c>
    </row>
    <row r="489" spans="1:8" ht="39" x14ac:dyDescent="0.25">
      <c r="A489" s="3" t="s">
        <v>1682</v>
      </c>
      <c r="B489" s="3"/>
      <c r="C489" s="3" t="str">
        <f>"Aircraft repair, avionics installations, FBO, aircraft charter, air ambulance, firearms &amp; ammunition sales"</f>
        <v>Aircraft repair, avionics installations, FBO, aircraft charter, air ambulance, firearms &amp; ammunition sales</v>
      </c>
      <c r="D489" s="3" t="s">
        <v>1683</v>
      </c>
      <c r="E489" s="3" t="s">
        <v>1684</v>
      </c>
      <c r="F489" s="3" t="str">
        <f>"812-246-4696"</f>
        <v>812-246-4696</v>
      </c>
      <c r="G489" s="3">
        <v>48811</v>
      </c>
      <c r="H489" s="3" t="s">
        <v>1685</v>
      </c>
    </row>
    <row r="490" spans="1:8" ht="26.25" x14ac:dyDescent="0.25">
      <c r="A490" s="3" t="s">
        <v>1686</v>
      </c>
      <c r="B490" s="3"/>
      <c r="C490" s="3" t="str">
        <f>"Close to the Airport with extensive meeting space and full service hotel"</f>
        <v>Close to the Airport with extensive meeting space and full service hotel</v>
      </c>
      <c r="D490" s="3" t="s">
        <v>1687</v>
      </c>
      <c r="E490" s="3" t="s">
        <v>1688</v>
      </c>
      <c r="F490" s="3" t="str">
        <f>"317-244-6861"</f>
        <v>317-244-6861</v>
      </c>
      <c r="G490" s="3">
        <v>721110</v>
      </c>
      <c r="H490" s="3" t="s">
        <v>872</v>
      </c>
    </row>
    <row r="491" spans="1:8" ht="128.25" x14ac:dyDescent="0.25">
      <c r="A491" s="3" t="s">
        <v>1689</v>
      </c>
      <c r="B491" s="3"/>
      <c r="C491" s="3" t="s">
        <v>1690</v>
      </c>
      <c r="D491" s="3" t="s">
        <v>1691</v>
      </c>
      <c r="E491" s="3" t="s">
        <v>46</v>
      </c>
      <c r="F491" s="3" t="str">
        <f>"812-793-2427"</f>
        <v>812-793-2427</v>
      </c>
      <c r="G491" s="3">
        <v>336350</v>
      </c>
      <c r="H491" s="3" t="s">
        <v>1692</v>
      </c>
    </row>
    <row r="492" spans="1:8" ht="64.5" x14ac:dyDescent="0.25">
      <c r="A492" s="3" t="s">
        <v>1693</v>
      </c>
      <c r="B492" s="3"/>
      <c r="C492" s="3" t="str">
        <f>"Providing general maintenance in the cleaning of kitchen grease exhaust systems. Including hood, shaft, and motor upkeep to ensure fire codes are met or exceeded. Fully licensed and insured."</f>
        <v>Providing general maintenance in the cleaning of kitchen grease exhaust systems. Including hood, shaft, and motor upkeep to ensure fire codes are met or exceeded. Fully licensed and insured.</v>
      </c>
      <c r="D492" s="3" t="s">
        <v>9</v>
      </c>
      <c r="E492" s="3" t="s">
        <v>46</v>
      </c>
      <c r="F492" s="3" t="str">
        <f>"502 - 693 - 5461"</f>
        <v>502 - 693 - 5461</v>
      </c>
      <c r="G492" s="3">
        <v>561720</v>
      </c>
      <c r="H492" s="3" t="s">
        <v>222</v>
      </c>
    </row>
    <row r="493" spans="1:8" ht="90" x14ac:dyDescent="0.25">
      <c r="A493" s="3" t="s">
        <v>1694</v>
      </c>
      <c r="B493" s="3"/>
      <c r="C493" s="3" t="s">
        <v>1695</v>
      </c>
      <c r="D493" s="3" t="s">
        <v>9</v>
      </c>
      <c r="E493" s="3" t="s">
        <v>1696</v>
      </c>
      <c r="F493" s="3" t="str">
        <f>"3177695027"</f>
        <v>3177695027</v>
      </c>
      <c r="G493" s="3">
        <v>561210</v>
      </c>
      <c r="H493" s="3" t="s">
        <v>1697</v>
      </c>
    </row>
    <row r="494" spans="1:8" ht="26.25" x14ac:dyDescent="0.25">
      <c r="A494" s="3" t="s">
        <v>1698</v>
      </c>
      <c r="B494" s="3"/>
      <c r="C494" s="3" t="str">
        <f>"Retail Auto/Truck Parts. Auto/Truck Repair &amp; Sevice."</f>
        <v>Retail Auto/Truck Parts. Auto/Truck Repair &amp; Sevice.</v>
      </c>
      <c r="D494" s="3" t="s">
        <v>9</v>
      </c>
      <c r="E494" s="3" t="s">
        <v>46</v>
      </c>
      <c r="F494" s="3" t="str">
        <f>"812-362-8310"</f>
        <v>812-362-8310</v>
      </c>
      <c r="G494" s="3">
        <v>44131</v>
      </c>
      <c r="H494" s="3" t="s">
        <v>1699</v>
      </c>
    </row>
    <row r="495" spans="1:8" ht="179.25" x14ac:dyDescent="0.25">
      <c r="A495" s="3" t="s">
        <v>1700</v>
      </c>
      <c r="B495" s="3"/>
      <c r="C495" s="3" t="s">
        <v>1701</v>
      </c>
      <c r="D495" s="3" t="s">
        <v>1702</v>
      </c>
      <c r="E495" s="3" t="s">
        <v>1703</v>
      </c>
      <c r="F495" s="3" t="str">
        <f>"317-635-4257"</f>
        <v>317-635-4257</v>
      </c>
      <c r="G495" s="3">
        <v>236220</v>
      </c>
      <c r="H495" s="3" t="s">
        <v>598</v>
      </c>
    </row>
    <row r="496" spans="1:8" ht="90" x14ac:dyDescent="0.25">
      <c r="A496" s="3" t="s">
        <v>1704</v>
      </c>
      <c r="B496" s="3"/>
      <c r="C496" s="3" t="s">
        <v>1705</v>
      </c>
      <c r="D496" s="3" t="s">
        <v>9</v>
      </c>
      <c r="E496" s="3" t="s">
        <v>1706</v>
      </c>
      <c r="F496" s="3" t="str">
        <f>"765-653-2714"</f>
        <v>765-653-2714</v>
      </c>
      <c r="G496" s="3">
        <v>541370</v>
      </c>
      <c r="H496" s="3" t="s">
        <v>160</v>
      </c>
    </row>
    <row r="497" spans="1:8" ht="166.5" x14ac:dyDescent="0.25">
      <c r="A497" s="3" t="s">
        <v>1707</v>
      </c>
      <c r="B497" s="3"/>
      <c r="C497" s="3" t="s">
        <v>1708</v>
      </c>
      <c r="D497" s="3" t="s">
        <v>9</v>
      </c>
      <c r="E497" s="3" t="s">
        <v>1709</v>
      </c>
      <c r="F497" s="3" t="str">
        <f>"317-569-6776"</f>
        <v>317-569-6776</v>
      </c>
      <c r="G497" s="3">
        <v>524298</v>
      </c>
      <c r="H497" s="3" t="s">
        <v>1483</v>
      </c>
    </row>
    <row r="498" spans="1:8" ht="39" x14ac:dyDescent="0.25">
      <c r="A498" s="3" t="s">
        <v>1710</v>
      </c>
      <c r="B498" s="3"/>
      <c r="C498" s="3" t="str">
        <f>"Computer maintenance &amp; repair, programming, website services &amp; hosting, personal service, honest advice."</f>
        <v>Computer maintenance &amp; repair, programming, website services &amp; hosting, personal service, honest advice.</v>
      </c>
      <c r="D498" s="3" t="s">
        <v>1711</v>
      </c>
      <c r="E498" s="3" t="s">
        <v>1712</v>
      </c>
      <c r="F498" s="3" t="str">
        <f>"317-885-7522"</f>
        <v>317-885-7522</v>
      </c>
      <c r="G498" s="3">
        <v>811212</v>
      </c>
      <c r="H498" s="3" t="s">
        <v>1632</v>
      </c>
    </row>
    <row r="499" spans="1:8" ht="39" x14ac:dyDescent="0.25">
      <c r="A499" s="3" t="s">
        <v>1713</v>
      </c>
      <c r="B499" s="3"/>
      <c r="C499" s="3" t="str">
        <f>"Bridge/Culvert/Dam Maintenance, Repair, Rehabilitation, Replacement and Demolition."</f>
        <v>Bridge/Culvert/Dam Maintenance, Repair, Rehabilitation, Replacement and Demolition.</v>
      </c>
      <c r="D499" s="3" t="s">
        <v>9</v>
      </c>
      <c r="E499" s="3" t="s">
        <v>1714</v>
      </c>
      <c r="F499" s="2"/>
      <c r="G499" s="3">
        <v>237310</v>
      </c>
      <c r="H499" s="3" t="s">
        <v>768</v>
      </c>
    </row>
    <row r="500" spans="1:8" ht="51.75" x14ac:dyDescent="0.25">
      <c r="A500" s="3" t="s">
        <v>1715</v>
      </c>
      <c r="B500" s="3"/>
      <c r="C500" s="3" t="str">
        <f>"My businessis primarily on paper. I market and write orders for a line of tools developed and patented by my brother Wil Parker."</f>
        <v>My businessis primarily on paper. I market and write orders for a line of tools developed and patented by my brother Wil Parker.</v>
      </c>
      <c r="D500" s="3" t="s">
        <v>9</v>
      </c>
      <c r="E500" s="3" t="s">
        <v>1716</v>
      </c>
      <c r="F500" s="3" t="str">
        <f>"812-725-7900"</f>
        <v>812-725-7900</v>
      </c>
      <c r="G500" s="3">
        <v>42</v>
      </c>
      <c r="H500" s="3" t="s">
        <v>674</v>
      </c>
    </row>
    <row r="501" spans="1:8" ht="51.75" x14ac:dyDescent="0.25">
      <c r="A501" s="3" t="s">
        <v>1717</v>
      </c>
      <c r="B501" s="3"/>
      <c r="C501" s="3" t="str">
        <f>"Aldis Associates is a woman owned, professional recruiting firm specializing in Engineering, Healthcare IT, Information Technology, Manufacturing and Operations."</f>
        <v>Aldis Associates is a woman owned, professional recruiting firm specializing in Engineering, Healthcare IT, Information Technology, Manufacturing and Operations.</v>
      </c>
      <c r="D501" s="3" t="s">
        <v>1718</v>
      </c>
      <c r="E501" s="3" t="s">
        <v>1719</v>
      </c>
      <c r="F501" s="3" t="str">
        <f>"260-338-4391"</f>
        <v>260-338-4391</v>
      </c>
      <c r="G501" s="3">
        <v>56131</v>
      </c>
      <c r="H501" s="3" t="s">
        <v>1720</v>
      </c>
    </row>
    <row r="502" spans="1:8" ht="115.5" x14ac:dyDescent="0.25">
      <c r="A502" s="3" t="s">
        <v>1721</v>
      </c>
      <c r="B502" s="3"/>
      <c r="C502" s="3" t="s">
        <v>1722</v>
      </c>
      <c r="D502" s="3" t="s">
        <v>1723</v>
      </c>
      <c r="E502" s="3" t="s">
        <v>1724</v>
      </c>
      <c r="F502" s="3" t="str">
        <f>"317-733-2993"</f>
        <v>317-733-2993</v>
      </c>
      <c r="G502" s="3">
        <v>424990</v>
      </c>
      <c r="H502" s="3" t="s">
        <v>1019</v>
      </c>
    </row>
    <row r="503" spans="1:8" ht="166.5" x14ac:dyDescent="0.25">
      <c r="A503" s="3" t="s">
        <v>1725</v>
      </c>
      <c r="B503" s="3"/>
      <c r="C503" s="3" t="s">
        <v>1726</v>
      </c>
      <c r="D503" s="3" t="s">
        <v>9</v>
      </c>
      <c r="E503" s="3" t="s">
        <v>1727</v>
      </c>
      <c r="F503" s="3" t="str">
        <f>"317-345-2012"</f>
        <v>317-345-2012</v>
      </c>
      <c r="G503" s="3">
        <v>56171</v>
      </c>
      <c r="H503" s="3" t="s">
        <v>946</v>
      </c>
    </row>
    <row r="504" spans="1:8" ht="179.25" x14ac:dyDescent="0.25">
      <c r="A504" s="3" t="s">
        <v>1728</v>
      </c>
      <c r="B504" s="3"/>
      <c r="C504" s="3" t="s">
        <v>1729</v>
      </c>
      <c r="D504" s="3" t="s">
        <v>9</v>
      </c>
      <c r="E504" s="3" t="s">
        <v>1730</v>
      </c>
      <c r="F504" s="3" t="str">
        <f>"3175790229"</f>
        <v>3175790229</v>
      </c>
      <c r="G504" s="3">
        <v>333415</v>
      </c>
      <c r="H504" s="3" t="s">
        <v>1731</v>
      </c>
    </row>
    <row r="505" spans="1:8" ht="26.25" x14ac:dyDescent="0.25">
      <c r="A505" s="3" t="s">
        <v>1732</v>
      </c>
      <c r="B505" s="3"/>
      <c r="C505" s="2"/>
      <c r="D505" s="3" t="s">
        <v>1733</v>
      </c>
      <c r="E505" s="3" t="s">
        <v>1734</v>
      </c>
      <c r="F505" s="3" t="str">
        <f>"630-955-6050"</f>
        <v>630-955-6050</v>
      </c>
      <c r="G505" s="3">
        <v>3259</v>
      </c>
      <c r="H505" s="3" t="s">
        <v>1735</v>
      </c>
    </row>
    <row r="506" spans="1:8" ht="77.25" x14ac:dyDescent="0.25">
      <c r="A506" s="3" t="s">
        <v>1736</v>
      </c>
      <c r="B506" s="3"/>
      <c r="C506" s="3" t="str">
        <f>"Electrical contractors specializing in commercial and industrial new installation and repairs. Residential work is done on a limited basis. We are licensed and insured and bonded. Our work radius is usually within 50 miles of Bloomington Indiana."</f>
        <v>Electrical contractors specializing in commercial and industrial new installation and repairs. Residential work is done on a limited basis. We are licensed and insured and bonded. Our work radius is usually within 50 miles of Bloomington Indiana.</v>
      </c>
      <c r="D506" s="3" t="s">
        <v>9</v>
      </c>
      <c r="E506" s="3" t="s">
        <v>1737</v>
      </c>
      <c r="F506" s="3" t="str">
        <f>"812-332-9408"</f>
        <v>812-332-9408</v>
      </c>
      <c r="G506" s="3">
        <v>2353</v>
      </c>
      <c r="H506" s="3" t="s">
        <v>306</v>
      </c>
    </row>
    <row r="507" spans="1:8" ht="141" x14ac:dyDescent="0.25">
      <c r="A507" s="3" t="s">
        <v>1738</v>
      </c>
      <c r="B507" s="3"/>
      <c r="C507" s="3" t="s">
        <v>1739</v>
      </c>
      <c r="D507" s="3" t="s">
        <v>1740</v>
      </c>
      <c r="E507" s="3" t="s">
        <v>1741</v>
      </c>
      <c r="F507" s="3" t="str">
        <f>"812 332-7442"</f>
        <v>812 332-7442</v>
      </c>
      <c r="G507" s="3">
        <v>441210</v>
      </c>
      <c r="H507" s="3" t="s">
        <v>1742</v>
      </c>
    </row>
    <row r="508" spans="1:8" ht="64.5" x14ac:dyDescent="0.25">
      <c r="A508" s="3" t="s">
        <v>1743</v>
      </c>
      <c r="B508" s="3"/>
      <c r="C508" s="3" t="str">
        <f>"Retail marketing services and event company providing market research, exit interviews, instore sampling, surveys, resets, product facing, audits, mystery shopping and retailtanment."</f>
        <v>Retail marketing services and event company providing market research, exit interviews, instore sampling, surveys, resets, product facing, audits, mystery shopping and retailtanment.</v>
      </c>
      <c r="D508" s="3" t="s">
        <v>1744</v>
      </c>
      <c r="E508" s="3" t="s">
        <v>1745</v>
      </c>
      <c r="F508" s="3" t="str">
        <f>"574-243-0917"</f>
        <v>574-243-0917</v>
      </c>
      <c r="G508" s="3">
        <v>54191</v>
      </c>
      <c r="H508" s="3" t="s">
        <v>510</v>
      </c>
    </row>
    <row r="509" spans="1:8" ht="51.75" x14ac:dyDescent="0.25">
      <c r="A509" s="3" t="s">
        <v>1746</v>
      </c>
      <c r="B509" s="3"/>
      <c r="C509" s="3" t="str">
        <f>"Interior design and feng shui design consulting, home and office staging, sale feng shui hand poured scented soy candles, and feng shui crystals"</f>
        <v>Interior design and feng shui design consulting, home and office staging, sale feng shui hand poured scented soy candles, and feng shui crystals</v>
      </c>
      <c r="D509" s="3" t="s">
        <v>1747</v>
      </c>
      <c r="E509" s="3" t="s">
        <v>1748</v>
      </c>
      <c r="F509" s="3" t="str">
        <f>"3124285650"</f>
        <v>3124285650</v>
      </c>
      <c r="G509" s="3">
        <v>541410</v>
      </c>
      <c r="H509" s="3" t="s">
        <v>687</v>
      </c>
    </row>
    <row r="510" spans="1:8" ht="39" x14ac:dyDescent="0.25">
      <c r="A510" s="3" t="s">
        <v>1749</v>
      </c>
      <c r="B510" s="3"/>
      <c r="C510" s="3" t="str">
        <f>"WHOLESALE BAKERY DELIVERING BREAD, BUNS, ROLLS, DONUTS, CAKES, ETC. TO STORES, INSTITUTIONS, SCHOOLS, ETC."</f>
        <v>WHOLESALE BAKERY DELIVERING BREAD, BUNS, ROLLS, DONUTS, CAKES, ETC. TO STORES, INSTITUTIONS, SCHOOLS, ETC.</v>
      </c>
      <c r="D510" s="3" t="s">
        <v>1750</v>
      </c>
      <c r="E510" s="3" t="s">
        <v>1751</v>
      </c>
      <c r="F510" s="3" t="str">
        <f>"574-223-5918"</f>
        <v>574-223-5918</v>
      </c>
      <c r="G510" s="3">
        <v>311812</v>
      </c>
      <c r="H510" s="3" t="s">
        <v>1752</v>
      </c>
    </row>
    <row r="511" spans="1:8" ht="268.5" x14ac:dyDescent="0.25">
      <c r="A511" s="3" t="s">
        <v>1753</v>
      </c>
      <c r="B511" s="3"/>
      <c r="C511" s="3" t="s">
        <v>1754</v>
      </c>
      <c r="D511" s="3" t="s">
        <v>1755</v>
      </c>
      <c r="E511" s="3" t="s">
        <v>1756</v>
      </c>
      <c r="F511" s="3" t="str">
        <f>"317-201-2436"</f>
        <v>317-201-2436</v>
      </c>
      <c r="G511" s="3">
        <v>541410</v>
      </c>
      <c r="H511" s="3" t="s">
        <v>687</v>
      </c>
    </row>
    <row r="512" spans="1:8" ht="26.25" x14ac:dyDescent="0.25">
      <c r="A512" s="3" t="s">
        <v>1757</v>
      </c>
      <c r="B512" s="3"/>
      <c r="C512" s="3" t="str">
        <f>"Durable Medical Equipment and Supplies provider specializing in home health care."</f>
        <v>Durable Medical Equipment and Supplies provider specializing in home health care.</v>
      </c>
      <c r="D512" s="3" t="s">
        <v>1758</v>
      </c>
      <c r="E512" s="3" t="s">
        <v>1759</v>
      </c>
      <c r="F512" s="3" t="str">
        <f>"574-273-6000"</f>
        <v>574-273-6000</v>
      </c>
      <c r="G512" s="3">
        <v>446199</v>
      </c>
      <c r="H512" s="3" t="s">
        <v>1760</v>
      </c>
    </row>
    <row r="513" spans="1:8" ht="39" x14ac:dyDescent="0.25">
      <c r="A513" s="3" t="s">
        <v>1761</v>
      </c>
      <c r="B513" s="3"/>
      <c r="C513" s="3" t="str">
        <f>"Real estate Sales, Leasing, Management, Maintenance; Parking Lot Management; Landscaping; mowing."</f>
        <v>Real estate Sales, Leasing, Management, Maintenance; Parking Lot Management; Landscaping; mowing.</v>
      </c>
      <c r="D513" s="3" t="s">
        <v>1762</v>
      </c>
      <c r="E513" s="3" t="s">
        <v>1763</v>
      </c>
      <c r="F513" s="3" t="str">
        <f>"317-639-1533"</f>
        <v>317-639-1533</v>
      </c>
      <c r="G513" s="3">
        <v>531210</v>
      </c>
      <c r="H513" s="3" t="s">
        <v>1101</v>
      </c>
    </row>
    <row r="514" spans="1:8" ht="90" x14ac:dyDescent="0.25">
      <c r="A514" s="3" t="s">
        <v>1764</v>
      </c>
      <c r="B514" s="3"/>
      <c r="C514" s="3" t="str">
        <f>"Skilled Nursing Services, Experience Geriatrics, Alzheimer's, Long term care, Hospice, Rehabilitation, Diabetes Management,and Psychiatric Nursing. Perform Home Safety Check for the Aging. Instructor for non Medical teaching medical training to new hires."</f>
        <v>Skilled Nursing Services, Experience Geriatrics, Alzheimer's, Long term care, Hospice, Rehabilitation, Diabetes Management,and Psychiatric Nursing. Perform Home Safety Check for the Aging. Instructor for non Medical teaching medical training to new hires.</v>
      </c>
      <c r="D514" s="3" t="s">
        <v>9</v>
      </c>
      <c r="E514" s="3" t="s">
        <v>1765</v>
      </c>
      <c r="F514" s="3" t="str">
        <f>"3173622910"</f>
        <v>3173622910</v>
      </c>
      <c r="G514" s="3">
        <v>621610</v>
      </c>
      <c r="H514" s="3" t="s">
        <v>328</v>
      </c>
    </row>
    <row r="515" spans="1:8" ht="26.25" x14ac:dyDescent="0.25">
      <c r="A515" s="3" t="s">
        <v>1766</v>
      </c>
      <c r="B515" s="3"/>
      <c r="C515" s="3" t="str">
        <f>"Stone and asphalt paving and patching, dirt work, utility installation and demolition."</f>
        <v>Stone and asphalt paving and patching, dirt work, utility installation and demolition.</v>
      </c>
      <c r="D515" s="3" t="s">
        <v>9</v>
      </c>
      <c r="E515" s="3" t="s">
        <v>1767</v>
      </c>
      <c r="F515" s="3" t="str">
        <f>"(260) 481-5892"</f>
        <v>(260) 481-5892</v>
      </c>
      <c r="G515" s="3">
        <v>238990</v>
      </c>
      <c r="H515" s="3" t="s">
        <v>481</v>
      </c>
    </row>
    <row r="516" spans="1:8" ht="39" x14ac:dyDescent="0.25">
      <c r="A516" s="3" t="s">
        <v>1768</v>
      </c>
      <c r="B516" s="3"/>
      <c r="C516" s="3" t="str">
        <f>"Commercial systems-built (modular) builder in the commercial and multi-family construction business"</f>
        <v>Commercial systems-built (modular) builder in the commercial and multi-family construction business</v>
      </c>
      <c r="D516" s="3" t="s">
        <v>1769</v>
      </c>
      <c r="E516" s="3" t="s">
        <v>1770</v>
      </c>
      <c r="F516" s="3" t="str">
        <f>"(574) 266-2500"</f>
        <v>(574) 266-2500</v>
      </c>
      <c r="G516" s="3">
        <v>236</v>
      </c>
      <c r="H516" s="3" t="s">
        <v>291</v>
      </c>
    </row>
    <row r="517" spans="1:8" ht="39" x14ac:dyDescent="0.25">
      <c r="A517" s="3" t="s">
        <v>1771</v>
      </c>
      <c r="B517" s="3"/>
      <c r="C517" s="3" t="str">
        <f>"we do hauling, excavating, bridge building, concrete construction, boat dock construction and repair"</f>
        <v>we do hauling, excavating, bridge building, concrete construction, boat dock construction and repair</v>
      </c>
      <c r="D517" s="3" t="s">
        <v>9</v>
      </c>
      <c r="E517" s="3" t="s">
        <v>1772</v>
      </c>
      <c r="F517" s="3" t="str">
        <f>"8129346363"</f>
        <v>8129346363</v>
      </c>
      <c r="G517" s="3">
        <v>23</v>
      </c>
      <c r="H517" s="3" t="s">
        <v>133</v>
      </c>
    </row>
    <row r="518" spans="1:8" ht="64.5" x14ac:dyDescent="0.25">
      <c r="A518" s="3" t="s">
        <v>1773</v>
      </c>
      <c r="B518" s="3"/>
      <c r="C518" s="3" t="str">
        <f>"Dump truck hauling for construction/environmental projects. Construction/Demolition site haul away services. Backfill and material hauling. Aggregate hauling."</f>
        <v>Dump truck hauling for construction/environmental projects. Construction/Demolition site haul away services. Backfill and material hauling. Aggregate hauling.</v>
      </c>
      <c r="D518" s="3" t="s">
        <v>9</v>
      </c>
      <c r="E518" s="3" t="s">
        <v>1774</v>
      </c>
      <c r="F518" s="3" t="str">
        <f>"3175075178"</f>
        <v>3175075178</v>
      </c>
      <c r="G518" s="3">
        <v>484220</v>
      </c>
      <c r="H518" s="3" t="s">
        <v>11</v>
      </c>
    </row>
    <row r="519" spans="1:8" ht="64.5" x14ac:dyDescent="0.25">
      <c r="A519" s="3" t="s">
        <v>1775</v>
      </c>
      <c r="B519" s="3"/>
      <c r="C519" s="3" t="str">
        <f>"Retail, Distribution, and warehouse of industrial, medical, and specialty gases used for welding, cutting, medical, and labortories. Also cryogenic tempering of tooling (300 degrees below zero)."</f>
        <v>Retail, Distribution, and warehouse of industrial, medical, and specialty gases used for welding, cutting, medical, and labortories. Also cryogenic tempering of tooling (300 degrees below zero).</v>
      </c>
      <c r="D519" s="3" t="s">
        <v>1776</v>
      </c>
      <c r="E519" s="3" t="s">
        <v>1777</v>
      </c>
      <c r="F519" s="3" t="str">
        <f>"574-936-6231"</f>
        <v>574-936-6231</v>
      </c>
      <c r="G519" s="3">
        <v>45</v>
      </c>
      <c r="H519" s="3" t="s">
        <v>574</v>
      </c>
    </row>
    <row r="520" spans="1:8" ht="77.25" x14ac:dyDescent="0.25">
      <c r="A520" s="3" t="s">
        <v>1778</v>
      </c>
      <c r="B520" s="3"/>
      <c r="C520" s="3" t="str">
        <f>"All Amps Electric Inc. offers a wide variety of services. Over 17 years of experience with Residential and Commercial installation and trouble-shooting, as well as general construction and remodel expertise."</f>
        <v>All Amps Electric Inc. offers a wide variety of services. Over 17 years of experience with Residential and Commercial installation and trouble-shooting, as well as general construction and remodel expertise.</v>
      </c>
      <c r="D520" s="3" t="s">
        <v>1779</v>
      </c>
      <c r="E520" s="3" t="s">
        <v>1780</v>
      </c>
      <c r="F520" s="3" t="str">
        <f>"765-215-4963"</f>
        <v>765-215-4963</v>
      </c>
      <c r="G520" s="3">
        <v>238210</v>
      </c>
      <c r="H520" s="3" t="s">
        <v>306</v>
      </c>
    </row>
    <row r="521" spans="1:8" ht="26.25" x14ac:dyDescent="0.25">
      <c r="A521" s="3" t="s">
        <v>1781</v>
      </c>
      <c r="B521" s="3"/>
      <c r="C521" s="3" t="str">
        <f>"Pest and Termite inspection and treatments"</f>
        <v>Pest and Termite inspection and treatments</v>
      </c>
      <c r="D521" s="3" t="s">
        <v>1782</v>
      </c>
      <c r="E521" s="3" t="s">
        <v>1783</v>
      </c>
      <c r="F521" s="3" t="str">
        <f>"219-545-0548"</f>
        <v>219-545-0548</v>
      </c>
      <c r="G521" s="3">
        <v>54135</v>
      </c>
      <c r="H521" s="3" t="s">
        <v>1784</v>
      </c>
    </row>
    <row r="522" spans="1:8" ht="64.5" x14ac:dyDescent="0.25">
      <c r="A522" s="3" t="s">
        <v>1785</v>
      </c>
      <c r="B522" s="3"/>
      <c r="C522" s="3" t="str">
        <f>"I sell Maintenance and Commericial Supplies for both residential and commercial facilities as well as Medical Supplies,Safety Products and Food Service Products."</f>
        <v>I sell Maintenance and Commericial Supplies for both residential and commercial facilities as well as Medical Supplies,Safety Products and Food Service Products.</v>
      </c>
      <c r="D522" s="3" t="s">
        <v>1786</v>
      </c>
      <c r="E522" s="3" t="s">
        <v>1787</v>
      </c>
      <c r="F522" s="3" t="str">
        <f>"260-387-6766"</f>
        <v>260-387-6766</v>
      </c>
      <c r="G522" s="3">
        <v>42</v>
      </c>
      <c r="H522" s="3" t="s">
        <v>674</v>
      </c>
    </row>
    <row r="523" spans="1:8" ht="141" x14ac:dyDescent="0.25">
      <c r="A523" s="3" t="s">
        <v>1788</v>
      </c>
      <c r="B523" s="3"/>
      <c r="C523" s="3" t="s">
        <v>1789</v>
      </c>
      <c r="D523" s="3" t="s">
        <v>9</v>
      </c>
      <c r="E523" s="3" t="s">
        <v>1790</v>
      </c>
      <c r="F523" s="3" t="str">
        <f>"2606020048"</f>
        <v>2606020048</v>
      </c>
      <c r="G523" s="3">
        <v>11</v>
      </c>
      <c r="H523" s="3" t="s">
        <v>175</v>
      </c>
    </row>
    <row r="524" spans="1:8" ht="26.25" x14ac:dyDescent="0.25">
      <c r="A524" s="3" t="s">
        <v>1791</v>
      </c>
      <c r="B524" s="3"/>
      <c r="C524" s="2"/>
      <c r="D524" s="3" t="s">
        <v>9</v>
      </c>
      <c r="E524" s="3" t="s">
        <v>1792</v>
      </c>
      <c r="F524" s="3" t="str">
        <f>"7655298098"</f>
        <v>7655298098</v>
      </c>
      <c r="G524" s="3">
        <v>444190</v>
      </c>
      <c r="H524" s="3" t="s">
        <v>1188</v>
      </c>
    </row>
    <row r="525" spans="1:8" ht="26.25" x14ac:dyDescent="0.25">
      <c r="A525" s="3" t="s">
        <v>1793</v>
      </c>
      <c r="B525" s="3"/>
      <c r="C525" s="3" t="str">
        <f>"Provides jantorial services, recycle, etc."</f>
        <v>Provides jantorial services, recycle, etc.</v>
      </c>
      <c r="D525" s="3" t="s">
        <v>9</v>
      </c>
      <c r="E525" s="3" t="s">
        <v>1794</v>
      </c>
      <c r="F525" s="3" t="str">
        <f>"219-795-1587"</f>
        <v>219-795-1587</v>
      </c>
      <c r="G525" s="3">
        <v>56172</v>
      </c>
      <c r="H525" s="3" t="s">
        <v>222</v>
      </c>
    </row>
    <row r="526" spans="1:8" ht="26.25" x14ac:dyDescent="0.25">
      <c r="A526" s="3" t="s">
        <v>1793</v>
      </c>
      <c r="B526" s="3"/>
      <c r="C526" s="3" t="str">
        <f>"Provide jantorial services, recycle,etc"</f>
        <v>Provide jantorial services, recycle,etc</v>
      </c>
      <c r="D526" s="3" t="s">
        <v>9</v>
      </c>
      <c r="E526" s="3" t="s">
        <v>1795</v>
      </c>
      <c r="F526" s="3" t="str">
        <f>"219-795-1587"</f>
        <v>219-795-1587</v>
      </c>
      <c r="G526" s="3">
        <v>56172</v>
      </c>
      <c r="H526" s="3" t="s">
        <v>222</v>
      </c>
    </row>
    <row r="527" spans="1:8" ht="153.75" x14ac:dyDescent="0.25">
      <c r="A527" s="3" t="s">
        <v>1796</v>
      </c>
      <c r="B527" s="3"/>
      <c r="C527" s="3" t="s">
        <v>1797</v>
      </c>
      <c r="D527" s="3" t="s">
        <v>1798</v>
      </c>
      <c r="E527" s="3" t="s">
        <v>1799</v>
      </c>
      <c r="F527" s="3" t="str">
        <f>"317-578-7225"</f>
        <v>317-578-7225</v>
      </c>
      <c r="G527" s="3">
        <v>541890</v>
      </c>
      <c r="H527" s="3" t="s">
        <v>401</v>
      </c>
    </row>
    <row r="528" spans="1:8" ht="39" x14ac:dyDescent="0.25">
      <c r="A528" s="3" t="s">
        <v>1800</v>
      </c>
      <c r="B528" s="3"/>
      <c r="C528" s="3" t="str">
        <f>"All Painting, LLC Commercial/Residential Painting Contractor Certified WBE 502-552-2284 502-523-2221"</f>
        <v>All Painting, LLC Commercial/Residential Painting Contractor Certified WBE 502-552-2284 502-523-2221</v>
      </c>
      <c r="D528" s="3" t="s">
        <v>1801</v>
      </c>
      <c r="E528" s="3" t="s">
        <v>1802</v>
      </c>
      <c r="F528" s="3" t="str">
        <f>"502-552-2284"</f>
        <v>502-552-2284</v>
      </c>
      <c r="G528" s="3">
        <v>2352</v>
      </c>
      <c r="H528" s="3" t="s">
        <v>462</v>
      </c>
    </row>
    <row r="529" spans="1:8" ht="64.5" x14ac:dyDescent="0.25">
      <c r="A529" s="3" t="s">
        <v>1803</v>
      </c>
      <c r="B529" s="3"/>
      <c r="C529" s="3" t="str">
        <f>"All Phaze Services delivers quality and dependable services by providing commercial and residential cleaning, as well as general construction and maintenance."</f>
        <v>All Phaze Services delivers quality and dependable services by providing commercial and residential cleaning, as well as general construction and maintenance.</v>
      </c>
      <c r="D529" s="3" t="s">
        <v>9</v>
      </c>
      <c r="E529" s="3" t="s">
        <v>1804</v>
      </c>
      <c r="F529" s="3" t="str">
        <f>"3176020174"</f>
        <v>3176020174</v>
      </c>
      <c r="G529" s="3">
        <v>233</v>
      </c>
      <c r="H529" s="3" t="s">
        <v>131</v>
      </c>
    </row>
    <row r="530" spans="1:8" ht="166.5" x14ac:dyDescent="0.25">
      <c r="A530" s="3" t="s">
        <v>1805</v>
      </c>
      <c r="B530" s="3"/>
      <c r="C530" s="3" t="s">
        <v>1806</v>
      </c>
      <c r="D530" s="3" t="s">
        <v>1807</v>
      </c>
      <c r="E530" s="3" t="s">
        <v>1808</v>
      </c>
      <c r="F530" s="3" t="str">
        <f>"317-257-4516"</f>
        <v>317-257-4516</v>
      </c>
      <c r="G530" s="3">
        <v>11</v>
      </c>
      <c r="H530" s="3" t="s">
        <v>175</v>
      </c>
    </row>
    <row r="531" spans="1:8" ht="204.75" x14ac:dyDescent="0.25">
      <c r="A531" s="3" t="s">
        <v>1809</v>
      </c>
      <c r="B531" s="3"/>
      <c r="C531" s="3" t="s">
        <v>1810</v>
      </c>
      <c r="D531" s="3" t="s">
        <v>1811</v>
      </c>
      <c r="E531" s="3" t="s">
        <v>1812</v>
      </c>
      <c r="F531" s="3" t="str">
        <f>"574-855-1905"</f>
        <v>574-855-1905</v>
      </c>
      <c r="G531" s="3">
        <v>3314</v>
      </c>
      <c r="H531" s="3" t="s">
        <v>1813</v>
      </c>
    </row>
    <row r="532" spans="1:8" ht="77.25" x14ac:dyDescent="0.25">
      <c r="A532" s="3" t="s">
        <v>1814</v>
      </c>
      <c r="B532" s="3"/>
      <c r="C532" s="3" t="str">
        <f>"security systems--burglary, fire, carbon monoxide, monitored and unmonitored security; CCTV (surveillance), access control, emergency medical response systems, monitored and unmonitored security systems, an authroized ADT dealer"</f>
        <v>security systems--burglary, fire, carbon monoxide, monitored and unmonitored security; CCTV (surveillance), access control, emergency medical response systems, monitored and unmonitored security systems, an authroized ADT dealer</v>
      </c>
      <c r="D532" s="3" t="s">
        <v>9</v>
      </c>
      <c r="E532" s="3" t="s">
        <v>1815</v>
      </c>
      <c r="F532" s="3" t="str">
        <f>"812-637-9000"</f>
        <v>812-637-9000</v>
      </c>
      <c r="G532" s="3">
        <v>561621</v>
      </c>
      <c r="H532" s="3" t="s">
        <v>827</v>
      </c>
    </row>
    <row r="533" spans="1:8" ht="115.5" x14ac:dyDescent="0.25">
      <c r="A533" s="3" t="s">
        <v>1816</v>
      </c>
      <c r="B533" s="3"/>
      <c r="C533" s="3" t="s">
        <v>1817</v>
      </c>
      <c r="D533" s="3" t="s">
        <v>9</v>
      </c>
      <c r="E533" s="3" t="s">
        <v>46</v>
      </c>
      <c r="F533" s="2"/>
      <c r="G533" s="3">
        <v>562111</v>
      </c>
      <c r="H533" s="3" t="s">
        <v>1818</v>
      </c>
    </row>
    <row r="534" spans="1:8" ht="102.75" x14ac:dyDescent="0.25">
      <c r="A534" s="3" t="s">
        <v>1819</v>
      </c>
      <c r="B534" s="3"/>
      <c r="C534" s="3" t="s">
        <v>1820</v>
      </c>
      <c r="D534" s="3" t="s">
        <v>9</v>
      </c>
      <c r="E534" s="3" t="s">
        <v>1821</v>
      </c>
      <c r="F534" s="3" t="str">
        <f>"317-353-3445"</f>
        <v>317-353-3445</v>
      </c>
      <c r="G534" s="3">
        <v>236115</v>
      </c>
      <c r="H534" s="3" t="s">
        <v>1822</v>
      </c>
    </row>
    <row r="535" spans="1:8" ht="51.75" x14ac:dyDescent="0.25">
      <c r="A535" s="3" t="s">
        <v>1823</v>
      </c>
      <c r="B535" s="3"/>
      <c r="C535" s="3" t="str">
        <f>"Custom graphic designs engraved on glass, crystal and marble gifts and awards, including corporate style awards and give-aways such as glass mugs."</f>
        <v>Custom graphic designs engraved on glass, crystal and marble gifts and awards, including corporate style awards and give-aways such as glass mugs.</v>
      </c>
      <c r="D535" s="3" t="s">
        <v>9</v>
      </c>
      <c r="E535" s="3" t="s">
        <v>1824</v>
      </c>
      <c r="F535" s="2"/>
      <c r="G535" s="3">
        <v>11</v>
      </c>
      <c r="H535" s="3" t="s">
        <v>175</v>
      </c>
    </row>
    <row r="536" spans="1:8" ht="39" x14ac:dyDescent="0.25">
      <c r="A536" s="3" t="s">
        <v>1825</v>
      </c>
      <c r="B536" s="3"/>
      <c r="C536" s="3" t="str">
        <f>"Custom web and software development. Internet Marketing and Business Solutions Consultations."</f>
        <v>Custom web and software development. Internet Marketing and Business Solutions Consultations.</v>
      </c>
      <c r="D536" s="3" t="s">
        <v>1826</v>
      </c>
      <c r="E536" s="3" t="s">
        <v>1827</v>
      </c>
      <c r="F536" s="3" t="str">
        <f>"8778850597"</f>
        <v>8778850597</v>
      </c>
      <c r="G536" s="3">
        <v>541511</v>
      </c>
      <c r="H536" s="3" t="s">
        <v>122</v>
      </c>
    </row>
    <row r="537" spans="1:8" ht="26.25" x14ac:dyDescent="0.25">
      <c r="A537" s="3" t="s">
        <v>1828</v>
      </c>
      <c r="B537" s="3"/>
      <c r="C537" s="3" t="str">
        <f>"Masonry supply and installation."</f>
        <v>Masonry supply and installation.</v>
      </c>
      <c r="D537" s="3" t="s">
        <v>9</v>
      </c>
      <c r="E537" s="3" t="s">
        <v>1829</v>
      </c>
      <c r="F537" s="3" t="str">
        <f>"317-272-0388"</f>
        <v>317-272-0388</v>
      </c>
      <c r="G537" s="3">
        <v>238140</v>
      </c>
      <c r="H537" s="3" t="s">
        <v>1830</v>
      </c>
    </row>
    <row r="538" spans="1:8" ht="39" x14ac:dyDescent="0.25">
      <c r="A538" s="3" t="s">
        <v>1831</v>
      </c>
      <c r="B538" s="3"/>
      <c r="C538" s="3" t="str">
        <f>"All West is an African American owned Landscape/Design and Underground Sprinkler Installation Company."</f>
        <v>All West is an African American owned Landscape/Design and Underground Sprinkler Installation Company.</v>
      </c>
      <c r="D538" s="3" t="s">
        <v>9</v>
      </c>
      <c r="E538" s="3" t="s">
        <v>1832</v>
      </c>
      <c r="F538" s="3" t="str">
        <f>"574-217-7620"</f>
        <v>574-217-7620</v>
      </c>
      <c r="G538" s="3">
        <v>221310</v>
      </c>
      <c r="H538" s="3" t="s">
        <v>1833</v>
      </c>
    </row>
    <row r="539" spans="1:8" ht="39" x14ac:dyDescent="0.25">
      <c r="A539" s="3" t="s">
        <v>1834</v>
      </c>
      <c r="B539" s="3"/>
      <c r="C539" s="3" t="str">
        <f>"All West Inc is a Irrigation Contractor, can work as a Building Contractor, can work as a Landscape Contractor."</f>
        <v>All West Inc is a Irrigation Contractor, can work as a Building Contractor, can work as a Landscape Contractor.</v>
      </c>
      <c r="D539" s="3" t="s">
        <v>9</v>
      </c>
      <c r="E539" s="3" t="s">
        <v>1835</v>
      </c>
      <c r="F539" s="3" t="str">
        <f>"5743260833"</f>
        <v>5743260833</v>
      </c>
      <c r="G539" s="3">
        <v>221310</v>
      </c>
      <c r="H539" s="3" t="s">
        <v>1833</v>
      </c>
    </row>
    <row r="540" spans="1:8" ht="64.5" x14ac:dyDescent="0.25">
      <c r="A540" s="3" t="s">
        <v>1836</v>
      </c>
      <c r="B540" s="3"/>
      <c r="C540" s="3" t="str">
        <f>"We are a locally owned and operated floor care company. We specialize in construction cleaning and have been associated with the medical field for more than 30 years."</f>
        <v>We are a locally owned and operated floor care company. We specialize in construction cleaning and have been associated with the medical field for more than 30 years.</v>
      </c>
      <c r="D540" s="3" t="s">
        <v>1837</v>
      </c>
      <c r="E540" s="3" t="s">
        <v>1838</v>
      </c>
      <c r="F540" s="3" t="str">
        <f>"1-800-792-5510"</f>
        <v>1-800-792-5510</v>
      </c>
      <c r="G540" s="3">
        <v>2355</v>
      </c>
      <c r="H540" s="3" t="s">
        <v>1839</v>
      </c>
    </row>
    <row r="541" spans="1:8" ht="77.25" x14ac:dyDescent="0.25">
      <c r="A541" s="3" t="s">
        <v>1840</v>
      </c>
      <c r="B541" s="3"/>
      <c r="C541" s="3" t="str">
        <f>"We have a store that sells retail first aid &amp; safety items to the public. We also have a van service that visits local facilities and fills first aid cabinets and stock safety supplies. We also mail order safety supplies and first aid kit supply."</f>
        <v>We have a store that sells retail first aid &amp; safety items to the public. We also have a van service that visits local facilities and fills first aid cabinets and stock safety supplies. We also mail order safety supplies and first aid kit supply.</v>
      </c>
      <c r="D541" s="3" t="s">
        <v>9</v>
      </c>
      <c r="E541" s="3" t="s">
        <v>46</v>
      </c>
      <c r="F541" s="3" t="str">
        <f>"812-752-7952"</f>
        <v>812-752-7952</v>
      </c>
      <c r="G541" s="3">
        <v>45</v>
      </c>
      <c r="H541" s="3" t="s">
        <v>574</v>
      </c>
    </row>
    <row r="542" spans="1:8" ht="77.25" x14ac:dyDescent="0.25">
      <c r="A542" s="3" t="s">
        <v>1841</v>
      </c>
      <c r="B542" s="3"/>
      <c r="C542" s="3" t="str">
        <f>"Installation and service of voice, data and fiber optic cabling. We install low voltage cabling and computer network equipment, paging systems, surveillance Camera's and phone systems along with a variety of other cables."</f>
        <v>Installation and service of voice, data and fiber optic cabling. We install low voltage cabling and computer network equipment, paging systems, surveillance Camera's and phone systems along with a variety of other cables.</v>
      </c>
      <c r="D542" s="3" t="s">
        <v>1842</v>
      </c>
      <c r="E542" s="3" t="s">
        <v>1843</v>
      </c>
      <c r="F542" s="3" t="str">
        <f>"317 457-8796"</f>
        <v>317 457-8796</v>
      </c>
      <c r="G542" s="3">
        <v>238</v>
      </c>
      <c r="H542" s="3" t="s">
        <v>397</v>
      </c>
    </row>
    <row r="543" spans="1:8" ht="204.75" x14ac:dyDescent="0.25">
      <c r="A543" s="3" t="s">
        <v>1844</v>
      </c>
      <c r="B543" s="3"/>
      <c r="C543" s="3" t="s">
        <v>1845</v>
      </c>
      <c r="D543" s="3" t="s">
        <v>1846</v>
      </c>
      <c r="E543" s="3" t="s">
        <v>1847</v>
      </c>
      <c r="F543" s="3" t="str">
        <f>"(317)489-7827"</f>
        <v>(317)489-7827</v>
      </c>
      <c r="G543" s="3">
        <v>334418</v>
      </c>
      <c r="H543" s="3" t="s">
        <v>1848</v>
      </c>
    </row>
    <row r="544" spans="1:8" ht="26.25" x14ac:dyDescent="0.25">
      <c r="A544" s="3" t="s">
        <v>1849</v>
      </c>
      <c r="B544" s="3"/>
      <c r="C544" s="3" t="str">
        <f>" "</f>
        <v xml:space="preserve"> </v>
      </c>
      <c r="D544" s="3" t="s">
        <v>1850</v>
      </c>
      <c r="E544" s="3" t="s">
        <v>1851</v>
      </c>
      <c r="F544" s="3" t="str">
        <f>"260-665-6160"</f>
        <v>260-665-6160</v>
      </c>
      <c r="G544" s="3">
        <v>541330</v>
      </c>
      <c r="H544" s="3" t="s">
        <v>82</v>
      </c>
    </row>
    <row r="545" spans="1:8" ht="319.5" x14ac:dyDescent="0.25">
      <c r="A545" s="3" t="s">
        <v>1852</v>
      </c>
      <c r="B545" s="3"/>
      <c r="C545" s="3" t="s">
        <v>1853</v>
      </c>
      <c r="D545" s="3" t="s">
        <v>1854</v>
      </c>
      <c r="E545" s="3" t="s">
        <v>1855</v>
      </c>
      <c r="F545" s="3" t="str">
        <f>"317-564-5700"</f>
        <v>317-564-5700</v>
      </c>
      <c r="G545" s="3">
        <v>5415</v>
      </c>
      <c r="H545" s="3" t="s">
        <v>188</v>
      </c>
    </row>
    <row r="546" spans="1:8" ht="141" x14ac:dyDescent="0.25">
      <c r="A546" s="3" t="s">
        <v>1856</v>
      </c>
      <c r="B546" s="3"/>
      <c r="C546" s="3" t="s">
        <v>1857</v>
      </c>
      <c r="D546" s="3" t="s">
        <v>1858</v>
      </c>
      <c r="E546" s="3" t="s">
        <v>1859</v>
      </c>
      <c r="F546" s="3" t="str">
        <f>"260-489-5665"</f>
        <v>260-489-5665</v>
      </c>
      <c r="G546" s="3">
        <v>236220</v>
      </c>
      <c r="H546" s="3" t="s">
        <v>598</v>
      </c>
    </row>
    <row r="547" spans="1:8" ht="51.75" x14ac:dyDescent="0.25">
      <c r="A547" s="3" t="s">
        <v>1860</v>
      </c>
      <c r="B547" s="3"/>
      <c r="C547" s="3" t="str">
        <f>"Home medical equipment sales and service. Provide oxygen, durable medical equipment, and supplies to in home patients and nursing homes."</f>
        <v>Home medical equipment sales and service. Provide oxygen, durable medical equipment, and supplies to in home patients and nursing homes.</v>
      </c>
      <c r="D547" s="3" t="s">
        <v>9</v>
      </c>
      <c r="E547" s="3" t="s">
        <v>46</v>
      </c>
      <c r="F547" s="2"/>
      <c r="G547" s="3">
        <v>532291</v>
      </c>
      <c r="H547" s="3" t="s">
        <v>1861</v>
      </c>
    </row>
    <row r="548" spans="1:8" ht="26.25" x14ac:dyDescent="0.25">
      <c r="A548" s="3" t="s">
        <v>1862</v>
      </c>
      <c r="B548" s="3"/>
      <c r="C548" s="3" t="str">
        <f>"Distribute Surveying and Construction Equipment to those industries"</f>
        <v>Distribute Surveying and Construction Equipment to those industries</v>
      </c>
      <c r="D548" s="3" t="s">
        <v>790</v>
      </c>
      <c r="E548" s="3" t="s">
        <v>791</v>
      </c>
      <c r="F548" s="3" t="str">
        <f>"317-356-9800"</f>
        <v>317-356-9800</v>
      </c>
      <c r="G548" s="3">
        <v>423390</v>
      </c>
      <c r="H548" s="3" t="s">
        <v>1863</v>
      </c>
    </row>
    <row r="549" spans="1:8" ht="26.25" x14ac:dyDescent="0.25">
      <c r="A549" s="3" t="s">
        <v>1864</v>
      </c>
      <c r="B549" s="3"/>
      <c r="C549" s="3" t="str">
        <f>"Snow removal, lawncare, landscape and chemical control Fertilizer company"</f>
        <v>Snow removal, lawncare, landscape and chemical control Fertilizer company</v>
      </c>
      <c r="D549" s="3" t="s">
        <v>9</v>
      </c>
      <c r="E549" s="3" t="s">
        <v>46</v>
      </c>
      <c r="F549" s="3" t="str">
        <f>"219-763-1532"</f>
        <v>219-763-1532</v>
      </c>
      <c r="G549" s="3">
        <v>561730</v>
      </c>
      <c r="H549" s="3" t="s">
        <v>65</v>
      </c>
    </row>
    <row r="550" spans="1:8" ht="39" x14ac:dyDescent="0.25">
      <c r="A550" s="3" t="s">
        <v>1865</v>
      </c>
      <c r="B550" s="3"/>
      <c r="C550" s="3" t="str">
        <f>"Material and Labor for division 10 specialty items. Our main business is toilet partitions and restroom accessories."</f>
        <v>Material and Labor for division 10 specialty items. Our main business is toilet partitions and restroom accessories.</v>
      </c>
      <c r="D550" s="3" t="s">
        <v>9</v>
      </c>
      <c r="E550" s="3" t="s">
        <v>1866</v>
      </c>
      <c r="F550" s="3" t="str">
        <f>"(317) 577-0767"</f>
        <v>(317) 577-0767</v>
      </c>
      <c r="G550" s="3">
        <v>23599</v>
      </c>
      <c r="H550" s="3" t="s">
        <v>248</v>
      </c>
    </row>
    <row r="551" spans="1:8" ht="319.5" x14ac:dyDescent="0.25">
      <c r="A551" s="3" t="s">
        <v>1867</v>
      </c>
      <c r="B551" s="3"/>
      <c r="C551" s="3" t="s">
        <v>1868</v>
      </c>
      <c r="D551" s="3" t="s">
        <v>1869</v>
      </c>
      <c r="E551" s="3" t="s">
        <v>1870</v>
      </c>
      <c r="F551" s="3" t="str">
        <f>"(317) 865-3400"</f>
        <v>(317) 865-3400</v>
      </c>
      <c r="G551" s="3">
        <v>541620</v>
      </c>
      <c r="H551" s="3" t="s">
        <v>216</v>
      </c>
    </row>
    <row r="552" spans="1:8" ht="332.25" x14ac:dyDescent="0.25">
      <c r="A552" s="3" t="s">
        <v>1871</v>
      </c>
      <c r="B552" s="3"/>
      <c r="C552" s="3" t="s">
        <v>1872</v>
      </c>
      <c r="D552" s="3" t="s">
        <v>1873</v>
      </c>
      <c r="E552" s="3" t="s">
        <v>46</v>
      </c>
      <c r="F552" s="3" t="str">
        <f>"219-736-3855"</f>
        <v>219-736-3855</v>
      </c>
      <c r="G552" s="3">
        <v>561320</v>
      </c>
      <c r="H552" s="3" t="s">
        <v>15</v>
      </c>
    </row>
    <row r="553" spans="1:8" ht="26.25" x14ac:dyDescent="0.25">
      <c r="A553" s="3" t="s">
        <v>1874</v>
      </c>
      <c r="B553" s="3"/>
      <c r="C553" s="3" t="str">
        <f>"temporary medical staffing"</f>
        <v>temporary medical staffing</v>
      </c>
      <c r="D553" s="3" t="s">
        <v>9</v>
      </c>
      <c r="E553" s="3" t="s">
        <v>1875</v>
      </c>
      <c r="F553" s="3" t="str">
        <f>"317-581-1100"</f>
        <v>317-581-1100</v>
      </c>
      <c r="G553" s="3">
        <v>6231</v>
      </c>
      <c r="H553" s="3" t="s">
        <v>1876</v>
      </c>
    </row>
    <row r="554" spans="1:8" ht="39" x14ac:dyDescent="0.25">
      <c r="A554" s="3" t="s">
        <v>1877</v>
      </c>
      <c r="B554" s="3"/>
      <c r="C554" s="3" t="str">
        <f>"Specialize in custom web-based applications, mobile/tablet applications and any secure or e-commerce applications."</f>
        <v>Specialize in custom web-based applications, mobile/tablet applications and any secure or e-commerce applications.</v>
      </c>
      <c r="D554" s="3" t="s">
        <v>1878</v>
      </c>
      <c r="E554" s="3" t="s">
        <v>46</v>
      </c>
      <c r="F554" s="2"/>
      <c r="G554" s="3">
        <v>541511</v>
      </c>
      <c r="H554" s="3" t="s">
        <v>122</v>
      </c>
    </row>
    <row r="555" spans="1:8" ht="51.75" x14ac:dyDescent="0.25">
      <c r="A555" s="3" t="s">
        <v>1879</v>
      </c>
      <c r="B555" s="3"/>
      <c r="C555" s="3" t="str">
        <f>"Provide employment and training services for employed, unemployed and underemployed in WorkOne offices in Eastern Indiana"</f>
        <v>Provide employment and training services for employed, unemployed and underemployed in WorkOne offices in Eastern Indiana</v>
      </c>
      <c r="D555" s="3" t="s">
        <v>1880</v>
      </c>
      <c r="E555" s="3" t="s">
        <v>1881</v>
      </c>
      <c r="F555" s="3" t="str">
        <f>"765-282-6400"</f>
        <v>765-282-6400</v>
      </c>
      <c r="G555" s="3">
        <v>5613</v>
      </c>
      <c r="H555" s="3" t="s">
        <v>1882</v>
      </c>
    </row>
    <row r="556" spans="1:8" ht="26.25" x14ac:dyDescent="0.25">
      <c r="A556" s="3" t="s">
        <v>1883</v>
      </c>
      <c r="B556" s="3"/>
      <c r="C556" s="3" t="str">
        <f>"dump trucking"</f>
        <v>dump trucking</v>
      </c>
      <c r="D556" s="3" t="s">
        <v>9</v>
      </c>
      <c r="E556" s="3" t="s">
        <v>46</v>
      </c>
      <c r="F556" s="3" t="str">
        <f>"765-935-2199"</f>
        <v>765-935-2199</v>
      </c>
      <c r="G556" s="3">
        <v>4842</v>
      </c>
      <c r="H556" s="3" t="s">
        <v>1884</v>
      </c>
    </row>
    <row r="557" spans="1:8" ht="26.25" x14ac:dyDescent="0.25">
      <c r="A557" s="3" t="s">
        <v>1885</v>
      </c>
      <c r="B557" s="3"/>
      <c r="C557" s="3" t="str">
        <f>"Home Healthcare Agency. Medicare and Mediciad certified."</f>
        <v>Home Healthcare Agency. Medicare and Mediciad certified.</v>
      </c>
      <c r="D557" s="3" t="s">
        <v>9</v>
      </c>
      <c r="E557" s="3" t="s">
        <v>46</v>
      </c>
      <c r="F557" s="3" t="str">
        <f>"317-328-0665"</f>
        <v>317-328-0665</v>
      </c>
      <c r="G557" s="3">
        <v>621610</v>
      </c>
      <c r="H557" s="3" t="s">
        <v>328</v>
      </c>
    </row>
    <row r="558" spans="1:8" ht="39" x14ac:dyDescent="0.25">
      <c r="A558" s="3" t="s">
        <v>1886</v>
      </c>
      <c r="B558" s="3"/>
      <c r="C558" s="3" t="str">
        <f>"Foreclosure cleanup, secure, and board up services, Commerical and Residential inside and outside services, lic plummer."</f>
        <v>Foreclosure cleanup, secure, and board up services, Commerical and Residential inside and outside services, lic plummer.</v>
      </c>
      <c r="D558" s="3" t="s">
        <v>9</v>
      </c>
      <c r="E558" s="3" t="s">
        <v>1887</v>
      </c>
      <c r="F558" s="3" t="str">
        <f>"317--435-4895"</f>
        <v>317--435-4895</v>
      </c>
      <c r="G558" s="3">
        <v>23599</v>
      </c>
      <c r="H558" s="3" t="s">
        <v>248</v>
      </c>
    </row>
    <row r="559" spans="1:8" ht="26.25" x14ac:dyDescent="0.25">
      <c r="A559" s="3" t="s">
        <v>1888</v>
      </c>
      <c r="B559" s="3"/>
      <c r="C559" s="3" t="str">
        <f>"sale, lease, rent and service sharp copier and fax machines"</f>
        <v>sale, lease, rent and service sharp copier and fax machines</v>
      </c>
      <c r="D559" s="3" t="s">
        <v>1889</v>
      </c>
      <c r="E559" s="3" t="s">
        <v>46</v>
      </c>
      <c r="F559" s="3" t="str">
        <f>"812-232-9755"</f>
        <v>812-232-9755</v>
      </c>
      <c r="G559" s="3">
        <v>44312</v>
      </c>
      <c r="H559" s="3" t="s">
        <v>609</v>
      </c>
    </row>
    <row r="560" spans="1:8" ht="51.75" x14ac:dyDescent="0.25">
      <c r="A560" s="3" t="s">
        <v>1890</v>
      </c>
      <c r="B560" s="3"/>
      <c r="C560" s="3" t="str">
        <f>"sales, service, installation of gasoline station equipment, underground and above ground storage tanks, lubrication equipment, tank installation and removals"</f>
        <v>sales, service, installation of gasoline station equipment, underground and above ground storage tanks, lubrication equipment, tank installation and removals</v>
      </c>
      <c r="D560" s="3" t="s">
        <v>1891</v>
      </c>
      <c r="E560" s="3" t="s">
        <v>1892</v>
      </c>
      <c r="F560" s="3" t="str">
        <f>"317-634-8810"</f>
        <v>317-634-8810</v>
      </c>
      <c r="G560" s="3">
        <v>23599</v>
      </c>
      <c r="H560" s="3" t="s">
        <v>248</v>
      </c>
    </row>
    <row r="561" spans="1:8" ht="39" x14ac:dyDescent="0.25">
      <c r="A561" s="3" t="s">
        <v>1893</v>
      </c>
      <c r="B561" s="3"/>
      <c r="C561" s="3" t="str">
        <f>"Fire suppression systems, Portable fire extinguishers, safety products sales, installation and service."</f>
        <v>Fire suppression systems, Portable fire extinguishers, safety products sales, installation and service.</v>
      </c>
      <c r="D561" s="3" t="s">
        <v>9</v>
      </c>
      <c r="E561" s="3" t="s">
        <v>1894</v>
      </c>
      <c r="F561" s="3" t="str">
        <f>"3172713787"</f>
        <v>3172713787</v>
      </c>
      <c r="G561" s="3">
        <v>81131</v>
      </c>
      <c r="H561" s="3" t="s">
        <v>1895</v>
      </c>
    </row>
    <row r="562" spans="1:8" ht="115.5" x14ac:dyDescent="0.25">
      <c r="A562" s="3" t="s">
        <v>1896</v>
      </c>
      <c r="B562" s="3"/>
      <c r="C562" s="3" t="s">
        <v>1897</v>
      </c>
      <c r="D562" s="3" t="s">
        <v>1898</v>
      </c>
      <c r="E562" s="3" t="s">
        <v>1899</v>
      </c>
      <c r="F562" s="3" t="str">
        <f>"8007552440"</f>
        <v>8007552440</v>
      </c>
      <c r="G562" s="3">
        <v>323110</v>
      </c>
      <c r="H562" s="3" t="s">
        <v>1900</v>
      </c>
    </row>
    <row r="563" spans="1:8" ht="51.75" x14ac:dyDescent="0.25">
      <c r="A563" s="3" t="s">
        <v>1901</v>
      </c>
      <c r="B563" s="3"/>
      <c r="C563" s="3" t="str">
        <f>"Allman Johnson Company, an Indianapolis based Professional Corporation of Certified Public Accountants. Providing tax planning as well other accounting services."</f>
        <v>Allman Johnson Company, an Indianapolis based Professional Corporation of Certified Public Accountants. Providing tax planning as well other accounting services.</v>
      </c>
      <c r="D563" s="3" t="s">
        <v>1902</v>
      </c>
      <c r="E563" s="3" t="s">
        <v>1903</v>
      </c>
      <c r="F563" s="3" t="str">
        <f>"317-843-1040"</f>
        <v>317-843-1040</v>
      </c>
      <c r="G563" s="3">
        <v>541211</v>
      </c>
      <c r="H563" s="3" t="s">
        <v>337</v>
      </c>
    </row>
    <row r="564" spans="1:8" ht="77.25" x14ac:dyDescent="0.25">
      <c r="A564" s="3" t="s">
        <v>1904</v>
      </c>
      <c r="B564" s="3"/>
      <c r="C564" s="3" t="str">
        <f>"Manufacter of aluminum products and licensed to apply a kynar baked on finish with a warranty of up to 10 years not fade, chip or peel: Gutter, Downspouts, Fascia, Coping, anything with aluminum and some steel."</f>
        <v>Manufacter of aluminum products and licensed to apply a kynar baked on finish with a warranty of up to 10 years not fade, chip or peel: Gutter, Downspouts, Fascia, Coping, anything with aluminum and some steel.</v>
      </c>
      <c r="D564" s="3" t="s">
        <v>9</v>
      </c>
      <c r="E564" s="3" t="s">
        <v>1905</v>
      </c>
      <c r="F564" s="3" t="str">
        <f>"317-547-9601"</f>
        <v>317-547-9601</v>
      </c>
      <c r="G564" s="3">
        <v>813910</v>
      </c>
      <c r="H564" s="3" t="s">
        <v>1906</v>
      </c>
    </row>
    <row r="565" spans="1:8" ht="64.5" x14ac:dyDescent="0.25">
      <c r="A565" s="3" t="s">
        <v>1907</v>
      </c>
      <c r="B565" s="3"/>
      <c r="C565" s="3" t="str">
        <f>"Contract Security Officers, Armed and Unarmed, serving northern two thirds of Indiana, with branches in Muncie, Elkhart, Indianapolis, and corporate in Fort Wayne, Indiana. No job to small or to large."</f>
        <v>Contract Security Officers, Armed and Unarmed, serving northern two thirds of Indiana, with branches in Muncie, Elkhart, Indianapolis, and corporate in Fort Wayne, Indiana. No job to small or to large.</v>
      </c>
      <c r="D565" s="3" t="s">
        <v>1908</v>
      </c>
      <c r="E565" s="3" t="s">
        <v>1909</v>
      </c>
      <c r="F565" s="3" t="str">
        <f>"2607477700"</f>
        <v>2607477700</v>
      </c>
      <c r="G565" s="3">
        <v>561612</v>
      </c>
      <c r="H565" s="3" t="s">
        <v>362</v>
      </c>
    </row>
    <row r="566" spans="1:8" ht="115.5" x14ac:dyDescent="0.25">
      <c r="A566" s="3" t="s">
        <v>1910</v>
      </c>
      <c r="B566" s="3"/>
      <c r="C566" s="3" t="s">
        <v>1911</v>
      </c>
      <c r="D566" s="3" t="s">
        <v>9</v>
      </c>
      <c r="E566" s="3" t="s">
        <v>1912</v>
      </c>
      <c r="F566" s="3" t="str">
        <f>"260-755-9494"</f>
        <v>260-755-9494</v>
      </c>
      <c r="G566" s="3">
        <v>611430</v>
      </c>
      <c r="H566" s="3" t="s">
        <v>1224</v>
      </c>
    </row>
    <row r="567" spans="1:8" ht="268.5" x14ac:dyDescent="0.25">
      <c r="A567" s="3" t="s">
        <v>1913</v>
      </c>
      <c r="B567" s="3"/>
      <c r="C567" s="3" t="s">
        <v>1914</v>
      </c>
      <c r="D567" s="3" t="s">
        <v>1915</v>
      </c>
      <c r="E567" s="3" t="s">
        <v>1916</v>
      </c>
      <c r="F567" s="3" t="str">
        <f>"(317) 509-0215"</f>
        <v>(317) 509-0215</v>
      </c>
      <c r="G567" s="3">
        <v>541310</v>
      </c>
      <c r="H567" s="3" t="s">
        <v>446</v>
      </c>
    </row>
    <row r="568" spans="1:8" ht="26.25" x14ac:dyDescent="0.25">
      <c r="A568" s="3" t="s">
        <v>1917</v>
      </c>
      <c r="B568" s="3"/>
      <c r="C568" s="3" t="str">
        <f>"All things Plumbing, Service, Commerical and residencial"</f>
        <v>All things Plumbing, Service, Commerical and residencial</v>
      </c>
      <c r="D568" s="3" t="s">
        <v>9</v>
      </c>
      <c r="E568" s="3" t="s">
        <v>1918</v>
      </c>
      <c r="F568" s="3" t="str">
        <f>"812-277-6329"</f>
        <v>812-277-6329</v>
      </c>
      <c r="G568" s="3">
        <v>2351</v>
      </c>
      <c r="H568" s="3" t="s">
        <v>892</v>
      </c>
    </row>
    <row r="569" spans="1:8" ht="153.75" x14ac:dyDescent="0.25">
      <c r="A569" s="3" t="s">
        <v>1919</v>
      </c>
      <c r="B569" s="3"/>
      <c r="C569" s="3" t="s">
        <v>1920</v>
      </c>
      <c r="D569" s="3" t="s">
        <v>1921</v>
      </c>
      <c r="E569" s="3" t="s">
        <v>1922</v>
      </c>
      <c r="F569" s="3" t="str">
        <f>"(260)426-8227"</f>
        <v>(260)426-8227</v>
      </c>
      <c r="G569" s="3">
        <v>541612</v>
      </c>
      <c r="H569" s="3" t="s">
        <v>1923</v>
      </c>
    </row>
    <row r="570" spans="1:8" ht="39" x14ac:dyDescent="0.25">
      <c r="A570" s="3" t="s">
        <v>1924</v>
      </c>
      <c r="B570" s="3"/>
      <c r="C570" s="3" t="str">
        <f>"We are a General Contractor. Roofing/Siding/Guttering/Remodelers both interior and exterior"</f>
        <v>We are a General Contractor. Roofing/Siding/Guttering/Remodelers both interior and exterior</v>
      </c>
      <c r="D570" s="3" t="s">
        <v>1925</v>
      </c>
      <c r="E570" s="3" t="s">
        <v>1926</v>
      </c>
      <c r="F570" s="3" t="str">
        <f>"8125225212"</f>
        <v>8125225212</v>
      </c>
      <c r="G570" s="3">
        <v>23</v>
      </c>
      <c r="H570" s="3" t="s">
        <v>133</v>
      </c>
    </row>
    <row r="571" spans="1:8" ht="51.75" x14ac:dyDescent="0.25">
      <c r="A571" s="3" t="s">
        <v>1927</v>
      </c>
      <c r="B571" s="3"/>
      <c r="C571" s="3" t="str">
        <f>"Cutting edge broker of Insurance, safe money investment programs, business planning and business management services."</f>
        <v>Cutting edge broker of Insurance, safe money investment programs, business planning and business management services.</v>
      </c>
      <c r="D571" s="3" t="s">
        <v>1928</v>
      </c>
      <c r="E571" s="3" t="s">
        <v>1929</v>
      </c>
      <c r="F571" s="3" t="str">
        <f>"317-208-0969"</f>
        <v>317-208-0969</v>
      </c>
      <c r="G571" s="3">
        <v>524210</v>
      </c>
      <c r="H571" s="3" t="s">
        <v>1183</v>
      </c>
    </row>
    <row r="572" spans="1:8" ht="26.25" x14ac:dyDescent="0.25">
      <c r="A572" s="3" t="s">
        <v>1930</v>
      </c>
      <c r="B572" s="3"/>
      <c r="C572" s="3" t="str">
        <f>"Geotechnical Engineering, Materials Testing and Environmental Services"</f>
        <v>Geotechnical Engineering, Materials Testing and Environmental Services</v>
      </c>
      <c r="D572" s="3" t="s">
        <v>1931</v>
      </c>
      <c r="E572" s="3" t="s">
        <v>46</v>
      </c>
      <c r="F572" s="3" t="str">
        <f>"317-875-7000"</f>
        <v>317-875-7000</v>
      </c>
      <c r="G572" s="3">
        <v>541330</v>
      </c>
      <c r="H572" s="3" t="s">
        <v>82</v>
      </c>
    </row>
    <row r="573" spans="1:8" ht="77.25" x14ac:dyDescent="0.25">
      <c r="A573" s="3" t="s">
        <v>1932</v>
      </c>
      <c r="B573" s="3"/>
      <c r="C573" s="3" t="str">
        <f>"BrightStar Healthcare is a full service medical staffing agency that provides medical and non-medical care to private clients within their homes, as well as supplemental nurse professionals to corporate clients."</f>
        <v>BrightStar Healthcare is a full service medical staffing agency that provides medical and non-medical care to private clients within their homes, as well as supplemental nurse professionals to corporate clients.</v>
      </c>
      <c r="D573" s="3" t="s">
        <v>1933</v>
      </c>
      <c r="E573" s="3" t="s">
        <v>46</v>
      </c>
      <c r="F573" s="3" t="str">
        <f>"3177060799"</f>
        <v>3177060799</v>
      </c>
      <c r="G573" s="3">
        <v>621610</v>
      </c>
      <c r="H573" s="3" t="s">
        <v>328</v>
      </c>
    </row>
    <row r="574" spans="1:8" ht="115.5" x14ac:dyDescent="0.25">
      <c r="A574" s="3" t="s">
        <v>1934</v>
      </c>
      <c r="B574" s="3"/>
      <c r="C574" s="3" t="s">
        <v>1935</v>
      </c>
      <c r="D574" s="3" t="s">
        <v>9</v>
      </c>
      <c r="E574" s="3" t="s">
        <v>1936</v>
      </c>
      <c r="F574" s="3" t="str">
        <f>"812-923-4739"</f>
        <v>812-923-4739</v>
      </c>
      <c r="G574" s="3">
        <v>812990</v>
      </c>
      <c r="H574" s="3" t="s">
        <v>294</v>
      </c>
    </row>
    <row r="575" spans="1:8" ht="51.75" x14ac:dyDescent="0.25">
      <c r="A575" s="3" t="s">
        <v>1937</v>
      </c>
      <c r="B575" s="3"/>
      <c r="C575" s="3" t="str">
        <f>"Specialize in air flow reduction Auditing, Heat loss Auditing, Building Performance Auditing Building Performance Analysis Services"</f>
        <v>Specialize in air flow reduction Auditing, Heat loss Auditing, Building Performance Auditing Building Performance Analysis Services</v>
      </c>
      <c r="D575" s="3" t="s">
        <v>9</v>
      </c>
      <c r="E575" s="3" t="s">
        <v>1938</v>
      </c>
      <c r="F575" s="3" t="str">
        <f>"317-755-3441"</f>
        <v>317-755-3441</v>
      </c>
      <c r="G575" s="3">
        <v>233</v>
      </c>
      <c r="H575" s="3" t="s">
        <v>131</v>
      </c>
    </row>
    <row r="576" spans="1:8" ht="332.25" x14ac:dyDescent="0.25">
      <c r="A576" s="3" t="s">
        <v>1939</v>
      </c>
      <c r="B576" s="3"/>
      <c r="C576" s="3" t="s">
        <v>1940</v>
      </c>
      <c r="D576" s="3" t="s">
        <v>1941</v>
      </c>
      <c r="E576" s="3" t="s">
        <v>1942</v>
      </c>
      <c r="F576" s="3" t="str">
        <f>"2199023305"</f>
        <v>2199023305</v>
      </c>
      <c r="G576" s="3">
        <v>531390</v>
      </c>
      <c r="H576" s="3" t="s">
        <v>623</v>
      </c>
    </row>
    <row r="577" spans="1:8" ht="64.5" x14ac:dyDescent="0.25">
      <c r="A577" s="3" t="s">
        <v>1943</v>
      </c>
      <c r="B577" s="3"/>
      <c r="C577" s="3" t="str">
        <f>"Alternatives Incorporated is a not-for-profit social service agency providing prevention and intervention services in response to family violence, sexual assault, child abuse and homelessness."</f>
        <v>Alternatives Incorporated is a not-for-profit social service agency providing prevention and intervention services in response to family violence, sexual assault, child abuse and homelessness.</v>
      </c>
      <c r="D577" s="3" t="s">
        <v>1944</v>
      </c>
      <c r="E577" s="3" t="s">
        <v>1945</v>
      </c>
      <c r="F577" s="3" t="str">
        <f>"(765) 643-0218"</f>
        <v>(765) 643-0218</v>
      </c>
      <c r="G577" s="3">
        <v>6242</v>
      </c>
      <c r="H577" s="3" t="s">
        <v>1946</v>
      </c>
    </row>
    <row r="578" spans="1:8" ht="102.75" x14ac:dyDescent="0.25">
      <c r="A578" s="3" t="s">
        <v>1947</v>
      </c>
      <c r="B578" s="3"/>
      <c r="C578" s="3" t="s">
        <v>1948</v>
      </c>
      <c r="D578" s="3" t="s">
        <v>1949</v>
      </c>
      <c r="E578" s="3" t="s">
        <v>1950</v>
      </c>
      <c r="F578" s="3" t="str">
        <f>"574-773-2440"</f>
        <v>574-773-2440</v>
      </c>
      <c r="G578" s="3">
        <v>336214</v>
      </c>
      <c r="H578" s="3" t="s">
        <v>1951</v>
      </c>
    </row>
    <row r="579" spans="1:8" ht="102.75" x14ac:dyDescent="0.25">
      <c r="A579" s="3" t="s">
        <v>1952</v>
      </c>
      <c r="B579" s="3"/>
      <c r="C579" s="3" t="s">
        <v>1953</v>
      </c>
      <c r="D579" s="3" t="s">
        <v>9</v>
      </c>
      <c r="E579" s="3" t="s">
        <v>1954</v>
      </c>
      <c r="F579" s="3" t="str">
        <f>"812-401-2582"</f>
        <v>812-401-2582</v>
      </c>
      <c r="G579" s="3">
        <v>238210</v>
      </c>
      <c r="H579" s="3" t="s">
        <v>306</v>
      </c>
    </row>
    <row r="580" spans="1:8" ht="51.75" x14ac:dyDescent="0.25">
      <c r="A580" s="3" t="s">
        <v>1955</v>
      </c>
      <c r="B580" s="3"/>
      <c r="C580" s="3" t="str">
        <f>"Alvarez Janitorial provides all cleaning &amp; Janitorial needs, floor maintenance, basic cleaning, deep scrubs and strip and wax. Carpet Cleaning &amp; Upholstery cleaning."</f>
        <v>Alvarez Janitorial provides all cleaning &amp; Janitorial needs, floor maintenance, basic cleaning, deep scrubs and strip and wax. Carpet Cleaning &amp; Upholstery cleaning.</v>
      </c>
      <c r="D580" s="3" t="s">
        <v>1956</v>
      </c>
      <c r="E580" s="3" t="s">
        <v>1957</v>
      </c>
      <c r="F580" s="3" t="str">
        <f>"773-517-6328"</f>
        <v>773-517-6328</v>
      </c>
      <c r="G580" s="3">
        <v>56172</v>
      </c>
      <c r="H580" s="3" t="s">
        <v>222</v>
      </c>
    </row>
    <row r="581" spans="1:8" ht="51.75" x14ac:dyDescent="0.25">
      <c r="A581" s="3" t="s">
        <v>1958</v>
      </c>
      <c r="B581" s="3"/>
      <c r="C581" s="3" t="str">
        <f>"As a professional sign manufacture we aim at high levels of productivity on a regular basis giving us the experience to meet high volumes, close lead times &amp; cost efficiency."</f>
        <v>As a professional sign manufacture we aim at high levels of productivity on a regular basis giving us the experience to meet high volumes, close lead times &amp; cost efficiency.</v>
      </c>
      <c r="D581" s="3" t="s">
        <v>1959</v>
      </c>
      <c r="E581" s="3" t="s">
        <v>1960</v>
      </c>
      <c r="F581" s="3" t="str">
        <f>"812-867-2567"</f>
        <v>812-867-2567</v>
      </c>
      <c r="G581" s="3">
        <v>32</v>
      </c>
      <c r="H581" s="3" t="s">
        <v>999</v>
      </c>
    </row>
    <row r="582" spans="1:8" ht="128.25" x14ac:dyDescent="0.25">
      <c r="A582" s="3" t="s">
        <v>1961</v>
      </c>
      <c r="B582" s="3"/>
      <c r="C582" s="3" t="s">
        <v>1962</v>
      </c>
      <c r="D582" s="3" t="s">
        <v>1963</v>
      </c>
      <c r="E582" s="3" t="s">
        <v>1964</v>
      </c>
      <c r="F582" s="2"/>
      <c r="G582" s="3">
        <v>56131</v>
      </c>
      <c r="H582" s="3" t="s">
        <v>1720</v>
      </c>
    </row>
    <row r="583" spans="1:8" x14ac:dyDescent="0.25">
      <c r="A583" s="3" t="s">
        <v>1965</v>
      </c>
      <c r="B583" s="3"/>
      <c r="C583" s="3" t="str">
        <f>" "</f>
        <v xml:space="preserve"> </v>
      </c>
      <c r="D583" s="3" t="s">
        <v>9</v>
      </c>
      <c r="E583" s="3" t="s">
        <v>46</v>
      </c>
      <c r="F583" s="2"/>
      <c r="G583" s="3">
        <v>522291</v>
      </c>
      <c r="H583" s="3" t="s">
        <v>1966</v>
      </c>
    </row>
    <row r="584" spans="1:8" ht="39" x14ac:dyDescent="0.25">
      <c r="A584" s="3" t="s">
        <v>1967</v>
      </c>
      <c r="B584" s="3"/>
      <c r="C584" s="3" t="str">
        <f>"Flags, banners, flagpoles and fabric-based signs (both indoor and outdoor) - retail, wholesale and manufacturer"</f>
        <v>Flags, banners, flagpoles and fabric-based signs (both indoor and outdoor) - retail, wholesale and manufacturer</v>
      </c>
      <c r="D584" s="3" t="s">
        <v>1968</v>
      </c>
      <c r="E584" s="3" t="s">
        <v>1969</v>
      </c>
      <c r="F584" s="3" t="str">
        <f>"574-674-5125"</f>
        <v>574-674-5125</v>
      </c>
      <c r="G584" s="3">
        <v>453998</v>
      </c>
      <c r="H584" s="3" t="s">
        <v>112</v>
      </c>
    </row>
    <row r="585" spans="1:8" ht="51.75" x14ac:dyDescent="0.25">
      <c r="A585" s="3" t="s">
        <v>1970</v>
      </c>
      <c r="B585" s="3"/>
      <c r="C585" s="3" t="str">
        <f>"Amalgaway sells an amalgam recycling kits to dentists, we have a line of amalgam separators, line cleaners and other assorted products."</f>
        <v>Amalgaway sells an amalgam recycling kits to dentists, we have a line of amalgam separators, line cleaners and other assorted products.</v>
      </c>
      <c r="D585" s="3" t="s">
        <v>1971</v>
      </c>
      <c r="E585" s="3" t="s">
        <v>1972</v>
      </c>
      <c r="F585" s="3" t="str">
        <f>"317-786-6654"</f>
        <v>317-786-6654</v>
      </c>
      <c r="G585" s="3">
        <v>541330</v>
      </c>
      <c r="H585" s="3" t="s">
        <v>82</v>
      </c>
    </row>
    <row r="586" spans="1:8" ht="102.75" x14ac:dyDescent="0.25">
      <c r="A586" s="3" t="s">
        <v>1973</v>
      </c>
      <c r="B586" s="3"/>
      <c r="C586" s="3" t="s">
        <v>1974</v>
      </c>
      <c r="D586" s="3" t="s">
        <v>1975</v>
      </c>
      <c r="E586" s="3" t="s">
        <v>1976</v>
      </c>
      <c r="F586" s="3" t="str">
        <f>"317-806-7821"</f>
        <v>317-806-7821</v>
      </c>
      <c r="G586" s="3">
        <v>54186</v>
      </c>
      <c r="H586" s="3" t="s">
        <v>566</v>
      </c>
    </row>
    <row r="587" spans="1:8" ht="306.75" x14ac:dyDescent="0.25">
      <c r="A587" s="3" t="s">
        <v>1977</v>
      </c>
      <c r="B587" s="3"/>
      <c r="C587" s="3" t="s">
        <v>1978</v>
      </c>
      <c r="D587" s="3" t="s">
        <v>9</v>
      </c>
      <c r="E587" s="3" t="s">
        <v>1979</v>
      </c>
      <c r="F587" s="2"/>
      <c r="G587" s="3">
        <v>711510</v>
      </c>
      <c r="H587" s="3" t="s">
        <v>1980</v>
      </c>
    </row>
    <row r="588" spans="1:8" ht="90" x14ac:dyDescent="0.25">
      <c r="A588" s="3" t="s">
        <v>1981</v>
      </c>
      <c r="B588" s="3"/>
      <c r="C588" s="3" t="str">
        <f>"Amateur Radio of Decatur County, INC is an organization of Ham Radio operators working in conjunction with the Decatur County EMA and the National Weather Service serving as local weather spotters. This organization serves through RACES and ARES."</f>
        <v>Amateur Radio of Decatur County, INC is an organization of Ham Radio operators working in conjunction with the Decatur County EMA and the National Weather Service serving as local weather spotters. This organization serves through RACES and ARES.</v>
      </c>
      <c r="D588" s="3" t="s">
        <v>1982</v>
      </c>
      <c r="E588" s="3" t="s">
        <v>1983</v>
      </c>
      <c r="F588" s="2"/>
      <c r="G588" s="3">
        <v>62423</v>
      </c>
      <c r="H588" s="3" t="s">
        <v>1984</v>
      </c>
    </row>
    <row r="589" spans="1:8" ht="26.25" x14ac:dyDescent="0.25">
      <c r="A589" s="3" t="s">
        <v>1985</v>
      </c>
      <c r="B589" s="3"/>
      <c r="C589" s="3" t="str">
        <f>"Enterprise Consulting, Infrastructure Services,Temporary IT Staffing"</f>
        <v>Enterprise Consulting, Infrastructure Services,Temporary IT Staffing</v>
      </c>
      <c r="D589" s="3" t="s">
        <v>1986</v>
      </c>
      <c r="E589" s="3" t="s">
        <v>1987</v>
      </c>
      <c r="F589" s="2"/>
      <c r="G589" s="3">
        <v>5415</v>
      </c>
      <c r="H589" s="3" t="s">
        <v>188</v>
      </c>
    </row>
    <row r="590" spans="1:8" ht="179.25" x14ac:dyDescent="0.25">
      <c r="A590" s="3" t="s">
        <v>1988</v>
      </c>
      <c r="B590" s="3"/>
      <c r="C590" s="3" t="s">
        <v>1989</v>
      </c>
      <c r="D590" s="3" t="s">
        <v>1990</v>
      </c>
      <c r="E590" s="3" t="s">
        <v>1991</v>
      </c>
      <c r="F590" s="3" t="str">
        <f>"3176051627"</f>
        <v>3176051627</v>
      </c>
      <c r="G590" s="3">
        <v>561720</v>
      </c>
      <c r="H590" s="3" t="s">
        <v>222</v>
      </c>
    </row>
    <row r="591" spans="1:8" ht="51.75" x14ac:dyDescent="0.25">
      <c r="A591" s="3" t="s">
        <v>1992</v>
      </c>
      <c r="B591" s="3"/>
      <c r="C591" s="3" t="str">
        <f>"Complete Interior Design Services including space planning for new or existing structures, selection of finishes and furnishings, and final decorating."</f>
        <v>Complete Interior Design Services including space planning for new or existing structures, selection of finishes and furnishings, and final decorating.</v>
      </c>
      <c r="D591" s="3" t="s">
        <v>9</v>
      </c>
      <c r="E591" s="3" t="s">
        <v>1993</v>
      </c>
      <c r="F591" s="3" t="str">
        <f>"812-457-5675"</f>
        <v>812-457-5675</v>
      </c>
      <c r="G591" s="3">
        <v>541410</v>
      </c>
      <c r="H591" s="3" t="s">
        <v>687</v>
      </c>
    </row>
    <row r="592" spans="1:8" ht="64.5" x14ac:dyDescent="0.25">
      <c r="A592" s="3" t="s">
        <v>1994</v>
      </c>
      <c r="B592" s="3"/>
      <c r="C592" s="3" t="str">
        <f>"Full service travel agency - We sell airline tickets, hotel reservations, car rental reservations, cruise vcations, vacation packages, meeting assistance, group &amp; incentive travel."</f>
        <v>Full service travel agency - We sell airline tickets, hotel reservations, car rental reservations, cruise vcations, vacation packages, meeting assistance, group &amp; incentive travel.</v>
      </c>
      <c r="D592" s="3" t="s">
        <v>1995</v>
      </c>
      <c r="E592" s="3" t="s">
        <v>1996</v>
      </c>
      <c r="F592" s="3" t="str">
        <f>"812-479-8687"</f>
        <v>812-479-8687</v>
      </c>
      <c r="G592" s="3">
        <v>561510</v>
      </c>
      <c r="H592" s="3" t="s">
        <v>288</v>
      </c>
    </row>
    <row r="593" spans="1:8" ht="294" x14ac:dyDescent="0.25">
      <c r="A593" s="3" t="s">
        <v>1997</v>
      </c>
      <c r="B593" s="3"/>
      <c r="C593" s="3" t="s">
        <v>1998</v>
      </c>
      <c r="D593" s="3" t="s">
        <v>1999</v>
      </c>
      <c r="E593" s="3" t="s">
        <v>2000</v>
      </c>
      <c r="F593" s="3" t="str">
        <f>"3175716838"</f>
        <v>3175716838</v>
      </c>
      <c r="G593" s="3">
        <v>541519</v>
      </c>
      <c r="H593" s="3" t="s">
        <v>898</v>
      </c>
    </row>
    <row r="594" spans="1:8" ht="51.75" x14ac:dyDescent="0.25">
      <c r="A594" s="3" t="s">
        <v>2001</v>
      </c>
      <c r="B594" s="3"/>
      <c r="C594" s="3" t="str">
        <f>"Pediatric Medical Office We provide comprehensive medical care for patients under 22 years of age; new patients must be under 18 years of age."</f>
        <v>Pediatric Medical Office We provide comprehensive medical care for patients under 22 years of age; new patients must be under 18 years of age.</v>
      </c>
      <c r="D594" s="3" t="s">
        <v>9</v>
      </c>
      <c r="E594" s="3" t="s">
        <v>46</v>
      </c>
      <c r="F594" s="3" t="str">
        <f>"317-834-7337"</f>
        <v>317-834-7337</v>
      </c>
      <c r="G594" s="3">
        <v>621111</v>
      </c>
      <c r="H594" s="3" t="s">
        <v>2002</v>
      </c>
    </row>
    <row r="595" spans="1:8" ht="294" x14ac:dyDescent="0.25">
      <c r="A595" s="3" t="s">
        <v>2003</v>
      </c>
      <c r="B595" s="3"/>
      <c r="C595" s="3" t="s">
        <v>2004</v>
      </c>
      <c r="D595" s="3" t="s">
        <v>2005</v>
      </c>
      <c r="E595" s="3" t="s">
        <v>2006</v>
      </c>
      <c r="F595" s="3" t="str">
        <f>"574 277 5678"</f>
        <v>574 277 5678</v>
      </c>
      <c r="G595" s="3">
        <v>541511</v>
      </c>
      <c r="H595" s="3" t="s">
        <v>122</v>
      </c>
    </row>
    <row r="596" spans="1:8" ht="51.75" x14ac:dyDescent="0.25">
      <c r="A596" s="3" t="s">
        <v>2007</v>
      </c>
      <c r="B596" s="3"/>
      <c r="C596" s="3" t="str">
        <f>"EMS/Ambulance billing and consulting services, NEMSIS-compliant data collection, electronic patient care reporting, provider enrollment assistance."</f>
        <v>EMS/Ambulance billing and consulting services, NEMSIS-compliant data collection, electronic patient care reporting, provider enrollment assistance.</v>
      </c>
      <c r="D596" s="3" t="s">
        <v>2008</v>
      </c>
      <c r="E596" s="3" t="s">
        <v>2009</v>
      </c>
      <c r="F596" s="3" t="str">
        <f>"1-877-293-3535"</f>
        <v>1-877-293-3535</v>
      </c>
      <c r="G596" s="3">
        <v>541219</v>
      </c>
      <c r="H596" s="3" t="s">
        <v>2010</v>
      </c>
    </row>
    <row r="597" spans="1:8" ht="39" x14ac:dyDescent="0.25">
      <c r="A597" s="3" t="s">
        <v>2011</v>
      </c>
      <c r="B597" s="3"/>
      <c r="C597" s="3" t="str">
        <f>"Repair, maintenance and installation of elevator systems in residence and commercial buildings"</f>
        <v>Repair, maintenance and installation of elevator systems in residence and commercial buildings</v>
      </c>
      <c r="D597" s="3" t="s">
        <v>2012</v>
      </c>
      <c r="E597" s="3" t="s">
        <v>2013</v>
      </c>
      <c r="F597" s="3" t="str">
        <f>"317-231-2345"</f>
        <v>317-231-2345</v>
      </c>
      <c r="G597" s="3">
        <v>238990</v>
      </c>
      <c r="H597" s="3" t="s">
        <v>481</v>
      </c>
    </row>
    <row r="598" spans="1:8" ht="77.25" x14ac:dyDescent="0.25">
      <c r="A598" s="3" t="s">
        <v>2014</v>
      </c>
      <c r="B598" s="3"/>
      <c r="C598" s="3" t="str">
        <f>"The Food Bank of Northwest Indiana is a hunger relief organization that acquires, sorts and distributes food and grocery products to local hunger relief charities such as food pantries, soup kitchens and homeless shelters."</f>
        <v>The Food Bank of Northwest Indiana is a hunger relief organization that acquires, sorts and distributes food and grocery products to local hunger relief charities such as food pantries, soup kitchens and homeless shelters.</v>
      </c>
      <c r="D598" s="3" t="s">
        <v>2015</v>
      </c>
      <c r="E598" s="3" t="s">
        <v>2016</v>
      </c>
      <c r="F598" s="3" t="str">
        <f>"219-980-1777"</f>
        <v>219-980-1777</v>
      </c>
      <c r="G598" s="3">
        <v>624210</v>
      </c>
      <c r="H598" s="3" t="s">
        <v>2017</v>
      </c>
    </row>
    <row r="599" spans="1:8" ht="26.25" x14ac:dyDescent="0.25">
      <c r="A599" s="3" t="s">
        <v>2018</v>
      </c>
      <c r="B599" s="3"/>
      <c r="C599" s="2"/>
      <c r="D599" s="3" t="s">
        <v>2019</v>
      </c>
      <c r="E599" s="3" t="s">
        <v>46</v>
      </c>
      <c r="F599" s="3" t="str">
        <f>"508-661-2200"</f>
        <v>508-661-2200</v>
      </c>
      <c r="G599" s="3">
        <v>541330</v>
      </c>
      <c r="H599" s="3" t="s">
        <v>82</v>
      </c>
    </row>
    <row r="600" spans="1:8" ht="64.5" x14ac:dyDescent="0.25">
      <c r="A600" s="3" t="s">
        <v>2020</v>
      </c>
      <c r="B600" s="3"/>
      <c r="C600" s="3" t="str">
        <f>"We are a company that does fire restoration, water restoration, carpet, ceramic tile, air duct, and oriental rug cleaning. As well as Electronic cleaning and document restoration."</f>
        <v>We are a company that does fire restoration, water restoration, carpet, ceramic tile, air duct, and oriental rug cleaning. As well as Electronic cleaning and document restoration.</v>
      </c>
      <c r="D600" s="3" t="s">
        <v>2021</v>
      </c>
      <c r="E600" s="3" t="s">
        <v>2022</v>
      </c>
      <c r="F600" s="3" t="str">
        <f>"2199428100"</f>
        <v>2199428100</v>
      </c>
      <c r="G600" s="3">
        <v>561740</v>
      </c>
      <c r="H600" s="3" t="s">
        <v>241</v>
      </c>
    </row>
    <row r="601" spans="1:8" ht="141" x14ac:dyDescent="0.25">
      <c r="A601" s="3" t="s">
        <v>2023</v>
      </c>
      <c r="B601" s="3"/>
      <c r="C601" s="3" t="s">
        <v>2024</v>
      </c>
      <c r="D601" s="3" t="s">
        <v>2025</v>
      </c>
      <c r="E601" s="3" t="s">
        <v>46</v>
      </c>
      <c r="F601" s="3" t="str">
        <f>"812-867-1444"</f>
        <v>812-867-1444</v>
      </c>
      <c r="G601" s="3">
        <v>311422</v>
      </c>
      <c r="H601" s="3" t="s">
        <v>2026</v>
      </c>
    </row>
    <row r="602" spans="1:8" ht="115.5" x14ac:dyDescent="0.25">
      <c r="A602" s="3" t="s">
        <v>2027</v>
      </c>
      <c r="B602" s="3"/>
      <c r="C602" s="3" t="s">
        <v>2028</v>
      </c>
      <c r="D602" s="3" t="s">
        <v>2029</v>
      </c>
      <c r="E602" s="3" t="s">
        <v>46</v>
      </c>
      <c r="F602" s="2"/>
      <c r="G602" s="3">
        <v>561310</v>
      </c>
      <c r="H602" s="3" t="s">
        <v>1720</v>
      </c>
    </row>
    <row r="603" spans="1:8" ht="26.25" x14ac:dyDescent="0.25">
      <c r="A603" s="3" t="s">
        <v>2030</v>
      </c>
      <c r="B603" s="3"/>
      <c r="C603" s="3" t="str">
        <f>"Provides food supplies to local hunger relief charities in Northwest Indiana."</f>
        <v>Provides food supplies to local hunger relief charities in Northwest Indiana.</v>
      </c>
      <c r="D603" s="3" t="s">
        <v>2015</v>
      </c>
      <c r="E603" s="3" t="s">
        <v>2031</v>
      </c>
      <c r="F603" s="3" t="str">
        <f>"219-980-1777"</f>
        <v>219-980-1777</v>
      </c>
      <c r="G603" s="3">
        <v>624210</v>
      </c>
      <c r="H603" s="3" t="s">
        <v>2017</v>
      </c>
    </row>
    <row r="604" spans="1:8" ht="153.75" x14ac:dyDescent="0.25">
      <c r="A604" s="3" t="s">
        <v>2032</v>
      </c>
      <c r="B604" s="3"/>
      <c r="C604" s="3" t="s">
        <v>2033</v>
      </c>
      <c r="D604" s="3" t="s">
        <v>2034</v>
      </c>
      <c r="E604" s="3" t="s">
        <v>2035</v>
      </c>
      <c r="F604" s="3" t="str">
        <f>"800-995-5415"</f>
        <v>800-995-5415</v>
      </c>
      <c r="G604" s="3">
        <v>541890</v>
      </c>
      <c r="H604" s="3" t="s">
        <v>401</v>
      </c>
    </row>
    <row r="605" spans="1:8" ht="217.5" x14ac:dyDescent="0.25">
      <c r="A605" s="3" t="s">
        <v>2036</v>
      </c>
      <c r="B605" s="3"/>
      <c r="C605" s="3" t="s">
        <v>2037</v>
      </c>
      <c r="D605" s="3" t="s">
        <v>2038</v>
      </c>
      <c r="E605" s="3" t="s">
        <v>2039</v>
      </c>
      <c r="F605" s="3" t="str">
        <f>"317-201-2533"</f>
        <v>317-201-2533</v>
      </c>
      <c r="G605" s="3">
        <v>448150</v>
      </c>
      <c r="H605" s="3" t="s">
        <v>2040</v>
      </c>
    </row>
    <row r="606" spans="1:8" ht="26.25" x14ac:dyDescent="0.25">
      <c r="A606" s="3" t="s">
        <v>2041</v>
      </c>
      <c r="B606" s="3"/>
      <c r="C606" s="3" t="str">
        <f>"Ceramic Clay, Glazes and Equipment"</f>
        <v>Ceramic Clay, Glazes and Equipment</v>
      </c>
      <c r="D606" s="3" t="s">
        <v>2042</v>
      </c>
      <c r="E606" s="3" t="s">
        <v>2043</v>
      </c>
      <c r="F606" s="3" t="str">
        <f>"800-677-3289"</f>
        <v>800-677-3289</v>
      </c>
      <c r="G606" s="3">
        <v>339999</v>
      </c>
      <c r="H606" s="3" t="s">
        <v>2044</v>
      </c>
    </row>
    <row r="607" spans="1:8" ht="26.25" x14ac:dyDescent="0.25">
      <c r="A607" s="3" t="s">
        <v>2045</v>
      </c>
      <c r="B607" s="3"/>
      <c r="C607" s="3" t="str">
        <f>"We install ceramic tile, terrazzo flooring, slate, and marble."</f>
        <v>We install ceramic tile, terrazzo flooring, slate, and marble.</v>
      </c>
      <c r="D607" s="3" t="s">
        <v>9</v>
      </c>
      <c r="E607" s="3" t="s">
        <v>2046</v>
      </c>
      <c r="F607" s="3" t="str">
        <f>"3177862658"</f>
        <v>3177862658</v>
      </c>
      <c r="G607" s="3">
        <v>2359</v>
      </c>
      <c r="H607" s="3" t="s">
        <v>631</v>
      </c>
    </row>
    <row r="608" spans="1:8" ht="204.75" x14ac:dyDescent="0.25">
      <c r="A608" s="3" t="s">
        <v>2047</v>
      </c>
      <c r="B608" s="3"/>
      <c r="C608" s="3" t="s">
        <v>2048</v>
      </c>
      <c r="D608" s="3" t="s">
        <v>9</v>
      </c>
      <c r="E608" s="3" t="s">
        <v>2049</v>
      </c>
      <c r="F608" s="3" t="str">
        <f>"502-797-3119"</f>
        <v>502-797-3119</v>
      </c>
      <c r="G608" s="3">
        <v>325510</v>
      </c>
      <c r="H608" s="3" t="s">
        <v>2050</v>
      </c>
    </row>
    <row r="609" spans="1:8" ht="77.25" x14ac:dyDescent="0.25">
      <c r="A609" s="3" t="s">
        <v>2051</v>
      </c>
      <c r="B609" s="3"/>
      <c r="C609" s="3" t="str">
        <f>"We specialize in Telephone systems, computer networks, computer systems, cabling, service and repair. Moves, additions, changes, new construction, remodel. Independent cable certification. Commercial and Residential."</f>
        <v>We specialize in Telephone systems, computer networks, computer systems, cabling, service and repair. Moves, additions, changes, new construction, remodel. Independent cable certification. Commercial and Residential.</v>
      </c>
      <c r="D609" s="3" t="s">
        <v>2052</v>
      </c>
      <c r="E609" s="3" t="s">
        <v>2053</v>
      </c>
      <c r="F609" s="3" t="str">
        <f>"219-548-1918"</f>
        <v>219-548-1918</v>
      </c>
      <c r="G609" s="3">
        <v>23899</v>
      </c>
      <c r="H609" s="3" t="s">
        <v>481</v>
      </c>
    </row>
    <row r="610" spans="1:8" ht="51.75" x14ac:dyDescent="0.25">
      <c r="A610" s="3" t="s">
        <v>2054</v>
      </c>
      <c r="B610" s="3"/>
      <c r="C610" s="3" t="str">
        <f>"Single source provider of business solutions, including all types of printing, office products, promotional items, and wearables."</f>
        <v>Single source provider of business solutions, including all types of printing, office products, promotional items, and wearables.</v>
      </c>
      <c r="D610" s="3" t="s">
        <v>2055</v>
      </c>
      <c r="E610" s="3" t="s">
        <v>2056</v>
      </c>
      <c r="F610" s="3" t="str">
        <f>"317-852-8956"</f>
        <v>317-852-8956</v>
      </c>
      <c r="G610" s="3">
        <v>32311</v>
      </c>
      <c r="H610" s="3" t="s">
        <v>531</v>
      </c>
    </row>
    <row r="611" spans="1:8" ht="64.5" x14ac:dyDescent="0.25">
      <c r="A611" s="3" t="s">
        <v>2057</v>
      </c>
      <c r="B611" s="3"/>
      <c r="C611" s="3" t="str">
        <f>"American Business Insurance serves its communities present and future insurance needs. We are a full-service agency with policies for auto-home-life-health-business and everything between."</f>
        <v>American Business Insurance serves its communities present and future insurance needs. We are a full-service agency with policies for auto-home-life-health-business and everything between.</v>
      </c>
      <c r="D611" s="3" t="s">
        <v>2058</v>
      </c>
      <c r="E611" s="3" t="s">
        <v>2059</v>
      </c>
      <c r="F611" s="3" t="str">
        <f>"317-888-7283"</f>
        <v>317-888-7283</v>
      </c>
      <c r="G611" s="3">
        <v>52421</v>
      </c>
      <c r="H611" s="3" t="s">
        <v>1183</v>
      </c>
    </row>
    <row r="612" spans="1:8" ht="39" x14ac:dyDescent="0.25">
      <c r="A612" s="3" t="s">
        <v>2060</v>
      </c>
      <c r="B612" s="3"/>
      <c r="C612" s="3" t="str">
        <f>"We are regulated by the State of Indiana to certify massage therapist. We also, have a clinic and offer massages to the public."</f>
        <v>We are regulated by the State of Indiana to certify massage therapist. We also, have a clinic and offer massages to the public.</v>
      </c>
      <c r="D612" s="3" t="s">
        <v>2061</v>
      </c>
      <c r="E612" s="3" t="s">
        <v>2062</v>
      </c>
      <c r="F612" s="3" t="str">
        <f>"888-662-2585"</f>
        <v>888-662-2585</v>
      </c>
      <c r="G612" s="3">
        <v>611310</v>
      </c>
      <c r="H612" s="3" t="s">
        <v>2063</v>
      </c>
    </row>
    <row r="613" spans="1:8" ht="64.5" x14ac:dyDescent="0.25">
      <c r="A613" s="3" t="s">
        <v>2064</v>
      </c>
      <c r="B613" s="3"/>
      <c r="C613" s="3" t="str">
        <f>"Mudjack or Slabjack Sunken Concrete Slabs; sidewalks, driveways, patios, stoops, roadways etc. We fill voids under existing concrete to raise back to proper grade &amp; to stabilize. Fast &amp; Efficient with no mess."</f>
        <v>Mudjack or Slabjack Sunken Concrete Slabs; sidewalks, driveways, patios, stoops, roadways etc. We fill voids under existing concrete to raise back to proper grade &amp; to stabilize. Fast &amp; Efficient with no mess.</v>
      </c>
      <c r="D613" s="3" t="s">
        <v>2065</v>
      </c>
      <c r="E613" s="3" t="s">
        <v>2066</v>
      </c>
      <c r="F613" s="3" t="str">
        <f>"219.476.1515"</f>
        <v>219.476.1515</v>
      </c>
      <c r="G613" s="3">
        <v>23814</v>
      </c>
      <c r="H613" s="3" t="s">
        <v>1830</v>
      </c>
    </row>
    <row r="614" spans="1:8" ht="64.5" x14ac:dyDescent="0.25">
      <c r="A614" s="3" t="s">
        <v>2067</v>
      </c>
      <c r="B614" s="3"/>
      <c r="C614" s="3" t="str">
        <f>"Safety, Environmental and Mine Safety consulting and compliance solution company. OSHA,MSHA Employee Training, Safety director Programs and Environmental Compliance Consulting."</f>
        <v>Safety, Environmental and Mine Safety consulting and compliance solution company. OSHA,MSHA Employee Training, Safety director Programs and Environmental Compliance Consulting.</v>
      </c>
      <c r="D614" s="3" t="s">
        <v>2068</v>
      </c>
      <c r="E614" s="3" t="s">
        <v>2069</v>
      </c>
      <c r="F614" s="3" t="str">
        <f>"574-651-3660"</f>
        <v>574-651-3660</v>
      </c>
      <c r="G614" s="3">
        <v>541690</v>
      </c>
      <c r="H614" s="3" t="s">
        <v>652</v>
      </c>
    </row>
    <row r="615" spans="1:8" ht="255.75" x14ac:dyDescent="0.25">
      <c r="A615" s="3" t="s">
        <v>2070</v>
      </c>
      <c r="B615" s="3"/>
      <c r="C615" s="3" t="s">
        <v>2071</v>
      </c>
      <c r="D615" s="3" t="s">
        <v>2072</v>
      </c>
      <c r="E615" s="3" t="s">
        <v>2073</v>
      </c>
      <c r="F615" s="3" t="str">
        <f>"317-547-5580"</f>
        <v>317-547-5580</v>
      </c>
      <c r="G615" s="3">
        <v>54133</v>
      </c>
      <c r="H615" s="3" t="s">
        <v>82</v>
      </c>
    </row>
    <row r="616" spans="1:8" ht="26.25" x14ac:dyDescent="0.25">
      <c r="A616" s="3" t="s">
        <v>2074</v>
      </c>
      <c r="B616" s="3"/>
      <c r="C616" s="3" t="str">
        <f>" "</f>
        <v xml:space="preserve"> </v>
      </c>
      <c r="D616" s="3" t="s">
        <v>9</v>
      </c>
      <c r="E616" s="3" t="s">
        <v>46</v>
      </c>
      <c r="F616" s="3" t="str">
        <f>"812-280-4404"</f>
        <v>812-280-4404</v>
      </c>
      <c r="G616" s="3">
        <v>237310</v>
      </c>
      <c r="H616" s="3" t="s">
        <v>768</v>
      </c>
    </row>
    <row r="617" spans="1:8" ht="115.5" x14ac:dyDescent="0.25">
      <c r="A617" s="3" t="s">
        <v>2075</v>
      </c>
      <c r="B617" s="3"/>
      <c r="C617" s="3" t="s">
        <v>2076</v>
      </c>
      <c r="D617" s="3" t="s">
        <v>2077</v>
      </c>
      <c r="E617" s="3" t="s">
        <v>2078</v>
      </c>
      <c r="F617" s="3" t="str">
        <f>"317 247 4400"</f>
        <v>317 247 4400</v>
      </c>
      <c r="G617" s="3">
        <v>54151</v>
      </c>
      <c r="H617" s="3" t="s">
        <v>188</v>
      </c>
    </row>
    <row r="618" spans="1:8" ht="26.25" x14ac:dyDescent="0.25">
      <c r="A618" s="3" t="s">
        <v>2079</v>
      </c>
      <c r="B618" s="3"/>
      <c r="C618" s="3" t="str">
        <f>"Installing emergency lighting"</f>
        <v>Installing emergency lighting</v>
      </c>
      <c r="D618" s="3" t="s">
        <v>9</v>
      </c>
      <c r="E618" s="3" t="s">
        <v>2080</v>
      </c>
      <c r="F618" s="3" t="str">
        <f>"765-534-3075"</f>
        <v>765-534-3075</v>
      </c>
      <c r="G618" s="3">
        <v>4413</v>
      </c>
      <c r="H618" s="3" t="s">
        <v>1210</v>
      </c>
    </row>
    <row r="619" spans="1:8" ht="77.25" x14ac:dyDescent="0.25">
      <c r="A619" s="3" t="s">
        <v>2081</v>
      </c>
      <c r="B619" s="3"/>
      <c r="C619" s="3" t="str">
        <f>"We are a general contractor that specializes in roofing, siding, drywall, and many other home repair needs. We also work with insurance companies to handle claims that require home restoration, including fire, water, wind, and mold damage."</f>
        <v>We are a general contractor that specializes in roofing, siding, drywall, and many other home repair needs. We also work with insurance companies to handle claims that require home restoration, including fire, water, wind, and mold damage.</v>
      </c>
      <c r="D619" s="3" t="s">
        <v>2082</v>
      </c>
      <c r="E619" s="3" t="s">
        <v>2083</v>
      </c>
      <c r="F619" s="3" t="str">
        <f>"317-928-5815"</f>
        <v>317-928-5815</v>
      </c>
      <c r="G619" s="3">
        <v>23</v>
      </c>
      <c r="H619" s="3" t="s">
        <v>133</v>
      </c>
    </row>
    <row r="620" spans="1:8" ht="294" x14ac:dyDescent="0.25">
      <c r="A620" s="3" t="s">
        <v>2084</v>
      </c>
      <c r="B620" s="3"/>
      <c r="C620" s="3" t="s">
        <v>2085</v>
      </c>
      <c r="D620" s="3" t="s">
        <v>2086</v>
      </c>
      <c r="E620" s="3" t="s">
        <v>2087</v>
      </c>
      <c r="F620" s="3" t="str">
        <f>"317-871-4090"</f>
        <v>317-871-4090</v>
      </c>
      <c r="G620" s="3">
        <v>541990</v>
      </c>
      <c r="H620" s="3" t="s">
        <v>378</v>
      </c>
    </row>
    <row r="621" spans="1:8" ht="39" x14ac:dyDescent="0.25">
      <c r="A621" s="3" t="s">
        <v>2088</v>
      </c>
      <c r="B621" s="3"/>
      <c r="C621" s="3" t="str">
        <f>"Manufacturer, Packager, and Distributor of OTC medications, dietary supplements, and healthcare products"</f>
        <v>Manufacturer, Packager, and Distributor of OTC medications, dietary supplements, and healthcare products</v>
      </c>
      <c r="D621" s="3" t="s">
        <v>2089</v>
      </c>
      <c r="E621" s="3" t="s">
        <v>2090</v>
      </c>
      <c r="F621" s="3" t="str">
        <f>"317-334-1933"</f>
        <v>317-334-1933</v>
      </c>
      <c r="G621" s="3">
        <v>325412</v>
      </c>
      <c r="H621" s="3" t="s">
        <v>2091</v>
      </c>
    </row>
    <row r="622" spans="1:8" ht="166.5" x14ac:dyDescent="0.25">
      <c r="A622" s="3" t="s">
        <v>2092</v>
      </c>
      <c r="B622" s="3"/>
      <c r="C622" s="3" t="s">
        <v>2093</v>
      </c>
      <c r="D622" s="3" t="s">
        <v>9</v>
      </c>
      <c r="E622" s="3" t="s">
        <v>2094</v>
      </c>
      <c r="F622" s="3" t="str">
        <f>"219-840-0632"</f>
        <v>219-840-0632</v>
      </c>
      <c r="G622" s="3">
        <v>561621</v>
      </c>
      <c r="H622" s="3" t="s">
        <v>827</v>
      </c>
    </row>
    <row r="623" spans="1:8" ht="77.25" x14ac:dyDescent="0.25">
      <c r="A623" s="3" t="s">
        <v>2095</v>
      </c>
      <c r="B623" s="3"/>
      <c r="C623" s="3" t="str">
        <f>"Professional Security Services Traffic Control Executive Protection K-9 Services Armed Security Guards Unarmed Security Guards Law Enforcement Officers Event Security Gate Guards Roving Patrol Traffic Signs Traffic Barricades"</f>
        <v>Professional Security Services Traffic Control Executive Protection K-9 Services Armed Security Guards Unarmed Security Guards Law Enforcement Officers Event Security Gate Guards Roving Patrol Traffic Signs Traffic Barricades</v>
      </c>
      <c r="D623" s="3" t="s">
        <v>2096</v>
      </c>
      <c r="E623" s="3" t="s">
        <v>2097</v>
      </c>
      <c r="F623" s="3" t="str">
        <f>"(317) 225-7807"</f>
        <v>(317) 225-7807</v>
      </c>
      <c r="G623" s="3">
        <v>561612</v>
      </c>
      <c r="H623" s="3" t="s">
        <v>362</v>
      </c>
    </row>
    <row r="624" spans="1:8" ht="153.75" x14ac:dyDescent="0.25">
      <c r="A624" s="3" t="s">
        <v>2098</v>
      </c>
      <c r="B624" s="3"/>
      <c r="C624" s="3" t="s">
        <v>2099</v>
      </c>
      <c r="D624" s="3" t="s">
        <v>2100</v>
      </c>
      <c r="E624" s="3" t="s">
        <v>2101</v>
      </c>
      <c r="F624" s="3" t="str">
        <f>"800-875-3894"</f>
        <v>800-875-3894</v>
      </c>
      <c r="G624" s="3">
        <v>621511</v>
      </c>
      <c r="H624" s="3" t="s">
        <v>1240</v>
      </c>
    </row>
    <row r="625" spans="1:8" ht="26.25" x14ac:dyDescent="0.25">
      <c r="A625" s="3" t="s">
        <v>2102</v>
      </c>
      <c r="B625" s="3"/>
      <c r="C625" s="3" t="str">
        <f>"Complete Cleaning Service: restroom hardwood floors stripe&amp;waxs"</f>
        <v>Complete Cleaning Service: restroom hardwood floors stripe&amp;waxs</v>
      </c>
      <c r="D625" s="3" t="s">
        <v>9</v>
      </c>
      <c r="E625" s="3" t="s">
        <v>2103</v>
      </c>
      <c r="F625" s="3" t="str">
        <f>"317-435-3429"</f>
        <v>317-435-3429</v>
      </c>
      <c r="G625" s="3">
        <v>561720</v>
      </c>
      <c r="H625" s="3" t="s">
        <v>222</v>
      </c>
    </row>
    <row r="626" spans="1:8" ht="64.5" x14ac:dyDescent="0.25">
      <c r="A626" s="3" t="s">
        <v>2104</v>
      </c>
      <c r="B626" s="3"/>
      <c r="C626" s="3" t="str">
        <f>"As a statewide community health organization, the ALA-IN works to prevent lung disease and promote lung health across the strate through education, research and adovacy."</f>
        <v>As a statewide community health organization, the ALA-IN works to prevent lung disease and promote lung health across the strate through education, research and adovacy.</v>
      </c>
      <c r="D626" s="3" t="s">
        <v>2105</v>
      </c>
      <c r="E626" s="3" t="s">
        <v>46</v>
      </c>
      <c r="F626" s="3" t="str">
        <f>"317-819-1181"</f>
        <v>317-819-1181</v>
      </c>
      <c r="G626" s="3">
        <v>52512</v>
      </c>
      <c r="H626" s="3" t="s">
        <v>2106</v>
      </c>
    </row>
    <row r="627" spans="1:8" ht="51.75" x14ac:dyDescent="0.25">
      <c r="A627" s="3" t="s">
        <v>2107</v>
      </c>
      <c r="B627" s="3"/>
      <c r="C627" s="3" t="str">
        <f>"American Maintenance Minority Owned Commercial and Residential Installation Services Trade Show and Event Install and Dismantle Service"</f>
        <v>American Maintenance Minority Owned Commercial and Residential Installation Services Trade Show and Event Install and Dismantle Service</v>
      </c>
      <c r="D627" s="3" t="s">
        <v>9</v>
      </c>
      <c r="E627" s="3" t="s">
        <v>2108</v>
      </c>
      <c r="F627" s="3" t="str">
        <f>"614 359 2566"</f>
        <v>614 359 2566</v>
      </c>
      <c r="G627" s="3">
        <v>238390</v>
      </c>
      <c r="H627" s="3" t="s">
        <v>2109</v>
      </c>
    </row>
    <row r="628" spans="1:8" ht="77.25" x14ac:dyDescent="0.25">
      <c r="A628" s="3" t="s">
        <v>2110</v>
      </c>
      <c r="B628" s="3"/>
      <c r="C628" s="3" t="str">
        <f>"High rise Window Cleaning, interior and exterior lower level window cleaning, high pressure wash, commercial and residential building cleaning services, construction site clean up, air duct cleaning, carpet cleaning, interior and exterior painting."</f>
        <v>High rise Window Cleaning, interior and exterior lower level window cleaning, high pressure wash, commercial and residential building cleaning services, construction site clean up, air duct cleaning, carpet cleaning, interior and exterior painting.</v>
      </c>
      <c r="D628" s="3" t="s">
        <v>2111</v>
      </c>
      <c r="E628" s="3" t="s">
        <v>2112</v>
      </c>
      <c r="F628" s="3" t="str">
        <f>"317-845-7400"</f>
        <v>317-845-7400</v>
      </c>
      <c r="G628" s="3">
        <v>561790</v>
      </c>
      <c r="H628" s="3" t="s">
        <v>2113</v>
      </c>
    </row>
    <row r="629" spans="1:8" ht="90" x14ac:dyDescent="0.25">
      <c r="A629" s="3" t="s">
        <v>2114</v>
      </c>
      <c r="B629" s="3"/>
      <c r="C629" s="3" t="str">
        <f>"AMS is involved in the following business activities: Fabrication, instillation, manufacturing materials, and supplies production of required custom components. Performing necessary research and development for custom tooling and manufacturing orders."</f>
        <v>AMS is involved in the following business activities: Fabrication, instillation, manufacturing materials, and supplies production of required custom components. Performing necessary research and development for custom tooling and manufacturing orders.</v>
      </c>
      <c r="D629" s="3" t="s">
        <v>9</v>
      </c>
      <c r="E629" s="3" t="s">
        <v>46</v>
      </c>
      <c r="F629" s="3" t="str">
        <f>"812-799-9219"</f>
        <v>812-799-9219</v>
      </c>
      <c r="G629" s="3">
        <v>333514</v>
      </c>
      <c r="H629" s="3" t="s">
        <v>2115</v>
      </c>
    </row>
    <row r="630" spans="1:8" ht="141" x14ac:dyDescent="0.25">
      <c r="A630" s="3" t="s">
        <v>2116</v>
      </c>
      <c r="B630" s="3"/>
      <c r="C630" s="3" t="s">
        <v>2117</v>
      </c>
      <c r="D630" s="3" t="s">
        <v>9</v>
      </c>
      <c r="E630" s="3" t="s">
        <v>2118</v>
      </c>
      <c r="F630" s="3" t="str">
        <f>"(317) 578 7578"</f>
        <v>(317) 578 7578</v>
      </c>
      <c r="G630" s="3">
        <v>3391</v>
      </c>
      <c r="H630" s="3" t="s">
        <v>2119</v>
      </c>
    </row>
    <row r="631" spans="1:8" ht="26.25" x14ac:dyDescent="0.25">
      <c r="A631" s="3" t="s">
        <v>2120</v>
      </c>
      <c r="B631" s="3"/>
      <c r="C631" s="3" t="str">
        <f>"Onsite upholstery repair, awning design, and marine seat cushions."</f>
        <v>Onsite upholstery repair, awning design, and marine seat cushions.</v>
      </c>
      <c r="D631" s="3" t="s">
        <v>2121</v>
      </c>
      <c r="E631" s="3" t="s">
        <v>2122</v>
      </c>
      <c r="F631" s="3" t="str">
        <f>"3177535203"</f>
        <v>3177535203</v>
      </c>
      <c r="G631" s="3">
        <v>33</v>
      </c>
      <c r="H631" s="3" t="s">
        <v>999</v>
      </c>
    </row>
    <row r="632" spans="1:8" ht="90" x14ac:dyDescent="0.25">
      <c r="A632" s="3" t="s">
        <v>2123</v>
      </c>
      <c r="B632" s="3"/>
      <c r="C632" s="3" t="s">
        <v>2124</v>
      </c>
      <c r="D632" s="3" t="s">
        <v>2125</v>
      </c>
      <c r="E632" s="3" t="s">
        <v>2126</v>
      </c>
      <c r="F632" s="3" t="str">
        <f>"812-752-7000 X-265"</f>
        <v>812-752-7000 X-265</v>
      </c>
      <c r="G632" s="3">
        <v>3261</v>
      </c>
      <c r="H632" s="3" t="s">
        <v>2127</v>
      </c>
    </row>
    <row r="633" spans="1:8" ht="90" x14ac:dyDescent="0.25">
      <c r="A633" s="3" t="s">
        <v>2128</v>
      </c>
      <c r="B633" s="3"/>
      <c r="C633" s="3" t="str">
        <f>"American Plastic Molding is a ISO 9000:2008 custom injection molder of thermoplastics. We provide molding, contract manufacturing, electro mechanical assembly, insert welding, decorating, vibration/sonic welding, machining, toolmaking and prototypes."</f>
        <v>American Plastic Molding is a ISO 9000:2008 custom injection molder of thermoplastics. We provide molding, contract manufacturing, electro mechanical assembly, insert welding, decorating, vibration/sonic welding, machining, toolmaking and prototypes.</v>
      </c>
      <c r="D633" s="3" t="s">
        <v>2125</v>
      </c>
      <c r="E633" s="3" t="s">
        <v>2126</v>
      </c>
      <c r="F633" s="3" t="str">
        <f>"812-752-7000"</f>
        <v>812-752-7000</v>
      </c>
      <c r="G633" s="3">
        <v>326199</v>
      </c>
      <c r="H633" s="3" t="s">
        <v>2129</v>
      </c>
    </row>
    <row r="634" spans="1:8" ht="90" x14ac:dyDescent="0.25">
      <c r="A634" s="3" t="s">
        <v>2130</v>
      </c>
      <c r="B634" s="3"/>
      <c r="C634" s="3" t="s">
        <v>2131</v>
      </c>
      <c r="D634" s="3" t="s">
        <v>2132</v>
      </c>
      <c r="E634" s="3" t="s">
        <v>2133</v>
      </c>
      <c r="F634" s="3" t="str">
        <f>"(317) 684-1441"</f>
        <v>(317) 684-1441</v>
      </c>
      <c r="G634" s="3">
        <v>624230</v>
      </c>
      <c r="H634" s="3" t="s">
        <v>1984</v>
      </c>
    </row>
    <row r="635" spans="1:8" ht="77.25" x14ac:dyDescent="0.25">
      <c r="A635" s="3" t="s">
        <v>2130</v>
      </c>
      <c r="B635" s="3"/>
      <c r="C635" s="3" t="str">
        <f>"non profit, community service organization providing training in: CPR, first aid, universal precautions, family caregiving, babysitting, swimming, lifeguarding, HIV/AIDs prevention, and disaster prepardness."</f>
        <v>non profit, community service organization providing training in: CPR, first aid, universal precautions, family caregiving, babysitting, swimming, lifeguarding, HIV/AIDs prevention, and disaster prepardness.</v>
      </c>
      <c r="D635" s="3" t="s">
        <v>2134</v>
      </c>
      <c r="E635" s="3" t="s">
        <v>2135</v>
      </c>
      <c r="F635" s="3" t="str">
        <f>"812-471-7200"</f>
        <v>812-471-7200</v>
      </c>
      <c r="G635" s="3">
        <v>611699</v>
      </c>
      <c r="H635" s="3" t="s">
        <v>2136</v>
      </c>
    </row>
    <row r="636" spans="1:8" ht="255.75" x14ac:dyDescent="0.25">
      <c r="A636" s="3" t="s">
        <v>2137</v>
      </c>
      <c r="B636" s="3"/>
      <c r="C636" s="3" t="s">
        <v>2138</v>
      </c>
      <c r="D636" s="3" t="s">
        <v>2139</v>
      </c>
      <c r="E636" s="3" t="s">
        <v>46</v>
      </c>
      <c r="F636" s="3" t="str">
        <f>"317-913-7179"</f>
        <v>317-913-7179</v>
      </c>
      <c r="G636" s="3">
        <v>524210</v>
      </c>
      <c r="H636" s="3" t="s">
        <v>1183</v>
      </c>
    </row>
    <row r="637" spans="1:8" ht="90" x14ac:dyDescent="0.25">
      <c r="A637" s="3" t="s">
        <v>2140</v>
      </c>
      <c r="B637" s="3"/>
      <c r="C637" s="3" t="s">
        <v>2141</v>
      </c>
      <c r="D637" s="3" t="s">
        <v>2142</v>
      </c>
      <c r="E637" s="3" t="s">
        <v>2143</v>
      </c>
      <c r="F637" s="3" t="str">
        <f>"317 413 9667"</f>
        <v>317 413 9667</v>
      </c>
      <c r="G637" s="3">
        <v>238160</v>
      </c>
      <c r="H637" s="3" t="s">
        <v>144</v>
      </c>
    </row>
    <row r="638" spans="1:8" ht="39" x14ac:dyDescent="0.25">
      <c r="A638" s="3" t="s">
        <v>2144</v>
      </c>
      <c r="B638" s="3"/>
      <c r="C638" s="3" t="str">
        <f>"Providers of Wire Rope, Chain, Synthetic Nylon Slings, Wire Rope Slings, Chain Slings, Hoists, and all associated fittings."</f>
        <v>Providers of Wire Rope, Chain, Synthetic Nylon Slings, Wire Rope Slings, Chain Slings, Hoists, and all associated fittings.</v>
      </c>
      <c r="D638" s="3" t="s">
        <v>2145</v>
      </c>
      <c r="E638" s="3" t="s">
        <v>2146</v>
      </c>
      <c r="F638" s="3" t="str">
        <f>"317-634-2545"</f>
        <v>317-634-2545</v>
      </c>
      <c r="G638" s="3">
        <v>238290</v>
      </c>
      <c r="H638" s="3" t="s">
        <v>237</v>
      </c>
    </row>
    <row r="639" spans="1:8" ht="26.25" x14ac:dyDescent="0.25">
      <c r="A639" s="3" t="s">
        <v>2147</v>
      </c>
      <c r="B639" s="3"/>
      <c r="C639" s="3" t="str">
        <f>"Floorcovering retailer and laminate countertop fabricator."</f>
        <v>Floorcovering retailer and laminate countertop fabricator.</v>
      </c>
      <c r="D639" s="3" t="s">
        <v>2148</v>
      </c>
      <c r="E639" s="3" t="s">
        <v>2149</v>
      </c>
      <c r="F639" s="3" t="str">
        <f>"812-232-6923"</f>
        <v>812-232-6923</v>
      </c>
      <c r="G639" s="3">
        <v>326192</v>
      </c>
      <c r="H639" s="3" t="s">
        <v>2150</v>
      </c>
    </row>
    <row r="640" spans="1:8" ht="128.25" x14ac:dyDescent="0.25">
      <c r="A640" s="3" t="s">
        <v>2151</v>
      </c>
      <c r="B640" s="3"/>
      <c r="C640" s="3" t="s">
        <v>2152</v>
      </c>
      <c r="D640" s="3" t="s">
        <v>2153</v>
      </c>
      <c r="E640" s="3" t="s">
        <v>2154</v>
      </c>
      <c r="F640" s="3" t="str">
        <f>"812-247-3003"</f>
        <v>812-247-3003</v>
      </c>
      <c r="G640" s="3">
        <v>113210</v>
      </c>
      <c r="H640" s="3" t="s">
        <v>2155</v>
      </c>
    </row>
    <row r="641" spans="1:8" ht="141" x14ac:dyDescent="0.25">
      <c r="A641" s="3" t="s">
        <v>2156</v>
      </c>
      <c r="B641" s="3"/>
      <c r="C641" s="3" t="s">
        <v>2157</v>
      </c>
      <c r="D641" s="3" t="s">
        <v>2158</v>
      </c>
      <c r="E641" s="3" t="s">
        <v>2159</v>
      </c>
      <c r="F641" s="3" t="str">
        <f>"765-483-9514"</f>
        <v>765-483-9514</v>
      </c>
      <c r="G641" s="3">
        <v>335</v>
      </c>
      <c r="H641" s="3" t="s">
        <v>2160</v>
      </c>
    </row>
    <row r="642" spans="1:8" ht="39" x14ac:dyDescent="0.25">
      <c r="A642" s="3" t="s">
        <v>2161</v>
      </c>
      <c r="B642" s="3"/>
      <c r="C642" s="3" t="str">
        <f>"Real Estate Appraisal Services"</f>
        <v>Real Estate Appraisal Services</v>
      </c>
      <c r="D642" s="3" t="s">
        <v>2162</v>
      </c>
      <c r="E642" s="3" t="s">
        <v>2163</v>
      </c>
      <c r="F642" s="3" t="str">
        <f>"765-288-8493 EXT 209"</f>
        <v>765-288-8493 EXT 209</v>
      </c>
      <c r="G642" s="3">
        <v>531320</v>
      </c>
      <c r="H642" s="3" t="s">
        <v>34</v>
      </c>
    </row>
    <row r="643" spans="1:8" ht="26.25" x14ac:dyDescent="0.25">
      <c r="A643" s="3" t="s">
        <v>2164</v>
      </c>
      <c r="B643" s="3"/>
      <c r="C643" s="3" t="str">
        <f>"Wholesale windows and siding."</f>
        <v>Wholesale windows and siding.</v>
      </c>
      <c r="D643" s="3" t="s">
        <v>9</v>
      </c>
      <c r="E643" s="3" t="s">
        <v>46</v>
      </c>
      <c r="F643" s="3" t="str">
        <f>"812-464-8781"</f>
        <v>812-464-8781</v>
      </c>
      <c r="G643" s="3">
        <v>42</v>
      </c>
      <c r="H643" s="3" t="s">
        <v>674</v>
      </c>
    </row>
    <row r="644" spans="1:8" ht="39" x14ac:dyDescent="0.25">
      <c r="A644" s="3" t="s">
        <v>2165</v>
      </c>
      <c r="B644" s="3"/>
      <c r="C644" s="3" t="str">
        <f>"Engineering, Architecture, Consulting, &amp; Project Management ""We Engineer Your Future"""</f>
        <v>Engineering, Architecture, Consulting, &amp; Project Management "We Engineer Your Future"</v>
      </c>
      <c r="D644" s="3" t="s">
        <v>2166</v>
      </c>
      <c r="E644" s="3" t="s">
        <v>2167</v>
      </c>
      <c r="F644" s="3" t="str">
        <f>"812-473-1905"</f>
        <v>812-473-1905</v>
      </c>
      <c r="G644" s="3">
        <v>541330</v>
      </c>
      <c r="H644" s="3" t="s">
        <v>82</v>
      </c>
    </row>
    <row r="645" spans="1:8" ht="26.25" x14ac:dyDescent="0.25">
      <c r="A645" s="3" t="s">
        <v>2168</v>
      </c>
      <c r="B645" s="3"/>
      <c r="C645" s="3" t="str">
        <f>"Service on automotive shop equipment. Such as hydraulic lifts, etc."</f>
        <v>Service on automotive shop equipment. Such as hydraulic lifts, etc.</v>
      </c>
      <c r="D645" s="3" t="s">
        <v>2169</v>
      </c>
      <c r="E645" s="3" t="s">
        <v>2170</v>
      </c>
      <c r="F645" s="3" t="str">
        <f>"2195123895"</f>
        <v>2195123895</v>
      </c>
      <c r="G645" s="3">
        <v>811198</v>
      </c>
      <c r="H645" s="3" t="s">
        <v>2171</v>
      </c>
    </row>
    <row r="646" spans="1:8" ht="153.75" x14ac:dyDescent="0.25">
      <c r="A646" s="3" t="s">
        <v>2172</v>
      </c>
      <c r="B646" s="3"/>
      <c r="C646" s="3" t="s">
        <v>2173</v>
      </c>
      <c r="D646" s="3" t="s">
        <v>2174</v>
      </c>
      <c r="E646" s="3" t="s">
        <v>2175</v>
      </c>
      <c r="F646" s="3" t="str">
        <f>"317-698-5717"</f>
        <v>317-698-5717</v>
      </c>
      <c r="G646" s="3">
        <v>541511</v>
      </c>
      <c r="H646" s="3" t="s">
        <v>122</v>
      </c>
    </row>
    <row r="647" spans="1:8" ht="115.5" x14ac:dyDescent="0.25">
      <c r="A647" s="3" t="s">
        <v>2176</v>
      </c>
      <c r="B647" s="3"/>
      <c r="C647" s="3" t="s">
        <v>2177</v>
      </c>
      <c r="D647" s="3" t="s">
        <v>2178</v>
      </c>
      <c r="E647" s="3" t="s">
        <v>2179</v>
      </c>
      <c r="F647" s="3" t="str">
        <f>"260-744-5511"</f>
        <v>260-744-5511</v>
      </c>
      <c r="G647" s="3">
        <v>332312</v>
      </c>
      <c r="H647" s="3" t="s">
        <v>2180</v>
      </c>
    </row>
    <row r="648" spans="1:8" ht="204.75" x14ac:dyDescent="0.25">
      <c r="A648" s="3" t="s">
        <v>2181</v>
      </c>
      <c r="B648" s="3"/>
      <c r="C648" s="3" t="s">
        <v>2182</v>
      </c>
      <c r="D648" s="3" t="s">
        <v>2183</v>
      </c>
      <c r="E648" s="3" t="s">
        <v>2184</v>
      </c>
      <c r="F648" s="3" t="str">
        <f>"574-968-4029"</f>
        <v>574-968-4029</v>
      </c>
      <c r="G648" s="3">
        <v>321999</v>
      </c>
      <c r="H648" s="3" t="s">
        <v>2185</v>
      </c>
    </row>
    <row r="649" spans="1:8" ht="26.25" x14ac:dyDescent="0.25">
      <c r="A649" s="3" t="s">
        <v>2186</v>
      </c>
      <c r="B649" s="3"/>
      <c r="C649" s="3" t="str">
        <f>"appliance and home furnishings store"</f>
        <v>appliance and home furnishings store</v>
      </c>
      <c r="D649" s="3" t="s">
        <v>9</v>
      </c>
      <c r="E649" s="3" t="s">
        <v>46</v>
      </c>
      <c r="F649" s="3" t="str">
        <f>"812-752-4424"</f>
        <v>812-752-4424</v>
      </c>
      <c r="G649" s="3">
        <v>453</v>
      </c>
      <c r="H649" s="3" t="s">
        <v>2187</v>
      </c>
    </row>
    <row r="650" spans="1:8" ht="319.5" x14ac:dyDescent="0.25">
      <c r="A650" s="3" t="s">
        <v>2188</v>
      </c>
      <c r="B650" s="3"/>
      <c r="C650" s="3" t="s">
        <v>2189</v>
      </c>
      <c r="D650" s="3" t="s">
        <v>2190</v>
      </c>
      <c r="E650" s="3" t="s">
        <v>2191</v>
      </c>
      <c r="F650" s="3" t="str">
        <f>"217-268-4504"</f>
        <v>217-268-4504</v>
      </c>
      <c r="G650" s="3">
        <v>442299</v>
      </c>
      <c r="H650" s="3" t="s">
        <v>951</v>
      </c>
    </row>
    <row r="651" spans="1:8" ht="51.75" x14ac:dyDescent="0.25">
      <c r="A651" s="3" t="s">
        <v>2192</v>
      </c>
      <c r="B651" s="3"/>
      <c r="C651" s="3" t="str">
        <f>"Amos-Hill Associates, Inc. is a manufacturer of domestic hardwood veneers. Much of the Company's product is exported out of the United States."</f>
        <v>Amos-Hill Associates, Inc. is a manufacturer of domestic hardwood veneers. Much of the Company's product is exported out of the United States.</v>
      </c>
      <c r="D651" s="3" t="s">
        <v>2193</v>
      </c>
      <c r="E651" s="3" t="s">
        <v>2194</v>
      </c>
      <c r="F651" s="3" t="str">
        <f>"812-526-2671"</f>
        <v>812-526-2671</v>
      </c>
      <c r="G651" s="3">
        <v>321211</v>
      </c>
      <c r="H651" s="3" t="s">
        <v>2195</v>
      </c>
    </row>
    <row r="652" spans="1:8" ht="26.25" x14ac:dyDescent="0.25">
      <c r="A652" s="3" t="s">
        <v>2196</v>
      </c>
      <c r="B652" s="3"/>
      <c r="C652" s="3" t="str">
        <f>"Garment embellishment through embroidery and printing"</f>
        <v>Garment embellishment through embroidery and printing</v>
      </c>
      <c r="D652" s="3" t="s">
        <v>9</v>
      </c>
      <c r="E652" s="3" t="s">
        <v>2197</v>
      </c>
      <c r="F652" s="3" t="str">
        <f>"(877)861-7531-- 0X"</f>
        <v>(877)861-7531-- 0X</v>
      </c>
      <c r="G652" s="3">
        <v>448</v>
      </c>
      <c r="H652" s="3" t="s">
        <v>2198</v>
      </c>
    </row>
    <row r="653" spans="1:8" ht="51.75" x14ac:dyDescent="0.25">
      <c r="A653" s="3" t="s">
        <v>2199</v>
      </c>
      <c r="B653" s="3"/>
      <c r="C653" s="3" t="str">
        <f>"Amtech has provided quality engineering services to Northwest Indiana for 19 years. Services include electrical, mechanical, and civil &amp; structural design."</f>
        <v>Amtech has provided quality engineering services to Northwest Indiana for 19 years. Services include electrical, mechanical, and civil &amp; structural design.</v>
      </c>
      <c r="D653" s="3" t="s">
        <v>2200</v>
      </c>
      <c r="E653" s="3" t="s">
        <v>2201</v>
      </c>
      <c r="F653" s="3" t="str">
        <f>"219-963-1900"</f>
        <v>219-963-1900</v>
      </c>
      <c r="G653" s="3">
        <v>54133</v>
      </c>
      <c r="H653" s="3" t="s">
        <v>82</v>
      </c>
    </row>
    <row r="654" spans="1:8" ht="230.25" x14ac:dyDescent="0.25">
      <c r="A654" s="3" t="s">
        <v>2202</v>
      </c>
      <c r="B654" s="3"/>
      <c r="C654" s="3" t="s">
        <v>2203</v>
      </c>
      <c r="D654" s="3" t="s">
        <v>2204</v>
      </c>
      <c r="E654" s="3" t="s">
        <v>2205</v>
      </c>
      <c r="F654" s="3" t="str">
        <f>"812-424-4357"</f>
        <v>812-424-4357</v>
      </c>
      <c r="G654" s="3">
        <v>541512</v>
      </c>
      <c r="H654" s="3" t="s">
        <v>19</v>
      </c>
    </row>
    <row r="655" spans="1:8" ht="77.25" x14ac:dyDescent="0.25">
      <c r="A655" s="3" t="s">
        <v>2206</v>
      </c>
      <c r="B655" s="3"/>
      <c r="C655" s="3" t="str">
        <f>"Amy McAdams is a graphic designer with a clean, attention-getting style. If you want someone who will listen, process, and then simply get the job done well – and for a surprisingly inexpensive price – then Amy McAdams Design is for you."</f>
        <v>Amy McAdams is a graphic designer with a clean, attention-getting style. If you want someone who will listen, process, and then simply get the job done well – and for a surprisingly inexpensive price – then Amy McAdams Design is for you.</v>
      </c>
      <c r="D655" s="3" t="s">
        <v>2207</v>
      </c>
      <c r="E655" s="3" t="s">
        <v>2208</v>
      </c>
      <c r="F655" s="3" t="str">
        <f>"317-727-6446"</f>
        <v>317-727-6446</v>
      </c>
      <c r="G655" s="3">
        <v>541430</v>
      </c>
      <c r="H655" s="3" t="s">
        <v>78</v>
      </c>
    </row>
    <row r="656" spans="1:8" x14ac:dyDescent="0.25">
      <c r="A656" s="3" t="s">
        <v>2209</v>
      </c>
      <c r="B656" s="3"/>
      <c r="C656" s="3" t="str">
        <f>" "</f>
        <v xml:space="preserve"> </v>
      </c>
      <c r="D656" s="3" t="s">
        <v>9</v>
      </c>
      <c r="E656" s="3" t="s">
        <v>46</v>
      </c>
      <c r="F656" s="2"/>
      <c r="G656" s="3">
        <v>6241</v>
      </c>
      <c r="H656" s="3" t="s">
        <v>2210</v>
      </c>
    </row>
    <row r="657" spans="1:8" ht="102.75" x14ac:dyDescent="0.25">
      <c r="A657" s="3" t="s">
        <v>2211</v>
      </c>
      <c r="B657" s="3"/>
      <c r="C657" s="3" t="s">
        <v>2212</v>
      </c>
      <c r="D657" s="3" t="s">
        <v>2213</v>
      </c>
      <c r="E657" s="3" t="s">
        <v>2214</v>
      </c>
      <c r="F657" s="3" t="str">
        <f>"18009062076"</f>
        <v>18009062076</v>
      </c>
      <c r="G657" s="3">
        <v>541511</v>
      </c>
      <c r="H657" s="3" t="s">
        <v>122</v>
      </c>
    </row>
    <row r="658" spans="1:8" ht="39" x14ac:dyDescent="0.25">
      <c r="A658" s="3" t="s">
        <v>2215</v>
      </c>
      <c r="B658" s="3"/>
      <c r="C658" s="3" t="str">
        <f>"Anaclim is a full-service Contract Research Organization (CRO) focusing on minority enrollment and retention in clinical trials."</f>
        <v>Anaclim is a full-service Contract Research Organization (CRO) focusing on minority enrollment and retention in clinical trials.</v>
      </c>
      <c r="D658" s="3" t="s">
        <v>2216</v>
      </c>
      <c r="E658" s="3" t="s">
        <v>2217</v>
      </c>
      <c r="F658" s="3" t="str">
        <f>"317-275-9100"</f>
        <v>317-275-9100</v>
      </c>
      <c r="G658" s="3">
        <v>54172</v>
      </c>
      <c r="H658" s="3" t="s">
        <v>2218</v>
      </c>
    </row>
    <row r="659" spans="1:8" ht="77.25" x14ac:dyDescent="0.25">
      <c r="A659" s="3" t="s">
        <v>2219</v>
      </c>
      <c r="B659" s="3"/>
      <c r="C659" s="3" t="str">
        <f>"Analytech is a consulting services firm that helps clients analyze, develop and manage their information needs. We provide complete business solutions for your Web, Client/Server and mainframe-based environments."</f>
        <v>Analytech is a consulting services firm that helps clients analyze, develop and manage their information needs. We provide complete business solutions for your Web, Client/Server and mainframe-based environments.</v>
      </c>
      <c r="D659" s="3" t="s">
        <v>2220</v>
      </c>
      <c r="E659" s="3" t="s">
        <v>2221</v>
      </c>
      <c r="F659" s="3" t="str">
        <f>"219-736-6556"</f>
        <v>219-736-6556</v>
      </c>
      <c r="G659" s="3">
        <v>541511</v>
      </c>
      <c r="H659" s="3" t="s">
        <v>122</v>
      </c>
    </row>
    <row r="660" spans="1:8" ht="26.25" x14ac:dyDescent="0.25">
      <c r="A660" s="3" t="s">
        <v>2222</v>
      </c>
      <c r="B660" s="3"/>
      <c r="C660" s="2"/>
      <c r="D660" s="3" t="s">
        <v>9</v>
      </c>
      <c r="E660" s="3" t="s">
        <v>2223</v>
      </c>
      <c r="F660" s="2"/>
      <c r="G660" s="3">
        <v>54161</v>
      </c>
      <c r="H660" s="3" t="s">
        <v>1221</v>
      </c>
    </row>
    <row r="661" spans="1:8" ht="26.25" x14ac:dyDescent="0.25">
      <c r="A661" s="3" t="s">
        <v>2222</v>
      </c>
      <c r="B661" s="3"/>
      <c r="C661" s="2"/>
      <c r="D661" s="3" t="s">
        <v>9</v>
      </c>
      <c r="E661" s="3" t="s">
        <v>2223</v>
      </c>
      <c r="F661" s="3" t="str">
        <f>"(317) 371-7262"</f>
        <v>(317) 371-7262</v>
      </c>
      <c r="G661" s="3">
        <v>54161</v>
      </c>
      <c r="H661" s="3" t="s">
        <v>1221</v>
      </c>
    </row>
    <row r="662" spans="1:8" ht="26.25" x14ac:dyDescent="0.25">
      <c r="A662" s="3" t="s">
        <v>2224</v>
      </c>
      <c r="B662" s="3"/>
      <c r="C662" s="3" t="str">
        <f>" "</f>
        <v xml:space="preserve"> </v>
      </c>
      <c r="D662" s="3" t="s">
        <v>9</v>
      </c>
      <c r="E662" s="3" t="s">
        <v>2225</v>
      </c>
      <c r="F662" s="3" t="str">
        <f>"765-529-2444"</f>
        <v>765-529-2444</v>
      </c>
      <c r="G662" s="3">
        <v>23599</v>
      </c>
      <c r="H662" s="3" t="s">
        <v>248</v>
      </c>
    </row>
    <row r="663" spans="1:8" ht="77.25" x14ac:dyDescent="0.25">
      <c r="A663" s="3" t="s">
        <v>2226</v>
      </c>
      <c r="B663" s="3"/>
      <c r="C663" s="3" t="str">
        <f>"Anchor Industries, Inc. is a leading manufacturer of sewn and heat sealed fabric products. Our major product lines include Tents and Fabric Structures, Outdoor Amusement Products, Awnings, Pool Covers and Contract Sewing."</f>
        <v>Anchor Industries, Inc. is a leading manufacturer of sewn and heat sealed fabric products. Our major product lines include Tents and Fabric Structures, Outdoor Amusement Products, Awnings, Pool Covers and Contract Sewing.</v>
      </c>
      <c r="D663" s="3" t="s">
        <v>2227</v>
      </c>
      <c r="E663" s="3" t="s">
        <v>46</v>
      </c>
      <c r="F663" s="3" t="str">
        <f>"812-867-2421"</f>
        <v>812-867-2421</v>
      </c>
      <c r="G663" s="3">
        <v>314</v>
      </c>
      <c r="H663" s="3" t="s">
        <v>2228</v>
      </c>
    </row>
    <row r="664" spans="1:8" ht="102.75" x14ac:dyDescent="0.25">
      <c r="A664" s="3" t="s">
        <v>2229</v>
      </c>
      <c r="B664" s="3"/>
      <c r="C664" s="3" t="s">
        <v>2230</v>
      </c>
      <c r="D664" s="3" t="s">
        <v>2231</v>
      </c>
      <c r="E664" s="3" t="s">
        <v>2232</v>
      </c>
      <c r="F664" s="3" t="str">
        <f>"317 225 4141"</f>
        <v>317 225 4141</v>
      </c>
      <c r="G664" s="3">
        <v>518</v>
      </c>
      <c r="H664" s="3" t="s">
        <v>1003</v>
      </c>
    </row>
    <row r="665" spans="1:8" ht="39" x14ac:dyDescent="0.25">
      <c r="A665" s="3" t="s">
        <v>2233</v>
      </c>
      <c r="B665" s="3"/>
      <c r="C665" s="3" t="str">
        <f>"Provide cable ties, twist ties, security seals, tag attaching products, and custom printing services for cable ties and security seals."</f>
        <v>Provide cable ties, twist ties, security seals, tag attaching products, and custom printing services for cable ties and security seals.</v>
      </c>
      <c r="D665" s="3" t="s">
        <v>2234</v>
      </c>
      <c r="E665" s="3" t="s">
        <v>2235</v>
      </c>
      <c r="F665" s="3" t="str">
        <f>"800-622-7525"</f>
        <v>800-622-7525</v>
      </c>
      <c r="G665" s="3">
        <v>3399</v>
      </c>
      <c r="H665" s="3" t="s">
        <v>2236</v>
      </c>
    </row>
    <row r="666" spans="1:8" ht="268.5" x14ac:dyDescent="0.25">
      <c r="A666" s="3" t="s">
        <v>2237</v>
      </c>
      <c r="B666" s="3"/>
      <c r="C666" s="3" t="s">
        <v>2238</v>
      </c>
      <c r="D666" s="3" t="s">
        <v>2239</v>
      </c>
      <c r="E666" s="3" t="s">
        <v>2240</v>
      </c>
      <c r="F666" s="3" t="str">
        <f>"317-775-4374"</f>
        <v>317-775-4374</v>
      </c>
      <c r="G666" s="3">
        <v>541320</v>
      </c>
      <c r="H666" s="3" t="s">
        <v>2241</v>
      </c>
    </row>
    <row r="667" spans="1:8" ht="26.25" x14ac:dyDescent="0.25">
      <c r="A667" s="3" t="s">
        <v>2242</v>
      </c>
      <c r="B667" s="3"/>
      <c r="C667" s="3" t="str">
        <f>"We sale promotional items, gifts and incentives programs."</f>
        <v>We sale promotional items, gifts and incentives programs.</v>
      </c>
      <c r="D667" s="3" t="s">
        <v>9</v>
      </c>
      <c r="E667" s="3" t="s">
        <v>2243</v>
      </c>
      <c r="F667" s="3" t="str">
        <f>"317-569-1099"</f>
        <v>317-569-1099</v>
      </c>
      <c r="G667" s="3">
        <v>541890</v>
      </c>
      <c r="H667" s="3" t="s">
        <v>401</v>
      </c>
    </row>
    <row r="668" spans="1:8" ht="39" x14ac:dyDescent="0.25">
      <c r="A668" s="3" t="s">
        <v>2244</v>
      </c>
      <c r="B668" s="3"/>
      <c r="C668" s="3" t="str">
        <f>"We provide general land excavation for building site prep, driveways, erosion control, ponds and waterways."</f>
        <v>We provide general land excavation for building site prep, driveways, erosion control, ponds and waterways.</v>
      </c>
      <c r="D668" s="3" t="s">
        <v>9</v>
      </c>
      <c r="E668" s="3" t="s">
        <v>46</v>
      </c>
      <c r="F668" s="2"/>
      <c r="G668" s="3">
        <v>23593</v>
      </c>
      <c r="H668" s="3" t="s">
        <v>71</v>
      </c>
    </row>
    <row r="669" spans="1:8" x14ac:dyDescent="0.25">
      <c r="A669" s="3" t="s">
        <v>2245</v>
      </c>
      <c r="B669" s="3"/>
      <c r="C669" s="3" t="str">
        <f>" "</f>
        <v xml:space="preserve"> </v>
      </c>
      <c r="D669" s="3" t="s">
        <v>9</v>
      </c>
      <c r="E669" s="3" t="s">
        <v>46</v>
      </c>
      <c r="F669" s="2"/>
      <c r="G669" s="3">
        <v>922160</v>
      </c>
      <c r="H669" s="3" t="s">
        <v>2246</v>
      </c>
    </row>
    <row r="670" spans="1:8" ht="153.75" x14ac:dyDescent="0.25">
      <c r="A670" s="3" t="s">
        <v>2247</v>
      </c>
      <c r="B670" s="3"/>
      <c r="C670" s="3" t="s">
        <v>2248</v>
      </c>
      <c r="D670" s="3" t="s">
        <v>2249</v>
      </c>
      <c r="E670" s="3" t="s">
        <v>2250</v>
      </c>
      <c r="F670" s="3" t="str">
        <f>"765-648-2889"</f>
        <v>765-648-2889</v>
      </c>
      <c r="G670" s="3">
        <v>611310</v>
      </c>
      <c r="H670" s="3" t="s">
        <v>2063</v>
      </c>
    </row>
    <row r="671" spans="1:8" ht="306.75" x14ac:dyDescent="0.25">
      <c r="A671" s="3" t="s">
        <v>2251</v>
      </c>
      <c r="B671" s="3"/>
      <c r="C671" s="3" t="s">
        <v>2252</v>
      </c>
      <c r="D671" s="3" t="s">
        <v>9</v>
      </c>
      <c r="E671" s="3" t="s">
        <v>2253</v>
      </c>
      <c r="F671" s="3" t="str">
        <f>"317-919-2464"</f>
        <v>317-919-2464</v>
      </c>
      <c r="G671" s="3">
        <v>233</v>
      </c>
      <c r="H671" s="3" t="s">
        <v>131</v>
      </c>
    </row>
    <row r="672" spans="1:8" ht="26.25" x14ac:dyDescent="0.25">
      <c r="A672" s="3" t="s">
        <v>2254</v>
      </c>
      <c r="B672" s="3"/>
      <c r="C672" s="3" t="str">
        <f>"John Deere, Honda Powersports, Stihl"</f>
        <v>John Deere, Honda Powersports, Stihl</v>
      </c>
      <c r="D672" s="3" t="s">
        <v>850</v>
      </c>
      <c r="E672" s="3" t="s">
        <v>2255</v>
      </c>
      <c r="F672" s="3" t="str">
        <f>"8122734262"</f>
        <v>8122734262</v>
      </c>
      <c r="G672" s="3">
        <v>11</v>
      </c>
      <c r="H672" s="3" t="s">
        <v>175</v>
      </c>
    </row>
    <row r="673" spans="1:8" ht="51.75" x14ac:dyDescent="0.25">
      <c r="A673" s="3" t="s">
        <v>2256</v>
      </c>
      <c r="B673" s="3"/>
      <c r="C673" s="3" t="str">
        <f>"We do residential, commercial, and industrial plumbing work. We do service work, new construction, and remodel. We also work with pumps and gas piping."</f>
        <v>We do residential, commercial, and industrial plumbing work. We do service work, new construction, and remodel. We also work with pumps and gas piping.</v>
      </c>
      <c r="D673" s="3" t="s">
        <v>9</v>
      </c>
      <c r="E673" s="3" t="s">
        <v>46</v>
      </c>
      <c r="F673" s="3" t="str">
        <f>"812-346-1626"</f>
        <v>812-346-1626</v>
      </c>
      <c r="G673" s="3">
        <v>238220</v>
      </c>
      <c r="H673" s="3" t="s">
        <v>348</v>
      </c>
    </row>
    <row r="674" spans="1:8" ht="39" x14ac:dyDescent="0.25">
      <c r="A674" s="3" t="s">
        <v>2257</v>
      </c>
      <c r="B674" s="3"/>
      <c r="C674" s="3" t="str">
        <f>"Training, education, consulting, and translation services- specifically in the area of employee benefits"</f>
        <v>Training, education, consulting, and translation services- specifically in the area of employee benefits</v>
      </c>
      <c r="D674" s="3" t="s">
        <v>9</v>
      </c>
      <c r="E674" s="3" t="s">
        <v>2258</v>
      </c>
      <c r="F674" s="3" t="str">
        <f>"317-925-1762"</f>
        <v>317-925-1762</v>
      </c>
      <c r="G674" s="3">
        <v>611710</v>
      </c>
      <c r="H674" s="3" t="s">
        <v>508</v>
      </c>
    </row>
    <row r="675" spans="1:8" ht="39" x14ac:dyDescent="0.25">
      <c r="A675" s="3" t="s">
        <v>2259</v>
      </c>
      <c r="B675" s="3"/>
      <c r="C675" s="3" t="str">
        <f>"Complete interior painting, including faux finishes and murals. Turn your ordinary into extraordinary!"</f>
        <v>Complete interior painting, including faux finishes and murals. Turn your ordinary into extraordinary!</v>
      </c>
      <c r="D675" s="3" t="s">
        <v>2260</v>
      </c>
      <c r="E675" s="3" t="s">
        <v>2261</v>
      </c>
      <c r="F675" s="3" t="str">
        <f>"5024391777"</f>
        <v>5024391777</v>
      </c>
      <c r="G675" s="3">
        <v>23521</v>
      </c>
      <c r="H675" s="3" t="s">
        <v>462</v>
      </c>
    </row>
    <row r="676" spans="1:8" x14ac:dyDescent="0.25">
      <c r="A676" s="3" t="s">
        <v>2262</v>
      </c>
      <c r="B676" s="3"/>
      <c r="C676" s="3" t="str">
        <f>" "</f>
        <v xml:space="preserve"> </v>
      </c>
      <c r="D676" s="3" t="s">
        <v>9</v>
      </c>
      <c r="E676" s="3" t="s">
        <v>46</v>
      </c>
      <c r="F676" s="2"/>
      <c r="G676" s="3">
        <v>561611</v>
      </c>
      <c r="H676" s="3" t="s">
        <v>581</v>
      </c>
    </row>
    <row r="677" spans="1:8" x14ac:dyDescent="0.25">
      <c r="A677" s="3" t="s">
        <v>2263</v>
      </c>
      <c r="B677" s="3"/>
      <c r="C677" s="3" t="str">
        <f>"We offer janitorial services."</f>
        <v>We offer janitorial services.</v>
      </c>
      <c r="D677" s="3" t="s">
        <v>9</v>
      </c>
      <c r="E677" s="3" t="s">
        <v>46</v>
      </c>
      <c r="F677" s="2"/>
      <c r="G677" s="3">
        <v>561720</v>
      </c>
      <c r="H677" s="3" t="s">
        <v>222</v>
      </c>
    </row>
    <row r="678" spans="1:8" ht="102.75" x14ac:dyDescent="0.25">
      <c r="A678" s="3" t="s">
        <v>2264</v>
      </c>
      <c r="B678" s="3"/>
      <c r="C678" s="3" t="s">
        <v>2265</v>
      </c>
      <c r="D678" s="3" t="s">
        <v>9</v>
      </c>
      <c r="E678" s="3" t="s">
        <v>2266</v>
      </c>
      <c r="F678" s="3" t="str">
        <f>"1-812-389-2448"</f>
        <v>1-812-389-2448</v>
      </c>
      <c r="G678" s="3">
        <v>112511</v>
      </c>
      <c r="H678" s="3" t="s">
        <v>2267</v>
      </c>
    </row>
    <row r="679" spans="1:8" ht="77.25" x14ac:dyDescent="0.25">
      <c r="A679" s="3" t="s">
        <v>2268</v>
      </c>
      <c r="B679" s="3"/>
      <c r="C679" s="3" t="str">
        <f>"Provider of Civil Engineering and Land Surveying services. Major Subdivision design, sanitary sewer extension, site development, boundary and topographical surveying are some of our principal services."</f>
        <v>Provider of Civil Engineering and Land Surveying services. Major Subdivision design, sanitary sewer extension, site development, boundary and topographical surveying are some of our principal services.</v>
      </c>
      <c r="D679" s="3" t="s">
        <v>2269</v>
      </c>
      <c r="E679" s="3" t="s">
        <v>2270</v>
      </c>
      <c r="F679" s="3" t="str">
        <f>"812-424-2481"</f>
        <v>812-424-2481</v>
      </c>
      <c r="G679" s="3">
        <v>541330</v>
      </c>
      <c r="H679" s="3" t="s">
        <v>82</v>
      </c>
    </row>
    <row r="680" spans="1:8" ht="141" x14ac:dyDescent="0.25">
      <c r="A680" s="3" t="s">
        <v>2271</v>
      </c>
      <c r="B680" s="3"/>
      <c r="C680" s="3" t="s">
        <v>2272</v>
      </c>
      <c r="D680" s="3" t="s">
        <v>9</v>
      </c>
      <c r="E680" s="3" t="s">
        <v>2273</v>
      </c>
      <c r="F680" s="3" t="str">
        <f>"260-482-5638"</f>
        <v>260-482-5638</v>
      </c>
      <c r="G680" s="3">
        <v>561720</v>
      </c>
      <c r="H680" s="3" t="s">
        <v>222</v>
      </c>
    </row>
    <row r="681" spans="1:8" ht="217.5" x14ac:dyDescent="0.25">
      <c r="A681" s="3" t="s">
        <v>2274</v>
      </c>
      <c r="B681" s="3"/>
      <c r="C681" s="3" t="s">
        <v>2275</v>
      </c>
      <c r="D681" s="3" t="s">
        <v>9</v>
      </c>
      <c r="E681" s="3" t="s">
        <v>2276</v>
      </c>
      <c r="F681" s="3" t="str">
        <f>"317-566-1546"</f>
        <v>317-566-1546</v>
      </c>
      <c r="G681" s="3">
        <v>531320</v>
      </c>
      <c r="H681" s="3" t="s">
        <v>34</v>
      </c>
    </row>
    <row r="682" spans="1:8" ht="26.25" x14ac:dyDescent="0.25">
      <c r="A682" s="3" t="s">
        <v>2277</v>
      </c>
      <c r="B682" s="3"/>
      <c r="C682" s="2"/>
      <c r="D682" s="3" t="s">
        <v>9</v>
      </c>
      <c r="E682" s="3" t="s">
        <v>46</v>
      </c>
      <c r="F682" s="3" t="str">
        <f>"708-983-6600"</f>
        <v>708-983-6600</v>
      </c>
      <c r="G682" s="3">
        <v>562910</v>
      </c>
      <c r="H682" s="3" t="s">
        <v>2278</v>
      </c>
    </row>
    <row r="683" spans="1:8" ht="26.25" x14ac:dyDescent="0.25">
      <c r="A683" s="3" t="s">
        <v>2279</v>
      </c>
      <c r="B683" s="3"/>
      <c r="C683" s="3" t="str">
        <f>"Production and delivery of 20 oz , 3 &amp; 5 Gallon pure drinking water."</f>
        <v>Production and delivery of 20 oz , 3 &amp; 5 Gallon pure drinking water.</v>
      </c>
      <c r="D683" s="3" t="s">
        <v>2280</v>
      </c>
      <c r="E683" s="3" t="s">
        <v>2281</v>
      </c>
      <c r="F683" s="3" t="str">
        <f>"812-939-9107"</f>
        <v>812-939-9107</v>
      </c>
      <c r="G683" s="3">
        <v>312112</v>
      </c>
      <c r="H683" s="3" t="s">
        <v>2282</v>
      </c>
    </row>
    <row r="684" spans="1:8" ht="51.75" x14ac:dyDescent="0.25">
      <c r="A684" s="3" t="s">
        <v>2283</v>
      </c>
      <c r="B684" s="3"/>
      <c r="C684" s="3" t="str">
        <f>"Complete tree and lawn care program by certified arborist with 30 years experience in Indiana. Please note we do not do lawn mowing."</f>
        <v>Complete tree and lawn care program by certified arborist with 30 years experience in Indiana. Please note we do not do lawn mowing.</v>
      </c>
      <c r="D684" s="3" t="s">
        <v>2284</v>
      </c>
      <c r="E684" s="3" t="s">
        <v>2285</v>
      </c>
      <c r="F684" s="3" t="str">
        <f>"317-347-0533"</f>
        <v>317-347-0533</v>
      </c>
      <c r="G684" s="3">
        <v>561730</v>
      </c>
      <c r="H684" s="3" t="s">
        <v>65</v>
      </c>
    </row>
    <row r="685" spans="1:8" ht="102.75" x14ac:dyDescent="0.25">
      <c r="A685" s="3" t="s">
        <v>2286</v>
      </c>
      <c r="B685" s="3"/>
      <c r="C685" s="3" t="s">
        <v>2287</v>
      </c>
      <c r="D685" s="3" t="s">
        <v>2288</v>
      </c>
      <c r="E685" s="3" t="s">
        <v>2289</v>
      </c>
      <c r="F685" s="3" t="str">
        <f>"317-691-3304"</f>
        <v>317-691-3304</v>
      </c>
      <c r="G685" s="3">
        <v>624110</v>
      </c>
      <c r="H685" s="3" t="s">
        <v>628</v>
      </c>
    </row>
    <row r="686" spans="1:8" ht="26.25" x14ac:dyDescent="0.25">
      <c r="A686" s="3" t="s">
        <v>2290</v>
      </c>
      <c r="B686" s="3"/>
      <c r="C686" s="3" t="str">
        <f>"Locally owned company that supplies lumber and building materials."</f>
        <v>Locally owned company that supplies lumber and building materials.</v>
      </c>
      <c r="D686" s="3" t="s">
        <v>9</v>
      </c>
      <c r="E686" s="3" t="s">
        <v>46</v>
      </c>
      <c r="F686" s="3" t="str">
        <f>"260-665-3125"</f>
        <v>260-665-3125</v>
      </c>
      <c r="G686" s="3">
        <v>444190</v>
      </c>
      <c r="H686" s="3" t="s">
        <v>1188</v>
      </c>
    </row>
    <row r="687" spans="1:8" ht="26.25" x14ac:dyDescent="0.25">
      <c r="A687" s="3" t="s">
        <v>2291</v>
      </c>
      <c r="B687" s="3"/>
      <c r="C687" s="3" t="str">
        <f>"Animal Welfare"</f>
        <v>Animal Welfare</v>
      </c>
      <c r="D687" s="3" t="s">
        <v>2292</v>
      </c>
      <c r="E687" s="3" t="s">
        <v>2293</v>
      </c>
      <c r="F687" s="3" t="str">
        <f>"812-729-7697"</f>
        <v>812-729-7697</v>
      </c>
      <c r="G687" s="3">
        <v>812910</v>
      </c>
      <c r="H687" s="3" t="s">
        <v>2294</v>
      </c>
    </row>
    <row r="688" spans="1:8" ht="77.25" x14ac:dyDescent="0.25">
      <c r="A688" s="3" t="s">
        <v>2295</v>
      </c>
      <c r="B688" s="3"/>
      <c r="C688" s="3" t="str">
        <f>"cnc turning,cnc milling,conventional milling &amp; turning,wire edm,surface grinding, welding, light fabrication, prototypes, production,sawing,fixturing,machine design and repair,3D CAD design,CAM Programming"</f>
        <v>cnc turning,cnc milling,conventional milling &amp; turning,wire edm,surface grinding, welding, light fabrication, prototypes, production,sawing,fixturing,machine design and repair,3D CAD design,CAM Programming</v>
      </c>
      <c r="D688" s="3" t="s">
        <v>2296</v>
      </c>
      <c r="E688" s="3" t="s">
        <v>2297</v>
      </c>
      <c r="F688" s="3" t="str">
        <f>"765-477-6054"</f>
        <v>765-477-6054</v>
      </c>
      <c r="G688" s="3">
        <v>332710</v>
      </c>
      <c r="H688" s="3" t="s">
        <v>387</v>
      </c>
    </row>
    <row r="689" spans="1:8" ht="51.75" x14ac:dyDescent="0.25">
      <c r="A689" s="3" t="s">
        <v>2298</v>
      </c>
      <c r="B689" s="3"/>
      <c r="C689" s="3" t="str">
        <f>"Business Consultants- assisting businesses in proposal writing, strategic planning,training &amp; development, networking and bid preparation."</f>
        <v>Business Consultants- assisting businesses in proposal writing, strategic planning,training &amp; development, networking and bid preparation.</v>
      </c>
      <c r="D689" s="3" t="s">
        <v>9</v>
      </c>
      <c r="E689" s="3" t="s">
        <v>46</v>
      </c>
      <c r="F689" s="3" t="str">
        <f>"317.802.9484"</f>
        <v>317.802.9484</v>
      </c>
      <c r="G689" s="3">
        <v>541611</v>
      </c>
      <c r="H689" s="3" t="s">
        <v>278</v>
      </c>
    </row>
    <row r="690" spans="1:8" ht="26.25" x14ac:dyDescent="0.25">
      <c r="A690" s="3" t="s">
        <v>2299</v>
      </c>
      <c r="B690" s="3"/>
      <c r="C690" s="3" t="str">
        <f>"sales and installation of carpet, ceramic tile, hardwood, and vinyl flooring"</f>
        <v>sales and installation of carpet, ceramic tile, hardwood, and vinyl flooring</v>
      </c>
      <c r="D690" s="3" t="s">
        <v>9</v>
      </c>
      <c r="E690" s="3" t="s">
        <v>2300</v>
      </c>
      <c r="F690" s="3" t="str">
        <f>"812-879-4204"</f>
        <v>812-879-4204</v>
      </c>
      <c r="G690" s="3">
        <v>442210</v>
      </c>
      <c r="H690" s="3" t="s">
        <v>2301</v>
      </c>
    </row>
    <row r="691" spans="1:8" ht="51.75" x14ac:dyDescent="0.25">
      <c r="A691" s="3" t="s">
        <v>2302</v>
      </c>
      <c r="B691" s="3"/>
      <c r="C691" s="3" t="str">
        <f>"Award-winning Landscape Design, Installation and Maintenance with emphasis on mixed tree, shrub and perennial borders."</f>
        <v>Award-winning Landscape Design, Installation and Maintenance with emphasis on mixed tree, shrub and perennial borders.</v>
      </c>
      <c r="D691" s="3" t="s">
        <v>9</v>
      </c>
      <c r="E691" s="3" t="s">
        <v>46</v>
      </c>
      <c r="F691" s="2"/>
      <c r="G691" s="3">
        <v>541320</v>
      </c>
      <c r="H691" s="3" t="s">
        <v>2241</v>
      </c>
    </row>
    <row r="692" spans="1:8" ht="26.25" x14ac:dyDescent="0.25">
      <c r="A692" s="3" t="s">
        <v>2303</v>
      </c>
      <c r="B692" s="3"/>
      <c r="C692" s="3" t="str">
        <f>"Printing Management Services"</f>
        <v>Printing Management Services</v>
      </c>
      <c r="D692" s="3" t="s">
        <v>9</v>
      </c>
      <c r="E692" s="3" t="s">
        <v>2304</v>
      </c>
      <c r="F692" s="3" t="str">
        <f>"317-979-5317"</f>
        <v>317-979-5317</v>
      </c>
      <c r="G692" s="3">
        <v>561990</v>
      </c>
      <c r="H692" s="3" t="s">
        <v>219</v>
      </c>
    </row>
    <row r="693" spans="1:8" ht="64.5" x14ac:dyDescent="0.25">
      <c r="A693" s="3" t="s">
        <v>2305</v>
      </c>
      <c r="B693" s="3"/>
      <c r="C693" s="3" t="str">
        <f>"I am a consultant dietitan and provide nutrition services to corporations/agencies for the developmental challenged individuals (children and adults) and persons with psychiatric disorders."</f>
        <v>I am a consultant dietitan and provide nutrition services to corporations/agencies for the developmental challenged individuals (children and adults) and persons with psychiatric disorders.</v>
      </c>
      <c r="D693" s="3" t="s">
        <v>9</v>
      </c>
      <c r="E693" s="3" t="s">
        <v>46</v>
      </c>
      <c r="F693" s="3" t="str">
        <f>"765-754-8362"</f>
        <v>765-754-8362</v>
      </c>
      <c r="G693" s="3">
        <v>621399</v>
      </c>
      <c r="H693" s="3" t="s">
        <v>2306</v>
      </c>
    </row>
    <row r="694" spans="1:8" ht="141" x14ac:dyDescent="0.25">
      <c r="A694" s="3" t="s">
        <v>2307</v>
      </c>
      <c r="B694" s="3"/>
      <c r="C694" s="3" t="s">
        <v>2308</v>
      </c>
      <c r="D694" s="3" t="s">
        <v>2309</v>
      </c>
      <c r="E694" s="3" t="s">
        <v>2310</v>
      </c>
      <c r="F694" s="3" t="str">
        <f>"574-293-9000"</f>
        <v>574-293-9000</v>
      </c>
      <c r="G694" s="3">
        <v>4244</v>
      </c>
      <c r="H694" s="3" t="s">
        <v>2311</v>
      </c>
    </row>
    <row r="695" spans="1:8" ht="26.25" x14ac:dyDescent="0.25">
      <c r="A695" s="3" t="s">
        <v>2312</v>
      </c>
      <c r="B695" s="3"/>
      <c r="C695" s="3" t="str">
        <f>"Printing business cards, letterhead, envelopes, newsletters, brochures, ect."</f>
        <v>Printing business cards, letterhead, envelopes, newsletters, brochures, ect.</v>
      </c>
      <c r="D695" s="3" t="s">
        <v>9</v>
      </c>
      <c r="E695" s="3" t="s">
        <v>2313</v>
      </c>
      <c r="F695" s="3" t="str">
        <f>"765-623-5822"</f>
        <v>765-623-5822</v>
      </c>
      <c r="G695" s="3">
        <v>32311</v>
      </c>
      <c r="H695" s="3" t="s">
        <v>531</v>
      </c>
    </row>
    <row r="696" spans="1:8" ht="102.75" x14ac:dyDescent="0.25">
      <c r="A696" s="3" t="s">
        <v>2314</v>
      </c>
      <c r="B696" s="3"/>
      <c r="C696" s="3" t="s">
        <v>2315</v>
      </c>
      <c r="D696" s="3" t="s">
        <v>9</v>
      </c>
      <c r="E696" s="3" t="s">
        <v>2316</v>
      </c>
      <c r="F696" s="3" t="str">
        <f>"317-458-0199"</f>
        <v>317-458-0199</v>
      </c>
      <c r="G696" s="3">
        <v>541990</v>
      </c>
      <c r="H696" s="3" t="s">
        <v>378</v>
      </c>
    </row>
    <row r="697" spans="1:8" ht="26.25" x14ac:dyDescent="0.25">
      <c r="A697" s="3" t="s">
        <v>2317</v>
      </c>
      <c r="B697" s="3"/>
      <c r="C697" s="3" t="str">
        <f>"catering service"</f>
        <v>catering service</v>
      </c>
      <c r="D697" s="3" t="s">
        <v>9</v>
      </c>
      <c r="E697" s="3" t="s">
        <v>2318</v>
      </c>
      <c r="F697" s="3" t="str">
        <f>"317-398-9266"</f>
        <v>317-398-9266</v>
      </c>
      <c r="G697" s="3">
        <v>722110</v>
      </c>
      <c r="H697" s="3" t="s">
        <v>1307</v>
      </c>
    </row>
    <row r="698" spans="1:8" ht="90" x14ac:dyDescent="0.25">
      <c r="A698" s="3" t="s">
        <v>2319</v>
      </c>
      <c r="B698" s="3"/>
      <c r="C698" s="3" t="s">
        <v>2320</v>
      </c>
      <c r="D698" s="3" t="s">
        <v>2321</v>
      </c>
      <c r="E698" s="3" t="s">
        <v>2322</v>
      </c>
      <c r="F698" s="3" t="str">
        <f>"317-850-6696"</f>
        <v>317-850-6696</v>
      </c>
      <c r="G698" s="3">
        <v>541930</v>
      </c>
      <c r="H698" s="3" t="s">
        <v>971</v>
      </c>
    </row>
    <row r="699" spans="1:8" ht="26.25" x14ac:dyDescent="0.25">
      <c r="A699" s="3" t="s">
        <v>2323</v>
      </c>
      <c r="B699" s="3"/>
      <c r="C699" s="3" t="str">
        <f>"Computer software development services"</f>
        <v>Computer software development services</v>
      </c>
      <c r="D699" s="3" t="s">
        <v>9</v>
      </c>
      <c r="E699" s="3" t="s">
        <v>2324</v>
      </c>
      <c r="F699" s="3" t="str">
        <f>"812-284-5527"</f>
        <v>812-284-5527</v>
      </c>
      <c r="G699" s="3">
        <v>541511</v>
      </c>
      <c r="H699" s="3" t="s">
        <v>122</v>
      </c>
    </row>
    <row r="700" spans="1:8" ht="128.25" x14ac:dyDescent="0.25">
      <c r="A700" s="3" t="s">
        <v>2325</v>
      </c>
      <c r="B700" s="3"/>
      <c r="C700" s="3" t="s">
        <v>2326</v>
      </c>
      <c r="D700" s="3" t="s">
        <v>9</v>
      </c>
      <c r="E700" s="3" t="s">
        <v>2327</v>
      </c>
      <c r="F700" s="3" t="str">
        <f>"317-241-2051"</f>
        <v>317-241-2051</v>
      </c>
      <c r="G700" s="3">
        <v>236</v>
      </c>
      <c r="H700" s="3" t="s">
        <v>291</v>
      </c>
    </row>
    <row r="701" spans="1:8" ht="26.25" x14ac:dyDescent="0.25">
      <c r="A701" s="3" t="s">
        <v>2328</v>
      </c>
      <c r="B701" s="3"/>
      <c r="C701" s="2"/>
      <c r="D701" s="3" t="s">
        <v>2329</v>
      </c>
      <c r="E701" s="3" t="s">
        <v>46</v>
      </c>
      <c r="F701" s="3" t="str">
        <f>"317-488-6000"</f>
        <v>317-488-6000</v>
      </c>
      <c r="G701" s="3">
        <v>5241</v>
      </c>
      <c r="H701" s="3" t="s">
        <v>822</v>
      </c>
    </row>
    <row r="702" spans="1:8" ht="26.25" x14ac:dyDescent="0.25">
      <c r="A702" s="3" t="s">
        <v>2330</v>
      </c>
      <c r="B702" s="3"/>
      <c r="C702" s="2"/>
      <c r="D702" s="3" t="s">
        <v>2331</v>
      </c>
      <c r="E702" s="3" t="s">
        <v>46</v>
      </c>
      <c r="F702" s="3" t="str">
        <f>"812-882-2065"</f>
        <v>812-882-2065</v>
      </c>
      <c r="G702" s="3">
        <v>23511</v>
      </c>
      <c r="H702" s="3" t="s">
        <v>892</v>
      </c>
    </row>
    <row r="703" spans="1:8" ht="128.25" x14ac:dyDescent="0.25">
      <c r="A703" s="3" t="s">
        <v>2332</v>
      </c>
      <c r="B703" s="3"/>
      <c r="C703" s="3" t="s">
        <v>2333</v>
      </c>
      <c r="D703" s="3" t="s">
        <v>9</v>
      </c>
      <c r="E703" s="3" t="s">
        <v>46</v>
      </c>
      <c r="F703" s="3" t="str">
        <f>"3175418276"</f>
        <v>3175418276</v>
      </c>
      <c r="G703" s="3">
        <v>23521</v>
      </c>
      <c r="H703" s="3" t="s">
        <v>462</v>
      </c>
    </row>
    <row r="704" spans="1:8" ht="26.25" x14ac:dyDescent="0.25">
      <c r="A704" s="3" t="s">
        <v>2334</v>
      </c>
      <c r="B704" s="3"/>
      <c r="C704" s="3" t="str">
        <f>"Office space for rent"</f>
        <v>Office space for rent</v>
      </c>
      <c r="D704" s="3" t="s">
        <v>9</v>
      </c>
      <c r="E704" s="3" t="s">
        <v>2335</v>
      </c>
      <c r="F704" s="3" t="str">
        <f>"812-882-3601"</f>
        <v>812-882-3601</v>
      </c>
      <c r="G704" s="3">
        <v>53</v>
      </c>
      <c r="H704" s="3" t="s">
        <v>2336</v>
      </c>
    </row>
    <row r="705" spans="1:8" ht="102.75" x14ac:dyDescent="0.25">
      <c r="A705" s="3" t="s">
        <v>2337</v>
      </c>
      <c r="B705" s="3"/>
      <c r="C705" s="3" t="s">
        <v>2338</v>
      </c>
      <c r="D705" s="3" t="s">
        <v>2339</v>
      </c>
      <c r="E705" s="3" t="s">
        <v>2340</v>
      </c>
      <c r="F705" s="3" t="str">
        <f>"317-331-2630"</f>
        <v>317-331-2630</v>
      </c>
      <c r="G705" s="3">
        <v>2359</v>
      </c>
      <c r="H705" s="3" t="s">
        <v>631</v>
      </c>
    </row>
    <row r="706" spans="1:8" ht="26.25" x14ac:dyDescent="0.25">
      <c r="A706" s="3" t="s">
        <v>2341</v>
      </c>
      <c r="B706" s="3"/>
      <c r="C706" s="3" t="str">
        <f>"Medical Consulting"</f>
        <v>Medical Consulting</v>
      </c>
      <c r="D706" s="3" t="s">
        <v>9</v>
      </c>
      <c r="E706" s="3" t="s">
        <v>2342</v>
      </c>
      <c r="F706" s="3" t="str">
        <f>"314-368-6595"</f>
        <v>314-368-6595</v>
      </c>
      <c r="G706" s="3">
        <v>62</v>
      </c>
      <c r="H706" s="3" t="s">
        <v>1168</v>
      </c>
    </row>
    <row r="707" spans="1:8" ht="64.5" x14ac:dyDescent="0.25">
      <c r="A707" s="3" t="s">
        <v>2343</v>
      </c>
      <c r="B707" s="3"/>
      <c r="C707" s="3" t="str">
        <f>"Provide alternative forms for financing business operations, expansions, and acquisitions. Working capital, business buying, building buying or refinancing, short term loans."</f>
        <v>Provide alternative forms for financing business operations, expansions, and acquisitions. Working capital, business buying, building buying or refinancing, short term loans.</v>
      </c>
      <c r="D707" s="3" t="s">
        <v>9</v>
      </c>
      <c r="E707" s="3" t="s">
        <v>2344</v>
      </c>
      <c r="F707" s="3" t="str">
        <f>"260-492-1100"</f>
        <v>260-492-1100</v>
      </c>
      <c r="G707" s="3">
        <v>522294</v>
      </c>
      <c r="H707" s="3" t="s">
        <v>2345</v>
      </c>
    </row>
    <row r="708" spans="1:8" ht="166.5" x14ac:dyDescent="0.25">
      <c r="A708" s="3" t="s">
        <v>2346</v>
      </c>
      <c r="B708" s="3"/>
      <c r="C708" s="3" t="s">
        <v>2347</v>
      </c>
      <c r="D708" s="3" t="s">
        <v>2348</v>
      </c>
      <c r="E708" s="3" t="s">
        <v>2349</v>
      </c>
      <c r="F708" s="3" t="str">
        <f>"260-744-6145"</f>
        <v>260-744-6145</v>
      </c>
      <c r="G708" s="3">
        <v>323</v>
      </c>
      <c r="H708" s="3" t="s">
        <v>302</v>
      </c>
    </row>
    <row r="709" spans="1:8" ht="39" x14ac:dyDescent="0.25">
      <c r="A709" s="3" t="s">
        <v>2350</v>
      </c>
      <c r="B709" s="3"/>
      <c r="C709" s="3" t="str">
        <f>"Small Independent Insurance Agency with over 50 years combined experience with all lines of insurance."</f>
        <v>Small Independent Insurance Agency with over 50 years combined experience with all lines of insurance.</v>
      </c>
      <c r="D709" s="3" t="s">
        <v>9</v>
      </c>
      <c r="E709" s="3" t="s">
        <v>2351</v>
      </c>
      <c r="F709" s="3" t="str">
        <f>"260/459-1963"</f>
        <v>260/459-1963</v>
      </c>
      <c r="G709" s="3">
        <v>524210</v>
      </c>
      <c r="H709" s="3" t="s">
        <v>1183</v>
      </c>
    </row>
    <row r="710" spans="1:8" ht="26.25" x14ac:dyDescent="0.25">
      <c r="A710" s="3" t="s">
        <v>2352</v>
      </c>
      <c r="B710" s="3"/>
      <c r="C710" s="3" t="str">
        <f>"On-site computer sales and service."</f>
        <v>On-site computer sales and service.</v>
      </c>
      <c r="D710" s="3" t="s">
        <v>2353</v>
      </c>
      <c r="E710" s="3" t="s">
        <v>2354</v>
      </c>
      <c r="F710" s="3" t="str">
        <f>"8665967252"</f>
        <v>8665967252</v>
      </c>
      <c r="G710" s="3">
        <v>811212</v>
      </c>
      <c r="H710" s="3" t="s">
        <v>1632</v>
      </c>
    </row>
    <row r="711" spans="1:8" ht="306.75" x14ac:dyDescent="0.25">
      <c r="A711" s="3" t="s">
        <v>2355</v>
      </c>
      <c r="B711" s="3"/>
      <c r="C711" s="3" t="s">
        <v>2356</v>
      </c>
      <c r="D711" s="3" t="s">
        <v>2357</v>
      </c>
      <c r="E711" s="3" t="s">
        <v>2358</v>
      </c>
      <c r="F711" s="3" t="str">
        <f>"317-546-3234"</f>
        <v>317-546-3234</v>
      </c>
      <c r="G711" s="3">
        <v>337212</v>
      </c>
      <c r="H711" s="3" t="s">
        <v>2359</v>
      </c>
    </row>
    <row r="712" spans="1:8" ht="153.75" x14ac:dyDescent="0.25">
      <c r="A712" s="3" t="s">
        <v>2360</v>
      </c>
      <c r="B712" s="3"/>
      <c r="C712" s="3" t="s">
        <v>2361</v>
      </c>
      <c r="D712" s="3" t="s">
        <v>9</v>
      </c>
      <c r="E712" s="3" t="s">
        <v>2362</v>
      </c>
      <c r="F712" s="3" t="str">
        <f>"(317) 800-9579"</f>
        <v>(317) 800-9579</v>
      </c>
      <c r="G712" s="3">
        <v>561730</v>
      </c>
      <c r="H712" s="3" t="s">
        <v>65</v>
      </c>
    </row>
    <row r="713" spans="1:8" ht="26.25" x14ac:dyDescent="0.25">
      <c r="A713" s="3" t="s">
        <v>2363</v>
      </c>
      <c r="B713" s="3"/>
      <c r="C713" s="3" t="str">
        <f>"Specialize in finish, open lots and swale mowing. Will consider almost anything!!"</f>
        <v>Specialize in finish, open lots and swale mowing. Will consider almost anything!!</v>
      </c>
      <c r="D713" s="3" t="s">
        <v>9</v>
      </c>
      <c r="E713" s="3" t="s">
        <v>2364</v>
      </c>
      <c r="F713" s="3" t="str">
        <f>"317-446-8680"</f>
        <v>317-446-8680</v>
      </c>
      <c r="G713" s="3">
        <v>54132</v>
      </c>
      <c r="H713" s="3" t="s">
        <v>2241</v>
      </c>
    </row>
    <row r="714" spans="1:8" ht="51.75" x14ac:dyDescent="0.25">
      <c r="A714" s="3" t="s">
        <v>2365</v>
      </c>
      <c r="B714" s="3"/>
      <c r="C714" s="3" t="str">
        <f>"lead paint removal, lawn care, roofing (metal and shingles), dry walling, construction sites cleanup, driveway installations,"</f>
        <v>lead paint removal, lawn care, roofing (metal and shingles), dry walling, construction sites cleanup, driveway installations,</v>
      </c>
      <c r="D714" s="3" t="s">
        <v>9</v>
      </c>
      <c r="E714" s="3" t="s">
        <v>2366</v>
      </c>
      <c r="F714" s="3" t="str">
        <f>"5743617897"</f>
        <v>5743617897</v>
      </c>
      <c r="G714" s="3">
        <v>321</v>
      </c>
      <c r="H714" s="3" t="s">
        <v>2367</v>
      </c>
    </row>
    <row r="715" spans="1:8" ht="51.75" x14ac:dyDescent="0.25">
      <c r="A715" s="3" t="s">
        <v>2368</v>
      </c>
      <c r="B715" s="3"/>
      <c r="C715" s="3" t="str">
        <f>"Aon Corporation is the leading global provider of risk management, insurance and reinsurance brokerage, and human resource consulting and outsourcing."</f>
        <v>Aon Corporation is the leading global provider of risk management, insurance and reinsurance brokerage, and human resource consulting and outsourcing.</v>
      </c>
      <c r="D715" s="3" t="s">
        <v>2369</v>
      </c>
      <c r="E715" s="3" t="s">
        <v>2370</v>
      </c>
      <c r="F715" s="3" t="str">
        <f>"317-237-2412"</f>
        <v>317-237-2412</v>
      </c>
      <c r="G715" s="3">
        <v>524210</v>
      </c>
      <c r="H715" s="3" t="s">
        <v>1183</v>
      </c>
    </row>
    <row r="716" spans="1:8" ht="26.25" x14ac:dyDescent="0.25">
      <c r="A716" s="3" t="s">
        <v>2371</v>
      </c>
      <c r="B716" s="3"/>
      <c r="C716" s="3" t="str">
        <f>"Employee Benefits Broker / Agency"</f>
        <v>Employee Benefits Broker / Agency</v>
      </c>
      <c r="D716" s="3" t="s">
        <v>2372</v>
      </c>
      <c r="E716" s="3" t="s">
        <v>2373</v>
      </c>
      <c r="F716" s="3" t="str">
        <f>"317-254-1600"</f>
        <v>317-254-1600</v>
      </c>
      <c r="G716" s="3">
        <v>52421</v>
      </c>
      <c r="H716" s="3" t="s">
        <v>1183</v>
      </c>
    </row>
    <row r="717" spans="1:8" ht="26.25" x14ac:dyDescent="0.25">
      <c r="A717" s="3" t="s">
        <v>2374</v>
      </c>
      <c r="B717" s="3"/>
      <c r="C717" s="3" t="str">
        <f>" "</f>
        <v xml:space="preserve"> </v>
      </c>
      <c r="D717" s="3" t="s">
        <v>9</v>
      </c>
      <c r="E717" s="3" t="s">
        <v>2375</v>
      </c>
      <c r="F717" s="3" t="str">
        <f>"317-996-3002"</f>
        <v>317-996-3002</v>
      </c>
      <c r="G717" s="3">
        <v>238110</v>
      </c>
      <c r="H717" s="3" t="s">
        <v>156</v>
      </c>
    </row>
    <row r="718" spans="1:8" ht="39" x14ac:dyDescent="0.25">
      <c r="A718" s="3" t="s">
        <v>2376</v>
      </c>
      <c r="B718" s="3"/>
      <c r="C718" s="3" t="str">
        <f>"We carry over 20,000 health care products ranging from disposable goods to durable equipment."</f>
        <v>We carry over 20,000 health care products ranging from disposable goods to durable equipment.</v>
      </c>
      <c r="D718" s="3" t="s">
        <v>2377</v>
      </c>
      <c r="E718" s="3" t="s">
        <v>2378</v>
      </c>
      <c r="F718" s="3" t="str">
        <f>"317-466-0510"</f>
        <v>317-466-0510</v>
      </c>
      <c r="G718" s="3">
        <v>423450</v>
      </c>
      <c r="H718" s="3" t="s">
        <v>1406</v>
      </c>
    </row>
    <row r="719" spans="1:8" ht="26.25" x14ac:dyDescent="0.25">
      <c r="A719" s="3" t="s">
        <v>2379</v>
      </c>
      <c r="B719" s="3"/>
      <c r="C719" s="3" t="str">
        <f>"Indiana commercial roofing and siding contractor"</f>
        <v>Indiana commercial roofing and siding contractor</v>
      </c>
      <c r="D719" s="3" t="s">
        <v>9</v>
      </c>
      <c r="E719" s="3" t="s">
        <v>46</v>
      </c>
      <c r="F719" s="2"/>
      <c r="G719" s="3">
        <v>23</v>
      </c>
      <c r="H719" s="3" t="s">
        <v>133</v>
      </c>
    </row>
    <row r="720" spans="1:8" ht="26.25" x14ac:dyDescent="0.25">
      <c r="A720" s="3" t="s">
        <v>2380</v>
      </c>
      <c r="B720" s="3"/>
      <c r="C720" s="3" t="str">
        <f>"Complete Automotive and Light Truck Repair and Maintenance Service Provider"</f>
        <v>Complete Automotive and Light Truck Repair and Maintenance Service Provider</v>
      </c>
      <c r="D720" s="3" t="s">
        <v>2381</v>
      </c>
      <c r="E720" s="3" t="s">
        <v>2382</v>
      </c>
      <c r="F720" s="3" t="str">
        <f>"3178884580"</f>
        <v>3178884580</v>
      </c>
      <c r="G720" s="3">
        <v>811111</v>
      </c>
      <c r="H720" s="3" t="s">
        <v>2383</v>
      </c>
    </row>
    <row r="721" spans="1:8" ht="204.75" x14ac:dyDescent="0.25">
      <c r="A721" s="3" t="s">
        <v>2384</v>
      </c>
      <c r="B721" s="3"/>
      <c r="C721" s="3" t="s">
        <v>2385</v>
      </c>
      <c r="D721" s="3" t="s">
        <v>2386</v>
      </c>
      <c r="E721" s="3" t="s">
        <v>2387</v>
      </c>
      <c r="F721" s="3" t="str">
        <f>"812-284-3300"</f>
        <v>812-284-3300</v>
      </c>
      <c r="G721" s="3">
        <v>324191</v>
      </c>
      <c r="H721" s="3" t="s">
        <v>2388</v>
      </c>
    </row>
    <row r="722" spans="1:8" ht="204.75" x14ac:dyDescent="0.25">
      <c r="A722" s="3" t="s">
        <v>2389</v>
      </c>
      <c r="B722" s="3"/>
      <c r="C722" s="3" t="s">
        <v>2390</v>
      </c>
      <c r="D722" s="3" t="s">
        <v>2391</v>
      </c>
      <c r="E722" s="3" t="s">
        <v>2392</v>
      </c>
      <c r="F722" s="3" t="str">
        <f>"260-627-2159"</f>
        <v>260-627-2159</v>
      </c>
      <c r="G722" s="3">
        <v>62411</v>
      </c>
      <c r="H722" s="3" t="s">
        <v>628</v>
      </c>
    </row>
    <row r="723" spans="1:8" ht="64.5" x14ac:dyDescent="0.25">
      <c r="A723" s="3" t="s">
        <v>2393</v>
      </c>
      <c r="B723" s="3"/>
      <c r="C723" s="3" t="str">
        <f>"Repair portable gas monitors &amp; self-contained breathing apparatus. Rent confined space equipment, portable gas monitors, breathing apparatus. Respirator fit-testing."</f>
        <v>Repair portable gas monitors &amp; self-contained breathing apparatus. Rent confined space equipment, portable gas monitors, breathing apparatus. Respirator fit-testing.</v>
      </c>
      <c r="D723" s="3" t="s">
        <v>2394</v>
      </c>
      <c r="E723" s="3" t="s">
        <v>2395</v>
      </c>
      <c r="F723" s="3" t="str">
        <f>"317-786-2491"</f>
        <v>317-786-2491</v>
      </c>
      <c r="G723" s="3">
        <v>811211</v>
      </c>
      <c r="H723" s="3" t="s">
        <v>2396</v>
      </c>
    </row>
    <row r="724" spans="1:8" ht="153.75" x14ac:dyDescent="0.25">
      <c r="A724" s="3" t="s">
        <v>2397</v>
      </c>
      <c r="B724" s="3"/>
      <c r="C724" s="3" t="s">
        <v>2398</v>
      </c>
      <c r="D724" s="3" t="s">
        <v>2399</v>
      </c>
      <c r="E724" s="3" t="s">
        <v>2400</v>
      </c>
      <c r="F724" s="3" t="str">
        <f>"(317) 254-8488"</f>
        <v>(317) 254-8488</v>
      </c>
      <c r="G724" s="3">
        <v>541513</v>
      </c>
      <c r="H724" s="3" t="s">
        <v>2401</v>
      </c>
    </row>
    <row r="725" spans="1:8" ht="51.75" x14ac:dyDescent="0.25">
      <c r="A725" s="3" t="s">
        <v>2402</v>
      </c>
      <c r="B725" s="3"/>
      <c r="C725" s="3" t="str">
        <f>"Apple Contracting is a 100% woman-owned business in the state of Indiana. We provide HVAC, plumbing, and Electrical contracting services."</f>
        <v>Apple Contracting is a 100% woman-owned business in the state of Indiana. We provide HVAC, plumbing, and Electrical contracting services.</v>
      </c>
      <c r="D725" s="3" t="s">
        <v>9</v>
      </c>
      <c r="E725" s="3" t="s">
        <v>2403</v>
      </c>
      <c r="F725" s="3" t="str">
        <f>"812-897-2260"</f>
        <v>812-897-2260</v>
      </c>
      <c r="G725" s="3">
        <v>238220</v>
      </c>
      <c r="H725" s="3" t="s">
        <v>348</v>
      </c>
    </row>
    <row r="726" spans="1:8" ht="77.25" x14ac:dyDescent="0.25">
      <c r="A726" s="3" t="s">
        <v>2404</v>
      </c>
      <c r="B726" s="3"/>
      <c r="C726" s="3" t="str">
        <f>"Provider of traffice control, sign installations, pavement markings, seeding, sodding, topsoil, erosion control, landscaping, vegetation control, construction site haul away services, farm fence removel."</f>
        <v>Provider of traffice control, sign installations, pavement markings, seeding, sodding, topsoil, erosion control, landscaping, vegetation control, construction site haul away services, farm fence removel.</v>
      </c>
      <c r="D726" s="3" t="s">
        <v>9</v>
      </c>
      <c r="E726" s="3" t="s">
        <v>2405</v>
      </c>
      <c r="F726" s="3" t="str">
        <f>"812-437-4900"</f>
        <v>812-437-4900</v>
      </c>
      <c r="G726" s="3">
        <v>23411</v>
      </c>
      <c r="H726" s="3" t="s">
        <v>2406</v>
      </c>
    </row>
    <row r="727" spans="1:8" ht="26.25" x14ac:dyDescent="0.25">
      <c r="A727" s="3" t="s">
        <v>2407</v>
      </c>
      <c r="B727" s="3"/>
      <c r="C727" s="3" t="str">
        <f>"Electrical"</f>
        <v>Electrical</v>
      </c>
      <c r="D727" s="3" t="s">
        <v>2408</v>
      </c>
      <c r="E727" s="3" t="s">
        <v>2409</v>
      </c>
      <c r="F727" s="3" t="str">
        <f>"317-840-6117"</f>
        <v>317-840-6117</v>
      </c>
      <c r="G727" s="3">
        <v>238210</v>
      </c>
      <c r="H727" s="3" t="s">
        <v>306</v>
      </c>
    </row>
    <row r="728" spans="1:8" ht="230.25" x14ac:dyDescent="0.25">
      <c r="A728" s="3" t="s">
        <v>2410</v>
      </c>
      <c r="B728" s="3"/>
      <c r="C728" s="3" t="s">
        <v>2411</v>
      </c>
      <c r="D728" s="3" t="s">
        <v>2412</v>
      </c>
      <c r="E728" s="3" t="s">
        <v>2413</v>
      </c>
      <c r="F728" s="3" t="str">
        <f>"317-371-6488"</f>
        <v>317-371-6488</v>
      </c>
      <c r="G728" s="3">
        <v>423610</v>
      </c>
      <c r="H728" s="3" t="s">
        <v>2414</v>
      </c>
    </row>
    <row r="729" spans="1:8" ht="243" x14ac:dyDescent="0.25">
      <c r="A729" s="3" t="s">
        <v>2415</v>
      </c>
      <c r="B729" s="3"/>
      <c r="C729" s="3" t="s">
        <v>2416</v>
      </c>
      <c r="D729" s="3" t="s">
        <v>2417</v>
      </c>
      <c r="E729" s="3" t="s">
        <v>2418</v>
      </c>
      <c r="F729" s="3" t="str">
        <f>"800-630-4955"</f>
        <v>800-630-4955</v>
      </c>
      <c r="G729" s="3">
        <v>454</v>
      </c>
      <c r="H729" s="3" t="s">
        <v>2419</v>
      </c>
    </row>
    <row r="730" spans="1:8" ht="90" x14ac:dyDescent="0.25">
      <c r="A730" s="3" t="s">
        <v>2420</v>
      </c>
      <c r="B730" s="3"/>
      <c r="C730" s="3" t="s">
        <v>2421</v>
      </c>
      <c r="D730" s="3" t="s">
        <v>2422</v>
      </c>
      <c r="E730" s="3" t="s">
        <v>2423</v>
      </c>
      <c r="F730" s="3" t="str">
        <f>"317-340-3860"</f>
        <v>317-340-3860</v>
      </c>
      <c r="G730" s="3">
        <v>561740</v>
      </c>
      <c r="H730" s="3" t="s">
        <v>241</v>
      </c>
    </row>
    <row r="731" spans="1:8" x14ac:dyDescent="0.25">
      <c r="A731" s="3" t="s">
        <v>2424</v>
      </c>
      <c r="B731" s="3"/>
      <c r="C731" s="3" t="str">
        <f>" "</f>
        <v xml:space="preserve"> </v>
      </c>
      <c r="D731" s="3" t="s">
        <v>9</v>
      </c>
      <c r="E731" s="3" t="s">
        <v>46</v>
      </c>
      <c r="F731" s="2"/>
      <c r="G731" s="3">
        <v>111998</v>
      </c>
      <c r="H731" s="3" t="s">
        <v>2425</v>
      </c>
    </row>
    <row r="732" spans="1:8" ht="26.25" x14ac:dyDescent="0.25">
      <c r="A732" s="3" t="s">
        <v>2426</v>
      </c>
      <c r="B732" s="3"/>
      <c r="C732" s="3" t="str">
        <f>"commercial painting/wallcovering/special coatings/electrostatic painting"</f>
        <v>commercial painting/wallcovering/special coatings/electrostatic painting</v>
      </c>
      <c r="D732" s="3" t="s">
        <v>9</v>
      </c>
      <c r="E732" s="3" t="s">
        <v>46</v>
      </c>
      <c r="F732" s="3" t="str">
        <f>"317-546-5116"</f>
        <v>317-546-5116</v>
      </c>
      <c r="G732" s="3">
        <v>238320</v>
      </c>
      <c r="H732" s="3" t="s">
        <v>462</v>
      </c>
    </row>
    <row r="733" spans="1:8" ht="51.75" x14ac:dyDescent="0.25">
      <c r="A733" s="3" t="s">
        <v>2427</v>
      </c>
      <c r="B733" s="3"/>
      <c r="C733" s="3" t="str">
        <f>"Applied Logistics Services provides professional, logistics, and technical support services to Federal, State, Local and business entities."</f>
        <v>Applied Logistics Services provides professional, logistics, and technical support services to Federal, State, Local and business entities.</v>
      </c>
      <c r="D733" s="3" t="s">
        <v>2428</v>
      </c>
      <c r="E733" s="3" t="s">
        <v>2429</v>
      </c>
      <c r="F733" s="3" t="str">
        <f>"812-636-0006"</f>
        <v>812-636-0006</v>
      </c>
      <c r="G733" s="3">
        <v>541990</v>
      </c>
      <c r="H733" s="3" t="s">
        <v>378</v>
      </c>
    </row>
    <row r="734" spans="1:8" ht="51.75" x14ac:dyDescent="0.25">
      <c r="A734" s="3" t="s">
        <v>2430</v>
      </c>
      <c r="B734" s="3"/>
      <c r="C734" s="3" t="str">
        <f>"Supply Chain Optimization; Operations Research; Lean Manufacturing Training; Six Sigma Training; Manufacturing Process Optimization."</f>
        <v>Supply Chain Optimization; Operations Research; Lean Manufacturing Training; Six Sigma Training; Manufacturing Process Optimization.</v>
      </c>
      <c r="D734" s="3" t="s">
        <v>2431</v>
      </c>
      <c r="E734" s="3" t="s">
        <v>2432</v>
      </c>
      <c r="F734" s="3" t="str">
        <f>"812 985 5320"</f>
        <v>812 985 5320</v>
      </c>
      <c r="G734" s="3">
        <v>541330</v>
      </c>
      <c r="H734" s="3" t="s">
        <v>82</v>
      </c>
    </row>
    <row r="735" spans="1:8" ht="128.25" x14ac:dyDescent="0.25">
      <c r="A735" s="3" t="s">
        <v>2433</v>
      </c>
      <c r="B735" s="3"/>
      <c r="C735" s="3" t="s">
        <v>2434</v>
      </c>
      <c r="D735" s="3" t="s">
        <v>2435</v>
      </c>
      <c r="E735" s="3" t="s">
        <v>2436</v>
      </c>
      <c r="F735" s="3" t="str">
        <f>"317-842-0722"</f>
        <v>317-842-0722</v>
      </c>
      <c r="G735" s="3">
        <v>562910</v>
      </c>
      <c r="H735" s="3" t="s">
        <v>2278</v>
      </c>
    </row>
    <row r="736" spans="1:8" ht="51.75" x14ac:dyDescent="0.25">
      <c r="A736" s="3" t="s">
        <v>2437</v>
      </c>
      <c r="B736" s="3"/>
      <c r="C736" s="3" t="str">
        <f>"Technology Contractor supplying Data Networking, Telecommunications, Surveillance, Security, Infrastructure, and Consulting."</f>
        <v>Technology Contractor supplying Data Networking, Telecommunications, Surveillance, Security, Infrastructure, and Consulting.</v>
      </c>
      <c r="D736" s="3" t="s">
        <v>2438</v>
      </c>
      <c r="E736" s="3" t="s">
        <v>2439</v>
      </c>
      <c r="F736" s="3" t="str">
        <f>"260-482-2844"</f>
        <v>260-482-2844</v>
      </c>
      <c r="G736" s="3">
        <v>541990</v>
      </c>
      <c r="H736" s="3" t="s">
        <v>378</v>
      </c>
    </row>
    <row r="737" spans="1:8" ht="26.25" x14ac:dyDescent="0.25">
      <c r="A737" s="3" t="s">
        <v>2440</v>
      </c>
      <c r="B737" s="3"/>
      <c r="C737" s="2"/>
      <c r="D737" s="3" t="s">
        <v>9</v>
      </c>
      <c r="E737" s="3" t="s">
        <v>2441</v>
      </c>
      <c r="F737" s="3" t="str">
        <f>"260-463-2629"</f>
        <v>260-463-2629</v>
      </c>
      <c r="G737" s="3">
        <v>531320</v>
      </c>
      <c r="H737" s="3" t="s">
        <v>34</v>
      </c>
    </row>
    <row r="738" spans="1:8" ht="51.75" x14ac:dyDescent="0.25">
      <c r="A738" s="3" t="s">
        <v>2442</v>
      </c>
      <c r="B738" s="3"/>
      <c r="C738" s="3" t="str">
        <f>"My company provides Lenders, Brokers and Individuals with Residential Home Appraisals on 1-4 family properties in Central Indiana."</f>
        <v>My company provides Lenders, Brokers and Individuals with Residential Home Appraisals on 1-4 family properties in Central Indiana.</v>
      </c>
      <c r="D738" s="3" t="s">
        <v>2443</v>
      </c>
      <c r="E738" s="3" t="s">
        <v>2444</v>
      </c>
      <c r="F738" s="3" t="str">
        <f>"317-878-9000"</f>
        <v>317-878-9000</v>
      </c>
      <c r="G738" s="3">
        <v>531</v>
      </c>
      <c r="H738" s="3" t="s">
        <v>74</v>
      </c>
    </row>
    <row r="739" spans="1:8" ht="26.25" x14ac:dyDescent="0.25">
      <c r="A739" s="3" t="s">
        <v>2445</v>
      </c>
      <c r="B739" s="3"/>
      <c r="C739" s="3" t="str">
        <f>"Real Estate Appraisals/Residential &amp; Commercial"</f>
        <v>Real Estate Appraisals/Residential &amp; Commercial</v>
      </c>
      <c r="D739" s="3" t="s">
        <v>2446</v>
      </c>
      <c r="E739" s="3" t="s">
        <v>2447</v>
      </c>
      <c r="F739" s="3" t="str">
        <f>"812-265-2222"</f>
        <v>812-265-2222</v>
      </c>
      <c r="G739" s="3">
        <v>531320</v>
      </c>
      <c r="H739" s="3" t="s">
        <v>34</v>
      </c>
    </row>
    <row r="740" spans="1:8" ht="64.5" x14ac:dyDescent="0.25">
      <c r="A740" s="3" t="s">
        <v>2448</v>
      </c>
      <c r="B740" s="3"/>
      <c r="C740" s="3" t="str">
        <f>"Appraisal Services of Lafayette, Inc., is a small family owned business that has been providing residential real estate appraisal services to the Greater Lafayette real estate area since 1997."</f>
        <v>Appraisal Services of Lafayette, Inc., is a small family owned business that has been providing residential real estate appraisal services to the Greater Lafayette real estate area since 1997.</v>
      </c>
      <c r="D740" s="3" t="s">
        <v>2449</v>
      </c>
      <c r="E740" s="3" t="s">
        <v>2450</v>
      </c>
      <c r="F740" s="3" t="str">
        <f>"765-471-8257"</f>
        <v>765-471-8257</v>
      </c>
      <c r="G740" s="3">
        <v>531320</v>
      </c>
      <c r="H740" s="3" t="s">
        <v>34</v>
      </c>
    </row>
    <row r="741" spans="1:8" ht="39" x14ac:dyDescent="0.25">
      <c r="A741" s="3" t="s">
        <v>2451</v>
      </c>
      <c r="B741" s="3"/>
      <c r="C741" s="3" t="str">
        <f>"Residential, Commercial, Right of Way/Eminent Domain and personal property appraisers"</f>
        <v>Residential, Commercial, Right of Way/Eminent Domain and personal property appraisers</v>
      </c>
      <c r="D741" s="3" t="s">
        <v>2452</v>
      </c>
      <c r="E741" s="3" t="s">
        <v>2453</v>
      </c>
      <c r="F741" s="3" t="str">
        <f>"317-450-5055"</f>
        <v>317-450-5055</v>
      </c>
      <c r="G741" s="3">
        <v>531</v>
      </c>
      <c r="H741" s="3" t="s">
        <v>74</v>
      </c>
    </row>
    <row r="742" spans="1:8" ht="26.25" x14ac:dyDescent="0.25">
      <c r="A742" s="3" t="s">
        <v>2454</v>
      </c>
      <c r="B742" s="3"/>
      <c r="C742" s="3" t="str">
        <f>"Real estate services, appraisal, and management."</f>
        <v>Real estate services, appraisal, and management.</v>
      </c>
      <c r="D742" s="3" t="s">
        <v>9</v>
      </c>
      <c r="E742" s="3" t="s">
        <v>46</v>
      </c>
      <c r="F742" s="3" t="str">
        <f>"812-372-9391"</f>
        <v>812-372-9391</v>
      </c>
      <c r="G742" s="3">
        <v>531320</v>
      </c>
      <c r="H742" s="3" t="s">
        <v>34</v>
      </c>
    </row>
    <row r="743" spans="1:8" ht="90" x14ac:dyDescent="0.25">
      <c r="A743" s="3" t="s">
        <v>2455</v>
      </c>
      <c r="B743" s="3"/>
      <c r="C743" s="3" t="s">
        <v>2456</v>
      </c>
      <c r="D743" s="3" t="s">
        <v>2457</v>
      </c>
      <c r="E743" s="3" t="s">
        <v>2458</v>
      </c>
      <c r="F743" s="3" t="str">
        <f>"317-450-5058"</f>
        <v>317-450-5058</v>
      </c>
      <c r="G743" s="3">
        <v>531320</v>
      </c>
      <c r="H743" s="3" t="s">
        <v>34</v>
      </c>
    </row>
    <row r="744" spans="1:8" ht="128.25" x14ac:dyDescent="0.25">
      <c r="A744" s="3" t="s">
        <v>2459</v>
      </c>
      <c r="B744" s="3"/>
      <c r="C744" s="3" t="s">
        <v>2460</v>
      </c>
      <c r="D744" s="3" t="s">
        <v>2461</v>
      </c>
      <c r="E744" s="3" t="s">
        <v>2462</v>
      </c>
      <c r="F744" s="3" t="str">
        <f>"317-576-8090"</f>
        <v>317-576-8090</v>
      </c>
      <c r="G744" s="3">
        <v>238</v>
      </c>
      <c r="H744" s="3" t="s">
        <v>397</v>
      </c>
    </row>
    <row r="745" spans="1:8" ht="90" x14ac:dyDescent="0.25">
      <c r="A745" s="3" t="s">
        <v>2463</v>
      </c>
      <c r="B745" s="3"/>
      <c r="C745" s="3" t="s">
        <v>2464</v>
      </c>
      <c r="D745" s="3" t="s">
        <v>2465</v>
      </c>
      <c r="E745" s="3" t="s">
        <v>2466</v>
      </c>
      <c r="F745" s="3" t="str">
        <f>"(949) 639-2000"</f>
        <v>(949) 639-2000</v>
      </c>
      <c r="G745" s="3">
        <v>621610</v>
      </c>
      <c r="H745" s="3" t="s">
        <v>328</v>
      </c>
    </row>
    <row r="746" spans="1:8" ht="26.25" x14ac:dyDescent="0.25">
      <c r="A746" s="3" t="s">
        <v>2467</v>
      </c>
      <c r="B746" s="3"/>
      <c r="C746" s="3" t="str">
        <f>"Residential and commercial residential cleaning of vacant and occupied units."</f>
        <v>Residential and commercial residential cleaning of vacant and occupied units.</v>
      </c>
      <c r="D746" s="3" t="s">
        <v>9</v>
      </c>
      <c r="E746" s="3" t="s">
        <v>2468</v>
      </c>
      <c r="F746" s="3" t="str">
        <f>"317-833-5111"</f>
        <v>317-833-5111</v>
      </c>
      <c r="G746" s="3">
        <v>561790</v>
      </c>
      <c r="H746" s="3" t="s">
        <v>2113</v>
      </c>
    </row>
    <row r="747" spans="1:8" ht="166.5" x14ac:dyDescent="0.25">
      <c r="A747" s="3" t="s">
        <v>2469</v>
      </c>
      <c r="B747" s="3"/>
      <c r="C747" s="3" t="s">
        <v>2470</v>
      </c>
      <c r="D747" s="3" t="s">
        <v>9</v>
      </c>
      <c r="E747" s="3" t="s">
        <v>2471</v>
      </c>
      <c r="F747" s="3" t="str">
        <f>"317-867-5088"</f>
        <v>317-867-5088</v>
      </c>
      <c r="G747" s="3">
        <v>541430</v>
      </c>
      <c r="H747" s="3" t="s">
        <v>78</v>
      </c>
    </row>
    <row r="748" spans="1:8" ht="128.25" x14ac:dyDescent="0.25">
      <c r="A748" s="3" t="s">
        <v>2472</v>
      </c>
      <c r="B748" s="3"/>
      <c r="C748" s="3" t="s">
        <v>2473</v>
      </c>
      <c r="D748" s="3" t="s">
        <v>2474</v>
      </c>
      <c r="E748" s="3" t="s">
        <v>2475</v>
      </c>
      <c r="F748" s="3" t="str">
        <f>"317-803-4300"</f>
        <v>317-803-4300</v>
      </c>
      <c r="G748" s="3">
        <v>541519</v>
      </c>
      <c r="H748" s="3" t="s">
        <v>898</v>
      </c>
    </row>
    <row r="749" spans="1:8" ht="128.25" x14ac:dyDescent="0.25">
      <c r="A749" s="3" t="s">
        <v>2476</v>
      </c>
      <c r="B749" s="3"/>
      <c r="C749" s="3" t="s">
        <v>2477</v>
      </c>
      <c r="D749" s="3" t="s">
        <v>2478</v>
      </c>
      <c r="E749" s="3" t="s">
        <v>2479</v>
      </c>
      <c r="F749" s="3" t="str">
        <f>"317-698-2521"</f>
        <v>317-698-2521</v>
      </c>
      <c r="G749" s="3">
        <v>541890</v>
      </c>
      <c r="H749" s="3" t="s">
        <v>401</v>
      </c>
    </row>
    <row r="750" spans="1:8" ht="64.5" x14ac:dyDescent="0.25">
      <c r="A750" s="3" t="s">
        <v>2480</v>
      </c>
      <c r="B750" s="3"/>
      <c r="C750" s="3" t="str">
        <f>"Apsurge is a Microsoft Certified Partner specializing in custom software development and web design. We help companies of all sizes to operate more efficiently and grow profits."</f>
        <v>Apsurge is a Microsoft Certified Partner specializing in custom software development and web design. We help companies of all sizes to operate more efficiently and grow profits.</v>
      </c>
      <c r="D750" s="3" t="s">
        <v>2481</v>
      </c>
      <c r="E750" s="3" t="s">
        <v>2482</v>
      </c>
      <c r="F750" s="3" t="str">
        <f>"260-444-3213"</f>
        <v>260-444-3213</v>
      </c>
      <c r="G750" s="3">
        <v>443120</v>
      </c>
      <c r="H750" s="3" t="s">
        <v>609</v>
      </c>
    </row>
    <row r="751" spans="1:8" ht="26.25" x14ac:dyDescent="0.25">
      <c r="A751" s="3" t="s">
        <v>2483</v>
      </c>
      <c r="B751" s="3"/>
      <c r="C751" s="2"/>
      <c r="D751" s="3" t="s">
        <v>2484</v>
      </c>
      <c r="E751" s="3" t="s">
        <v>2485</v>
      </c>
      <c r="F751" s="3" t="str">
        <f>"812-284-9243"</f>
        <v>812-284-9243</v>
      </c>
      <c r="G751" s="3">
        <v>2213</v>
      </c>
      <c r="H751" s="3" t="s">
        <v>2486</v>
      </c>
    </row>
    <row r="752" spans="1:8" ht="26.25" x14ac:dyDescent="0.25">
      <c r="A752" s="3" t="s">
        <v>2487</v>
      </c>
      <c r="B752" s="3"/>
      <c r="C752" s="3" t="str">
        <f>"Kayak Rental in Southern Indiana. Kayak trip planner."</f>
        <v>Kayak Rental in Southern Indiana. Kayak trip planner.</v>
      </c>
      <c r="D752" s="3" t="s">
        <v>2488</v>
      </c>
      <c r="E752" s="3" t="s">
        <v>2489</v>
      </c>
      <c r="F752" s="3" t="str">
        <f>"812-639-9651"</f>
        <v>812-639-9651</v>
      </c>
      <c r="G752" s="3">
        <v>713990</v>
      </c>
      <c r="H752" s="3" t="s">
        <v>2490</v>
      </c>
    </row>
    <row r="753" spans="1:8" ht="64.5" x14ac:dyDescent="0.25">
      <c r="A753" s="3" t="s">
        <v>2491</v>
      </c>
      <c r="B753" s="3"/>
      <c r="C753" s="3" t="str">
        <f>"Professional lake management services including aquatic vegetation control treatments, aeration and fountain sales and installation, fish surveys, and sales of supplies for this work."</f>
        <v>Professional lake management services including aquatic vegetation control treatments, aeration and fountain sales and installation, fish surveys, and sales of supplies for this work.</v>
      </c>
      <c r="D753" s="3" t="s">
        <v>2492</v>
      </c>
      <c r="E753" s="3" t="s">
        <v>2493</v>
      </c>
      <c r="F753" s="3" t="str">
        <f>"800-753-5253"</f>
        <v>800-753-5253</v>
      </c>
      <c r="G753" s="3">
        <v>424690</v>
      </c>
      <c r="H753" s="3" t="s">
        <v>2494</v>
      </c>
    </row>
    <row r="754" spans="1:8" ht="26.25" x14ac:dyDescent="0.25">
      <c r="A754" s="3" t="s">
        <v>2495</v>
      </c>
      <c r="B754" s="3"/>
      <c r="C754" s="3" t="str">
        <f>"Weed control in lakes and ponds. Aeration systems and fountains. We also to dredging."</f>
        <v>Weed control in lakes and ponds. Aeration systems and fountains. We also to dredging.</v>
      </c>
      <c r="D754" s="3" t="s">
        <v>2496</v>
      </c>
      <c r="E754" s="3" t="s">
        <v>2497</v>
      </c>
      <c r="F754" s="3" t="str">
        <f>"574-533-2597"</f>
        <v>574-533-2597</v>
      </c>
      <c r="G754" s="3">
        <v>541990</v>
      </c>
      <c r="H754" s="3" t="s">
        <v>378</v>
      </c>
    </row>
    <row r="755" spans="1:8" ht="77.25" x14ac:dyDescent="0.25">
      <c r="A755" s="3" t="s">
        <v>2498</v>
      </c>
      <c r="B755" s="3"/>
      <c r="C755" s="3" t="str">
        <f>"Arbor Glen is a kitchen &amp; bath shop with ability to supply cost effective cabinetry for senior apartments, HUD housing, student housing, and related projects. We can supply custom cabinetry (wood or laminate) and all kinds of countertops."</f>
        <v>Arbor Glen is a kitchen &amp; bath shop with ability to supply cost effective cabinetry for senior apartments, HUD housing, student housing, and related projects. We can supply custom cabinetry (wood or laminate) and all kinds of countertops.</v>
      </c>
      <c r="D755" s="3" t="s">
        <v>2499</v>
      </c>
      <c r="E755" s="3" t="s">
        <v>2500</v>
      </c>
      <c r="F755" s="3" t="str">
        <f>"800-466-2596"</f>
        <v>800-466-2596</v>
      </c>
      <c r="G755" s="3">
        <v>442299</v>
      </c>
      <c r="H755" s="3" t="s">
        <v>951</v>
      </c>
    </row>
    <row r="756" spans="1:8" ht="306.75" x14ac:dyDescent="0.25">
      <c r="A756" s="3" t="s">
        <v>2501</v>
      </c>
      <c r="B756" s="3"/>
      <c r="C756" s="3" t="s">
        <v>2502</v>
      </c>
      <c r="D756" s="3" t="s">
        <v>2503</v>
      </c>
      <c r="E756" s="3" t="s">
        <v>2504</v>
      </c>
      <c r="F756" s="3" t="str">
        <f>"317-994-6125"</f>
        <v>317-994-6125</v>
      </c>
      <c r="G756" s="3">
        <v>115310</v>
      </c>
      <c r="H756" s="3" t="s">
        <v>2505</v>
      </c>
    </row>
    <row r="757" spans="1:8" ht="102.75" x14ac:dyDescent="0.25">
      <c r="A757" s="3" t="s">
        <v>2506</v>
      </c>
      <c r="B757" s="3"/>
      <c r="C757" s="3" t="s">
        <v>2507</v>
      </c>
      <c r="D757" s="3" t="s">
        <v>2508</v>
      </c>
      <c r="E757" s="3" t="s">
        <v>2509</v>
      </c>
      <c r="F757" s="3" t="str">
        <f>"765-482-6815"</f>
        <v>765-482-6815</v>
      </c>
      <c r="G757" s="3">
        <v>6241</v>
      </c>
      <c r="H757" s="3" t="s">
        <v>2210</v>
      </c>
    </row>
    <row r="758" spans="1:8" ht="166.5" x14ac:dyDescent="0.25">
      <c r="A758" s="3" t="s">
        <v>2510</v>
      </c>
      <c r="B758" s="3"/>
      <c r="C758" s="3" t="s">
        <v>2511</v>
      </c>
      <c r="D758" s="3" t="s">
        <v>2512</v>
      </c>
      <c r="E758" s="3" t="s">
        <v>2513</v>
      </c>
      <c r="F758" s="3" t="str">
        <f>"812-882-5428"</f>
        <v>812-882-5428</v>
      </c>
      <c r="G758" s="3">
        <v>44419</v>
      </c>
      <c r="H758" s="3" t="s">
        <v>1188</v>
      </c>
    </row>
    <row r="759" spans="1:8" ht="153.75" x14ac:dyDescent="0.25">
      <c r="A759" s="3" t="s">
        <v>2514</v>
      </c>
      <c r="B759" s="3"/>
      <c r="C759" s="3" t="s">
        <v>2515</v>
      </c>
      <c r="D759" s="3" t="s">
        <v>2516</v>
      </c>
      <c r="E759" s="3" t="s">
        <v>2517</v>
      </c>
      <c r="F759" s="3" t="str">
        <f>"574-485-3697"</f>
        <v>574-485-3697</v>
      </c>
      <c r="G759" s="3">
        <v>23</v>
      </c>
      <c r="H759" s="3" t="s">
        <v>133</v>
      </c>
    </row>
    <row r="760" spans="1:8" ht="281.25" x14ac:dyDescent="0.25">
      <c r="A760" s="3" t="s">
        <v>2518</v>
      </c>
      <c r="B760" s="3"/>
      <c r="C760" s="3" t="s">
        <v>2519</v>
      </c>
      <c r="D760" s="3" t="s">
        <v>9</v>
      </c>
      <c r="E760" s="3" t="s">
        <v>2520</v>
      </c>
      <c r="F760" s="3" t="str">
        <f>"812-483-8077"</f>
        <v>812-483-8077</v>
      </c>
      <c r="G760" s="3">
        <v>541930</v>
      </c>
      <c r="H760" s="3" t="s">
        <v>971</v>
      </c>
    </row>
    <row r="761" spans="1:8" ht="26.25" x14ac:dyDescent="0.25">
      <c r="A761" s="3" t="s">
        <v>2521</v>
      </c>
      <c r="B761" s="3"/>
      <c r="C761" s="3" t="str">
        <f>" "</f>
        <v xml:space="preserve"> </v>
      </c>
      <c r="D761" s="3" t="s">
        <v>2522</v>
      </c>
      <c r="E761" s="3" t="s">
        <v>2523</v>
      </c>
      <c r="F761" s="3" t="str">
        <f>"3175230485"</f>
        <v>3175230485</v>
      </c>
      <c r="G761" s="3">
        <v>514</v>
      </c>
      <c r="H761" s="3" t="s">
        <v>322</v>
      </c>
    </row>
    <row r="762" spans="1:8" ht="39" x14ac:dyDescent="0.25">
      <c r="A762" s="3" t="s">
        <v>2524</v>
      </c>
      <c r="B762" s="3"/>
      <c r="C762" s="3" t="str">
        <f>"Installation of general carpentry, metal stud framing, drywall, acoustical ceilings, doors, frames, hardware, and finish taping."</f>
        <v>Installation of general carpentry, metal stud framing, drywall, acoustical ceilings, doors, frames, hardware, and finish taping.</v>
      </c>
      <c r="D762" s="3" t="s">
        <v>9</v>
      </c>
      <c r="E762" s="3" t="s">
        <v>2525</v>
      </c>
      <c r="F762" s="3" t="str">
        <f>"219-374-8142"</f>
        <v>219-374-8142</v>
      </c>
      <c r="G762" s="3">
        <v>238310</v>
      </c>
      <c r="H762" s="3" t="s">
        <v>2526</v>
      </c>
    </row>
    <row r="763" spans="1:8" ht="39" x14ac:dyDescent="0.25">
      <c r="A763" s="3" t="s">
        <v>2527</v>
      </c>
      <c r="B763" s="3"/>
      <c r="C763" s="3" t="str">
        <f>"Glazing Contractor - Sales, Installation and Service of Glass, Windows, Doors and Related Products"</f>
        <v>Glazing Contractor - Sales, Installation and Service of Glass, Windows, Doors and Related Products</v>
      </c>
      <c r="D763" s="3" t="s">
        <v>2528</v>
      </c>
      <c r="E763" s="3" t="s">
        <v>2529</v>
      </c>
      <c r="F763" s="3" t="str">
        <f>"765-778-3555"</f>
        <v>765-778-3555</v>
      </c>
      <c r="G763" s="3">
        <v>238150</v>
      </c>
      <c r="H763" s="3" t="s">
        <v>2530</v>
      </c>
    </row>
    <row r="764" spans="1:8" ht="90" x14ac:dyDescent="0.25">
      <c r="A764" s="3" t="s">
        <v>2531</v>
      </c>
      <c r="B764" s="3"/>
      <c r="C764" s="3" t="s">
        <v>2532</v>
      </c>
      <c r="D764" s="3" t="s">
        <v>9</v>
      </c>
      <c r="E764" s="3" t="s">
        <v>2533</v>
      </c>
      <c r="F764" s="3" t="str">
        <f>"317-541-8802"</f>
        <v>317-541-8802</v>
      </c>
      <c r="G764" s="3">
        <v>332322</v>
      </c>
      <c r="H764" s="3" t="s">
        <v>2534</v>
      </c>
    </row>
    <row r="765" spans="1:8" ht="77.25" x14ac:dyDescent="0.25">
      <c r="A765" s="3" t="s">
        <v>2535</v>
      </c>
      <c r="B765" s="3"/>
      <c r="C765" s="3" t="str">
        <f>"Distributor of metal doors and door frames, door hardware, wood doors, toilet accesories and partitions, flags and flagpoles, electronic access control, and other specialty commercial building materials"</f>
        <v>Distributor of metal doors and door frames, door hardware, wood doors, toilet accesories and partitions, flags and flagpoles, electronic access control, and other specialty commercial building materials</v>
      </c>
      <c r="D765" s="3" t="s">
        <v>9</v>
      </c>
      <c r="E765" s="3" t="s">
        <v>46</v>
      </c>
      <c r="F765" s="3" t="str">
        <f>"317-876-7000"</f>
        <v>317-876-7000</v>
      </c>
      <c r="G765" s="3">
        <v>42</v>
      </c>
      <c r="H765" s="3" t="s">
        <v>674</v>
      </c>
    </row>
    <row r="766" spans="1:8" ht="102.75" x14ac:dyDescent="0.25">
      <c r="A766" s="3" t="s">
        <v>2536</v>
      </c>
      <c r="B766" s="3"/>
      <c r="C766" s="3" t="s">
        <v>2537</v>
      </c>
      <c r="D766" s="3" t="s">
        <v>9</v>
      </c>
      <c r="E766" s="3" t="s">
        <v>2538</v>
      </c>
      <c r="F766" s="3" t="str">
        <f>"317 525 5888"</f>
        <v>317 525 5888</v>
      </c>
      <c r="G766" s="3">
        <v>238310</v>
      </c>
      <c r="H766" s="3" t="s">
        <v>2526</v>
      </c>
    </row>
    <row r="767" spans="1:8" ht="39" x14ac:dyDescent="0.25">
      <c r="A767" s="3" t="s">
        <v>2539</v>
      </c>
      <c r="B767" s="3"/>
      <c r="C767" s="3" t="str">
        <f>"Architectural Design, Interior Design, CADD drawings and As-builts. Veteran Owned Small Buisness."</f>
        <v>Architectural Design, Interior Design, CADD drawings and As-builts. Veteran Owned Small Buisness.</v>
      </c>
      <c r="D767" s="3" t="s">
        <v>9</v>
      </c>
      <c r="E767" s="3" t="s">
        <v>2540</v>
      </c>
      <c r="F767" s="3" t="str">
        <f>"317-402-8787"</f>
        <v>317-402-8787</v>
      </c>
      <c r="G767" s="3">
        <v>541310</v>
      </c>
      <c r="H767" s="3" t="s">
        <v>446</v>
      </c>
    </row>
    <row r="768" spans="1:8" ht="26.25" x14ac:dyDescent="0.25">
      <c r="A768" s="3" t="s">
        <v>2541</v>
      </c>
      <c r="B768" s="3"/>
      <c r="C768" s="3" t="str">
        <f>"Complete Architectural Design Services with specialization in Historic Preservation"</f>
        <v>Complete Architectural Design Services with specialization in Historic Preservation</v>
      </c>
      <c r="D768" s="3" t="s">
        <v>2542</v>
      </c>
      <c r="E768" s="3" t="s">
        <v>2543</v>
      </c>
      <c r="F768" s="3" t="str">
        <f>"317-917-9042"</f>
        <v>317-917-9042</v>
      </c>
      <c r="G768" s="3">
        <v>54131</v>
      </c>
      <c r="H768" s="3" t="s">
        <v>446</v>
      </c>
    </row>
    <row r="769" spans="1:8" ht="230.25" x14ac:dyDescent="0.25">
      <c r="A769" s="3" t="s">
        <v>2544</v>
      </c>
      <c r="B769" s="3"/>
      <c r="C769" s="3" t="s">
        <v>2545</v>
      </c>
      <c r="D769" s="3" t="s">
        <v>2546</v>
      </c>
      <c r="E769" s="3" t="s">
        <v>2547</v>
      </c>
      <c r="F769" s="3" t="str">
        <f>"(317) 348-1000"</f>
        <v>(317) 348-1000</v>
      </c>
      <c r="G769" s="3">
        <v>541310</v>
      </c>
      <c r="H769" s="3" t="s">
        <v>446</v>
      </c>
    </row>
    <row r="770" spans="1:8" ht="26.25" x14ac:dyDescent="0.25">
      <c r="A770" s="3" t="s">
        <v>2548</v>
      </c>
      <c r="B770" s="3"/>
      <c r="C770" s="3" t="str">
        <f>"Roofing Contractor and exterior renovations on mainly multi family projects."</f>
        <v>Roofing Contractor and exterior renovations on mainly multi family projects.</v>
      </c>
      <c r="D770" s="3" t="s">
        <v>2549</v>
      </c>
      <c r="E770" s="3" t="s">
        <v>2550</v>
      </c>
      <c r="F770" s="3" t="str">
        <f>"3177880353"</f>
        <v>3177880353</v>
      </c>
      <c r="G770" s="3">
        <v>238160</v>
      </c>
      <c r="H770" s="3" t="s">
        <v>144</v>
      </c>
    </row>
    <row r="771" spans="1:8" x14ac:dyDescent="0.25">
      <c r="A771" s="3" t="s">
        <v>2551</v>
      </c>
      <c r="B771" s="3"/>
      <c r="C771" s="3" t="str">
        <f>"Union Electrical Contractor"</f>
        <v>Union Electrical Contractor</v>
      </c>
      <c r="D771" s="3" t="s">
        <v>9</v>
      </c>
      <c r="E771" s="3" t="s">
        <v>46</v>
      </c>
      <c r="F771" s="2"/>
      <c r="G771" s="3">
        <v>238210</v>
      </c>
      <c r="H771" s="3" t="s">
        <v>306</v>
      </c>
    </row>
    <row r="772" spans="1:8" ht="26.25" x14ac:dyDescent="0.25">
      <c r="A772" s="3" t="s">
        <v>2552</v>
      </c>
      <c r="B772" s="3"/>
      <c r="C772" s="3" t="str">
        <f>"Land Surveying services"</f>
        <v>Land Surveying services</v>
      </c>
      <c r="D772" s="3" t="s">
        <v>9</v>
      </c>
      <c r="E772" s="3" t="s">
        <v>46</v>
      </c>
      <c r="F772" s="2"/>
      <c r="G772" s="3">
        <v>54137</v>
      </c>
      <c r="H772" s="3" t="s">
        <v>160</v>
      </c>
    </row>
    <row r="773" spans="1:8" ht="51.75" x14ac:dyDescent="0.25">
      <c r="A773" s="3" t="s">
        <v>2553</v>
      </c>
      <c r="B773" s="3"/>
      <c r="C773" s="3" t="str">
        <f>"An excavating company specializing in sitework, building roads, developing residential subdivisions and utility installation."</f>
        <v>An excavating company specializing in sitework, building roads, developing residential subdivisions and utility installation.</v>
      </c>
      <c r="D773" s="3" t="s">
        <v>9</v>
      </c>
      <c r="E773" s="3" t="s">
        <v>2554</v>
      </c>
      <c r="F773" s="3" t="str">
        <f>"812-829-2306"</f>
        <v>812-829-2306</v>
      </c>
      <c r="G773" s="3">
        <v>238910</v>
      </c>
      <c r="H773" s="3" t="s">
        <v>886</v>
      </c>
    </row>
    <row r="774" spans="1:8" ht="26.25" x14ac:dyDescent="0.25">
      <c r="A774" s="3" t="s">
        <v>2555</v>
      </c>
      <c r="B774" s="3"/>
      <c r="C774" s="3" t="str">
        <f>"Argent Financial Services LLC specializes in debt collection and skip tracing."</f>
        <v>Argent Financial Services LLC specializes in debt collection and skip tracing.</v>
      </c>
      <c r="D774" s="3" t="s">
        <v>9</v>
      </c>
      <c r="E774" s="3" t="s">
        <v>46</v>
      </c>
      <c r="F774" s="3" t="str">
        <f>"3172951612"</f>
        <v>3172951612</v>
      </c>
      <c r="G774" s="3">
        <v>561440</v>
      </c>
      <c r="H774" s="3" t="s">
        <v>473</v>
      </c>
    </row>
    <row r="775" spans="1:8" ht="51.75" x14ac:dyDescent="0.25">
      <c r="A775" s="3" t="s">
        <v>2556</v>
      </c>
      <c r="B775" s="3"/>
      <c r="C775" s="3" t="str">
        <f>"We provide Mechanical, Electrical, Plumbing, and Environmental Design and Construction Observation for all types of buildings and projects"</f>
        <v>We provide Mechanical, Electrical, Plumbing, and Environmental Design and Construction Observation for all types of buildings and projects</v>
      </c>
      <c r="D775" s="3" t="s">
        <v>2557</v>
      </c>
      <c r="E775" s="3" t="s">
        <v>2558</v>
      </c>
      <c r="F775" s="3" t="str">
        <f>"317-639-9244"</f>
        <v>317-639-9244</v>
      </c>
      <c r="G775" s="3">
        <v>541330</v>
      </c>
      <c r="H775" s="3" t="s">
        <v>82</v>
      </c>
    </row>
    <row r="776" spans="1:8" ht="141" x14ac:dyDescent="0.25">
      <c r="A776" s="3" t="s">
        <v>2559</v>
      </c>
      <c r="B776" s="3"/>
      <c r="C776" s="3" t="s">
        <v>2560</v>
      </c>
      <c r="D776" s="3" t="s">
        <v>2561</v>
      </c>
      <c r="E776" s="3" t="s">
        <v>2562</v>
      </c>
      <c r="F776" s="3" t="str">
        <f>"3173580625"</f>
        <v>3173580625</v>
      </c>
      <c r="G776" s="3">
        <v>238</v>
      </c>
      <c r="H776" s="3" t="s">
        <v>397</v>
      </c>
    </row>
    <row r="777" spans="1:8" ht="268.5" x14ac:dyDescent="0.25">
      <c r="A777" s="3" t="s">
        <v>2563</v>
      </c>
      <c r="B777" s="3"/>
      <c r="C777" s="3" t="s">
        <v>2564</v>
      </c>
      <c r="D777" s="3" t="s">
        <v>2565</v>
      </c>
      <c r="E777" s="3" t="s">
        <v>2566</v>
      </c>
      <c r="F777" s="3" t="str">
        <f>"317/522-1407"</f>
        <v>317/522-1407</v>
      </c>
      <c r="G777" s="3">
        <v>541512</v>
      </c>
      <c r="H777" s="3" t="s">
        <v>19</v>
      </c>
    </row>
    <row r="778" spans="1:8" ht="26.25" x14ac:dyDescent="0.25">
      <c r="A778" s="3" t="s">
        <v>2567</v>
      </c>
      <c r="B778" s="3"/>
      <c r="C778" s="3" t="str">
        <f>"Full service optical lab specializing in wholesale safety prescription eyewear"</f>
        <v>Full service optical lab specializing in wholesale safety prescription eyewear</v>
      </c>
      <c r="D778" s="3" t="s">
        <v>2568</v>
      </c>
      <c r="E778" s="3" t="s">
        <v>2569</v>
      </c>
      <c r="F778" s="3" t="str">
        <f>"812 476 6623"</f>
        <v>812 476 6623</v>
      </c>
      <c r="G778" s="3">
        <v>339115</v>
      </c>
      <c r="H778" s="3" t="s">
        <v>2570</v>
      </c>
    </row>
    <row r="779" spans="1:8" ht="26.25" x14ac:dyDescent="0.25">
      <c r="A779" s="3" t="s">
        <v>2571</v>
      </c>
      <c r="B779" s="3"/>
      <c r="C779" s="3" t="str">
        <f>" "</f>
        <v xml:space="preserve"> </v>
      </c>
      <c r="D779" s="3" t="s">
        <v>9</v>
      </c>
      <c r="E779" s="3" t="s">
        <v>2170</v>
      </c>
      <c r="F779" s="3" t="str">
        <f>"219-512-3895"</f>
        <v>219-512-3895</v>
      </c>
      <c r="G779" s="3">
        <v>811</v>
      </c>
      <c r="H779" s="3" t="s">
        <v>816</v>
      </c>
    </row>
    <row r="780" spans="1:8" ht="39" x14ac:dyDescent="0.25">
      <c r="A780" s="3" t="s">
        <v>2572</v>
      </c>
      <c r="B780" s="3"/>
      <c r="C780" s="3" t="str">
        <f>"I am a Veteran owned Veteran employed construction company. We cover all aspects of construction."</f>
        <v>I am a Veteran owned Veteran employed construction company. We cover all aspects of construction.</v>
      </c>
      <c r="D780" s="3" t="s">
        <v>2573</v>
      </c>
      <c r="E780" s="3" t="s">
        <v>2574</v>
      </c>
      <c r="F780" s="3" t="str">
        <f>"317-681-4009"</f>
        <v>317-681-4009</v>
      </c>
      <c r="G780" s="3">
        <v>23</v>
      </c>
      <c r="H780" s="3" t="s">
        <v>133</v>
      </c>
    </row>
    <row r="781" spans="1:8" ht="26.25" x14ac:dyDescent="0.25">
      <c r="A781" s="3" t="s">
        <v>2575</v>
      </c>
      <c r="B781" s="3"/>
      <c r="C781" s="3" t="str">
        <f>" "</f>
        <v xml:space="preserve"> </v>
      </c>
      <c r="D781" s="3" t="s">
        <v>9</v>
      </c>
      <c r="E781" s="3" t="s">
        <v>2576</v>
      </c>
      <c r="F781" s="3" t="str">
        <f>"317-803-3868"</f>
        <v>317-803-3868</v>
      </c>
      <c r="G781" s="3">
        <v>561720</v>
      </c>
      <c r="H781" s="3" t="s">
        <v>222</v>
      </c>
    </row>
    <row r="782" spans="1:8" ht="90" x14ac:dyDescent="0.25">
      <c r="A782" s="3" t="s">
        <v>2577</v>
      </c>
      <c r="B782" s="3"/>
      <c r="C782" s="3" t="str">
        <f>"Manufacturing of Military &amp; Industrial Shipping Containers and Contract Manufacturing of Production Parts and Equipment. CARC painting specialist, KanBan support for commercial applications. Custom Storage Racks and In-Plant Transportation Equipment."</f>
        <v>Manufacturing of Military &amp; Industrial Shipping Containers and Contract Manufacturing of Production Parts and Equipment. CARC painting specialist, KanBan support for commercial applications. Custom Storage Racks and In-Plant Transportation Equipment.</v>
      </c>
      <c r="D782" s="3" t="s">
        <v>2578</v>
      </c>
      <c r="E782" s="3" t="s">
        <v>2579</v>
      </c>
      <c r="F782" s="3" t="str">
        <f>"812-273-1121 EXT 24"</f>
        <v>812-273-1121 EXT 24</v>
      </c>
      <c r="G782" s="3">
        <v>332</v>
      </c>
      <c r="H782" s="3" t="s">
        <v>2580</v>
      </c>
    </row>
    <row r="783" spans="1:8" ht="102.75" x14ac:dyDescent="0.25">
      <c r="A783" s="3" t="s">
        <v>2581</v>
      </c>
      <c r="B783" s="3"/>
      <c r="C783" s="3" t="s">
        <v>2582</v>
      </c>
      <c r="D783" s="3" t="s">
        <v>2583</v>
      </c>
      <c r="E783" s="3" t="s">
        <v>46</v>
      </c>
      <c r="F783" s="3" t="str">
        <f>"260-489-3534"</f>
        <v>260-489-3534</v>
      </c>
      <c r="G783" s="3">
        <v>45311</v>
      </c>
      <c r="H783" s="3" t="s">
        <v>2584</v>
      </c>
    </row>
    <row r="784" spans="1:8" ht="26.25" x14ac:dyDescent="0.25">
      <c r="A784" s="3" t="s">
        <v>2585</v>
      </c>
      <c r="B784" s="3"/>
      <c r="C784" s="3" t="str">
        <f>"We sell and service Chevrolet New and Used cars and Trucks."</f>
        <v>We sell and service Chevrolet New and Used cars and Trucks.</v>
      </c>
      <c r="D784" s="3" t="s">
        <v>2586</v>
      </c>
      <c r="E784" s="3" t="s">
        <v>2587</v>
      </c>
      <c r="F784" s="3" t="str">
        <f>"219-787-9300"</f>
        <v>219-787-9300</v>
      </c>
      <c r="G784" s="3">
        <v>441110</v>
      </c>
      <c r="H784" s="3" t="s">
        <v>2588</v>
      </c>
    </row>
    <row r="785" spans="1:8" ht="26.25" x14ac:dyDescent="0.25">
      <c r="A785" s="3" t="s">
        <v>2589</v>
      </c>
      <c r="B785" s="3"/>
      <c r="C785" s="3" t="str">
        <f>"New Car Dealer"</f>
        <v>New Car Dealer</v>
      </c>
      <c r="D785" s="3" t="s">
        <v>2590</v>
      </c>
      <c r="E785" s="3" t="s">
        <v>46</v>
      </c>
      <c r="F785" s="3" t="str">
        <f>"219-787-9200"</f>
        <v>219-787-9200</v>
      </c>
      <c r="G785" s="3">
        <v>441110</v>
      </c>
      <c r="H785" s="3" t="s">
        <v>2588</v>
      </c>
    </row>
    <row r="786" spans="1:8" ht="26.25" x14ac:dyDescent="0.25">
      <c r="A786" s="3" t="s">
        <v>2591</v>
      </c>
      <c r="B786" s="3"/>
      <c r="C786" s="3" t="str">
        <f>"Health Maintenance Organization"</f>
        <v>Health Maintenance Organization</v>
      </c>
      <c r="D786" s="3" t="s">
        <v>2592</v>
      </c>
      <c r="E786" s="3" t="s">
        <v>46</v>
      </c>
      <c r="F786" s="3" t="str">
        <f>"765-448-7400"</f>
        <v>765-448-7400</v>
      </c>
      <c r="G786" s="3">
        <v>621498</v>
      </c>
      <c r="H786" s="3" t="s">
        <v>937</v>
      </c>
    </row>
    <row r="787" spans="1:8" ht="64.5" x14ac:dyDescent="0.25">
      <c r="A787" s="3" t="s">
        <v>2593</v>
      </c>
      <c r="B787" s="3"/>
      <c r="C787" s="3" t="str">
        <f>"We offer complete asphalt maintenance: paving, crack sealant, sealcoating and pavement marking. We also offer maintenance in tennis court and basketball court repairs."</f>
        <v>We offer complete asphalt maintenance: paving, crack sealant, sealcoating and pavement marking. We also offer maintenance in tennis court and basketball court repairs.</v>
      </c>
      <c r="D787" s="3" t="s">
        <v>2594</v>
      </c>
      <c r="E787" s="3" t="s">
        <v>2595</v>
      </c>
      <c r="F787" s="3" t="str">
        <f>"(574) 233-1505"</f>
        <v>(574) 233-1505</v>
      </c>
      <c r="G787" s="3">
        <v>238290</v>
      </c>
      <c r="H787" s="3" t="s">
        <v>237</v>
      </c>
    </row>
    <row r="788" spans="1:8" x14ac:dyDescent="0.25">
      <c r="A788" s="3" t="s">
        <v>2596</v>
      </c>
      <c r="B788" s="3"/>
      <c r="C788" s="2"/>
      <c r="D788" s="3" t="s">
        <v>9</v>
      </c>
      <c r="E788" s="3" t="s">
        <v>46</v>
      </c>
      <c r="F788" s="2"/>
      <c r="G788" s="3">
        <v>444130</v>
      </c>
      <c r="H788" s="3" t="s">
        <v>2597</v>
      </c>
    </row>
    <row r="789" spans="1:8" ht="39" x14ac:dyDescent="0.25">
      <c r="A789" s="3" t="s">
        <v>2598</v>
      </c>
      <c r="B789" s="3"/>
      <c r="C789" s="3" t="str">
        <f>"Construction Management, Cultural Resource Management, Environmental Impact Services"</f>
        <v>Construction Management, Cultural Resource Management, Environmental Impact Services</v>
      </c>
      <c r="D789" s="3" t="s">
        <v>9</v>
      </c>
      <c r="E789" s="3" t="s">
        <v>2599</v>
      </c>
      <c r="F789" s="3" t="str">
        <f>"260-610-2600"</f>
        <v>260-610-2600</v>
      </c>
      <c r="G789" s="3">
        <v>541620</v>
      </c>
      <c r="H789" s="3" t="s">
        <v>216</v>
      </c>
    </row>
    <row r="790" spans="1:8" ht="90" x14ac:dyDescent="0.25">
      <c r="A790" s="3" t="s">
        <v>2600</v>
      </c>
      <c r="B790" s="3"/>
      <c r="C790" s="3" t="str">
        <f>"Arrow Co. is a HVAC and Electrical Contracting Company. We specialize in Commercial and Industrial work including Sales, Service, and Installation. We have over 25 years experience and are licensed and bonded. Serving Indianapolis and surrounding areas."</f>
        <v>Arrow Co. is a HVAC and Electrical Contracting Company. We specialize in Commercial and Industrial work including Sales, Service, and Installation. We have over 25 years experience and are licensed and bonded. Serving Indianapolis and surrounding areas.</v>
      </c>
      <c r="D790" s="3" t="s">
        <v>9</v>
      </c>
      <c r="E790" s="3" t="s">
        <v>46</v>
      </c>
      <c r="F790" s="3" t="str">
        <f>"317-297-2999"</f>
        <v>317-297-2999</v>
      </c>
      <c r="G790" s="3">
        <v>238220</v>
      </c>
      <c r="H790" s="3" t="s">
        <v>348</v>
      </c>
    </row>
    <row r="791" spans="1:8" ht="166.5" x14ac:dyDescent="0.25">
      <c r="A791" s="3" t="s">
        <v>2601</v>
      </c>
      <c r="B791" s="3"/>
      <c r="C791" s="3" t="s">
        <v>2602</v>
      </c>
      <c r="D791" s="3" t="s">
        <v>2603</v>
      </c>
      <c r="E791" s="3" t="s">
        <v>2604</v>
      </c>
      <c r="F791" s="3" t="str">
        <f>"317-882-6444"</f>
        <v>317-882-6444</v>
      </c>
      <c r="G791" s="3">
        <v>322211</v>
      </c>
      <c r="H791" s="3" t="s">
        <v>2605</v>
      </c>
    </row>
    <row r="792" spans="1:8" ht="26.25" x14ac:dyDescent="0.25">
      <c r="A792" s="3" t="s">
        <v>2606</v>
      </c>
      <c r="B792" s="3"/>
      <c r="C792" s="3" t="str">
        <f>"Painting, roofing, etc. general contractor. Small locally owned business since 2000."</f>
        <v>Painting, roofing, etc. general contractor. Small locally owned business since 2000.</v>
      </c>
      <c r="D792" s="3" t="s">
        <v>9</v>
      </c>
      <c r="E792" s="3" t="s">
        <v>2607</v>
      </c>
      <c r="F792" s="3" t="str">
        <f>"317-996-2438"</f>
        <v>317-996-2438</v>
      </c>
      <c r="G792" s="3">
        <v>23</v>
      </c>
      <c r="H792" s="3" t="s">
        <v>133</v>
      </c>
    </row>
    <row r="793" spans="1:8" ht="26.25" x14ac:dyDescent="0.25">
      <c r="A793" s="3" t="s">
        <v>2608</v>
      </c>
      <c r="B793" s="3"/>
      <c r="C793" s="3" t="str">
        <f>"Rental and sales of tools and equipment to others"</f>
        <v>Rental and sales of tools and equipment to others</v>
      </c>
      <c r="D793" s="3" t="s">
        <v>9</v>
      </c>
      <c r="E793" s="3" t="s">
        <v>2609</v>
      </c>
      <c r="F793" s="3" t="str">
        <f>"317-547-8118"</f>
        <v>317-547-8118</v>
      </c>
      <c r="G793" s="3">
        <v>532</v>
      </c>
      <c r="H793" s="3" t="s">
        <v>2610</v>
      </c>
    </row>
    <row r="794" spans="1:8" x14ac:dyDescent="0.25">
      <c r="A794" s="3" t="s">
        <v>2611</v>
      </c>
      <c r="B794" s="3"/>
      <c r="C794" s="3" t="str">
        <f>" "</f>
        <v xml:space="preserve"> </v>
      </c>
      <c r="D794" s="3" t="s">
        <v>2612</v>
      </c>
      <c r="E794" s="3" t="s">
        <v>46</v>
      </c>
      <c r="F794" s="2"/>
      <c r="G794" s="3">
        <v>54192</v>
      </c>
      <c r="H794" s="3" t="s">
        <v>2613</v>
      </c>
    </row>
    <row r="795" spans="1:8" ht="26.25" x14ac:dyDescent="0.25">
      <c r="A795" s="3" t="s">
        <v>2614</v>
      </c>
      <c r="B795" s="3"/>
      <c r="C795" s="3" t="str">
        <f>"art gallery, custom picture framing, art prints, original art prints, art consultation"</f>
        <v>art gallery, custom picture framing, art prints, original art prints, art consultation</v>
      </c>
      <c r="D795" s="3" t="s">
        <v>9</v>
      </c>
      <c r="E795" s="3" t="s">
        <v>2615</v>
      </c>
      <c r="F795" s="3" t="str">
        <f>"317-253-7211"</f>
        <v>317-253-7211</v>
      </c>
      <c r="G795" s="3">
        <v>453920</v>
      </c>
      <c r="H795" s="3" t="s">
        <v>2616</v>
      </c>
    </row>
    <row r="796" spans="1:8" ht="294" x14ac:dyDescent="0.25">
      <c r="A796" s="3" t="s">
        <v>2617</v>
      </c>
      <c r="B796" s="3"/>
      <c r="C796" s="3" t="s">
        <v>2618</v>
      </c>
      <c r="D796" s="3" t="s">
        <v>9</v>
      </c>
      <c r="E796" s="3" t="s">
        <v>2619</v>
      </c>
      <c r="F796" s="3" t="str">
        <f>"317-849-6688"</f>
        <v>317-849-6688</v>
      </c>
      <c r="G796" s="3">
        <v>453920</v>
      </c>
      <c r="H796" s="3" t="s">
        <v>2616</v>
      </c>
    </row>
    <row r="797" spans="1:8" ht="90" x14ac:dyDescent="0.25">
      <c r="A797" s="3" t="s">
        <v>2620</v>
      </c>
      <c r="B797" s="3"/>
      <c r="C797" s="3" t="s">
        <v>2621</v>
      </c>
      <c r="D797" s="3" t="s">
        <v>2622</v>
      </c>
      <c r="E797" s="3" t="s">
        <v>2623</v>
      </c>
      <c r="F797" s="3" t="str">
        <f>"317-660-6288"</f>
        <v>317-660-6288</v>
      </c>
      <c r="G797" s="3">
        <v>541519</v>
      </c>
      <c r="H797" s="3" t="s">
        <v>898</v>
      </c>
    </row>
    <row r="798" spans="1:8" ht="153.75" x14ac:dyDescent="0.25">
      <c r="A798" s="3" t="s">
        <v>2624</v>
      </c>
      <c r="B798" s="3"/>
      <c r="C798" s="3" t="s">
        <v>2625</v>
      </c>
      <c r="D798" s="3" t="s">
        <v>2626</v>
      </c>
      <c r="E798" s="3" t="s">
        <v>2627</v>
      </c>
      <c r="F798" s="3" t="str">
        <f>"317-405-8681"</f>
        <v>317-405-8681</v>
      </c>
      <c r="G798" s="3">
        <v>5613</v>
      </c>
      <c r="H798" s="3" t="s">
        <v>1882</v>
      </c>
    </row>
    <row r="799" spans="1:8" ht="90" x14ac:dyDescent="0.25">
      <c r="A799" s="3" t="s">
        <v>2628</v>
      </c>
      <c r="B799" s="3"/>
      <c r="C799" s="3" t="str">
        <f>"We do site work, underground pipe work, demolition, roads, wetland projects. Have a large assortment of equipment and quality personnel. Currently building sub-division and a wetland project for Natural Rescources Conservation. Well bonded and insured."</f>
        <v>We do site work, underground pipe work, demolition, roads, wetland projects. Have a large assortment of equipment and quality personnel. Currently building sub-division and a wetland project for Natural Rescources Conservation. Well bonded and insured.</v>
      </c>
      <c r="D799" s="3" t="s">
        <v>2629</v>
      </c>
      <c r="E799" s="3" t="s">
        <v>2630</v>
      </c>
      <c r="F799" s="3" t="str">
        <f>"812-398-2623"</f>
        <v>812-398-2623</v>
      </c>
      <c r="G799" s="3">
        <v>237990</v>
      </c>
      <c r="H799" s="3" t="s">
        <v>2631</v>
      </c>
    </row>
    <row r="800" spans="1:8" ht="115.5" x14ac:dyDescent="0.25">
      <c r="A800" s="3" t="s">
        <v>2632</v>
      </c>
      <c r="B800" s="3"/>
      <c r="C800" s="3" t="s">
        <v>2633</v>
      </c>
      <c r="D800" s="3" t="s">
        <v>9</v>
      </c>
      <c r="E800" s="3" t="s">
        <v>2634</v>
      </c>
      <c r="F800" s="3" t="str">
        <f>"317-575-6284"</f>
        <v>317-575-6284</v>
      </c>
      <c r="G800" s="3">
        <v>541511</v>
      </c>
      <c r="H800" s="3" t="s">
        <v>122</v>
      </c>
    </row>
    <row r="801" spans="1:8" ht="39" x14ac:dyDescent="0.25">
      <c r="A801" s="3" t="s">
        <v>2635</v>
      </c>
      <c r="B801" s="3"/>
      <c r="C801" s="3" t="str">
        <f>"A photography studio specializing in portraits, weddings/events, and commercial photography on location or in studio."</f>
        <v>A photography studio specializing in portraits, weddings/events, and commercial photography on location or in studio.</v>
      </c>
      <c r="D801" s="3" t="s">
        <v>2636</v>
      </c>
      <c r="E801" s="3" t="s">
        <v>2637</v>
      </c>
      <c r="F801" s="3" t="str">
        <f>"317-498-0679"</f>
        <v>317-498-0679</v>
      </c>
      <c r="G801" s="3">
        <v>541921</v>
      </c>
      <c r="H801" s="3" t="s">
        <v>1325</v>
      </c>
    </row>
    <row r="802" spans="1:8" ht="26.25" x14ac:dyDescent="0.25">
      <c r="A802" s="3" t="s">
        <v>2638</v>
      </c>
      <c r="B802" s="3"/>
      <c r="C802" s="3" t="str">
        <f>"Photography Services"</f>
        <v>Photography Services</v>
      </c>
      <c r="D802" s="3" t="s">
        <v>2639</v>
      </c>
      <c r="E802" s="3" t="s">
        <v>46</v>
      </c>
      <c r="F802" s="3" t="str">
        <f>"317-362-8311"</f>
        <v>317-362-8311</v>
      </c>
      <c r="G802" s="3">
        <v>541921</v>
      </c>
      <c r="H802" s="3" t="s">
        <v>1325</v>
      </c>
    </row>
    <row r="803" spans="1:8" ht="255.75" x14ac:dyDescent="0.25">
      <c r="A803" s="3" t="s">
        <v>2640</v>
      </c>
      <c r="B803" s="3"/>
      <c r="C803" s="3" t="s">
        <v>2641</v>
      </c>
      <c r="D803" s="3" t="s">
        <v>9</v>
      </c>
      <c r="E803" s="3" t="s">
        <v>2642</v>
      </c>
      <c r="F803" s="3" t="str">
        <f>"317-750-9352"</f>
        <v>317-750-9352</v>
      </c>
      <c r="G803" s="3">
        <v>621330</v>
      </c>
      <c r="H803" s="3" t="s">
        <v>2643</v>
      </c>
    </row>
    <row r="804" spans="1:8" ht="141" x14ac:dyDescent="0.25">
      <c r="A804" s="3" t="s">
        <v>2644</v>
      </c>
      <c r="B804" s="3"/>
      <c r="C804" s="3" t="s">
        <v>2645</v>
      </c>
      <c r="D804" s="3" t="s">
        <v>2646</v>
      </c>
      <c r="E804" s="3" t="s">
        <v>2647</v>
      </c>
      <c r="F804" s="3" t="str">
        <f>"317-313-7650"</f>
        <v>317-313-7650</v>
      </c>
      <c r="G804" s="3">
        <v>5141</v>
      </c>
      <c r="H804" s="3" t="s">
        <v>1097</v>
      </c>
    </row>
    <row r="805" spans="1:8" ht="64.5" x14ac:dyDescent="0.25">
      <c r="A805" s="3" t="s">
        <v>2648</v>
      </c>
      <c r="B805" s="3"/>
      <c r="C805" s="3" t="str">
        <f>"Asher Realty &amp; Appraisals, Inc. is a real estate brokerage and residential appraisal firm. It is an 100% woman owned business. I list, sell, and appraise residential real property."</f>
        <v>Asher Realty &amp; Appraisals, Inc. is a real estate brokerage and residential appraisal firm. It is an 100% woman owned business. I list, sell, and appraise residential real property.</v>
      </c>
      <c r="D805" s="3" t="s">
        <v>2649</v>
      </c>
      <c r="E805" s="3" t="s">
        <v>2650</v>
      </c>
      <c r="F805" s="3" t="str">
        <f>"317-862-7920"</f>
        <v>317-862-7920</v>
      </c>
      <c r="G805" s="3">
        <v>531320</v>
      </c>
      <c r="H805" s="3" t="s">
        <v>34</v>
      </c>
    </row>
    <row r="806" spans="1:8" ht="26.25" x14ac:dyDescent="0.25">
      <c r="A806" s="3" t="s">
        <v>2651</v>
      </c>
      <c r="B806" s="3"/>
      <c r="C806" s="3" t="str">
        <f>" "</f>
        <v xml:space="preserve"> </v>
      </c>
      <c r="D806" s="3" t="s">
        <v>2652</v>
      </c>
      <c r="E806" s="3" t="s">
        <v>46</v>
      </c>
      <c r="F806" s="3" t="str">
        <f>"317-635-2000"</f>
        <v>317-635-2000</v>
      </c>
      <c r="G806" s="3">
        <v>721110</v>
      </c>
      <c r="H806" s="3" t="s">
        <v>872</v>
      </c>
    </row>
    <row r="807" spans="1:8" ht="39" x14ac:dyDescent="0.25">
      <c r="A807" s="3" t="s">
        <v>2653</v>
      </c>
      <c r="B807" s="3"/>
      <c r="C807" s="3" t="str">
        <f>"ProAssets provides professional web site design, development, SEO and Consulting services to the small business community."</f>
        <v>ProAssets provides professional web site design, development, SEO and Consulting services to the small business community.</v>
      </c>
      <c r="D807" s="3" t="s">
        <v>2654</v>
      </c>
      <c r="E807" s="3" t="s">
        <v>2655</v>
      </c>
      <c r="F807" s="3" t="str">
        <f>"888.368.5345"</f>
        <v>888.368.5345</v>
      </c>
      <c r="G807" s="3">
        <v>518111</v>
      </c>
      <c r="H807" s="3" t="s">
        <v>2656</v>
      </c>
    </row>
    <row r="808" spans="1:8" ht="204.75" x14ac:dyDescent="0.25">
      <c r="A808" s="3" t="s">
        <v>2657</v>
      </c>
      <c r="B808" s="3"/>
      <c r="C808" s="3" t="s">
        <v>2658</v>
      </c>
      <c r="D808" s="3" t="s">
        <v>2659</v>
      </c>
      <c r="E808" s="3" t="s">
        <v>2660</v>
      </c>
      <c r="F808" s="3" t="str">
        <f>"8445115661"</f>
        <v>8445115661</v>
      </c>
      <c r="G808" s="3">
        <v>541430</v>
      </c>
      <c r="H808" s="3" t="s">
        <v>78</v>
      </c>
    </row>
    <row r="809" spans="1:8" ht="77.25" x14ac:dyDescent="0.25">
      <c r="A809" s="3" t="s">
        <v>2661</v>
      </c>
      <c r="B809" s="3"/>
      <c r="C809" s="3" t="str">
        <f>"Architecture, Engineering, Interior design. Health and educational facilities,Transportation (highways, airports), Painting and Coatings, Vinyl wall installations, Sand blasting. Paint design systems"</f>
        <v>Architecture, Engineering, Interior design. Health and educational facilities,Transportation (highways, airports), Painting and Coatings, Vinyl wall installations, Sand blasting. Paint design systems</v>
      </c>
      <c r="D809" s="3" t="s">
        <v>9</v>
      </c>
      <c r="E809" s="3" t="s">
        <v>2662</v>
      </c>
      <c r="F809" s="3" t="str">
        <f>"317-299-6077"</f>
        <v>317-299-6077</v>
      </c>
      <c r="G809" s="3">
        <v>541990</v>
      </c>
      <c r="H809" s="3" t="s">
        <v>378</v>
      </c>
    </row>
    <row r="810" spans="1:8" ht="102.75" x14ac:dyDescent="0.25">
      <c r="A810" s="3" t="s">
        <v>2663</v>
      </c>
      <c r="B810" s="3"/>
      <c r="C810" s="3" t="s">
        <v>2664</v>
      </c>
      <c r="D810" s="3" t="s">
        <v>2665</v>
      </c>
      <c r="E810" s="3" t="s">
        <v>46</v>
      </c>
      <c r="F810" s="3" t="str">
        <f>"317-633-6633"</f>
        <v>317-633-6633</v>
      </c>
      <c r="G810" s="3">
        <v>561440</v>
      </c>
      <c r="H810" s="3" t="s">
        <v>473</v>
      </c>
    </row>
    <row r="811" spans="1:8" ht="39" x14ac:dyDescent="0.25">
      <c r="A811" s="3" t="s">
        <v>2666</v>
      </c>
      <c r="B811" s="3"/>
      <c r="C811" s="3" t="str">
        <f>"Manufacturers Representatives with plumbing product lines"</f>
        <v>Manufacturers Representatives with plumbing product lines</v>
      </c>
      <c r="D811" s="3" t="s">
        <v>2667</v>
      </c>
      <c r="E811" s="3" t="s">
        <v>2668</v>
      </c>
      <c r="F811" s="3" t="str">
        <f>"317-722-1950"</f>
        <v>317-722-1950</v>
      </c>
      <c r="G811" s="3">
        <v>4237</v>
      </c>
      <c r="H811" s="3" t="s">
        <v>245</v>
      </c>
    </row>
    <row r="812" spans="1:8" ht="192" x14ac:dyDescent="0.25">
      <c r="A812" s="3" t="s">
        <v>2669</v>
      </c>
      <c r="B812" s="3"/>
      <c r="C812" s="3" t="s">
        <v>2670</v>
      </c>
      <c r="D812" s="3" t="s">
        <v>2671</v>
      </c>
      <c r="E812" s="3" t="s">
        <v>2672</v>
      </c>
      <c r="F812" s="3" t="str">
        <f>"317-288-5611"</f>
        <v>317-288-5611</v>
      </c>
      <c r="G812" s="3">
        <v>541614</v>
      </c>
      <c r="H812" s="3" t="s">
        <v>107</v>
      </c>
    </row>
    <row r="813" spans="1:8" ht="243" x14ac:dyDescent="0.25">
      <c r="A813" s="3" t="s">
        <v>2673</v>
      </c>
      <c r="B813" s="3"/>
      <c r="C813" s="3" t="s">
        <v>2674</v>
      </c>
      <c r="D813" s="3" t="s">
        <v>2675</v>
      </c>
      <c r="E813" s="3" t="s">
        <v>2676</v>
      </c>
      <c r="F813" s="3" t="str">
        <f>"(317) 826-8520"</f>
        <v>(317) 826-8520</v>
      </c>
      <c r="G813" s="3">
        <v>5416</v>
      </c>
      <c r="H813" s="3" t="s">
        <v>194</v>
      </c>
    </row>
    <row r="814" spans="1:8" ht="102.75" x14ac:dyDescent="0.25">
      <c r="A814" s="3" t="s">
        <v>2677</v>
      </c>
      <c r="B814" s="3"/>
      <c r="C814" s="3" t="s">
        <v>2678</v>
      </c>
      <c r="D814" s="3" t="s">
        <v>2679</v>
      </c>
      <c r="E814" s="3" t="s">
        <v>2680</v>
      </c>
      <c r="F814" s="3" t="str">
        <f>"(260) 672-3004"</f>
        <v>(260) 672-3004</v>
      </c>
      <c r="G814" s="3">
        <v>4238</v>
      </c>
      <c r="H814" s="3" t="s">
        <v>1565</v>
      </c>
    </row>
    <row r="815" spans="1:8" ht="39" x14ac:dyDescent="0.25">
      <c r="A815" s="3" t="s">
        <v>2681</v>
      </c>
      <c r="B815" s="3"/>
      <c r="C815" s="3" t="str">
        <f>"Sales and repair of electric motors gear boxes pumps of all kinds fabrication lift stations."</f>
        <v>Sales and repair of electric motors gear boxes pumps of all kinds fabrication lift stations.</v>
      </c>
      <c r="D815" s="3" t="s">
        <v>9</v>
      </c>
      <c r="E815" s="3" t="s">
        <v>2682</v>
      </c>
      <c r="F815" s="3" t="str">
        <f>"812-542-1561"</f>
        <v>812-542-1561</v>
      </c>
      <c r="G815" s="3">
        <v>2213</v>
      </c>
      <c r="H815" s="3" t="s">
        <v>2486</v>
      </c>
    </row>
    <row r="816" spans="1:8" ht="39" x14ac:dyDescent="0.25">
      <c r="A816" s="3" t="s">
        <v>2683</v>
      </c>
      <c r="B816" s="3"/>
      <c r="C816" s="3" t="str">
        <f>"Asplundh Tree Expert Company is a tree trimming and right-of-ways for utility companies."</f>
        <v>Asplundh Tree Expert Company is a tree trimming and right-of-ways for utility companies.</v>
      </c>
      <c r="D816" s="3" t="s">
        <v>2684</v>
      </c>
      <c r="E816" s="3" t="s">
        <v>2685</v>
      </c>
      <c r="F816" s="3" t="str">
        <f>"317-241-1175"</f>
        <v>317-241-1175</v>
      </c>
      <c r="G816" s="3">
        <v>11</v>
      </c>
      <c r="H816" s="3" t="s">
        <v>175</v>
      </c>
    </row>
    <row r="817" spans="1:8" ht="90" x14ac:dyDescent="0.25">
      <c r="A817" s="3" t="s">
        <v>2686</v>
      </c>
      <c r="B817" s="3"/>
      <c r="C817" s="3" t="s">
        <v>2687</v>
      </c>
      <c r="D817" s="3" t="s">
        <v>2688</v>
      </c>
      <c r="E817" s="3" t="s">
        <v>2689</v>
      </c>
      <c r="F817" s="3" t="str">
        <f>"317-534-0236"</f>
        <v>317-534-0236</v>
      </c>
      <c r="G817" s="3">
        <v>624310</v>
      </c>
      <c r="H817" s="3" t="s">
        <v>488</v>
      </c>
    </row>
    <row r="818" spans="1:8" ht="39" x14ac:dyDescent="0.25">
      <c r="A818" s="3" t="s">
        <v>2690</v>
      </c>
      <c r="B818" s="3"/>
      <c r="C818" s="3" t="str">
        <f>"We are a real estate appraisal company. Residential, Commercial, Right of Way Acquisition Appraisals &amp; Review"</f>
        <v>We are a real estate appraisal company. Residential, Commercial, Right of Way Acquisition Appraisals &amp; Review</v>
      </c>
      <c r="D818" s="3" t="s">
        <v>9</v>
      </c>
      <c r="E818" s="3" t="s">
        <v>2691</v>
      </c>
      <c r="F818" s="3" t="str">
        <f>"812-944-5622"</f>
        <v>812-944-5622</v>
      </c>
      <c r="G818" s="3">
        <v>531320</v>
      </c>
      <c r="H818" s="3" t="s">
        <v>34</v>
      </c>
    </row>
    <row r="819" spans="1:8" ht="26.25" x14ac:dyDescent="0.25">
      <c r="A819" s="3" t="s">
        <v>2692</v>
      </c>
      <c r="B819" s="3"/>
      <c r="C819" s="3" t="str">
        <f>"We are a manufacturer's rep for plumbing and heating equipment."</f>
        <v>We are a manufacturer's rep for plumbing and heating equipment.</v>
      </c>
      <c r="D819" s="3" t="s">
        <v>2693</v>
      </c>
      <c r="E819" s="3" t="s">
        <v>2694</v>
      </c>
      <c r="F819" s="3" t="str">
        <f>"317-409-3049"</f>
        <v>317-409-3049</v>
      </c>
      <c r="G819" s="3">
        <v>423720</v>
      </c>
      <c r="H819" s="3" t="s">
        <v>2695</v>
      </c>
    </row>
    <row r="820" spans="1:8" ht="26.25" x14ac:dyDescent="0.25">
      <c r="A820" s="3" t="s">
        <v>2696</v>
      </c>
      <c r="B820" s="3"/>
      <c r="C820" s="3" t="str">
        <f>"Distributor of Kitchen and Bath Cabinetry, Countertops, &amp; Interior Door Hardware."</f>
        <v>Distributor of Kitchen and Bath Cabinetry, Countertops, &amp; Interior Door Hardware.</v>
      </c>
      <c r="D820" s="3" t="s">
        <v>9</v>
      </c>
      <c r="E820" s="3" t="s">
        <v>46</v>
      </c>
      <c r="F820" s="3" t="str">
        <f>"(317)867-0483"</f>
        <v>(317)867-0483</v>
      </c>
      <c r="G820" s="3">
        <v>42339</v>
      </c>
      <c r="H820" s="3" t="s">
        <v>1863</v>
      </c>
    </row>
    <row r="821" spans="1:8" ht="26.25" x14ac:dyDescent="0.25">
      <c r="A821" s="3" t="s">
        <v>2697</v>
      </c>
      <c r="B821" s="3"/>
      <c r="C821" s="3" t="str">
        <f>"Court reporting - depositions, hearings, arbitrations, conventions."</f>
        <v>Court reporting - depositions, hearings, arbitrations, conventions.</v>
      </c>
      <c r="D821" s="3" t="s">
        <v>2698</v>
      </c>
      <c r="E821" s="3" t="s">
        <v>2699</v>
      </c>
      <c r="F821" s="3" t="str">
        <f>"317-631-0940"</f>
        <v>317-631-0940</v>
      </c>
      <c r="G821" s="3">
        <v>5411</v>
      </c>
      <c r="H821" s="3" t="s">
        <v>87</v>
      </c>
    </row>
    <row r="822" spans="1:8" ht="179.25" x14ac:dyDescent="0.25">
      <c r="A822" s="3" t="s">
        <v>2700</v>
      </c>
      <c r="B822" s="3"/>
      <c r="C822" s="3" t="s">
        <v>2701</v>
      </c>
      <c r="D822" s="3" t="s">
        <v>9</v>
      </c>
      <c r="E822" s="3" t="s">
        <v>2702</v>
      </c>
      <c r="F822" s="3" t="str">
        <f>"317-322-0489"</f>
        <v>317-322-0489</v>
      </c>
      <c r="G822" s="3">
        <v>531390</v>
      </c>
      <c r="H822" s="3" t="s">
        <v>623</v>
      </c>
    </row>
    <row r="823" spans="1:8" ht="153.75" x14ac:dyDescent="0.25">
      <c r="A823" s="3" t="s">
        <v>2703</v>
      </c>
      <c r="B823" s="3"/>
      <c r="C823" s="3" t="s">
        <v>2704</v>
      </c>
      <c r="D823" s="3" t="s">
        <v>2705</v>
      </c>
      <c r="E823" s="3" t="s">
        <v>2706</v>
      </c>
      <c r="F823" s="3" t="str">
        <f>"317-840-2303"</f>
        <v>317-840-2303</v>
      </c>
      <c r="G823" s="3">
        <v>541910</v>
      </c>
      <c r="H823" s="3" t="s">
        <v>510</v>
      </c>
    </row>
    <row r="824" spans="1:8" ht="166.5" x14ac:dyDescent="0.25">
      <c r="A824" s="3" t="s">
        <v>2707</v>
      </c>
      <c r="B824" s="3"/>
      <c r="C824" s="3" t="s">
        <v>2708</v>
      </c>
      <c r="D824" s="3" t="s">
        <v>2709</v>
      </c>
      <c r="E824" s="3" t="s">
        <v>2710</v>
      </c>
      <c r="F824" s="3" t="str">
        <f>"317-624-2000"</f>
        <v>317-624-2000</v>
      </c>
      <c r="G824" s="3">
        <v>517</v>
      </c>
      <c r="H824" s="3" t="s">
        <v>682</v>
      </c>
    </row>
    <row r="825" spans="1:8" ht="39" x14ac:dyDescent="0.25">
      <c r="A825" s="3" t="s">
        <v>2711</v>
      </c>
      <c r="B825" s="3"/>
      <c r="C825" s="3" t="str">
        <f>"We sell and deliver janitorial supplies, office supplies, office furniture, and school supplies including arts &amp; crafts."</f>
        <v>We sell and deliver janitorial supplies, office supplies, office furniture, and school supplies including arts &amp; crafts.</v>
      </c>
      <c r="D825" s="3" t="s">
        <v>9</v>
      </c>
      <c r="E825" s="3" t="s">
        <v>46</v>
      </c>
      <c r="F825" s="2"/>
      <c r="G825" s="3">
        <v>453998</v>
      </c>
      <c r="H825" s="3" t="s">
        <v>112</v>
      </c>
    </row>
    <row r="826" spans="1:8" ht="39" x14ac:dyDescent="0.25">
      <c r="A826" s="3" t="s">
        <v>2712</v>
      </c>
      <c r="B826" s="3"/>
      <c r="C826" s="3" t="str">
        <f>"Medical and Clerical Staffing company, providing temporary, contract, and permanent placement."</f>
        <v>Medical and Clerical Staffing company, providing temporary, contract, and permanent placement.</v>
      </c>
      <c r="D826" s="3" t="s">
        <v>2713</v>
      </c>
      <c r="E826" s="3" t="s">
        <v>2714</v>
      </c>
      <c r="F826" s="3" t="str">
        <f>"317-862-8141"</f>
        <v>317-862-8141</v>
      </c>
      <c r="G826" s="3">
        <v>561320</v>
      </c>
      <c r="H826" s="3" t="s">
        <v>15</v>
      </c>
    </row>
    <row r="827" spans="1:8" ht="115.5" x14ac:dyDescent="0.25">
      <c r="A827" s="3" t="s">
        <v>2715</v>
      </c>
      <c r="B827" s="3"/>
      <c r="C827" s="3" t="s">
        <v>2716</v>
      </c>
      <c r="D827" s="3" t="s">
        <v>2717</v>
      </c>
      <c r="E827" s="3" t="s">
        <v>2718</v>
      </c>
      <c r="F827" s="3" t="str">
        <f>"(317) 328-7153"</f>
        <v>(317) 328-7153</v>
      </c>
      <c r="G827" s="3">
        <v>541620</v>
      </c>
      <c r="H827" s="3" t="s">
        <v>216</v>
      </c>
    </row>
    <row r="828" spans="1:8" ht="26.25" x14ac:dyDescent="0.25">
      <c r="A828" s="3" t="s">
        <v>2719</v>
      </c>
      <c r="B828" s="3"/>
      <c r="C828" s="3" t="str">
        <f>"Welcoming tomorrows dreams today by insourcing."</f>
        <v>Welcoming tomorrows dreams today by insourcing.</v>
      </c>
      <c r="D828" s="3" t="s">
        <v>9</v>
      </c>
      <c r="E828" s="3" t="s">
        <v>46</v>
      </c>
      <c r="F828" s="2"/>
      <c r="G828" s="3">
        <v>336</v>
      </c>
      <c r="H828" s="3" t="s">
        <v>2720</v>
      </c>
    </row>
    <row r="829" spans="1:8" ht="39" x14ac:dyDescent="0.25">
      <c r="A829" s="3" t="s">
        <v>2721</v>
      </c>
      <c r="B829" s="3"/>
      <c r="C829" s="3" t="str">
        <f>"Supplier and distributor of heating, ventilation and air conditioning equipment."</f>
        <v>Supplier and distributor of heating, ventilation and air conditioning equipment.</v>
      </c>
      <c r="D829" s="3" t="s">
        <v>9</v>
      </c>
      <c r="E829" s="3" t="s">
        <v>2722</v>
      </c>
      <c r="F829" s="3" t="str">
        <f>"317-873-8396"</f>
        <v>317-873-8396</v>
      </c>
      <c r="G829" s="3">
        <v>333415</v>
      </c>
      <c r="H829" s="3" t="s">
        <v>1731</v>
      </c>
    </row>
    <row r="830" spans="1:8" ht="26.25" x14ac:dyDescent="0.25">
      <c r="A830" s="3" t="s">
        <v>2723</v>
      </c>
      <c r="B830" s="3"/>
      <c r="C830" s="3" t="str">
        <f>"Mostly fee appraisal services in the State of Indiana."</f>
        <v>Mostly fee appraisal services in the State of Indiana.</v>
      </c>
      <c r="D830" s="3" t="s">
        <v>9</v>
      </c>
      <c r="E830" s="3" t="s">
        <v>2724</v>
      </c>
      <c r="F830" s="3" t="str">
        <f>"317-358-7293"</f>
        <v>317-358-7293</v>
      </c>
      <c r="G830" s="3">
        <v>531320</v>
      </c>
      <c r="H830" s="3" t="s">
        <v>34</v>
      </c>
    </row>
    <row r="831" spans="1:8" ht="128.25" x14ac:dyDescent="0.25">
      <c r="A831" s="3" t="s">
        <v>2725</v>
      </c>
      <c r="B831" s="3"/>
      <c r="C831" s="3" t="s">
        <v>2726</v>
      </c>
      <c r="D831" s="3" t="s">
        <v>2727</v>
      </c>
      <c r="E831" s="3" t="s">
        <v>2728</v>
      </c>
      <c r="F831" s="3" t="str">
        <f>"317-683-7095"</f>
        <v>317-683-7095</v>
      </c>
      <c r="G831" s="3">
        <v>238210</v>
      </c>
      <c r="H831" s="3" t="s">
        <v>306</v>
      </c>
    </row>
    <row r="832" spans="1:8" ht="64.5" x14ac:dyDescent="0.25">
      <c r="A832" s="3" t="s">
        <v>2729</v>
      </c>
      <c r="B832" s="3"/>
      <c r="C832" s="3" t="str">
        <f>"Non-destructive Hydro-Vac Excavation for utility locates, subsurface utility engineering, pipeline tie-ins, slot trenching, remote excavation, pot holes, and post holes."</f>
        <v>Non-destructive Hydro-Vac Excavation for utility locates, subsurface utility engineering, pipeline tie-ins, slot trenching, remote excavation, pot holes, and post holes.</v>
      </c>
      <c r="D832" s="3" t="s">
        <v>9</v>
      </c>
      <c r="E832" s="3" t="s">
        <v>2730</v>
      </c>
      <c r="F832" s="3" t="str">
        <f>"765-429-4800"</f>
        <v>765-429-4800</v>
      </c>
      <c r="G832" s="3">
        <v>238910</v>
      </c>
      <c r="H832" s="3" t="s">
        <v>886</v>
      </c>
    </row>
    <row r="833" spans="1:8" ht="64.5" x14ac:dyDescent="0.25">
      <c r="A833" s="3" t="s">
        <v>2731</v>
      </c>
      <c r="B833" s="3"/>
      <c r="C833" s="3" t="str">
        <f>"Atlas is a underground utility contractor, specializing in Sewer, Water, and Storm installation. We build State, Municipal, and private projects. We are a women owned business."</f>
        <v>Atlas is a underground utility contractor, specializing in Sewer, Water, and Storm installation. We build State, Municipal, and private projects. We are a women owned business.</v>
      </c>
      <c r="D833" s="3" t="s">
        <v>9</v>
      </c>
      <c r="E833" s="3" t="s">
        <v>2732</v>
      </c>
      <c r="F833" s="3" t="str">
        <f>"765-429-4800"</f>
        <v>765-429-4800</v>
      </c>
      <c r="G833" s="3">
        <v>23491</v>
      </c>
      <c r="H833" s="3" t="s">
        <v>1107</v>
      </c>
    </row>
    <row r="834" spans="1:8" ht="281.25" x14ac:dyDescent="0.25">
      <c r="A834" s="3" t="s">
        <v>2733</v>
      </c>
      <c r="B834" s="3"/>
      <c r="C834" s="3" t="s">
        <v>2734</v>
      </c>
      <c r="D834" s="3" t="s">
        <v>2735</v>
      </c>
      <c r="E834" s="3" t="s">
        <v>2736</v>
      </c>
      <c r="F834" s="3" t="str">
        <f>"765-662-2525"</f>
        <v>765-662-2525</v>
      </c>
      <c r="G834" s="3">
        <v>331511</v>
      </c>
      <c r="H834" s="3" t="s">
        <v>2737</v>
      </c>
    </row>
    <row r="835" spans="1:8" ht="26.25" x14ac:dyDescent="0.25">
      <c r="A835" s="3" t="s">
        <v>2738</v>
      </c>
      <c r="B835" s="3"/>
      <c r="C835" s="3" t="str">
        <f>"Landscaping / Lawn Care"</f>
        <v>Landscaping / Lawn Care</v>
      </c>
      <c r="D835" s="3" t="s">
        <v>2739</v>
      </c>
      <c r="E835" s="3" t="s">
        <v>2740</v>
      </c>
      <c r="F835" s="3" t="str">
        <f>"765-588-3333"</f>
        <v>765-588-3333</v>
      </c>
      <c r="G835" s="3">
        <v>561730</v>
      </c>
      <c r="H835" s="3" t="s">
        <v>65</v>
      </c>
    </row>
    <row r="836" spans="1:8" ht="26.25" x14ac:dyDescent="0.25">
      <c r="A836" s="3" t="s">
        <v>2741</v>
      </c>
      <c r="B836" s="3"/>
      <c r="C836" s="3" t="str">
        <f>"Contract/Project Management &amp; Consultation"</f>
        <v>Contract/Project Management &amp; Consultation</v>
      </c>
      <c r="D836" s="3" t="s">
        <v>2742</v>
      </c>
      <c r="E836" s="3" t="s">
        <v>2743</v>
      </c>
      <c r="F836" s="3" t="str">
        <f>"317-260-6263"</f>
        <v>317-260-6263</v>
      </c>
      <c r="G836" s="3">
        <v>54161</v>
      </c>
      <c r="H836" s="3" t="s">
        <v>1221</v>
      </c>
    </row>
    <row r="837" spans="1:8" ht="26.25" x14ac:dyDescent="0.25">
      <c r="A837" s="3" t="s">
        <v>2744</v>
      </c>
      <c r="B837" s="3"/>
      <c r="C837" s="3" t="str">
        <f>"Sale of restaurant supplies and equipment"</f>
        <v>Sale of restaurant supplies and equipment</v>
      </c>
      <c r="D837" s="3" t="s">
        <v>2745</v>
      </c>
      <c r="E837" s="3" t="s">
        <v>2746</v>
      </c>
      <c r="F837" s="3" t="str">
        <f>"574-272-3343"</f>
        <v>574-272-3343</v>
      </c>
      <c r="G837" s="3">
        <v>238290</v>
      </c>
      <c r="H837" s="3" t="s">
        <v>237</v>
      </c>
    </row>
    <row r="838" spans="1:8" ht="268.5" x14ac:dyDescent="0.25">
      <c r="A838" s="3" t="s">
        <v>2747</v>
      </c>
      <c r="B838" s="3"/>
      <c r="C838" s="3" t="s">
        <v>2748</v>
      </c>
      <c r="D838" s="3" t="s">
        <v>2749</v>
      </c>
      <c r="E838" s="3" t="s">
        <v>46</v>
      </c>
      <c r="F838" s="3" t="str">
        <f>"812-949-2866"</f>
        <v>812-949-2866</v>
      </c>
      <c r="G838" s="3">
        <v>541990</v>
      </c>
      <c r="H838" s="3" t="s">
        <v>378</v>
      </c>
    </row>
    <row r="839" spans="1:8" ht="26.25" x14ac:dyDescent="0.25">
      <c r="A839" s="3" t="s">
        <v>2750</v>
      </c>
      <c r="B839" s="3"/>
      <c r="C839" s="3" t="str">
        <f>" "</f>
        <v xml:space="preserve"> </v>
      </c>
      <c r="D839" s="3" t="s">
        <v>9</v>
      </c>
      <c r="E839" s="3" t="s">
        <v>2751</v>
      </c>
      <c r="F839" s="3" t="str">
        <f>"(812)4643142"</f>
        <v>(812)4643142</v>
      </c>
      <c r="G839" s="3">
        <v>212111</v>
      </c>
      <c r="H839" s="3" t="s">
        <v>2752</v>
      </c>
    </row>
    <row r="840" spans="1:8" ht="141" x14ac:dyDescent="0.25">
      <c r="A840" s="3" t="s">
        <v>2753</v>
      </c>
      <c r="B840" s="3"/>
      <c r="C840" s="3" t="s">
        <v>2754</v>
      </c>
      <c r="D840" s="3" t="s">
        <v>2755</v>
      </c>
      <c r="E840" s="3" t="s">
        <v>2756</v>
      </c>
      <c r="F840" s="2"/>
      <c r="G840" s="3">
        <v>541430</v>
      </c>
      <c r="H840" s="3" t="s">
        <v>78</v>
      </c>
    </row>
    <row r="841" spans="1:8" ht="26.25" x14ac:dyDescent="0.25">
      <c r="A841" s="3" t="s">
        <v>2757</v>
      </c>
      <c r="B841" s="3"/>
      <c r="C841" s="3" t="str">
        <f>"Freestanding natural childbirth facility."</f>
        <v>Freestanding natural childbirth facility.</v>
      </c>
      <c r="D841" s="3" t="s">
        <v>2758</v>
      </c>
      <c r="E841" s="3" t="s">
        <v>46</v>
      </c>
      <c r="F841" s="3" t="str">
        <f>"2609270035"</f>
        <v>2609270035</v>
      </c>
      <c r="G841" s="3">
        <v>621498</v>
      </c>
      <c r="H841" s="3" t="s">
        <v>937</v>
      </c>
    </row>
    <row r="842" spans="1:8" ht="26.25" x14ac:dyDescent="0.25">
      <c r="A842" s="3" t="s">
        <v>2759</v>
      </c>
      <c r="B842" s="3"/>
      <c r="C842" s="3" t="str">
        <f>"18"" x 18"" Patio Slabs, 24"" x 24"" Patio Slabs, 12"" Round Slabs, 18"" Round Slabs et al."</f>
        <v>18" x 18" Patio Slabs, 24" x 24" Patio Slabs, 12" Round Slabs, 18" Round Slabs et al.</v>
      </c>
      <c r="D842" s="3" t="s">
        <v>9</v>
      </c>
      <c r="E842" s="3" t="s">
        <v>2760</v>
      </c>
      <c r="F842" s="3" t="str">
        <f>"260-925-3766"</f>
        <v>260-925-3766</v>
      </c>
      <c r="G842" s="3">
        <v>327390</v>
      </c>
      <c r="H842" s="3" t="s">
        <v>2761</v>
      </c>
    </row>
    <row r="843" spans="1:8" ht="64.5" x14ac:dyDescent="0.25">
      <c r="A843" s="3" t="s">
        <v>2762</v>
      </c>
      <c r="B843" s="3"/>
      <c r="C843" s="3" t="str">
        <f>"CNC precision machining (turning and maching related secondary processes) Primary focus on gear and shaft componentry related to power transmission."</f>
        <v>CNC precision machining (turning and maching related secondary processes) Primary focus on gear and shaft componentry related to power transmission.</v>
      </c>
      <c r="D843" s="3" t="s">
        <v>2763</v>
      </c>
      <c r="E843" s="3" t="s">
        <v>2764</v>
      </c>
      <c r="F843" s="3" t="str">
        <f>"2609258651"</f>
        <v>2609258651</v>
      </c>
      <c r="G843" s="3">
        <v>333612</v>
      </c>
      <c r="H843" s="3" t="s">
        <v>2765</v>
      </c>
    </row>
    <row r="844" spans="1:8" ht="64.5" x14ac:dyDescent="0.25">
      <c r="A844" s="3" t="s">
        <v>2766</v>
      </c>
      <c r="B844" s="3"/>
      <c r="C844" s="3" t="str">
        <f>"Deregulated Utility Commodity Supply Consultant: We help mid to large energy users procure Natural Gas and Electricity from an energy wholesaler. We consult for industry, commercial, and public sectors."</f>
        <v>Deregulated Utility Commodity Supply Consultant: We help mid to large energy users procure Natural Gas and Electricity from an energy wholesaler. We consult for industry, commercial, and public sectors.</v>
      </c>
      <c r="D844" s="3" t="s">
        <v>9</v>
      </c>
      <c r="E844" s="3" t="s">
        <v>2767</v>
      </c>
      <c r="F844" s="2"/>
      <c r="G844" s="3">
        <v>541690</v>
      </c>
      <c r="H844" s="3" t="s">
        <v>652</v>
      </c>
    </row>
    <row r="845" spans="1:8" ht="102.75" x14ac:dyDescent="0.25">
      <c r="A845" s="3" t="s">
        <v>2768</v>
      </c>
      <c r="B845" s="3"/>
      <c r="C845" s="3" t="s">
        <v>2769</v>
      </c>
      <c r="D845" s="3" t="s">
        <v>2770</v>
      </c>
      <c r="E845" s="3" t="s">
        <v>2771</v>
      </c>
      <c r="F845" s="3" t="str">
        <f>"317-663-5050"</f>
        <v>317-663-5050</v>
      </c>
      <c r="G845" s="3">
        <v>5415</v>
      </c>
      <c r="H845" s="3" t="s">
        <v>188</v>
      </c>
    </row>
    <row r="846" spans="1:8" ht="141" x14ac:dyDescent="0.25">
      <c r="A846" s="3" t="s">
        <v>2772</v>
      </c>
      <c r="B846" s="3"/>
      <c r="C846" s="3" t="s">
        <v>2773</v>
      </c>
      <c r="D846" s="3" t="s">
        <v>2774</v>
      </c>
      <c r="E846" s="3" t="s">
        <v>2775</v>
      </c>
      <c r="F846" s="3" t="str">
        <f>"260-471-9707"</f>
        <v>260-471-9707</v>
      </c>
      <c r="G846" s="3">
        <v>33431</v>
      </c>
      <c r="H846" s="3" t="s">
        <v>2776</v>
      </c>
    </row>
    <row r="847" spans="1:8" ht="141" x14ac:dyDescent="0.25">
      <c r="A847" s="3" t="s">
        <v>2777</v>
      </c>
      <c r="B847" s="3"/>
      <c r="C847" s="3" t="s">
        <v>2778</v>
      </c>
      <c r="D847" s="3" t="s">
        <v>2779</v>
      </c>
      <c r="E847" s="3" t="s">
        <v>46</v>
      </c>
      <c r="F847" s="3" t="str">
        <f>"317-916-8000"</f>
        <v>317-916-8000</v>
      </c>
      <c r="G847" s="3">
        <v>541620</v>
      </c>
      <c r="H847" s="3" t="s">
        <v>216</v>
      </c>
    </row>
    <row r="848" spans="1:8" ht="102.75" x14ac:dyDescent="0.25">
      <c r="A848" s="3" t="s">
        <v>2780</v>
      </c>
      <c r="B848" s="3"/>
      <c r="C848" s="3" t="s">
        <v>2781</v>
      </c>
      <c r="D848" s="3" t="s">
        <v>2782</v>
      </c>
      <c r="E848" s="3" t="s">
        <v>2783</v>
      </c>
      <c r="F848" s="3" t="str">
        <f>"317-422-1903"</f>
        <v>317-422-1903</v>
      </c>
      <c r="G848" s="3">
        <v>238220</v>
      </c>
      <c r="H848" s="3" t="s">
        <v>348</v>
      </c>
    </row>
    <row r="849" spans="1:8" ht="294" x14ac:dyDescent="0.25">
      <c r="A849" s="3" t="s">
        <v>2784</v>
      </c>
      <c r="B849" s="3"/>
      <c r="C849" s="3" t="s">
        <v>2785</v>
      </c>
      <c r="D849" s="3" t="s">
        <v>2786</v>
      </c>
      <c r="E849" s="3" t="s">
        <v>2787</v>
      </c>
      <c r="F849" s="3" t="str">
        <f>"317-752-3648"</f>
        <v>317-752-3648</v>
      </c>
      <c r="G849" s="3">
        <v>541430</v>
      </c>
      <c r="H849" s="3" t="s">
        <v>78</v>
      </c>
    </row>
    <row r="850" spans="1:8" ht="64.5" x14ac:dyDescent="0.25">
      <c r="A850" s="3" t="s">
        <v>2788</v>
      </c>
      <c r="B850" s="3"/>
      <c r="C850" s="3" t="str">
        <f>"Retail lumber and building materials business, located on US 50 between Aurora and Lawrenceburg, Dearborn Co, Indiana. Serving Southeastern Indiana builders and homeowners since 1848."</f>
        <v>Retail lumber and building materials business, located on US 50 between Aurora and Lawrenceburg, Dearborn Co, Indiana. Serving Southeastern Indiana builders and homeowners since 1848.</v>
      </c>
      <c r="D850" s="3" t="s">
        <v>2789</v>
      </c>
      <c r="E850" s="3" t="s">
        <v>2790</v>
      </c>
      <c r="F850" s="3" t="str">
        <f>"812-926-2412"</f>
        <v>812-926-2412</v>
      </c>
      <c r="G850" s="3">
        <v>444190</v>
      </c>
      <c r="H850" s="3" t="s">
        <v>1188</v>
      </c>
    </row>
    <row r="851" spans="1:8" ht="90" x14ac:dyDescent="0.25">
      <c r="A851" s="3" t="s">
        <v>2791</v>
      </c>
      <c r="B851" s="3"/>
      <c r="C851" s="3" t="s">
        <v>2792</v>
      </c>
      <c r="D851" s="3" t="s">
        <v>9</v>
      </c>
      <c r="E851" s="3" t="s">
        <v>2793</v>
      </c>
      <c r="F851" s="3" t="str">
        <f>"(219) 588-6069"</f>
        <v>(219) 588-6069</v>
      </c>
      <c r="G851" s="3">
        <v>4229</v>
      </c>
      <c r="H851" s="3" t="s">
        <v>2794</v>
      </c>
    </row>
    <row r="852" spans="1:8" ht="39" x14ac:dyDescent="0.25">
      <c r="A852" s="3" t="s">
        <v>2795</v>
      </c>
      <c r="B852" s="3"/>
      <c r="C852" s="3" t="str">
        <f>"Ausman Body Shop rr3 Box 403 Linton IN 812-847-2451 25 years in business Dupont paint system frame straighting"</f>
        <v>Ausman Body Shop rr3 Box 403 Linton IN 812-847-2451 25 years in business Dupont paint system frame straighting</v>
      </c>
      <c r="D852" s="3" t="s">
        <v>9</v>
      </c>
      <c r="E852" s="3" t="s">
        <v>46</v>
      </c>
      <c r="F852" s="3" t="str">
        <f>"812-665-3623"</f>
        <v>812-665-3623</v>
      </c>
      <c r="G852" s="3">
        <v>811121</v>
      </c>
      <c r="H852" s="3" t="s">
        <v>1432</v>
      </c>
    </row>
    <row r="853" spans="1:8" ht="51.75" x14ac:dyDescent="0.25">
      <c r="A853" s="3" t="s">
        <v>2796</v>
      </c>
      <c r="B853" s="3"/>
      <c r="C853" s="3" t="str">
        <f>"Recycling of demolition and construction materials, demolition and trucking services, leasing and renting of dumpsters and dump trucks."</f>
        <v>Recycling of demolition and construction materials, demolition and trucking services, leasing and renting of dumpsters and dump trucks.</v>
      </c>
      <c r="D853" s="3" t="s">
        <v>9</v>
      </c>
      <c r="E853" s="3" t="s">
        <v>2797</v>
      </c>
      <c r="F853" s="3" t="str">
        <f>"219-922-7510"</f>
        <v>219-922-7510</v>
      </c>
      <c r="G853" s="3">
        <v>562</v>
      </c>
      <c r="H853" s="3" t="s">
        <v>2798</v>
      </c>
    </row>
    <row r="854" spans="1:8" ht="230.25" x14ac:dyDescent="0.25">
      <c r="A854" s="3" t="s">
        <v>2799</v>
      </c>
      <c r="B854" s="3"/>
      <c r="C854" s="3" t="s">
        <v>2800</v>
      </c>
      <c r="D854" s="3" t="s">
        <v>2801</v>
      </c>
      <c r="E854" s="3" t="s">
        <v>2802</v>
      </c>
      <c r="F854" s="3" t="str">
        <f>"800-609-8449"</f>
        <v>800-609-8449</v>
      </c>
      <c r="G854" s="3">
        <v>6241</v>
      </c>
      <c r="H854" s="3" t="s">
        <v>2210</v>
      </c>
    </row>
    <row r="855" spans="1:8" ht="26.25" x14ac:dyDescent="0.25">
      <c r="A855" s="3" t="s">
        <v>2803</v>
      </c>
      <c r="B855" s="3"/>
      <c r="C855" s="3" t="str">
        <f>"Service and Repair and custom installation."</f>
        <v>Service and Repair and custom installation.</v>
      </c>
      <c r="D855" s="3" t="s">
        <v>2804</v>
      </c>
      <c r="E855" s="3" t="s">
        <v>2805</v>
      </c>
      <c r="F855" s="3" t="str">
        <f>"219-314-9329"</f>
        <v>219-314-9329</v>
      </c>
      <c r="G855" s="3">
        <v>238220</v>
      </c>
      <c r="H855" s="3" t="s">
        <v>348</v>
      </c>
    </row>
    <row r="856" spans="1:8" ht="192" x14ac:dyDescent="0.25">
      <c r="A856" s="3" t="s">
        <v>2806</v>
      </c>
      <c r="B856" s="3"/>
      <c r="C856" s="3" t="s">
        <v>2807</v>
      </c>
      <c r="D856" s="3" t="s">
        <v>2808</v>
      </c>
      <c r="E856" s="3" t="s">
        <v>2809</v>
      </c>
      <c r="F856" s="3" t="str">
        <f>"(317)291-8600 X29"</f>
        <v>(317)291-8600 X29</v>
      </c>
      <c r="G856" s="3">
        <v>54133</v>
      </c>
      <c r="H856" s="3" t="s">
        <v>82</v>
      </c>
    </row>
    <row r="857" spans="1:8" x14ac:dyDescent="0.25">
      <c r="A857" s="3" t="s">
        <v>2810</v>
      </c>
      <c r="B857" s="3"/>
      <c r="C857" s="3" t="str">
        <f>"Automotive protection and accessories."</f>
        <v>Automotive protection and accessories.</v>
      </c>
      <c r="D857" s="3" t="s">
        <v>2811</v>
      </c>
      <c r="E857" s="3" t="s">
        <v>46</v>
      </c>
      <c r="F857" s="2"/>
      <c r="G857" s="3">
        <v>44131</v>
      </c>
      <c r="H857" s="3" t="s">
        <v>1699</v>
      </c>
    </row>
    <row r="858" spans="1:8" ht="64.5" x14ac:dyDescent="0.25">
      <c r="A858" s="3" t="s">
        <v>2812</v>
      </c>
      <c r="B858" s="3"/>
      <c r="C858" s="3" t="str">
        <f>"Autocar manufactures LCF chassis for the refuse industry as well as other class 8 applications. We are located in Hagerstown, IN and employ 200 plus Indiana residents."</f>
        <v>Autocar manufactures LCF chassis for the refuse industry as well as other class 8 applications. We are located in Hagerstown, IN and employ 200 plus Indiana residents.</v>
      </c>
      <c r="D858" s="3" t="s">
        <v>2813</v>
      </c>
      <c r="E858" s="3" t="s">
        <v>2814</v>
      </c>
      <c r="F858" s="3" t="str">
        <f>"765 489-5499"</f>
        <v>765 489-5499</v>
      </c>
      <c r="G858" s="3">
        <v>3361</v>
      </c>
      <c r="H858" s="3" t="s">
        <v>2815</v>
      </c>
    </row>
    <row r="859" spans="1:8" ht="39" x14ac:dyDescent="0.25">
      <c r="A859" s="3" t="s">
        <v>2816</v>
      </c>
      <c r="B859" s="3"/>
      <c r="C859" s="3" t="str">
        <f>"Automated Controls and Electrical Supplies. Residential, Commercial and Industrial electrical and electronic supplies."</f>
        <v>Automated Controls and Electrical Supplies. Residential, Commercial and Industrial electrical and electronic supplies.</v>
      </c>
      <c r="D859" s="3" t="s">
        <v>2817</v>
      </c>
      <c r="E859" s="3" t="s">
        <v>2818</v>
      </c>
      <c r="F859" s="3" t="str">
        <f>"7659357265"</f>
        <v>7659357265</v>
      </c>
      <c r="G859" s="3">
        <v>42361</v>
      </c>
      <c r="H859" s="3" t="s">
        <v>2414</v>
      </c>
    </row>
    <row r="860" spans="1:8" ht="26.25" x14ac:dyDescent="0.25">
      <c r="A860" s="3" t="s">
        <v>2819</v>
      </c>
      <c r="B860" s="3"/>
      <c r="C860" s="3" t="str">
        <f>"Sales, Service, Parts, Maintenance Contracts of Automated Entrances."</f>
        <v>Sales, Service, Parts, Maintenance Contracts of Automated Entrances.</v>
      </c>
      <c r="D860" s="3" t="s">
        <v>2820</v>
      </c>
      <c r="E860" s="3" t="s">
        <v>2821</v>
      </c>
      <c r="F860" s="3" t="str">
        <f>"317-472-745 0"</f>
        <v>317-472-745 0</v>
      </c>
      <c r="G860" s="3">
        <v>2359</v>
      </c>
      <c r="H860" s="3" t="s">
        <v>631</v>
      </c>
    </row>
    <row r="861" spans="1:8" ht="179.25" x14ac:dyDescent="0.25">
      <c r="A861" s="3" t="s">
        <v>2822</v>
      </c>
      <c r="B861" s="3"/>
      <c r="C861" s="3" t="s">
        <v>2823</v>
      </c>
      <c r="D861" s="3" t="s">
        <v>2824</v>
      </c>
      <c r="E861" s="3" t="s">
        <v>2825</v>
      </c>
      <c r="F861" s="3" t="str">
        <f>"317-849-1106"</f>
        <v>317-849-1106</v>
      </c>
      <c r="G861" s="3">
        <v>454390</v>
      </c>
      <c r="H861" s="3" t="s">
        <v>1348</v>
      </c>
    </row>
    <row r="862" spans="1:8" ht="115.5" x14ac:dyDescent="0.25">
      <c r="A862" s="3" t="s">
        <v>2826</v>
      </c>
      <c r="B862" s="3"/>
      <c r="C862" s="3" t="s">
        <v>2827</v>
      </c>
      <c r="D862" s="3" t="s">
        <v>2828</v>
      </c>
      <c r="E862" s="3" t="s">
        <v>2829</v>
      </c>
      <c r="F862" s="3" t="str">
        <f>"812-471-5005"</f>
        <v>812-471-5005</v>
      </c>
      <c r="G862" s="3">
        <v>541512</v>
      </c>
      <c r="H862" s="3" t="s">
        <v>19</v>
      </c>
    </row>
    <row r="863" spans="1:8" ht="39" x14ac:dyDescent="0.25">
      <c r="A863" s="3" t="s">
        <v>2830</v>
      </c>
      <c r="B863" s="3"/>
      <c r="C863" s="3" t="str">
        <f>"Parts, Service and Applications Support for Machine Tool Users, Resellers and OEM's."</f>
        <v>Parts, Service and Applications Support for Machine Tool Users, Resellers and OEM's.</v>
      </c>
      <c r="D863" s="3" t="s">
        <v>2831</v>
      </c>
      <c r="E863" s="3" t="s">
        <v>2832</v>
      </c>
      <c r="F863" s="3" t="str">
        <f>"812 923 3718"</f>
        <v>812 923 3718</v>
      </c>
      <c r="G863" s="3">
        <v>81131</v>
      </c>
      <c r="H863" s="3" t="s">
        <v>1895</v>
      </c>
    </row>
    <row r="864" spans="1:8" ht="64.5" x14ac:dyDescent="0.25">
      <c r="A864" s="3" t="s">
        <v>2833</v>
      </c>
      <c r="B864" s="3"/>
      <c r="C864" s="3" t="str">
        <f>"A professional services company specializing in an array of automotive related functions including vehicle leasing, fleet management, and equipment sales for a variety of end-user applications."</f>
        <v>A professional services company specializing in an array of automotive related functions including vehicle leasing, fleet management, and equipment sales for a variety of end-user applications.</v>
      </c>
      <c r="D864" s="3" t="s">
        <v>2834</v>
      </c>
      <c r="E864" s="3" t="s">
        <v>2835</v>
      </c>
      <c r="F864" s="3" t="str">
        <f>"812.568.0377"</f>
        <v>812.568.0377</v>
      </c>
      <c r="G864" s="3">
        <v>561</v>
      </c>
      <c r="H864" s="3" t="s">
        <v>2836</v>
      </c>
    </row>
    <row r="865" spans="1:8" ht="64.5" x14ac:dyDescent="0.25">
      <c r="A865" s="3" t="s">
        <v>2837</v>
      </c>
      <c r="B865" s="3"/>
      <c r="C865" s="3" t="str">
        <f>"Product Development Consultation and Design Services from Concept to Manufacturing. Avance utilizes industrial design, CAD modeling and rapid prototyping to develop client products."</f>
        <v>Product Development Consultation and Design Services from Concept to Manufacturing. Avance utilizes industrial design, CAD modeling and rapid prototyping to develop client products.</v>
      </c>
      <c r="D865" s="3" t="s">
        <v>2838</v>
      </c>
      <c r="E865" s="3" t="s">
        <v>2839</v>
      </c>
      <c r="F865" s="3" t="str">
        <f>"317-681-0012"</f>
        <v>317-681-0012</v>
      </c>
      <c r="G865" s="3">
        <v>541420</v>
      </c>
      <c r="H865" s="3" t="s">
        <v>2840</v>
      </c>
    </row>
    <row r="866" spans="1:8" ht="51.75" x14ac:dyDescent="0.25">
      <c r="A866" s="3" t="s">
        <v>2841</v>
      </c>
      <c r="B866" s="3"/>
      <c r="C866" s="3" t="str">
        <f>"Financial statement preparation Tax preparation-Corporate-Personal-Non Profit and all State Taxes Business planning Business Consulting"</f>
        <v>Financial statement preparation Tax preparation-Corporate-Personal-Non Profit and all State Taxes Business planning Business Consulting</v>
      </c>
      <c r="D866" s="3" t="s">
        <v>2842</v>
      </c>
      <c r="E866" s="3" t="s">
        <v>2843</v>
      </c>
      <c r="F866" s="3" t="str">
        <f>"317-545-0155"</f>
        <v>317-545-0155</v>
      </c>
      <c r="G866" s="3">
        <v>541211</v>
      </c>
      <c r="H866" s="3" t="s">
        <v>337</v>
      </c>
    </row>
    <row r="867" spans="1:8" ht="51.75" x14ac:dyDescent="0.25">
      <c r="A867" s="3" t="s">
        <v>2844</v>
      </c>
      <c r="B867" s="3"/>
      <c r="C867" s="3" t="str">
        <f>"Avant Enterprises L.L.C. specializes in installing and maintaining automated meter reading devices for public utilities. We also can install gas meters."</f>
        <v>Avant Enterprises L.L.C. specializes in installing and maintaining automated meter reading devices for public utilities. We also can install gas meters.</v>
      </c>
      <c r="D867" s="3" t="s">
        <v>9</v>
      </c>
      <c r="E867" s="3" t="s">
        <v>2845</v>
      </c>
      <c r="F867" s="3" t="str">
        <f>"3175231670"</f>
        <v>3175231670</v>
      </c>
      <c r="G867" s="3">
        <v>561990</v>
      </c>
      <c r="H867" s="3" t="s">
        <v>219</v>
      </c>
    </row>
    <row r="868" spans="1:8" ht="90" x14ac:dyDescent="0.25">
      <c r="A868" s="3" t="s">
        <v>2846</v>
      </c>
      <c r="B868" s="3"/>
      <c r="C868" s="3" t="str">
        <f>"Avant-Garde Systems is a leading provider of a variety of technology solutions including: security cameras, access control, security and fire systems, audio &amp; video systems, network cabling, paging and intercom systems, and underground &amp; aerial cabling."</f>
        <v>Avant-Garde Systems is a leading provider of a variety of technology solutions including: security cameras, access control, security and fire systems, audio &amp; video systems, network cabling, paging and intercom systems, and underground &amp; aerial cabling.</v>
      </c>
      <c r="D868" s="3" t="s">
        <v>2847</v>
      </c>
      <c r="E868" s="3" t="s">
        <v>2848</v>
      </c>
      <c r="F868" s="3" t="str">
        <f>"502-612-9074"</f>
        <v>502-612-9074</v>
      </c>
      <c r="G868" s="3">
        <v>561621</v>
      </c>
      <c r="H868" s="3" t="s">
        <v>827</v>
      </c>
    </row>
    <row r="869" spans="1:8" ht="26.25" x14ac:dyDescent="0.25">
      <c r="A869" s="3" t="s">
        <v>2849</v>
      </c>
      <c r="B869" s="3"/>
      <c r="C869" s="3" t="str">
        <f>"Provide property and casualty and life and health insurance products."</f>
        <v>Provide property and casualty and life and health insurance products.</v>
      </c>
      <c r="D869" s="3" t="s">
        <v>9</v>
      </c>
      <c r="E869" s="3" t="s">
        <v>2850</v>
      </c>
      <c r="F869" s="3" t="str">
        <f>"765-342-7133"</f>
        <v>765-342-7133</v>
      </c>
      <c r="G869" s="3">
        <v>524210</v>
      </c>
      <c r="H869" s="3" t="s">
        <v>1183</v>
      </c>
    </row>
    <row r="870" spans="1:8" ht="319.5" x14ac:dyDescent="0.25">
      <c r="A870" s="3" t="s">
        <v>2851</v>
      </c>
      <c r="B870" s="3"/>
      <c r="C870" s="3" t="s">
        <v>2852</v>
      </c>
      <c r="D870" s="3" t="s">
        <v>2853</v>
      </c>
      <c r="E870" s="3" t="s">
        <v>2854</v>
      </c>
      <c r="F870" s="3" t="str">
        <f>"765-653-7717"</f>
        <v>765-653-7717</v>
      </c>
      <c r="G870" s="3">
        <v>541519</v>
      </c>
      <c r="H870" s="3" t="s">
        <v>898</v>
      </c>
    </row>
    <row r="871" spans="1:8" ht="26.25" x14ac:dyDescent="0.25">
      <c r="A871" s="3" t="s">
        <v>2855</v>
      </c>
      <c r="B871" s="3"/>
      <c r="C871" s="3" t="str">
        <f>"Small business consultant, Grant writer, Business Plan writer"</f>
        <v>Small business consultant, Grant writer, Business Plan writer</v>
      </c>
      <c r="D871" s="3" t="s">
        <v>2856</v>
      </c>
      <c r="E871" s="3" t="s">
        <v>2857</v>
      </c>
      <c r="F871" s="3" t="str">
        <f>"317-508-5753"</f>
        <v>317-508-5753</v>
      </c>
      <c r="G871" s="3">
        <v>541990</v>
      </c>
      <c r="H871" s="3" t="s">
        <v>378</v>
      </c>
    </row>
    <row r="872" spans="1:8" x14ac:dyDescent="0.25">
      <c r="A872" s="3" t="s">
        <v>2858</v>
      </c>
      <c r="B872" s="3"/>
      <c r="C872" s="3" t="str">
        <f>" "</f>
        <v xml:space="preserve"> </v>
      </c>
      <c r="D872" s="3" t="s">
        <v>9</v>
      </c>
      <c r="E872" s="3" t="s">
        <v>46</v>
      </c>
      <c r="F872" s="2"/>
      <c r="G872" s="3">
        <v>532112</v>
      </c>
      <c r="H872" s="3" t="s">
        <v>2859</v>
      </c>
    </row>
    <row r="873" spans="1:8" ht="26.25" x14ac:dyDescent="0.25">
      <c r="A873" s="3" t="s">
        <v>2860</v>
      </c>
      <c r="B873" s="3"/>
      <c r="C873" s="2"/>
      <c r="D873" s="3" t="s">
        <v>9</v>
      </c>
      <c r="E873" s="3" t="s">
        <v>2861</v>
      </c>
      <c r="F873" s="3" t="str">
        <f>"317-273-0700"</f>
        <v>317-273-0700</v>
      </c>
      <c r="G873" s="3">
        <v>444190</v>
      </c>
      <c r="H873" s="3" t="s">
        <v>1188</v>
      </c>
    </row>
    <row r="874" spans="1:8" ht="26.25" x14ac:dyDescent="0.25">
      <c r="A874" s="3" t="s">
        <v>2862</v>
      </c>
      <c r="B874" s="3"/>
      <c r="C874" s="3" t="str">
        <f>"retail sales of utility and enclosed trailers"</f>
        <v>retail sales of utility and enclosed trailers</v>
      </c>
      <c r="D874" s="3" t="s">
        <v>9</v>
      </c>
      <c r="E874" s="3" t="s">
        <v>46</v>
      </c>
      <c r="F874" s="3" t="str">
        <f>"317-244-1234"</f>
        <v>317-244-1234</v>
      </c>
      <c r="G874" s="3">
        <v>525990</v>
      </c>
      <c r="H874" s="3" t="s">
        <v>1028</v>
      </c>
    </row>
    <row r="875" spans="1:8" ht="294" x14ac:dyDescent="0.25">
      <c r="A875" s="3" t="s">
        <v>2863</v>
      </c>
      <c r="B875" s="3"/>
      <c r="C875" s="3" t="s">
        <v>2864</v>
      </c>
      <c r="D875" s="3" t="s">
        <v>2865</v>
      </c>
      <c r="E875" s="3" t="s">
        <v>2866</v>
      </c>
      <c r="F875" s="3" t="str">
        <f>"3179038496"</f>
        <v>3179038496</v>
      </c>
      <c r="G875" s="3">
        <v>488510</v>
      </c>
      <c r="H875" s="3" t="s">
        <v>562</v>
      </c>
    </row>
    <row r="876" spans="1:8" ht="102.75" x14ac:dyDescent="0.25">
      <c r="A876" s="3" t="s">
        <v>2867</v>
      </c>
      <c r="B876" s="3"/>
      <c r="C876" s="3" t="s">
        <v>2868</v>
      </c>
      <c r="D876" s="3" t="s">
        <v>9</v>
      </c>
      <c r="E876" s="3" t="s">
        <v>2869</v>
      </c>
      <c r="F876" s="3" t="str">
        <f>"812-339-8693"</f>
        <v>812-339-8693</v>
      </c>
      <c r="G876" s="3">
        <v>811490</v>
      </c>
      <c r="H876" s="3" t="s">
        <v>1539</v>
      </c>
    </row>
    <row r="877" spans="1:8" ht="39" x14ac:dyDescent="0.25">
      <c r="A877" s="3" t="s">
        <v>2870</v>
      </c>
      <c r="B877" s="3"/>
      <c r="C877" s="3" t="str">
        <f>"High-quality preschool early literacy intervention with academic program for child care services."</f>
        <v>High-quality preschool early literacy intervention with academic program for child care services.</v>
      </c>
      <c r="D877" s="3" t="s">
        <v>9</v>
      </c>
      <c r="E877" s="3" t="s">
        <v>2871</v>
      </c>
      <c r="F877" s="3" t="str">
        <f>"260/441-2543"</f>
        <v>260/441-2543</v>
      </c>
      <c r="G877" s="3">
        <v>624410</v>
      </c>
      <c r="H877" s="3" t="s">
        <v>456</v>
      </c>
    </row>
    <row r="878" spans="1:8" ht="51.75" x14ac:dyDescent="0.25">
      <c r="A878" s="3" t="s">
        <v>2872</v>
      </c>
      <c r="B878" s="3"/>
      <c r="C878" s="3" t="str">
        <f>"Awnings and Signs Online offers a full line of commercial or residential awnings. We also offer standard signs or custom illuminated sign cabinets."</f>
        <v>Awnings and Signs Online offers a full line of commercial or residential awnings. We also offer standard signs or custom illuminated sign cabinets.</v>
      </c>
      <c r="D878" s="3" t="s">
        <v>2873</v>
      </c>
      <c r="E878" s="3" t="s">
        <v>2874</v>
      </c>
      <c r="F878" s="3" t="str">
        <f>"317-331-6000"</f>
        <v>317-331-6000</v>
      </c>
      <c r="G878" s="3">
        <v>314912</v>
      </c>
      <c r="H878" s="3" t="s">
        <v>2875</v>
      </c>
    </row>
    <row r="879" spans="1:8" ht="51.75" x14ac:dyDescent="0.25">
      <c r="A879" s="3" t="s">
        <v>2876</v>
      </c>
      <c r="B879" s="3"/>
      <c r="C879" s="3" t="str">
        <f>"Helicopter Repairs and Parts Service. Bell Helicopter Customer Service Center. FAA Certified Repair Station. Aircraft parts and services. Aircraft Engine Services"</f>
        <v>Helicopter Repairs and Parts Service. Bell Helicopter Customer Service Center. FAA Certified Repair Station. Aircraft parts and services. Aircraft Engine Services</v>
      </c>
      <c r="D879" s="3" t="s">
        <v>9</v>
      </c>
      <c r="E879" s="3" t="s">
        <v>46</v>
      </c>
      <c r="F879" s="2"/>
      <c r="G879" s="3">
        <v>541990</v>
      </c>
      <c r="H879" s="3" t="s">
        <v>378</v>
      </c>
    </row>
    <row r="880" spans="1:8" ht="153.75" x14ac:dyDescent="0.25">
      <c r="A880" s="3" t="s">
        <v>2877</v>
      </c>
      <c r="B880" s="3"/>
      <c r="C880" s="3" t="s">
        <v>2878</v>
      </c>
      <c r="D880" s="3" t="s">
        <v>9</v>
      </c>
      <c r="E880" s="3" t="s">
        <v>46</v>
      </c>
      <c r="F880" s="2"/>
      <c r="G880" s="3">
        <v>561330</v>
      </c>
      <c r="H880" s="3" t="s">
        <v>2879</v>
      </c>
    </row>
    <row r="881" spans="1:8" ht="77.25" x14ac:dyDescent="0.25">
      <c r="A881" s="3" t="s">
        <v>2880</v>
      </c>
      <c r="B881" s="3"/>
      <c r="C881" s="3" t="str">
        <f>"Process Improvement Consulting, Data Mining &amp; Analysis, and Strategic Planning; Customized Databases for Optimal Business Intelligence; We are the forefront of generating excellence in leadership and organizational performance."</f>
        <v>Process Improvement Consulting, Data Mining &amp; Analysis, and Strategic Planning; Customized Databases for Optimal Business Intelligence; We are the forefront of generating excellence in leadership and organizational performance.</v>
      </c>
      <c r="D881" s="3" t="s">
        <v>9</v>
      </c>
      <c r="E881" s="3" t="s">
        <v>2881</v>
      </c>
      <c r="F881" s="3" t="str">
        <f>"765-362-0474"</f>
        <v>765-362-0474</v>
      </c>
      <c r="G881" s="3">
        <v>541611</v>
      </c>
      <c r="H881" s="3" t="s">
        <v>278</v>
      </c>
    </row>
    <row r="882" spans="1:8" x14ac:dyDescent="0.25">
      <c r="A882" s="3" t="s">
        <v>2882</v>
      </c>
      <c r="B882" s="3"/>
      <c r="C882" s="3" t="str">
        <f>" "</f>
        <v xml:space="preserve"> </v>
      </c>
      <c r="D882" s="3" t="s">
        <v>9</v>
      </c>
      <c r="E882" s="3" t="s">
        <v>46</v>
      </c>
      <c r="F882" s="2"/>
      <c r="G882" s="3">
        <v>812332</v>
      </c>
      <c r="H882" s="3" t="s">
        <v>2883</v>
      </c>
    </row>
    <row r="883" spans="1:8" ht="26.25" x14ac:dyDescent="0.25">
      <c r="A883" s="3" t="s">
        <v>2884</v>
      </c>
      <c r="B883" s="3"/>
      <c r="C883" s="3" t="str">
        <f>"We are a document destruction company."</f>
        <v>We are a document destruction company.</v>
      </c>
      <c r="D883" s="3" t="s">
        <v>9</v>
      </c>
      <c r="E883" s="3" t="s">
        <v>2885</v>
      </c>
      <c r="F883" s="3" t="str">
        <f>"317-872-6460"</f>
        <v>317-872-6460</v>
      </c>
      <c r="G883" s="3">
        <v>561990</v>
      </c>
      <c r="H883" s="3" t="s">
        <v>219</v>
      </c>
    </row>
    <row r="884" spans="1:8" ht="77.25" x14ac:dyDescent="0.25">
      <c r="A884" s="3" t="s">
        <v>2886</v>
      </c>
      <c r="B884" s="3"/>
      <c r="C884" s="3" t="str">
        <f>"My business does painting of both interior and exterior facilities, commercial and residential. We do painting and use special coating systems, sandblasting, hanging wall vinyl as well a preparatory services to ready the facility."</f>
        <v>My business does painting of both interior and exterior facilities, commercial and residential. We do painting and use special coating systems, sandblasting, hanging wall vinyl as well a preparatory services to ready the facility.</v>
      </c>
      <c r="D884" s="3" t="s">
        <v>9</v>
      </c>
      <c r="E884" s="3" t="s">
        <v>46</v>
      </c>
      <c r="F884" s="3" t="str">
        <f>"812-254-3604"</f>
        <v>812-254-3604</v>
      </c>
      <c r="G884" s="3">
        <v>238320</v>
      </c>
      <c r="H884" s="3" t="s">
        <v>462</v>
      </c>
    </row>
    <row r="885" spans="1:8" ht="26.25" x14ac:dyDescent="0.25">
      <c r="A885" s="3" t="s">
        <v>2887</v>
      </c>
      <c r="B885" s="3"/>
      <c r="C885" s="3" t="str">
        <f>"Large and small snack and soda vending machines."</f>
        <v>Large and small snack and soda vending machines.</v>
      </c>
      <c r="D885" s="3" t="s">
        <v>9</v>
      </c>
      <c r="E885" s="3" t="s">
        <v>2888</v>
      </c>
      <c r="F885" s="3" t="str">
        <f>"317-283-2529"</f>
        <v>317-283-2529</v>
      </c>
      <c r="G885" s="3">
        <v>454210</v>
      </c>
      <c r="H885" s="3" t="s">
        <v>2889</v>
      </c>
    </row>
    <row r="886" spans="1:8" ht="306.75" x14ac:dyDescent="0.25">
      <c r="A886" s="3" t="s">
        <v>2890</v>
      </c>
      <c r="B886" s="3"/>
      <c r="C886" s="3" t="s">
        <v>2891</v>
      </c>
      <c r="D886" s="3" t="s">
        <v>2892</v>
      </c>
      <c r="E886" s="3" t="s">
        <v>2893</v>
      </c>
      <c r="F886" s="3" t="str">
        <f>"317-872-5806"</f>
        <v>317-872-5806</v>
      </c>
      <c r="G886" s="3">
        <v>42183</v>
      </c>
      <c r="H886" s="3" t="s">
        <v>2894</v>
      </c>
    </row>
    <row r="887" spans="1:8" ht="39" x14ac:dyDescent="0.25">
      <c r="A887" s="3" t="s">
        <v>2895</v>
      </c>
      <c r="B887" s="3"/>
      <c r="C887" s="3" t="str">
        <f>"Subcontractor specilizing under drains, edge drains, seed and sodding . just to name a few."</f>
        <v>Subcontractor specilizing under drains, edge drains, seed and sodding . just to name a few.</v>
      </c>
      <c r="D887" s="3" t="s">
        <v>9</v>
      </c>
      <c r="E887" s="3" t="s">
        <v>2896</v>
      </c>
      <c r="F887" s="3" t="str">
        <f>"(260)747-6354"</f>
        <v>(260)747-6354</v>
      </c>
      <c r="G887" s="3">
        <v>237310</v>
      </c>
      <c r="H887" s="3" t="s">
        <v>768</v>
      </c>
    </row>
    <row r="888" spans="1:8" ht="64.5" x14ac:dyDescent="0.25">
      <c r="A888" s="3" t="s">
        <v>2897</v>
      </c>
      <c r="B888" s="3"/>
      <c r="C888" s="3" t="str">
        <f>"I'm a small company that does General Contracting and Maintenance. Serving the Service Industries is our primary function. Quality of work with repeat business is our goal."</f>
        <v>I'm a small company that does General Contracting and Maintenance. Serving the Service Industries is our primary function. Quality of work with repeat business is our goal.</v>
      </c>
      <c r="D888" s="3" t="s">
        <v>9</v>
      </c>
      <c r="E888" s="3" t="s">
        <v>2898</v>
      </c>
      <c r="F888" s="3" t="str">
        <f>"765-516-3460"</f>
        <v>765-516-3460</v>
      </c>
      <c r="G888" s="3">
        <v>233</v>
      </c>
      <c r="H888" s="3" t="s">
        <v>131</v>
      </c>
    </row>
    <row r="889" spans="1:8" ht="77.25" x14ac:dyDescent="0.25">
      <c r="A889" s="3" t="s">
        <v>2899</v>
      </c>
      <c r="B889" s="3"/>
      <c r="C889" s="3" t="str">
        <f>"We are a retailer of New Holland &amp; Kubota tractors, mini excavators and hay equipment. We also carry Yamaha ATV's. We have been in business since 1960 &amp; have 3 locations - Brookville &amp; Aurora, Indiana &amp; Monroe, Ohio."</f>
        <v>We are a retailer of New Holland &amp; Kubota tractors, mini excavators and hay equipment. We also carry Yamaha ATV's. We have been in business since 1960 &amp; have 3 locations - Brookville &amp; Aurora, Indiana &amp; Monroe, Ohio.</v>
      </c>
      <c r="D889" s="3" t="s">
        <v>2900</v>
      </c>
      <c r="E889" s="3" t="s">
        <v>2901</v>
      </c>
      <c r="F889" s="3" t="str">
        <f>"765-647-2641"</f>
        <v>765-647-2641</v>
      </c>
      <c r="G889" s="3">
        <v>423820</v>
      </c>
      <c r="H889" s="3" t="s">
        <v>2902</v>
      </c>
    </row>
    <row r="890" spans="1:8" ht="64.5" x14ac:dyDescent="0.25">
      <c r="A890" s="3" t="s">
        <v>2903</v>
      </c>
      <c r="B890" s="3"/>
      <c r="C890" s="3" t="str">
        <f>"Engineered Plastic Compounded to Customer Requirements, Small and Large lot color, filled products and UL Listed Flame Resistant products. polycarbonate, PBT, ABS, PES, PP and other resins."</f>
        <v>Engineered Plastic Compounded to Customer Requirements, Small and Large lot color, filled products and UL Listed Flame Resistant products. polycarbonate, PBT, ABS, PES, PP and other resins.</v>
      </c>
      <c r="D890" s="3" t="s">
        <v>2904</v>
      </c>
      <c r="E890" s="3" t="s">
        <v>2905</v>
      </c>
      <c r="F890" s="3" t="str">
        <f>"812-422-0888"</f>
        <v>812-422-0888</v>
      </c>
      <c r="G890" s="3">
        <v>325211</v>
      </c>
      <c r="H890" s="3" t="s">
        <v>2906</v>
      </c>
    </row>
    <row r="891" spans="1:8" ht="230.25" x14ac:dyDescent="0.25">
      <c r="A891" s="3" t="s">
        <v>2907</v>
      </c>
      <c r="B891" s="3"/>
      <c r="C891" s="3" t="s">
        <v>2908</v>
      </c>
      <c r="D891" s="3" t="s">
        <v>9</v>
      </c>
      <c r="E891" s="3" t="s">
        <v>2909</v>
      </c>
      <c r="F891" s="3" t="str">
        <f>"812-464-9389"</f>
        <v>812-464-9389</v>
      </c>
      <c r="G891" s="3">
        <v>5211</v>
      </c>
      <c r="H891" s="3" t="s">
        <v>2910</v>
      </c>
    </row>
    <row r="892" spans="1:8" ht="26.25" x14ac:dyDescent="0.25">
      <c r="A892" s="3" t="s">
        <v>2911</v>
      </c>
      <c r="B892" s="3"/>
      <c r="C892" s="3" t="str">
        <f>"Installation of fabricated sheet metal for Commercial and Industrial applications."</f>
        <v>Installation of fabricated sheet metal for Commercial and Industrial applications.</v>
      </c>
      <c r="D892" s="3" t="s">
        <v>9</v>
      </c>
      <c r="E892" s="3" t="s">
        <v>2912</v>
      </c>
      <c r="F892" s="3" t="str">
        <f>"317-560-0824"</f>
        <v>317-560-0824</v>
      </c>
      <c r="G892" s="3">
        <v>2389</v>
      </c>
      <c r="H892" s="3" t="s">
        <v>1236</v>
      </c>
    </row>
    <row r="893" spans="1:8" ht="39" x14ac:dyDescent="0.25">
      <c r="A893" s="3" t="s">
        <v>2913</v>
      </c>
      <c r="B893" s="3"/>
      <c r="C893" s="3" t="str">
        <f>"We clean it all from Construction clean up, businesses and even residential. We will match any competitors bid."</f>
        <v>We clean it all from Construction clean up, businesses and even residential. We will match any competitors bid.</v>
      </c>
      <c r="D893" s="3" t="s">
        <v>2914</v>
      </c>
      <c r="E893" s="3" t="s">
        <v>2915</v>
      </c>
      <c r="F893" s="3" t="str">
        <f>"317-260-9152"</f>
        <v>317-260-9152</v>
      </c>
      <c r="G893" s="3">
        <v>56172</v>
      </c>
      <c r="H893" s="3" t="s">
        <v>222</v>
      </c>
    </row>
    <row r="894" spans="1:8" ht="141" x14ac:dyDescent="0.25">
      <c r="A894" s="3" t="s">
        <v>2916</v>
      </c>
      <c r="B894" s="3"/>
      <c r="C894" s="3" t="s">
        <v>2917</v>
      </c>
      <c r="D894" s="3" t="s">
        <v>2918</v>
      </c>
      <c r="E894" s="3" t="s">
        <v>2919</v>
      </c>
      <c r="F894" s="3" t="str">
        <f>"317-888-4466"</f>
        <v>317-888-4466</v>
      </c>
      <c r="G894" s="3">
        <v>325510</v>
      </c>
      <c r="H894" s="3" t="s">
        <v>2050</v>
      </c>
    </row>
    <row r="895" spans="1:8" ht="90" x14ac:dyDescent="0.25">
      <c r="A895" s="3" t="s">
        <v>2920</v>
      </c>
      <c r="B895" s="3"/>
      <c r="C895" s="3" t="s">
        <v>2921</v>
      </c>
      <c r="D895" s="3" t="s">
        <v>9</v>
      </c>
      <c r="E895" s="3" t="s">
        <v>46</v>
      </c>
      <c r="F895" s="3" t="str">
        <f>"317-539-5240"</f>
        <v>317-539-5240</v>
      </c>
      <c r="G895" s="3">
        <v>541213</v>
      </c>
      <c r="H895" s="3" t="s">
        <v>209</v>
      </c>
    </row>
    <row r="896" spans="1:8" ht="39" x14ac:dyDescent="0.25">
      <c r="A896" s="3" t="s">
        <v>2922</v>
      </c>
      <c r="B896" s="3"/>
      <c r="C896" s="3" t="str">
        <f>"Manufacture plastic parts, Produce molded plastic parts, Tool and Die, Contract light assembly work. Custom machining."</f>
        <v>Manufacture plastic parts, Produce molded plastic parts, Tool and Die, Contract light assembly work. Custom machining.</v>
      </c>
      <c r="D896" s="3" t="s">
        <v>2923</v>
      </c>
      <c r="E896" s="3" t="s">
        <v>2924</v>
      </c>
      <c r="F896" s="3" t="str">
        <f>"765-288-7668"</f>
        <v>765-288-7668</v>
      </c>
      <c r="G896" s="3">
        <v>326199</v>
      </c>
      <c r="H896" s="3" t="s">
        <v>2129</v>
      </c>
    </row>
    <row r="897" spans="1:8" ht="26.25" x14ac:dyDescent="0.25">
      <c r="A897" s="3" t="s">
        <v>2925</v>
      </c>
      <c r="B897" s="3"/>
      <c r="C897" s="3" t="str">
        <f>" "</f>
        <v xml:space="preserve"> </v>
      </c>
      <c r="D897" s="3" t="s">
        <v>9</v>
      </c>
      <c r="E897" s="3" t="s">
        <v>46</v>
      </c>
      <c r="F897" s="3" t="str">
        <f>"765-457-1527"</f>
        <v>765-457-1527</v>
      </c>
      <c r="G897" s="3">
        <v>531120</v>
      </c>
      <c r="H897" s="3" t="s">
        <v>2926</v>
      </c>
    </row>
    <row r="898" spans="1:8" ht="26.25" x14ac:dyDescent="0.25">
      <c r="A898" s="3" t="s">
        <v>2927</v>
      </c>
      <c r="B898" s="3"/>
      <c r="C898" s="3" t="str">
        <f>"HVAC, Plumbing and Mechaincal Contractor."</f>
        <v>HVAC, Plumbing and Mechaincal Contractor.</v>
      </c>
      <c r="D898" s="3" t="s">
        <v>2928</v>
      </c>
      <c r="E898" s="3" t="s">
        <v>2929</v>
      </c>
      <c r="F898" s="3" t="str">
        <f>"317-786-3009"</f>
        <v>317-786-3009</v>
      </c>
      <c r="G898" s="3">
        <v>23822</v>
      </c>
      <c r="H898" s="3" t="s">
        <v>348</v>
      </c>
    </row>
    <row r="899" spans="1:8" ht="102.75" x14ac:dyDescent="0.25">
      <c r="A899" s="3" t="s">
        <v>2930</v>
      </c>
      <c r="B899" s="3"/>
      <c r="C899" s="3" t="s">
        <v>2931</v>
      </c>
      <c r="D899" s="3" t="s">
        <v>2932</v>
      </c>
      <c r="E899" s="3" t="s">
        <v>2933</v>
      </c>
      <c r="F899" s="3" t="str">
        <f>"765 362-3013"</f>
        <v>765 362-3013</v>
      </c>
      <c r="G899" s="3">
        <v>2389</v>
      </c>
      <c r="H899" s="3" t="s">
        <v>1236</v>
      </c>
    </row>
    <row r="900" spans="1:8" x14ac:dyDescent="0.25">
      <c r="A900" s="3" t="s">
        <v>2934</v>
      </c>
      <c r="B900" s="3"/>
      <c r="C900" s="3" t="str">
        <f>" "</f>
        <v xml:space="preserve"> </v>
      </c>
      <c r="D900" s="3" t="s">
        <v>2935</v>
      </c>
      <c r="E900" s="3" t="s">
        <v>46</v>
      </c>
      <c r="F900" s="2"/>
      <c r="G900" s="3">
        <v>523930</v>
      </c>
      <c r="H900" s="3" t="s">
        <v>2936</v>
      </c>
    </row>
    <row r="901" spans="1:8" ht="51.75" x14ac:dyDescent="0.25">
      <c r="A901" s="3" t="s">
        <v>2937</v>
      </c>
      <c r="B901" s="3"/>
      <c r="C901" s="3" t="str">
        <f>"We are a medium sized mechanical contractor. We employ approximately 35 plumbers, pipefitters and welders, 3 laborers and 1 air conditioning tradesmen"</f>
        <v>We are a medium sized mechanical contractor. We employ approximately 35 plumbers, pipefitters and welders, 3 laborers and 1 air conditioning tradesmen</v>
      </c>
      <c r="D901" s="3" t="s">
        <v>9</v>
      </c>
      <c r="E901" s="3" t="s">
        <v>2938</v>
      </c>
      <c r="F901" s="3" t="str">
        <f>"812-234-1152"</f>
        <v>812-234-1152</v>
      </c>
      <c r="G901" s="3">
        <v>238220</v>
      </c>
      <c r="H901" s="3" t="s">
        <v>348</v>
      </c>
    </row>
    <row r="902" spans="1:8" ht="294" x14ac:dyDescent="0.25">
      <c r="A902" s="3" t="s">
        <v>2939</v>
      </c>
      <c r="B902" s="3"/>
      <c r="C902" s="3" t="s">
        <v>2940</v>
      </c>
      <c r="D902" s="3" t="s">
        <v>2941</v>
      </c>
      <c r="E902" s="3" t="s">
        <v>2942</v>
      </c>
      <c r="F902" s="3" t="str">
        <f>"260-422-0945"</f>
        <v>260-422-0945</v>
      </c>
      <c r="G902" s="3">
        <v>5324</v>
      </c>
      <c r="H902" s="3" t="s">
        <v>1681</v>
      </c>
    </row>
    <row r="903" spans="1:8" ht="26.25" x14ac:dyDescent="0.25">
      <c r="A903" s="3" t="s">
        <v>2943</v>
      </c>
      <c r="B903" s="3"/>
      <c r="C903" s="3" t="str">
        <f>"Directional Boaring"</f>
        <v>Directional Boaring</v>
      </c>
      <c r="D903" s="3" t="s">
        <v>9</v>
      </c>
      <c r="E903" s="3" t="s">
        <v>46</v>
      </c>
      <c r="F903" s="3" t="str">
        <f>"219 923-8040"</f>
        <v>219 923-8040</v>
      </c>
      <c r="G903" s="3">
        <v>235</v>
      </c>
      <c r="H903" s="3" t="s">
        <v>259</v>
      </c>
    </row>
    <row r="904" spans="1:8" ht="141" x14ac:dyDescent="0.25">
      <c r="A904" s="3" t="s">
        <v>2944</v>
      </c>
      <c r="B904" s="3"/>
      <c r="C904" s="3" t="s">
        <v>2945</v>
      </c>
      <c r="D904" s="3" t="s">
        <v>9</v>
      </c>
      <c r="E904" s="3" t="s">
        <v>2946</v>
      </c>
      <c r="F904" s="3" t="str">
        <f>"765-675-6740"</f>
        <v>765-675-6740</v>
      </c>
      <c r="G904" s="3">
        <v>444130</v>
      </c>
      <c r="H904" s="3" t="s">
        <v>2597</v>
      </c>
    </row>
    <row r="905" spans="1:8" ht="26.25" x14ac:dyDescent="0.25">
      <c r="A905" s="3" t="s">
        <v>2947</v>
      </c>
      <c r="B905" s="3"/>
      <c r="C905" s="3" t="str">
        <f>"We do custom steel, aluminum fabrication and installation for industrial clientel."</f>
        <v>We do custom steel, aluminum fabrication and installation for industrial clientel.</v>
      </c>
      <c r="D905" s="3" t="s">
        <v>2948</v>
      </c>
      <c r="E905" s="3" t="s">
        <v>2949</v>
      </c>
      <c r="F905" s="3" t="str">
        <f>"574-272-9008"</f>
        <v>574-272-9008</v>
      </c>
      <c r="G905" s="3">
        <v>23493</v>
      </c>
      <c r="H905" s="3" t="s">
        <v>2950</v>
      </c>
    </row>
    <row r="906" spans="1:8" ht="26.25" x14ac:dyDescent="0.25">
      <c r="A906" s="3" t="s">
        <v>2951</v>
      </c>
      <c r="B906" s="3"/>
      <c r="C906" s="3" t="str">
        <f>" "</f>
        <v xml:space="preserve"> </v>
      </c>
      <c r="D906" s="3" t="s">
        <v>2952</v>
      </c>
      <c r="E906" s="3" t="s">
        <v>2953</v>
      </c>
      <c r="F906" s="3" t="str">
        <f>"260-563-2181"</f>
        <v>260-563-2181</v>
      </c>
      <c r="G906" s="3">
        <v>332116</v>
      </c>
      <c r="H906" s="3" t="s">
        <v>2954</v>
      </c>
    </row>
    <row r="907" spans="1:8" ht="51.75" x14ac:dyDescent="0.25">
      <c r="A907" s="3" t="s">
        <v>2955</v>
      </c>
      <c r="B907" s="3"/>
      <c r="C907" s="3" t="str">
        <f>"All forms of metal fabrication, stainless steel &amp; galvanized piping. Heat recovery and exhaust systems, boiler breechings &amp; stacks. HVAC duct systems."</f>
        <v>All forms of metal fabrication, stainless steel &amp; galvanized piping. Heat recovery and exhaust systems, boiler breechings &amp; stacks. HVAC duct systems.</v>
      </c>
      <c r="D907" s="3" t="s">
        <v>9</v>
      </c>
      <c r="E907" s="3" t="s">
        <v>2956</v>
      </c>
      <c r="F907" s="3" t="str">
        <f>"260-657-5500"</f>
        <v>260-657-5500</v>
      </c>
      <c r="G907" s="3">
        <v>23822</v>
      </c>
      <c r="H907" s="3" t="s">
        <v>348</v>
      </c>
    </row>
    <row r="908" spans="1:8" ht="64.5" x14ac:dyDescent="0.25">
      <c r="A908" s="3" t="s">
        <v>2957</v>
      </c>
      <c r="B908" s="3"/>
      <c r="C908" s="3" t="str">
        <f>"Commercial &amp; Residential Full Service Lawn Care &amp; Maintenance, Snow Removal and Salt applied, Property: Clean Outs &amp; Hauling Foreclosures: Initial Secure, Property Preservation, Winterization"</f>
        <v>Commercial &amp; Residential Full Service Lawn Care &amp; Maintenance, Snow Removal and Salt applied, Property: Clean Outs &amp; Hauling Foreclosures: Initial Secure, Property Preservation, Winterization</v>
      </c>
      <c r="D908" s="3" t="s">
        <v>9</v>
      </c>
      <c r="E908" s="3" t="s">
        <v>2958</v>
      </c>
      <c r="F908" s="3" t="str">
        <f>"574-300-0373"</f>
        <v>574-300-0373</v>
      </c>
      <c r="G908" s="3">
        <v>531311</v>
      </c>
      <c r="H908" s="3" t="s">
        <v>2959</v>
      </c>
    </row>
    <row r="909" spans="1:8" ht="141" x14ac:dyDescent="0.25">
      <c r="A909" s="3" t="s">
        <v>2960</v>
      </c>
      <c r="B909" s="3"/>
      <c r="C909" s="3" t="s">
        <v>2961</v>
      </c>
      <c r="D909" s="3" t="s">
        <v>2962</v>
      </c>
      <c r="E909" s="3" t="s">
        <v>2963</v>
      </c>
      <c r="F909" s="3" t="str">
        <f>"317-218-0328"</f>
        <v>317-218-0328</v>
      </c>
      <c r="G909" s="3">
        <v>611430</v>
      </c>
      <c r="H909" s="3" t="s">
        <v>1224</v>
      </c>
    </row>
    <row r="910" spans="1:8" ht="26.25" x14ac:dyDescent="0.25">
      <c r="A910" s="3" t="s">
        <v>2964</v>
      </c>
      <c r="B910" s="3"/>
      <c r="C910" s="3" t="str">
        <f>"Manufacturers' representative supplying environmental process systems"</f>
        <v>Manufacturers' representative supplying environmental process systems</v>
      </c>
      <c r="D910" s="3" t="s">
        <v>2965</v>
      </c>
      <c r="E910" s="3" t="s">
        <v>46</v>
      </c>
      <c r="F910" s="3" t="str">
        <f>"765-463-1518"</f>
        <v>765-463-1518</v>
      </c>
      <c r="G910" s="3">
        <v>2213</v>
      </c>
      <c r="H910" s="3" t="s">
        <v>2486</v>
      </c>
    </row>
    <row r="911" spans="1:8" ht="64.5" x14ac:dyDescent="0.25">
      <c r="A911" s="3" t="s">
        <v>2966</v>
      </c>
      <c r="B911" s="3"/>
      <c r="C911" s="3" t="str">
        <f>"Wholesale distributor which provides components for electric wire harnesses. Components includes, but are not limited to, loom, tape, heat shrink, terminals and connectors,cable ties and wire."</f>
        <v>Wholesale distributor which provides components for electric wire harnesses. Components includes, but are not limited to, loom, tape, heat shrink, terminals and connectors,cable ties and wire.</v>
      </c>
      <c r="D911" s="3" t="s">
        <v>2967</v>
      </c>
      <c r="E911" s="3" t="s">
        <v>2968</v>
      </c>
      <c r="F911" s="3" t="str">
        <f>"574-293-0631"</f>
        <v>574-293-0631</v>
      </c>
      <c r="G911" s="3">
        <v>423610</v>
      </c>
      <c r="H911" s="3" t="s">
        <v>2414</v>
      </c>
    </row>
    <row r="912" spans="1:8" ht="77.25" x14ac:dyDescent="0.25">
      <c r="A912" s="3" t="s">
        <v>2969</v>
      </c>
      <c r="B912" s="3"/>
      <c r="C912" s="3" t="str">
        <f>"IT Consuting company founded in May 1993. The company focuses on Project Management, Systems Management, Business Process Reengineering, and Developing and Implementing Complex IT Systems."</f>
        <v>IT Consuting company founded in May 1993. The company focuses on Project Management, Systems Management, Business Process Reengineering, and Developing and Implementing Complex IT Systems.</v>
      </c>
      <c r="D912" s="3" t="s">
        <v>9</v>
      </c>
      <c r="E912" s="3" t="s">
        <v>2970</v>
      </c>
      <c r="F912" s="3" t="str">
        <f>"317-844-6837"</f>
        <v>317-844-6837</v>
      </c>
      <c r="G912" s="3">
        <v>514</v>
      </c>
      <c r="H912" s="3" t="s">
        <v>322</v>
      </c>
    </row>
    <row r="913" spans="1:8" ht="153.75" x14ac:dyDescent="0.25">
      <c r="A913" s="3" t="s">
        <v>2971</v>
      </c>
      <c r="B913" s="3"/>
      <c r="C913" s="3" t="s">
        <v>2972</v>
      </c>
      <c r="D913" s="3" t="s">
        <v>2973</v>
      </c>
      <c r="E913" s="3" t="s">
        <v>2974</v>
      </c>
      <c r="F913" s="3" t="str">
        <f>"574-896-3889"</f>
        <v>574-896-3889</v>
      </c>
      <c r="G913" s="3">
        <v>452990</v>
      </c>
      <c r="H913" s="3" t="s">
        <v>2975</v>
      </c>
    </row>
    <row r="914" spans="1:8" ht="26.25" x14ac:dyDescent="0.25">
      <c r="A914" s="3" t="s">
        <v>2976</v>
      </c>
      <c r="B914" s="3"/>
      <c r="C914" s="3" t="str">
        <f>"Law Firm"</f>
        <v>Law Firm</v>
      </c>
      <c r="D914" s="3" t="s">
        <v>2977</v>
      </c>
      <c r="E914" s="3" t="s">
        <v>46</v>
      </c>
      <c r="F914" s="3" t="str">
        <f>"317-237-0300"</f>
        <v>317-237-0300</v>
      </c>
      <c r="G914" s="3">
        <v>541110</v>
      </c>
      <c r="H914" s="3" t="s">
        <v>2978</v>
      </c>
    </row>
    <row r="915" spans="1:8" ht="51.75" x14ac:dyDescent="0.25">
      <c r="A915" s="3" t="s">
        <v>2979</v>
      </c>
      <c r="B915" s="3"/>
      <c r="C915" s="3" t="str">
        <f>"Event decorator for any occasion. Examples are: weddings, birthdays, corporate event, school functions, trade shows, sporting events, etc"</f>
        <v>Event decorator for any occasion. Examples are: weddings, birthdays, corporate event, school functions, trade shows, sporting events, etc</v>
      </c>
      <c r="D915" s="3" t="s">
        <v>2980</v>
      </c>
      <c r="E915" s="3" t="s">
        <v>2981</v>
      </c>
      <c r="F915" s="3" t="str">
        <f>"765-635-5033"</f>
        <v>765-635-5033</v>
      </c>
      <c r="G915" s="3">
        <v>5619</v>
      </c>
      <c r="H915" s="3" t="s">
        <v>2982</v>
      </c>
    </row>
    <row r="916" spans="1:8" ht="64.5" x14ac:dyDescent="0.25">
      <c r="A916" s="3" t="s">
        <v>2983</v>
      </c>
      <c r="B916" s="3"/>
      <c r="C916" s="3" t="str">
        <f>"OVER29,000 ITEMS OFFICE SUPPLIES AND FURNITURE, COMPUTER SUPPLIES, AND JANITORIAL SUPPLIES. NEXT DAY DELIVERY ON OUR TRUCKS IN THE INDINAPOLIS AREA OR DROP SHIP IN ALL OF INDIANA"</f>
        <v>OVER29,000 ITEMS OFFICE SUPPLIES AND FURNITURE, COMPUTER SUPPLIES, AND JANITORIAL SUPPLIES. NEXT DAY DELIVERY ON OUR TRUCKS IN THE INDINAPOLIS AREA OR DROP SHIP IN ALL OF INDIANA</v>
      </c>
      <c r="D916" s="3" t="s">
        <v>9</v>
      </c>
      <c r="E916" s="3" t="s">
        <v>46</v>
      </c>
      <c r="F916" s="3" t="str">
        <f>"317 5710939"</f>
        <v>317 5710939</v>
      </c>
      <c r="G916" s="3">
        <v>453210</v>
      </c>
      <c r="H916" s="3" t="s">
        <v>431</v>
      </c>
    </row>
    <row r="917" spans="1:8" ht="26.25" x14ac:dyDescent="0.25">
      <c r="A917" s="3" t="s">
        <v>2984</v>
      </c>
      <c r="B917" s="3"/>
      <c r="C917" s="3" t="str">
        <f>"Lawn, landscape maintenance and tree removal service."</f>
        <v>Lawn, landscape maintenance and tree removal service.</v>
      </c>
      <c r="D917" s="3" t="s">
        <v>2985</v>
      </c>
      <c r="E917" s="3" t="s">
        <v>2986</v>
      </c>
      <c r="F917" s="3" t="str">
        <f>"317-896-1414"</f>
        <v>317-896-1414</v>
      </c>
      <c r="G917" s="3">
        <v>561730</v>
      </c>
      <c r="H917" s="3" t="s">
        <v>65</v>
      </c>
    </row>
    <row r="918" spans="1:8" ht="64.5" x14ac:dyDescent="0.25">
      <c r="A918" s="3" t="s">
        <v>2987</v>
      </c>
      <c r="B918" s="3"/>
      <c r="C918" s="3" t="str">
        <f>"PERSONNEL AGENCY SUPPLYING INDIVIDUALS (PERMANENT AND TEMPORARY) TO COMPANIES ON AN AS NEEDED BASIS. WE ALSO DO TRAINING, SPECIALIZED EDUCATION, AND HUMAN RESOURCE DEVELOPMENT."</f>
        <v>PERSONNEL AGENCY SUPPLYING INDIVIDUALS (PERMANENT AND TEMPORARY) TO COMPANIES ON AN AS NEEDED BASIS. WE ALSO DO TRAINING, SPECIALIZED EDUCATION, AND HUMAN RESOURCE DEVELOPMENT.</v>
      </c>
      <c r="D918" s="3" t="s">
        <v>2988</v>
      </c>
      <c r="E918" s="3" t="s">
        <v>2989</v>
      </c>
      <c r="F918" s="3" t="str">
        <f>"2198875878"</f>
        <v>2198875878</v>
      </c>
      <c r="G918" s="3">
        <v>81</v>
      </c>
      <c r="H918" s="3" t="s">
        <v>751</v>
      </c>
    </row>
    <row r="919" spans="1:8" ht="39" x14ac:dyDescent="0.25">
      <c r="A919" s="3" t="s">
        <v>2990</v>
      </c>
      <c r="B919" s="3"/>
      <c r="C919" s="3" t="str">
        <f>"Floor covering contractor. sale,installation and maintenance of commercial and residential floor coverings."</f>
        <v>Floor covering contractor. sale,installation and maintenance of commercial and residential floor coverings.</v>
      </c>
      <c r="D919" s="3" t="s">
        <v>2991</v>
      </c>
      <c r="E919" s="3" t="s">
        <v>2992</v>
      </c>
      <c r="F919" s="3" t="str">
        <f>"260-918-3436"</f>
        <v>260-918-3436</v>
      </c>
      <c r="G919" s="3">
        <v>442210</v>
      </c>
      <c r="H919" s="3" t="s">
        <v>2301</v>
      </c>
    </row>
    <row r="920" spans="1:8" ht="26.25" x14ac:dyDescent="0.25">
      <c r="A920" s="3" t="s">
        <v>2993</v>
      </c>
      <c r="B920" s="3"/>
      <c r="C920" s="3" t="str">
        <f>"Sale, install, maintain, floor covering, and specialty floors."</f>
        <v>Sale, install, maintain, floor covering, and specialty floors.</v>
      </c>
      <c r="D920" s="3" t="s">
        <v>9</v>
      </c>
      <c r="E920" s="3" t="s">
        <v>2994</v>
      </c>
      <c r="F920" s="3" t="str">
        <f>"260-918-3436"</f>
        <v>260-918-3436</v>
      </c>
      <c r="G920" s="3">
        <v>238330</v>
      </c>
      <c r="H920" s="3" t="s">
        <v>2995</v>
      </c>
    </row>
    <row r="921" spans="1:8" ht="115.5" x14ac:dyDescent="0.25">
      <c r="A921" s="3" t="s">
        <v>2996</v>
      </c>
      <c r="B921" s="3"/>
      <c r="C921" s="3" t="s">
        <v>2997</v>
      </c>
      <c r="D921" s="3" t="s">
        <v>2998</v>
      </c>
      <c r="E921" s="3" t="s">
        <v>2999</v>
      </c>
      <c r="F921" s="3" t="str">
        <f>"317-637-0123"</f>
        <v>317-637-0123</v>
      </c>
      <c r="G921" s="3">
        <v>56132</v>
      </c>
      <c r="H921" s="3" t="s">
        <v>15</v>
      </c>
    </row>
    <row r="922" spans="1:8" ht="26.25" x14ac:dyDescent="0.25">
      <c r="A922" s="3" t="s">
        <v>3000</v>
      </c>
      <c r="B922" s="3"/>
      <c r="C922" s="2"/>
      <c r="D922" s="3" t="s">
        <v>3001</v>
      </c>
      <c r="E922" s="3" t="s">
        <v>3002</v>
      </c>
      <c r="F922" s="3" t="str">
        <f>"317-637-5327"</f>
        <v>317-637-5327</v>
      </c>
      <c r="G922" s="3">
        <v>42172</v>
      </c>
      <c r="H922" s="3" t="s">
        <v>3003</v>
      </c>
    </row>
    <row r="923" spans="1:8" ht="26.25" x14ac:dyDescent="0.25">
      <c r="A923" s="3" t="s">
        <v>3004</v>
      </c>
      <c r="B923" s="3"/>
      <c r="C923" s="3" t="str">
        <f>" "</f>
        <v xml:space="preserve"> </v>
      </c>
      <c r="D923" s="3" t="s">
        <v>3005</v>
      </c>
      <c r="E923" s="3" t="s">
        <v>46</v>
      </c>
      <c r="F923" s="3" t="str">
        <f>"317-924-6226"</f>
        <v>317-924-6226</v>
      </c>
      <c r="G923" s="3">
        <v>238210</v>
      </c>
      <c r="H923" s="3" t="s">
        <v>306</v>
      </c>
    </row>
    <row r="924" spans="1:8" ht="26.25" x14ac:dyDescent="0.25">
      <c r="A924" s="3" t="s">
        <v>3006</v>
      </c>
      <c r="B924" s="3"/>
      <c r="C924" s="3" t="str">
        <f>"REAL ESTATE APPRAISALS &amp; CONSULTING SERVICE"</f>
        <v>REAL ESTATE APPRAISALS &amp; CONSULTING SERVICE</v>
      </c>
      <c r="D924" s="3" t="s">
        <v>3007</v>
      </c>
      <c r="E924" s="3" t="s">
        <v>3008</v>
      </c>
      <c r="F924" s="3" t="str">
        <f>"812-476-1000"</f>
        <v>812-476-1000</v>
      </c>
      <c r="G924" s="3">
        <v>541990</v>
      </c>
      <c r="H924" s="3" t="s">
        <v>378</v>
      </c>
    </row>
    <row r="925" spans="1:8" ht="90" x14ac:dyDescent="0.25">
      <c r="A925" s="3" t="s">
        <v>3009</v>
      </c>
      <c r="B925" s="3"/>
      <c r="C925" s="3" t="s">
        <v>3010</v>
      </c>
      <c r="D925" s="3" t="s">
        <v>3011</v>
      </c>
      <c r="E925" s="3" t="s">
        <v>3012</v>
      </c>
      <c r="F925" s="3" t="str">
        <f>"317-803-3266"</f>
        <v>317-803-3266</v>
      </c>
      <c r="G925" s="3">
        <v>421</v>
      </c>
      <c r="H925" s="3" t="s">
        <v>3013</v>
      </c>
    </row>
    <row r="926" spans="1:8" ht="51.75" x14ac:dyDescent="0.25">
      <c r="A926" s="3" t="s">
        <v>3014</v>
      </c>
      <c r="B926" s="3"/>
      <c r="C926" s="3" t="str">
        <f>"Government Contracts Admin. for Indiana business. Molds and molded products Fabricated metal products. Blade guides for transportation dept. Military contracting"</f>
        <v>Government Contracts Admin. for Indiana business. Molds and molded products Fabricated metal products. Blade guides for transportation dept. Military contracting</v>
      </c>
      <c r="D926" s="3" t="s">
        <v>9</v>
      </c>
      <c r="E926" s="3" t="s">
        <v>3015</v>
      </c>
      <c r="F926" s="3" t="str">
        <f>"606 247 2600"</f>
        <v>606 247 2600</v>
      </c>
      <c r="G926" s="3">
        <v>333511</v>
      </c>
      <c r="H926" s="3" t="s">
        <v>3016</v>
      </c>
    </row>
    <row r="927" spans="1:8" ht="51.75" x14ac:dyDescent="0.25">
      <c r="A927" s="3" t="s">
        <v>3017</v>
      </c>
      <c r="B927" s="3"/>
      <c r="C927" s="3" t="str">
        <f>"Municipal, Industrial, Fire Protection, and Commercial Pump and Equipment Distribution providing sales and service of pumps and related equipment."</f>
        <v>Municipal, Industrial, Fire Protection, and Commercial Pump and Equipment Distribution providing sales and service of pumps and related equipment.</v>
      </c>
      <c r="D927" s="3" t="s">
        <v>3018</v>
      </c>
      <c r="E927" s="3" t="s">
        <v>3019</v>
      </c>
      <c r="F927" s="3" t="str">
        <f>"317-636-1111"</f>
        <v>317-636-1111</v>
      </c>
      <c r="G927" s="3">
        <v>423830</v>
      </c>
      <c r="H927" s="3" t="s">
        <v>172</v>
      </c>
    </row>
    <row r="928" spans="1:8" ht="26.25" x14ac:dyDescent="0.25">
      <c r="A928" s="3" t="s">
        <v>3020</v>
      </c>
      <c r="B928" s="3"/>
      <c r="C928" s="3" t="str">
        <f>"We do Awards and Promotional Products Including Apparel"</f>
        <v>We do Awards and Promotional Products Including Apparel</v>
      </c>
      <c r="D928" s="3" t="s">
        <v>3021</v>
      </c>
      <c r="E928" s="3" t="s">
        <v>3022</v>
      </c>
      <c r="F928" s="3" t="str">
        <f>"317-852-3240"</f>
        <v>317-852-3240</v>
      </c>
      <c r="G928" s="3">
        <v>453998</v>
      </c>
      <c r="H928" s="3" t="s">
        <v>112</v>
      </c>
    </row>
    <row r="929" spans="1:8" ht="26.25" x14ac:dyDescent="0.25">
      <c r="A929" s="3" t="s">
        <v>3023</v>
      </c>
      <c r="B929" s="3"/>
      <c r="C929" s="3" t="str">
        <f>"We fabricate and install millwork."</f>
        <v>We fabricate and install millwork.</v>
      </c>
      <c r="D929" s="3" t="s">
        <v>3024</v>
      </c>
      <c r="E929" s="3" t="s">
        <v>46</v>
      </c>
      <c r="F929" s="3" t="str">
        <f>"317-637-4427"</f>
        <v>317-637-4427</v>
      </c>
      <c r="G929" s="3">
        <v>337212</v>
      </c>
      <c r="H929" s="3" t="s">
        <v>2359</v>
      </c>
    </row>
    <row r="930" spans="1:8" ht="90" x14ac:dyDescent="0.25">
      <c r="A930" s="3" t="s">
        <v>3025</v>
      </c>
      <c r="B930" s="3"/>
      <c r="C930" s="3" t="s">
        <v>3026</v>
      </c>
      <c r="D930" s="3" t="s">
        <v>9</v>
      </c>
      <c r="E930" s="3" t="s">
        <v>3027</v>
      </c>
      <c r="F930" s="3" t="str">
        <f>"(317) 650-7755"</f>
        <v>(317) 650-7755</v>
      </c>
      <c r="G930" s="3">
        <v>236220</v>
      </c>
      <c r="H930" s="3" t="s">
        <v>598</v>
      </c>
    </row>
    <row r="931" spans="1:8" ht="26.25" x14ac:dyDescent="0.25">
      <c r="A931" s="3" t="s">
        <v>3028</v>
      </c>
      <c r="B931" s="3"/>
      <c r="C931" s="3" t="str">
        <f>" "</f>
        <v xml:space="preserve"> </v>
      </c>
      <c r="D931" s="3" t="s">
        <v>9</v>
      </c>
      <c r="E931" s="3" t="s">
        <v>46</v>
      </c>
      <c r="F931" s="3" t="str">
        <f>"317-994-5296"</f>
        <v>317-994-5296</v>
      </c>
      <c r="G931" s="3">
        <v>541430</v>
      </c>
      <c r="H931" s="3" t="s">
        <v>78</v>
      </c>
    </row>
    <row r="932" spans="1:8" ht="102.75" x14ac:dyDescent="0.25">
      <c r="A932" s="3" t="s">
        <v>3029</v>
      </c>
      <c r="B932" s="3"/>
      <c r="C932" s="3" t="s">
        <v>3030</v>
      </c>
      <c r="D932" s="3" t="s">
        <v>9</v>
      </c>
      <c r="E932" s="3" t="s">
        <v>3031</v>
      </c>
      <c r="F932" s="3" t="str">
        <f>"812-232-4330"</f>
        <v>812-232-4330</v>
      </c>
      <c r="G932" s="3">
        <v>423120</v>
      </c>
      <c r="H932" s="3" t="s">
        <v>1033</v>
      </c>
    </row>
    <row r="933" spans="1:8" ht="26.25" x14ac:dyDescent="0.25">
      <c r="A933" s="3" t="s">
        <v>3032</v>
      </c>
      <c r="B933" s="3"/>
      <c r="C933" s="3" t="str">
        <f>"Catering and Special Events Management at the Terrace at Market Tower"</f>
        <v>Catering and Special Events Management at the Terrace at Market Tower</v>
      </c>
      <c r="D933" s="3" t="s">
        <v>3033</v>
      </c>
      <c r="E933" s="3" t="s">
        <v>3034</v>
      </c>
      <c r="F933" s="3" t="str">
        <f>"317-348-0006"</f>
        <v>317-348-0006</v>
      </c>
      <c r="G933" s="3">
        <v>72232</v>
      </c>
      <c r="H933" s="3" t="s">
        <v>266</v>
      </c>
    </row>
    <row r="934" spans="1:8" ht="64.5" x14ac:dyDescent="0.25">
      <c r="A934" s="3" t="s">
        <v>3035</v>
      </c>
      <c r="B934" s="3"/>
      <c r="C934" s="3" t="str">
        <f>"Manufacturer of- Modeling Boards Laminating Resins Surface Coats Casting Epoxy Casting Urethanes Prototyping Materials Silicones Urethane Elastomers Adhesives"</f>
        <v>Manufacturer of- Modeling Boards Laminating Resins Surface Coats Casting Epoxy Casting Urethanes Prototyping Materials Silicones Urethane Elastomers Adhesives</v>
      </c>
      <c r="D934" s="3" t="s">
        <v>3036</v>
      </c>
      <c r="E934" s="3" t="s">
        <v>3037</v>
      </c>
      <c r="F934" s="3" t="str">
        <f>"317-736-4090"</f>
        <v>317-736-4090</v>
      </c>
      <c r="G934" s="3">
        <v>324122</v>
      </c>
      <c r="H934" s="3" t="s">
        <v>3038</v>
      </c>
    </row>
    <row r="935" spans="1:8" ht="64.5" x14ac:dyDescent="0.25">
      <c r="A935" s="3" t="s">
        <v>3039</v>
      </c>
      <c r="B935" s="3"/>
      <c r="C935" s="3" t="str">
        <f>"Quality Glass is a customer service oriented business that provides glass work of all kinds, including windshield replacement, custom shower doors, commercial business store fronts and door installations."</f>
        <v>Quality Glass is a customer service oriented business that provides glass work of all kinds, including windshield replacement, custom shower doors, commercial business store fronts and door installations.</v>
      </c>
      <c r="D935" s="3" t="s">
        <v>9</v>
      </c>
      <c r="E935" s="3" t="s">
        <v>3040</v>
      </c>
      <c r="F935" s="3" t="str">
        <f>"(574)534-1541"</f>
        <v>(574)534-1541</v>
      </c>
      <c r="G935" s="3">
        <v>81112</v>
      </c>
      <c r="H935" s="3" t="s">
        <v>3041</v>
      </c>
    </row>
    <row r="936" spans="1:8" ht="51.75" x14ac:dyDescent="0.25">
      <c r="A936" s="3" t="s">
        <v>3042</v>
      </c>
      <c r="B936" s="3"/>
      <c r="C936" s="3" t="str">
        <f>"BCT Construction and Renovations provides remodeling and renovation services for residential, commercial and industrial properties"</f>
        <v>BCT Construction and Renovations provides remodeling and renovation services for residential, commercial and industrial properties</v>
      </c>
      <c r="D936" s="3" t="s">
        <v>9</v>
      </c>
      <c r="E936" s="3" t="s">
        <v>46</v>
      </c>
      <c r="F936" s="2"/>
      <c r="G936" s="3">
        <v>236</v>
      </c>
      <c r="H936" s="3" t="s">
        <v>291</v>
      </c>
    </row>
    <row r="937" spans="1:8" ht="39" x14ac:dyDescent="0.25">
      <c r="A937" s="3" t="s">
        <v>3043</v>
      </c>
      <c r="B937" s="3"/>
      <c r="C937" s="3" t="str">
        <f>"Marketer of diet aid supplements, over the counter pharmaceuticals, sexual enhancers and energy boosters."</f>
        <v>Marketer of diet aid supplements, over the counter pharmaceuticals, sexual enhancers and energy boosters.</v>
      </c>
      <c r="D937" s="3" t="s">
        <v>3044</v>
      </c>
      <c r="E937" s="3" t="s">
        <v>3045</v>
      </c>
      <c r="F937" s="3" t="str">
        <f>"317-228-0000"</f>
        <v>317-228-0000</v>
      </c>
      <c r="G937" s="3">
        <v>339</v>
      </c>
      <c r="H937" s="3" t="s">
        <v>1092</v>
      </c>
    </row>
    <row r="938" spans="1:8" ht="39" x14ac:dyDescent="0.25">
      <c r="A938" s="3" t="s">
        <v>3046</v>
      </c>
      <c r="B938" s="3"/>
      <c r="C938" s="3" t="str">
        <f>"We provide commercial properties for business to rent and or purchase in Southeastern Indiana."</f>
        <v>We provide commercial properties for business to rent and or purchase in Southeastern Indiana.</v>
      </c>
      <c r="D938" s="3" t="s">
        <v>9</v>
      </c>
      <c r="E938" s="3" t="s">
        <v>3047</v>
      </c>
      <c r="F938" s="3" t="str">
        <f>"812-689-5512"</f>
        <v>812-689-5512</v>
      </c>
      <c r="G938" s="3">
        <v>531120</v>
      </c>
      <c r="H938" s="3" t="s">
        <v>2926</v>
      </c>
    </row>
    <row r="939" spans="1:8" ht="26.25" x14ac:dyDescent="0.25">
      <c r="A939" s="3" t="s">
        <v>3048</v>
      </c>
      <c r="B939" s="3"/>
      <c r="C939" s="3" t="str">
        <f>"Broad Line Food Distributor servicing the state of Indiana."</f>
        <v>Broad Line Food Distributor servicing the state of Indiana.</v>
      </c>
      <c r="D939" s="3" t="s">
        <v>3049</v>
      </c>
      <c r="E939" s="3" t="s">
        <v>3050</v>
      </c>
      <c r="F939" s="3" t="str">
        <f>"812-336-7443"</f>
        <v>812-336-7443</v>
      </c>
      <c r="G939" s="3">
        <v>722310</v>
      </c>
      <c r="H939" s="3" t="s">
        <v>3051</v>
      </c>
    </row>
    <row r="940" spans="1:8" ht="102.75" x14ac:dyDescent="0.25">
      <c r="A940" s="3" t="s">
        <v>3052</v>
      </c>
      <c r="B940" s="3"/>
      <c r="C940" s="3" t="s">
        <v>3053</v>
      </c>
      <c r="D940" s="3" t="s">
        <v>3054</v>
      </c>
      <c r="E940" s="3" t="s">
        <v>3055</v>
      </c>
      <c r="F940" s="3" t="str">
        <f>"260-563-8821"</f>
        <v>260-563-8821</v>
      </c>
      <c r="G940" s="3">
        <v>524210</v>
      </c>
      <c r="H940" s="3" t="s">
        <v>1183</v>
      </c>
    </row>
    <row r="941" spans="1:8" ht="26.25" x14ac:dyDescent="0.25">
      <c r="A941" s="3" t="s">
        <v>3056</v>
      </c>
      <c r="B941" s="3"/>
      <c r="C941" s="3" t="str">
        <f>"Bedford Trucking LLC. hauls gravel, stone, asphalt, sand, etc."</f>
        <v>Bedford Trucking LLC. hauls gravel, stone, asphalt, sand, etc.</v>
      </c>
      <c r="D941" s="3" t="s">
        <v>9</v>
      </c>
      <c r="E941" s="3" t="s">
        <v>3057</v>
      </c>
      <c r="F941" s="3" t="str">
        <f>"18122787777"</f>
        <v>18122787777</v>
      </c>
      <c r="G941" s="3">
        <v>484220</v>
      </c>
      <c r="H941" s="3" t="s">
        <v>11</v>
      </c>
    </row>
    <row r="942" spans="1:8" ht="51.75" x14ac:dyDescent="0.25">
      <c r="A942" s="3" t="s">
        <v>3058</v>
      </c>
      <c r="B942" s="3"/>
      <c r="C942" s="3" t="str">
        <f>"Hazardous and Non Hazardous Waste Disposal Services Vac Truck Services Used Oil and Antifreeze Parts Washers Medical/Bio Waste Disposal"</f>
        <v>Hazardous and Non Hazardous Waste Disposal Services Vac Truck Services Used Oil and Antifreeze Parts Washers Medical/Bio Waste Disposal</v>
      </c>
      <c r="D942" s="3" t="s">
        <v>3059</v>
      </c>
      <c r="E942" s="3" t="s">
        <v>3060</v>
      </c>
      <c r="F942" s="3" t="str">
        <f>"317839-9323"</f>
        <v>317839-9323</v>
      </c>
      <c r="G942" s="3">
        <v>488510</v>
      </c>
      <c r="H942" s="3" t="s">
        <v>562</v>
      </c>
    </row>
    <row r="943" spans="1:8" ht="39" x14ac:dyDescent="0.25">
      <c r="A943" s="3" t="s">
        <v>3061</v>
      </c>
      <c r="B943" s="3"/>
      <c r="C943" s="3" t="str">
        <f>"Small family owned hvac company. Only doing business in Indiana. Husband and wife owned."</f>
        <v>Small family owned hvac company. Only doing business in Indiana. Husband and wife owned.</v>
      </c>
      <c r="D943" s="3" t="s">
        <v>9</v>
      </c>
      <c r="E943" s="3" t="s">
        <v>46</v>
      </c>
      <c r="F943" s="3" t="str">
        <f>"317-422-1903"</f>
        <v>317-422-1903</v>
      </c>
      <c r="G943" s="3">
        <v>238220</v>
      </c>
      <c r="H943" s="3" t="s">
        <v>348</v>
      </c>
    </row>
    <row r="944" spans="1:8" ht="204.75" x14ac:dyDescent="0.25">
      <c r="A944" s="3" t="s">
        <v>3062</v>
      </c>
      <c r="B944" s="3"/>
      <c r="C944" s="3" t="s">
        <v>3063</v>
      </c>
      <c r="D944" s="3" t="s">
        <v>3064</v>
      </c>
      <c r="E944" s="3" t="s">
        <v>3065</v>
      </c>
      <c r="F944" s="3" t="str">
        <f>"317-704-6000"</f>
        <v>317-704-6000</v>
      </c>
      <c r="G944" s="3">
        <v>443120</v>
      </c>
      <c r="H944" s="3" t="s">
        <v>609</v>
      </c>
    </row>
    <row r="945" spans="1:8" ht="26.25" x14ac:dyDescent="0.25">
      <c r="A945" s="3" t="s">
        <v>3066</v>
      </c>
      <c r="B945" s="3"/>
      <c r="C945" s="3" t="str">
        <f>"Hearing Aid Fittings and Service."</f>
        <v>Hearing Aid Fittings and Service.</v>
      </c>
      <c r="D945" s="3" t="s">
        <v>3067</v>
      </c>
      <c r="E945" s="3" t="s">
        <v>3068</v>
      </c>
      <c r="F945" s="3" t="str">
        <f>"(765) 521-2145"</f>
        <v>(765) 521-2145</v>
      </c>
      <c r="G945" s="3">
        <v>23599</v>
      </c>
      <c r="H945" s="3" t="s">
        <v>248</v>
      </c>
    </row>
    <row r="946" spans="1:8" ht="39" x14ac:dyDescent="0.25">
      <c r="A946" s="3" t="s">
        <v>3069</v>
      </c>
      <c r="B946" s="3"/>
      <c r="C946" s="3" t="str">
        <f>"We offer a complete line of building products and services with 9 locations in south central Indiana."</f>
        <v>We offer a complete line of building products and services with 9 locations in south central Indiana.</v>
      </c>
      <c r="D946" s="3" t="s">
        <v>3070</v>
      </c>
      <c r="E946" s="3" t="s">
        <v>3071</v>
      </c>
      <c r="F946" s="3" t="str">
        <f>"765-342-9737"</f>
        <v>765-342-9737</v>
      </c>
      <c r="G946" s="3">
        <v>44411</v>
      </c>
      <c r="H946" s="3" t="s">
        <v>3072</v>
      </c>
    </row>
    <row r="947" spans="1:8" ht="64.5" x14ac:dyDescent="0.25">
      <c r="A947" s="3" t="s">
        <v>3073</v>
      </c>
      <c r="B947" s="3"/>
      <c r="C947" s="3" t="str">
        <f>"Commercial and residential landscaping department, full floral sales, 15 acres, and full nursery for shrubs, perenials and water pond plant, store with all lawn and garden needs."</f>
        <v>Commercial and residential landscaping department, full floral sales, 15 acres, and full nursery for shrubs, perenials and water pond plant, store with all lawn and garden needs.</v>
      </c>
      <c r="D947" s="3" t="s">
        <v>3074</v>
      </c>
      <c r="E947" s="3" t="s">
        <v>3075</v>
      </c>
      <c r="F947" s="3" t="str">
        <f>"765-447-7636"</f>
        <v>765-447-7636</v>
      </c>
      <c r="G947" s="3">
        <v>44</v>
      </c>
      <c r="H947" s="3" t="s">
        <v>574</v>
      </c>
    </row>
    <row r="948" spans="1:8" ht="39" x14ac:dyDescent="0.25">
      <c r="A948" s="3" t="s">
        <v>3076</v>
      </c>
      <c r="B948" s="3"/>
      <c r="C948" s="3" t="str">
        <f>"best enviromental provides 24 hr emergency spill response, site accessments clean up and evaluations."</f>
        <v>best enviromental provides 24 hr emergency spill response, site accessments clean up and evaluations.</v>
      </c>
      <c r="D948" s="3" t="s">
        <v>3077</v>
      </c>
      <c r="E948" s="3" t="s">
        <v>3078</v>
      </c>
      <c r="F948" s="3" t="str">
        <f>"1 888 561 2378"</f>
        <v>1 888 561 2378</v>
      </c>
      <c r="G948" s="3">
        <v>562910</v>
      </c>
      <c r="H948" s="3" t="s">
        <v>2278</v>
      </c>
    </row>
    <row r="949" spans="1:8" ht="102.75" x14ac:dyDescent="0.25">
      <c r="A949" s="3" t="s">
        <v>3079</v>
      </c>
      <c r="B949" s="3"/>
      <c r="C949" s="3" t="s">
        <v>3080</v>
      </c>
      <c r="D949" s="3" t="s">
        <v>3081</v>
      </c>
      <c r="E949" s="3" t="s">
        <v>3082</v>
      </c>
      <c r="F949" s="3" t="str">
        <f>"812-235-6196"</f>
        <v>812-235-6196</v>
      </c>
      <c r="G949" s="3">
        <v>811</v>
      </c>
      <c r="H949" s="3" t="s">
        <v>816</v>
      </c>
    </row>
    <row r="950" spans="1:8" ht="26.25" x14ac:dyDescent="0.25">
      <c r="A950" s="3" t="s">
        <v>3083</v>
      </c>
      <c r="B950" s="3"/>
      <c r="C950" s="3" t="str">
        <f>"Commercial tire and mechanical sales and service company."</f>
        <v>Commercial tire and mechanical sales and service company.</v>
      </c>
      <c r="D950" s="3" t="s">
        <v>3084</v>
      </c>
      <c r="E950" s="3" t="s">
        <v>3085</v>
      </c>
      <c r="F950" s="3" t="str">
        <f>"574-246-4021"</f>
        <v>574-246-4021</v>
      </c>
      <c r="G950" s="3">
        <v>44132</v>
      </c>
      <c r="H950" s="3" t="s">
        <v>190</v>
      </c>
    </row>
    <row r="951" spans="1:8" ht="26.25" x14ac:dyDescent="0.25">
      <c r="A951" s="3" t="s">
        <v>3086</v>
      </c>
      <c r="B951" s="3"/>
      <c r="C951" s="3" t="str">
        <f>"RETAIL MATTRESS WAREHOUSE - SAVE 50% TO 80% ON NAME BRAND MATTRESSES"</f>
        <v>RETAIL MATTRESS WAREHOUSE - SAVE 50% TO 80% ON NAME BRAND MATTRESSES</v>
      </c>
      <c r="D951" s="3" t="s">
        <v>3087</v>
      </c>
      <c r="E951" s="3" t="s">
        <v>3088</v>
      </c>
      <c r="F951" s="3" t="str">
        <f>"317-228-2337"</f>
        <v>317-228-2337</v>
      </c>
      <c r="G951" s="3">
        <v>442110</v>
      </c>
      <c r="H951" s="3" t="s">
        <v>117</v>
      </c>
    </row>
    <row r="952" spans="1:8" ht="243" x14ac:dyDescent="0.25">
      <c r="A952" s="3" t="s">
        <v>3089</v>
      </c>
      <c r="B952" s="3"/>
      <c r="C952" s="3" t="s">
        <v>3090</v>
      </c>
      <c r="D952" s="3" t="s">
        <v>9</v>
      </c>
      <c r="E952" s="3" t="s">
        <v>3091</v>
      </c>
      <c r="F952" s="3" t="str">
        <f>"317-608-3264"</f>
        <v>317-608-3264</v>
      </c>
      <c r="G952" s="3">
        <v>561499</v>
      </c>
      <c r="H952" s="3" t="s">
        <v>3092</v>
      </c>
    </row>
    <row r="953" spans="1:8" ht="115.5" x14ac:dyDescent="0.25">
      <c r="A953" s="3" t="s">
        <v>3093</v>
      </c>
      <c r="B953" s="3"/>
      <c r="C953" s="3" t="s">
        <v>3094</v>
      </c>
      <c r="D953" s="3" t="s">
        <v>3095</v>
      </c>
      <c r="E953" s="3" t="s">
        <v>3096</v>
      </c>
      <c r="F953" s="3" t="str">
        <f>"8122828740"</f>
        <v>8122828740</v>
      </c>
      <c r="G953" s="3">
        <v>3222</v>
      </c>
      <c r="H953" s="3" t="s">
        <v>3097</v>
      </c>
    </row>
    <row r="954" spans="1:8" ht="51.75" x14ac:dyDescent="0.25">
      <c r="A954" s="3" t="s">
        <v>3098</v>
      </c>
      <c r="B954" s="3"/>
      <c r="C954" s="3" t="str">
        <f>"BEX is an industrial silk screen business specializing in 3D graphics on metal and plastics. Most of our business comes from the medical and electronics industry."</f>
        <v>BEX is an industrial silk screen business specializing in 3D graphics on metal and plastics. Most of our business comes from the medical and electronics industry.</v>
      </c>
      <c r="D954" s="3" t="s">
        <v>3099</v>
      </c>
      <c r="E954" s="3" t="s">
        <v>3100</v>
      </c>
      <c r="F954" s="3" t="str">
        <f>"3177910375"</f>
        <v>3177910375</v>
      </c>
      <c r="G954" s="3">
        <v>541990</v>
      </c>
      <c r="H954" s="3" t="s">
        <v>378</v>
      </c>
    </row>
    <row r="955" spans="1:8" ht="77.25" x14ac:dyDescent="0.25">
      <c r="A955" s="3" t="s">
        <v>3101</v>
      </c>
      <c r="B955" s="3"/>
      <c r="C955" s="3" t="str">
        <f>"We offer a full line of building maintenance to include commercial and industrial general cleaning, stripping and waxing of various floor surfaces, carpet shampoo, snow removal, lawn care, emergency water damage, and mold remediation."</f>
        <v>We offer a full line of building maintenance to include commercial and industrial general cleaning, stripping and waxing of various floor surfaces, carpet shampoo, snow removal, lawn care, emergency water damage, and mold remediation.</v>
      </c>
      <c r="D955" s="3" t="s">
        <v>3102</v>
      </c>
      <c r="E955" s="3" t="s">
        <v>3103</v>
      </c>
      <c r="F955" s="3" t="str">
        <f>"317/875-5723"</f>
        <v>317/875-5723</v>
      </c>
      <c r="G955" s="3">
        <v>561720</v>
      </c>
      <c r="H955" s="3" t="s">
        <v>222</v>
      </c>
    </row>
    <row r="956" spans="1:8" ht="26.25" x14ac:dyDescent="0.25">
      <c r="A956" s="3" t="s">
        <v>3104</v>
      </c>
      <c r="B956" s="3"/>
      <c r="C956" s="3" t="str">
        <f>"BFF Alliance , Inc provides tobacco and cigarettes and other related products."</f>
        <v>BFF Alliance , Inc provides tobacco and cigarettes and other related products.</v>
      </c>
      <c r="D956" s="3" t="s">
        <v>9</v>
      </c>
      <c r="E956" s="3" t="s">
        <v>3105</v>
      </c>
      <c r="F956" s="3" t="str">
        <f>"(219) 808-9848"</f>
        <v>(219) 808-9848</v>
      </c>
      <c r="G956" s="3">
        <v>424940</v>
      </c>
      <c r="H956" s="3" t="s">
        <v>3106</v>
      </c>
    </row>
    <row r="957" spans="1:8" ht="90" x14ac:dyDescent="0.25">
      <c r="A957" s="3" t="s">
        <v>3107</v>
      </c>
      <c r="B957" s="3"/>
      <c r="C957" s="3" t="str">
        <f>"Sales, repair and preventive maitenance services of commercial fitness equipment. Also sell, service and provide bicycle parking systems for bicycles in a commercial business setting. Provide bicycles to police, security, fire and EMT entities."</f>
        <v>Sales, repair and preventive maitenance services of commercial fitness equipment. Also sell, service and provide bicycle parking systems for bicycles in a commercial business setting. Provide bicycles to police, security, fire and EMT entities.</v>
      </c>
      <c r="D957" s="3" t="s">
        <v>3108</v>
      </c>
      <c r="E957" s="3" t="s">
        <v>3109</v>
      </c>
      <c r="F957" s="3" t="str">
        <f>"888-348-4244"</f>
        <v>888-348-4244</v>
      </c>
      <c r="G957" s="3">
        <v>451110</v>
      </c>
      <c r="H957" s="3" t="s">
        <v>3110</v>
      </c>
    </row>
    <row r="958" spans="1:8" ht="102.75" x14ac:dyDescent="0.25">
      <c r="A958" s="3" t="s">
        <v>3111</v>
      </c>
      <c r="B958" s="3"/>
      <c r="C958" s="3" t="s">
        <v>3112</v>
      </c>
      <c r="D958" s="3" t="s">
        <v>9</v>
      </c>
      <c r="E958" s="3" t="s">
        <v>3113</v>
      </c>
      <c r="F958" s="3" t="str">
        <f>"317-431-2996"</f>
        <v>317-431-2996</v>
      </c>
      <c r="G958" s="3">
        <v>23</v>
      </c>
      <c r="H958" s="3" t="s">
        <v>133</v>
      </c>
    </row>
    <row r="959" spans="1:8" ht="102.75" x14ac:dyDescent="0.25">
      <c r="A959" s="3" t="s">
        <v>3114</v>
      </c>
      <c r="B959" s="3"/>
      <c r="C959" s="3" t="s">
        <v>3115</v>
      </c>
      <c r="D959" s="3" t="s">
        <v>9</v>
      </c>
      <c r="E959" s="3" t="s">
        <v>3116</v>
      </c>
      <c r="F959" s="3" t="str">
        <f>"317-435-9324"</f>
        <v>317-435-9324</v>
      </c>
      <c r="G959" s="3">
        <v>238210</v>
      </c>
      <c r="H959" s="3" t="s">
        <v>306</v>
      </c>
    </row>
    <row r="960" spans="1:8" ht="51.75" x14ac:dyDescent="0.25">
      <c r="A960" s="3" t="s">
        <v>3117</v>
      </c>
      <c r="B960" s="3"/>
      <c r="C960" s="3" t="str">
        <f>"Provides Electronic Monitoring Products &amp; Services for Agencies that Supervise Individuals in the community-ReEntry Day Reporting Centers"</f>
        <v>Provides Electronic Monitoring Products &amp; Services for Agencies that Supervise Individuals in the community-ReEntry Day Reporting Centers</v>
      </c>
      <c r="D960" s="3" t="s">
        <v>3118</v>
      </c>
      <c r="E960" s="3" t="s">
        <v>46</v>
      </c>
      <c r="F960" s="3" t="str">
        <f>"303-218-1000"</f>
        <v>303-218-1000</v>
      </c>
      <c r="G960" s="3">
        <v>334290</v>
      </c>
      <c r="H960" s="3" t="s">
        <v>3119</v>
      </c>
    </row>
    <row r="961" spans="1:8" ht="64.5" x14ac:dyDescent="0.25">
      <c r="A961" s="3" t="s">
        <v>3120</v>
      </c>
      <c r="B961" s="3"/>
      <c r="C961" s="3" t="str">
        <f>"B.I. Voyage provides its valued customers premier Microsoft Business Intelligence &amp; Data Warehousing solutions that empower them to compete and dominate in the world's markets."</f>
        <v>B.I. Voyage provides its valued customers premier Microsoft Business Intelligence &amp; Data Warehousing solutions that empower them to compete and dominate in the world's markets.</v>
      </c>
      <c r="D961" s="3" t="s">
        <v>3121</v>
      </c>
      <c r="E961" s="3" t="s">
        <v>3122</v>
      </c>
      <c r="F961" s="3" t="str">
        <f>"812.989.9252"</f>
        <v>812.989.9252</v>
      </c>
      <c r="G961" s="3">
        <v>541511</v>
      </c>
      <c r="H961" s="3" t="s">
        <v>122</v>
      </c>
    </row>
    <row r="962" spans="1:8" ht="77.25" x14ac:dyDescent="0.25">
      <c r="A962" s="3" t="s">
        <v>3123</v>
      </c>
      <c r="B962" s="3"/>
      <c r="C962" s="3" t="str">
        <f>"Electrical Installation, HVAC Installation, Mechanical Installation, Generator and Power Transfer Systems, Security &amp; Surveillance Installation, PLC Equipment and Programming, UL Listed Control Panel Fabrication"</f>
        <v>Electrical Installation, HVAC Installation, Mechanical Installation, Generator and Power Transfer Systems, Security &amp; Surveillance Installation, PLC Equipment and Programming, UL Listed Control Panel Fabrication</v>
      </c>
      <c r="D962" s="3" t="s">
        <v>3124</v>
      </c>
      <c r="E962" s="3" t="s">
        <v>3125</v>
      </c>
      <c r="F962" s="3" t="str">
        <f>"812-523-3320"</f>
        <v>812-523-3320</v>
      </c>
      <c r="G962" s="3">
        <v>238210</v>
      </c>
      <c r="H962" s="3" t="s">
        <v>306</v>
      </c>
    </row>
    <row r="963" spans="1:8" ht="268.5" x14ac:dyDescent="0.25">
      <c r="A963" s="3" t="s">
        <v>3126</v>
      </c>
      <c r="B963" s="3"/>
      <c r="C963" s="3" t="s">
        <v>3127</v>
      </c>
      <c r="D963" s="3" t="s">
        <v>3128</v>
      </c>
      <c r="E963" s="3" t="s">
        <v>3129</v>
      </c>
      <c r="F963" s="3" t="str">
        <f>"(317) 769-3903"</f>
        <v>(317) 769-3903</v>
      </c>
      <c r="G963" s="3">
        <v>333411</v>
      </c>
      <c r="H963" s="3" t="s">
        <v>3130</v>
      </c>
    </row>
    <row r="964" spans="1:8" ht="26.25" x14ac:dyDescent="0.25">
      <c r="A964" s="3" t="s">
        <v>3131</v>
      </c>
      <c r="B964" s="3"/>
      <c r="C964" s="3" t="str">
        <f>"Security Assessments of Faciliies and Restricted Environments"</f>
        <v>Security Assessments of Faciliies and Restricted Environments</v>
      </c>
      <c r="D964" s="3" t="s">
        <v>9</v>
      </c>
      <c r="E964" s="3" t="s">
        <v>3132</v>
      </c>
      <c r="F964" s="3" t="str">
        <f>"9376863845"</f>
        <v>9376863845</v>
      </c>
      <c r="G964" s="3">
        <v>518210</v>
      </c>
      <c r="H964" s="3" t="s">
        <v>3133</v>
      </c>
    </row>
    <row r="965" spans="1:8" ht="26.25" x14ac:dyDescent="0.25">
      <c r="A965" s="3" t="s">
        <v>3134</v>
      </c>
      <c r="B965" s="3"/>
      <c r="C965" s="3" t="str">
        <f>"We specialize is custom application web solutions for your business."</f>
        <v>We specialize is custom application web solutions for your business.</v>
      </c>
      <c r="D965" s="3" t="s">
        <v>3135</v>
      </c>
      <c r="E965" s="3" t="s">
        <v>3136</v>
      </c>
      <c r="F965" s="3" t="str">
        <f>"317-805-4376"</f>
        <v>317-805-4376</v>
      </c>
      <c r="G965" s="3">
        <v>518</v>
      </c>
      <c r="H965" s="3" t="s">
        <v>1003</v>
      </c>
    </row>
    <row r="966" spans="1:8" x14ac:dyDescent="0.25">
      <c r="A966" s="3" t="s">
        <v>3137</v>
      </c>
      <c r="B966" s="3"/>
      <c r="C966" s="3" t="str">
        <f>" "</f>
        <v xml:space="preserve"> </v>
      </c>
      <c r="D966" s="3" t="s">
        <v>9</v>
      </c>
      <c r="E966" s="3" t="s">
        <v>46</v>
      </c>
      <c r="F966" s="2"/>
      <c r="G966" s="3">
        <v>92</v>
      </c>
      <c r="H966" s="3" t="s">
        <v>3138</v>
      </c>
    </row>
    <row r="967" spans="1:8" ht="64.5" x14ac:dyDescent="0.25">
      <c r="A967" s="3" t="s">
        <v>3139</v>
      </c>
      <c r="B967" s="3"/>
      <c r="C967" s="3" t="str">
        <f>"Bk PLUS LLC provides, Plumbing Equipment, Commodities such as Plumbing Fixtures, Fittings, Bath Room Accessories, Supplies and Components for all plumbing applications."</f>
        <v>Bk PLUS LLC provides, Plumbing Equipment, Commodities such as Plumbing Fixtures, Fittings, Bath Room Accessories, Supplies and Components for all plumbing applications.</v>
      </c>
      <c r="D967" s="3" t="s">
        <v>3140</v>
      </c>
      <c r="E967" s="3" t="s">
        <v>3141</v>
      </c>
      <c r="F967" s="3" t="str">
        <f>"502-608-2615"</f>
        <v>502-608-2615</v>
      </c>
      <c r="G967" s="3">
        <v>423720</v>
      </c>
      <c r="H967" s="3" t="s">
        <v>2695</v>
      </c>
    </row>
    <row r="968" spans="1:8" ht="166.5" x14ac:dyDescent="0.25">
      <c r="A968" s="3" t="s">
        <v>3142</v>
      </c>
      <c r="B968" s="3"/>
      <c r="C968" s="3" t="s">
        <v>3143</v>
      </c>
      <c r="D968" s="3" t="s">
        <v>3144</v>
      </c>
      <c r="E968" s="3" t="s">
        <v>3145</v>
      </c>
      <c r="F968" s="3" t="str">
        <f>"502-802-5385"</f>
        <v>502-802-5385</v>
      </c>
      <c r="G968" s="3">
        <v>511130</v>
      </c>
      <c r="H968" s="3" t="s">
        <v>3146</v>
      </c>
    </row>
    <row r="969" spans="1:8" ht="230.25" x14ac:dyDescent="0.25">
      <c r="A969" s="3" t="s">
        <v>3147</v>
      </c>
      <c r="B969" s="3"/>
      <c r="C969" s="3" t="s">
        <v>3148</v>
      </c>
      <c r="D969" s="3" t="s">
        <v>3149</v>
      </c>
      <c r="E969" s="3" t="s">
        <v>46</v>
      </c>
      <c r="F969" s="3" t="str">
        <f>"1-317-383-4000"</f>
        <v>1-317-383-4000</v>
      </c>
      <c r="G969" s="3">
        <v>541211</v>
      </c>
      <c r="H969" s="3" t="s">
        <v>337</v>
      </c>
    </row>
    <row r="970" spans="1:8" ht="179.25" x14ac:dyDescent="0.25">
      <c r="A970" s="3" t="s">
        <v>3150</v>
      </c>
      <c r="B970" s="3"/>
      <c r="C970" s="3" t="s">
        <v>3151</v>
      </c>
      <c r="D970" s="3" t="s">
        <v>3152</v>
      </c>
      <c r="E970" s="3" t="s">
        <v>3153</v>
      </c>
      <c r="F970" s="3" t="str">
        <f>"219-763-7470"</f>
        <v>219-763-7470</v>
      </c>
      <c r="G970" s="3">
        <v>238220</v>
      </c>
      <c r="H970" s="3" t="s">
        <v>348</v>
      </c>
    </row>
    <row r="971" spans="1:8" ht="26.25" x14ac:dyDescent="0.25">
      <c r="A971" s="3" t="s">
        <v>3154</v>
      </c>
      <c r="B971" s="3"/>
      <c r="C971" s="3" t="str">
        <f>" "</f>
        <v xml:space="preserve"> </v>
      </c>
      <c r="D971" s="3" t="s">
        <v>9</v>
      </c>
      <c r="E971" s="3" t="s">
        <v>46</v>
      </c>
      <c r="F971" s="3" t="str">
        <f>"317-506-1637"</f>
        <v>317-506-1637</v>
      </c>
      <c r="G971" s="3">
        <v>54161</v>
      </c>
      <c r="H971" s="3" t="s">
        <v>1221</v>
      </c>
    </row>
    <row r="972" spans="1:8" ht="64.5" x14ac:dyDescent="0.25">
      <c r="A972" s="3" t="s">
        <v>3155</v>
      </c>
      <c r="B972" s="3"/>
      <c r="C972" s="3" t="str">
        <f>"PASSENGER GROUND TRANSPORTATION, CERTIFIED MEDICAID PROVIDER, INTRASTATE TRANSPORTATION, NON EMERGENCY MEDICAL TRANSPORTATION. ALSO INTERSTATE FREIGHT TRANSPORTATION"</f>
        <v>PASSENGER GROUND TRANSPORTATION, CERTIFIED MEDICAID PROVIDER, INTRASTATE TRANSPORTATION, NON EMERGENCY MEDICAL TRANSPORTATION. ALSO INTERSTATE FREIGHT TRANSPORTATION</v>
      </c>
      <c r="D972" s="3" t="s">
        <v>9</v>
      </c>
      <c r="E972" s="3" t="s">
        <v>3156</v>
      </c>
      <c r="F972" s="3" t="str">
        <f>"3175477433"</f>
        <v>3175477433</v>
      </c>
      <c r="G972" s="3">
        <v>4859</v>
      </c>
      <c r="H972" s="3" t="s">
        <v>3157</v>
      </c>
    </row>
    <row r="973" spans="1:8" ht="64.5" x14ac:dyDescent="0.25">
      <c r="A973" s="3" t="s">
        <v>3158</v>
      </c>
      <c r="B973" s="3"/>
      <c r="C973" s="3" t="str">
        <f>"Our company provides services in the following areas: Utility Boring, Water, Sewer and Storm System Installation/Construction, and Earthwork, etc."</f>
        <v>Our company provides services in the following areas: Utility Boring, Water, Sewer and Storm System Installation/Construction, and Earthwork, etc.</v>
      </c>
      <c r="D973" s="3" t="s">
        <v>9</v>
      </c>
      <c r="E973" s="3" t="s">
        <v>3159</v>
      </c>
      <c r="F973" s="3" t="str">
        <f>"812-867-5431"</f>
        <v>812-867-5431</v>
      </c>
      <c r="G973" s="3">
        <v>237210</v>
      </c>
      <c r="H973" s="3" t="s">
        <v>3160</v>
      </c>
    </row>
    <row r="974" spans="1:8" ht="115.5" x14ac:dyDescent="0.25">
      <c r="A974" s="3" t="s">
        <v>3161</v>
      </c>
      <c r="B974" s="3"/>
      <c r="C974" s="3" t="s">
        <v>3162</v>
      </c>
      <c r="D974" s="3" t="s">
        <v>3163</v>
      </c>
      <c r="E974" s="3" t="s">
        <v>3164</v>
      </c>
      <c r="F974" s="3" t="str">
        <f>"812-825-7979"</f>
        <v>812-825-7979</v>
      </c>
      <c r="G974" s="3">
        <v>4881</v>
      </c>
      <c r="H974" s="3" t="s">
        <v>3165</v>
      </c>
    </row>
    <row r="975" spans="1:8" ht="51.75" x14ac:dyDescent="0.25">
      <c r="A975" s="3" t="s">
        <v>3166</v>
      </c>
      <c r="B975" s="3"/>
      <c r="C975" s="3" t="str">
        <f>"Electrical, Carpentry, Painting, Windows, Doors, Decks, Fences, Demolition, Gutters, Roofing, Snow removal, Landscaping, Light dirt work"</f>
        <v>Electrical, Carpentry, Painting, Windows, Doors, Decks, Fences, Demolition, Gutters, Roofing, Snow removal, Landscaping, Light dirt work</v>
      </c>
      <c r="D975" s="3" t="s">
        <v>9</v>
      </c>
      <c r="E975" s="3" t="s">
        <v>3167</v>
      </c>
      <c r="F975" s="3" t="str">
        <f>"317-829-4061"</f>
        <v>317-829-4061</v>
      </c>
      <c r="G975" s="3">
        <v>238210</v>
      </c>
      <c r="H975" s="3" t="s">
        <v>306</v>
      </c>
    </row>
    <row r="976" spans="1:8" ht="192" x14ac:dyDescent="0.25">
      <c r="A976" s="3" t="s">
        <v>3168</v>
      </c>
      <c r="B976" s="3"/>
      <c r="C976" s="3" t="s">
        <v>3169</v>
      </c>
      <c r="D976" s="3" t="s">
        <v>9</v>
      </c>
      <c r="E976" s="3" t="s">
        <v>46</v>
      </c>
      <c r="F976" s="2"/>
      <c r="G976" s="3">
        <v>621610</v>
      </c>
      <c r="H976" s="3" t="s">
        <v>328</v>
      </c>
    </row>
    <row r="977" spans="1:8" ht="26.25" x14ac:dyDescent="0.25">
      <c r="A977" s="3" t="s">
        <v>3170</v>
      </c>
      <c r="B977" s="3"/>
      <c r="C977" s="3" t="str">
        <f>"Painting, Drywall and Wallcoverings"</f>
        <v>Painting, Drywall and Wallcoverings</v>
      </c>
      <c r="D977" s="3" t="s">
        <v>9</v>
      </c>
      <c r="E977" s="3" t="s">
        <v>3171</v>
      </c>
      <c r="F977" s="3" t="str">
        <f>"3177553483"</f>
        <v>3177553483</v>
      </c>
      <c r="G977" s="3">
        <v>2352</v>
      </c>
      <c r="H977" s="3" t="s">
        <v>462</v>
      </c>
    </row>
    <row r="978" spans="1:8" ht="26.25" x14ac:dyDescent="0.25">
      <c r="A978" s="3" t="s">
        <v>3172</v>
      </c>
      <c r="B978" s="3"/>
      <c r="C978" s="3" t="str">
        <f>"Marine sales, service and storage."</f>
        <v>Marine sales, service and storage.</v>
      </c>
      <c r="D978" s="3" t="s">
        <v>3173</v>
      </c>
      <c r="E978" s="3" t="s">
        <v>3174</v>
      </c>
      <c r="F978" s="3" t="str">
        <f>"317-545-2203"</f>
        <v>317-545-2203</v>
      </c>
      <c r="G978" s="3">
        <v>441222</v>
      </c>
      <c r="H978" s="3" t="s">
        <v>3175</v>
      </c>
    </row>
    <row r="979" spans="1:8" ht="204.75" x14ac:dyDescent="0.25">
      <c r="A979" s="3" t="s">
        <v>3176</v>
      </c>
      <c r="B979" s="3"/>
      <c r="C979" s="3" t="s">
        <v>3177</v>
      </c>
      <c r="D979" s="3" t="s">
        <v>3178</v>
      </c>
      <c r="E979" s="3" t="s">
        <v>3179</v>
      </c>
      <c r="F979" s="3" t="str">
        <f>"812-482-5141"</f>
        <v>812-482-5141</v>
      </c>
      <c r="G979" s="3">
        <v>4411</v>
      </c>
      <c r="H979" s="3" t="s">
        <v>1015</v>
      </c>
    </row>
    <row r="980" spans="1:8" ht="39" x14ac:dyDescent="0.25">
      <c r="A980" s="3" t="s">
        <v>3180</v>
      </c>
      <c r="B980" s="3"/>
      <c r="C980" s="3" t="str">
        <f>"A NEW AND USED CAR DEALERSHIP WITH OUR OWN SERVICE AND PARTS DEPARTMENTS."</f>
        <v>A NEW AND USED CAR DEALERSHIP WITH OUR OWN SERVICE AND PARTS DEPARTMENTS.</v>
      </c>
      <c r="D980" s="3" t="s">
        <v>3181</v>
      </c>
      <c r="E980" s="3" t="s">
        <v>46</v>
      </c>
      <c r="F980" s="3" t="str">
        <f>"765-472-3673"</f>
        <v>765-472-3673</v>
      </c>
      <c r="G980" s="3">
        <v>4411</v>
      </c>
      <c r="H980" s="3" t="s">
        <v>1015</v>
      </c>
    </row>
    <row r="981" spans="1:8" ht="26.25" x14ac:dyDescent="0.25">
      <c r="A981" s="3" t="s">
        <v>3182</v>
      </c>
      <c r="B981" s="3"/>
      <c r="C981" s="3" t="str">
        <f>"Office Supplies, Office Furniture, Business Machines, Computer Equipment"</f>
        <v>Office Supplies, Office Furniture, Business Machines, Computer Equipment</v>
      </c>
      <c r="D981" s="3" t="s">
        <v>3183</v>
      </c>
      <c r="E981" s="3" t="s">
        <v>3184</v>
      </c>
      <c r="F981" s="3" t="str">
        <f>"765-457-5571"</f>
        <v>765-457-5571</v>
      </c>
      <c r="G981" s="3">
        <v>453210</v>
      </c>
      <c r="H981" s="3" t="s">
        <v>431</v>
      </c>
    </row>
    <row r="982" spans="1:8" ht="39" x14ac:dyDescent="0.25">
      <c r="A982" s="3" t="s">
        <v>3185</v>
      </c>
      <c r="B982" s="3"/>
      <c r="C982" s="3" t="str">
        <f>"Mechanical Contractor specializing in boiler and related equipment sales and service."</f>
        <v>Mechanical Contractor specializing in boiler and related equipment sales and service.</v>
      </c>
      <c r="D982" s="3" t="s">
        <v>3186</v>
      </c>
      <c r="E982" s="3" t="s">
        <v>3187</v>
      </c>
      <c r="F982" s="3" t="str">
        <f>"765-522-1262"</f>
        <v>765-522-1262</v>
      </c>
      <c r="G982" s="3">
        <v>238220</v>
      </c>
      <c r="H982" s="3" t="s">
        <v>348</v>
      </c>
    </row>
    <row r="983" spans="1:8" x14ac:dyDescent="0.25">
      <c r="A983" s="3" t="s">
        <v>3188</v>
      </c>
      <c r="B983" s="3"/>
      <c r="C983" s="2"/>
      <c r="D983" s="3" t="s">
        <v>9</v>
      </c>
      <c r="E983" s="3" t="s">
        <v>46</v>
      </c>
      <c r="F983" s="2"/>
      <c r="G983" s="3">
        <v>441110</v>
      </c>
      <c r="H983" s="3" t="s">
        <v>2588</v>
      </c>
    </row>
    <row r="984" spans="1:8" ht="90" x14ac:dyDescent="0.25">
      <c r="A984" s="3" t="s">
        <v>3189</v>
      </c>
      <c r="B984" s="3"/>
      <c r="C984" s="3" t="str">
        <f>"Computerized digital document imaging systems, software, hardware, and services. Including complete turnkey systems as well as scan bureau services. Scanning services from business card to large engineering drawings, mircofilm, and microfiche conversion."</f>
        <v>Computerized digital document imaging systems, software, hardware, and services. Including complete turnkey systems as well as scan bureau services. Scanning services from business card to large engineering drawings, mircofilm, and microfiche conversion.</v>
      </c>
      <c r="D984" s="3" t="s">
        <v>3190</v>
      </c>
      <c r="E984" s="3" t="s">
        <v>3191</v>
      </c>
      <c r="F984" s="3" t="str">
        <f>"574-522-6595"</f>
        <v>574-522-6595</v>
      </c>
      <c r="G984" s="3">
        <v>518210</v>
      </c>
      <c r="H984" s="3" t="s">
        <v>3133</v>
      </c>
    </row>
    <row r="985" spans="1:8" ht="192" x14ac:dyDescent="0.25">
      <c r="A985" s="3" t="s">
        <v>3192</v>
      </c>
      <c r="B985" s="3"/>
      <c r="C985" s="3" t="s">
        <v>3193</v>
      </c>
      <c r="D985" s="3" t="s">
        <v>3194</v>
      </c>
      <c r="E985" s="3" t="s">
        <v>3195</v>
      </c>
      <c r="F985" s="3" t="str">
        <f>"765-454-5344"</f>
        <v>765-454-5344</v>
      </c>
      <c r="G985" s="3">
        <v>31</v>
      </c>
      <c r="H985" s="3" t="s">
        <v>999</v>
      </c>
    </row>
    <row r="986" spans="1:8" ht="192" x14ac:dyDescent="0.25">
      <c r="A986" s="3" t="s">
        <v>3196</v>
      </c>
      <c r="B986" s="3"/>
      <c r="C986" s="3" t="s">
        <v>3197</v>
      </c>
      <c r="D986" s="3" t="s">
        <v>3198</v>
      </c>
      <c r="E986" s="3" t="s">
        <v>3199</v>
      </c>
      <c r="F986" s="3" t="str">
        <f>"317-631-6400"</f>
        <v>317-631-6400</v>
      </c>
      <c r="G986" s="3">
        <v>541820</v>
      </c>
      <c r="H986" s="3" t="s">
        <v>795</v>
      </c>
    </row>
    <row r="987" spans="1:8" ht="179.25" x14ac:dyDescent="0.25">
      <c r="A987" s="3" t="s">
        <v>3200</v>
      </c>
      <c r="B987" s="3"/>
      <c r="C987" s="3" t="s">
        <v>3201</v>
      </c>
      <c r="D987" s="3" t="s">
        <v>3202</v>
      </c>
      <c r="E987" s="3" t="s">
        <v>3203</v>
      </c>
      <c r="F987" s="3" t="str">
        <f>"(317)684-0600"</f>
        <v>(317)684-0600</v>
      </c>
      <c r="G987" s="3">
        <v>423450</v>
      </c>
      <c r="H987" s="3" t="s">
        <v>1406</v>
      </c>
    </row>
    <row r="988" spans="1:8" ht="26.25" x14ac:dyDescent="0.25">
      <c r="A988" s="3" t="s">
        <v>3204</v>
      </c>
      <c r="B988" s="3"/>
      <c r="C988" s="3" t="str">
        <f>"Envelopes, standard and custom printed."</f>
        <v>Envelopes, standard and custom printed.</v>
      </c>
      <c r="D988" s="3" t="s">
        <v>3205</v>
      </c>
      <c r="E988" s="3" t="s">
        <v>3206</v>
      </c>
      <c r="F988" s="3" t="str">
        <f>"317-253-4321"</f>
        <v>317-253-4321</v>
      </c>
      <c r="G988" s="3">
        <v>322232</v>
      </c>
      <c r="H988" s="3" t="s">
        <v>3207</v>
      </c>
    </row>
    <row r="989" spans="1:8" ht="64.5" x14ac:dyDescent="0.25">
      <c r="A989" s="3" t="s">
        <v>3208</v>
      </c>
      <c r="B989" s="3"/>
      <c r="C989" s="3" t="str">
        <f>"Full service certified public accounting firm. Areas of practice included, but not limited to, tax, auditing (not-for profits and others), financial consultation, retirement and pension planning."</f>
        <v>Full service certified public accounting firm. Areas of practice included, but not limited to, tax, auditing (not-for profits and others), financial consultation, retirement and pension planning.</v>
      </c>
      <c r="D989" s="3" t="s">
        <v>9</v>
      </c>
      <c r="E989" s="3" t="s">
        <v>46</v>
      </c>
      <c r="F989" s="2"/>
      <c r="G989" s="3">
        <v>541211</v>
      </c>
      <c r="H989" s="3" t="s">
        <v>337</v>
      </c>
    </row>
    <row r="990" spans="1:8" ht="90" x14ac:dyDescent="0.25">
      <c r="A990" s="3" t="s">
        <v>3209</v>
      </c>
      <c r="B990" s="3"/>
      <c r="C990" s="3" t="s">
        <v>3210</v>
      </c>
      <c r="D990" s="3" t="s">
        <v>3211</v>
      </c>
      <c r="E990" s="3" t="s">
        <v>3212</v>
      </c>
      <c r="F990" s="3" t="str">
        <f>"765-644-2700"</f>
        <v>765-644-2700</v>
      </c>
      <c r="G990" s="3">
        <v>453998</v>
      </c>
      <c r="H990" s="3" t="s">
        <v>112</v>
      </c>
    </row>
    <row r="991" spans="1:8" ht="26.25" x14ac:dyDescent="0.25">
      <c r="A991" s="3" t="s">
        <v>3213</v>
      </c>
      <c r="B991" s="3"/>
      <c r="C991" s="3" t="str">
        <f>"Retailer of batteries, light bulbs, chargers, solar, sign, power."</f>
        <v>Retailer of batteries, light bulbs, chargers, solar, sign, power.</v>
      </c>
      <c r="D991" s="3" t="s">
        <v>3011</v>
      </c>
      <c r="E991" s="3" t="s">
        <v>3214</v>
      </c>
      <c r="F991" s="3" t="str">
        <f>"317-429-1038"</f>
        <v>317-429-1038</v>
      </c>
      <c r="G991" s="3">
        <v>45399</v>
      </c>
      <c r="H991" s="3" t="s">
        <v>3215</v>
      </c>
    </row>
    <row r="992" spans="1:8" ht="102.75" x14ac:dyDescent="0.25">
      <c r="A992" s="3" t="s">
        <v>3216</v>
      </c>
      <c r="B992" s="3"/>
      <c r="C992" s="3" t="s">
        <v>3217</v>
      </c>
      <c r="D992" s="3" t="s">
        <v>3218</v>
      </c>
      <c r="E992" s="3" t="s">
        <v>3219</v>
      </c>
      <c r="F992" s="3" t="str">
        <f>"317-733-9404"</f>
        <v>317-733-9404</v>
      </c>
      <c r="G992" s="3">
        <v>62</v>
      </c>
      <c r="H992" s="3" t="s">
        <v>1168</v>
      </c>
    </row>
    <row r="993" spans="1:8" ht="64.5" x14ac:dyDescent="0.25">
      <c r="A993" s="3" t="s">
        <v>3220</v>
      </c>
      <c r="B993" s="3"/>
      <c r="C993" s="3" t="str">
        <f>"We are an electrical contractor. We provide Industral, Commercial and residential electrical work. We also have a telecommunications and sound and audio video division."</f>
        <v>We are an electrical contractor. We provide Industral, Commercial and residential electrical work. We also have a telecommunications and sound and audio video division.</v>
      </c>
      <c r="D993" s="3" t="s">
        <v>3221</v>
      </c>
      <c r="E993" s="3" t="s">
        <v>3222</v>
      </c>
      <c r="F993" s="3" t="str">
        <f>"765-296-3437"</f>
        <v>765-296-3437</v>
      </c>
      <c r="G993" s="3">
        <v>238210</v>
      </c>
      <c r="H993" s="3" t="s">
        <v>306</v>
      </c>
    </row>
    <row r="994" spans="1:8" ht="51.75" x14ac:dyDescent="0.25">
      <c r="A994" s="3" t="s">
        <v>3223</v>
      </c>
      <c r="B994" s="3"/>
      <c r="C994" s="3" t="str">
        <f>"International Business Consulting Services providing support services to companies to grow their business into the country of Brazil."</f>
        <v>International Business Consulting Services providing support services to companies to grow their business into the country of Brazil.</v>
      </c>
      <c r="D994" s="3" t="s">
        <v>3224</v>
      </c>
      <c r="E994" s="3" t="s">
        <v>3225</v>
      </c>
      <c r="F994" s="3" t="str">
        <f>"317-840-5039"</f>
        <v>317-840-5039</v>
      </c>
      <c r="G994" s="3">
        <v>541611</v>
      </c>
      <c r="H994" s="3" t="s">
        <v>278</v>
      </c>
    </row>
    <row r="995" spans="1:8" ht="102.75" x14ac:dyDescent="0.25">
      <c r="A995" s="3" t="s">
        <v>3226</v>
      </c>
      <c r="B995" s="3"/>
      <c r="C995" s="3" t="s">
        <v>3227</v>
      </c>
      <c r="D995" s="3" t="s">
        <v>3228</v>
      </c>
      <c r="E995" s="3" t="s">
        <v>3229</v>
      </c>
      <c r="F995" s="3" t="str">
        <f>"800-776-4811"</f>
        <v>800-776-4811</v>
      </c>
      <c r="G995" s="3">
        <v>441110</v>
      </c>
      <c r="H995" s="3" t="s">
        <v>2588</v>
      </c>
    </row>
    <row r="996" spans="1:8" ht="294" x14ac:dyDescent="0.25">
      <c r="A996" s="3" t="s">
        <v>3230</v>
      </c>
      <c r="B996" s="3"/>
      <c r="C996" s="3" t="s">
        <v>3231</v>
      </c>
      <c r="D996" s="3" t="s">
        <v>3232</v>
      </c>
      <c r="E996" s="3" t="s">
        <v>3233</v>
      </c>
      <c r="F996" s="3" t="str">
        <f>"260-749-9950"</f>
        <v>260-749-9950</v>
      </c>
      <c r="G996" s="3">
        <v>4246</v>
      </c>
      <c r="H996" s="3" t="s">
        <v>3234</v>
      </c>
    </row>
    <row r="997" spans="1:8" ht="26.25" x14ac:dyDescent="0.25">
      <c r="A997" s="3" t="s">
        <v>3235</v>
      </c>
      <c r="B997" s="3"/>
      <c r="C997" s="3" t="str">
        <f>"Commercial office building"</f>
        <v>Commercial office building</v>
      </c>
      <c r="D997" s="3" t="s">
        <v>3236</v>
      </c>
      <c r="E997" s="3" t="s">
        <v>3237</v>
      </c>
      <c r="F997" s="3" t="str">
        <f>"317-248-8539"</f>
        <v>317-248-8539</v>
      </c>
      <c r="G997" s="3">
        <v>531120</v>
      </c>
      <c r="H997" s="3" t="s">
        <v>2926</v>
      </c>
    </row>
    <row r="998" spans="1:8" ht="115.5" x14ac:dyDescent="0.25">
      <c r="A998" s="3" t="s">
        <v>3238</v>
      </c>
      <c r="B998" s="3"/>
      <c r="C998" s="3" t="s">
        <v>3239</v>
      </c>
      <c r="D998" s="3" t="s">
        <v>3240</v>
      </c>
      <c r="E998" s="3" t="s">
        <v>3241</v>
      </c>
      <c r="F998" s="3" t="str">
        <f>"317-257-4111"</f>
        <v>317-257-4111</v>
      </c>
      <c r="G998" s="3">
        <v>541890</v>
      </c>
      <c r="H998" s="3" t="s">
        <v>401</v>
      </c>
    </row>
    <row r="999" spans="1:8" ht="26.25" x14ac:dyDescent="0.25">
      <c r="A999" s="3" t="s">
        <v>3242</v>
      </c>
      <c r="B999" s="3"/>
      <c r="C999" s="3" t="str">
        <f>"Commerical &amp; Industrial cleaning service from basic to advanced cleaning"</f>
        <v>Commerical &amp; Industrial cleaning service from basic to advanced cleaning</v>
      </c>
      <c r="D999" s="3" t="s">
        <v>3243</v>
      </c>
      <c r="E999" s="3" t="s">
        <v>3244</v>
      </c>
      <c r="F999" s="3" t="str">
        <f>"(812)423-6079"</f>
        <v>(812)423-6079</v>
      </c>
      <c r="G999" s="3">
        <v>56172</v>
      </c>
      <c r="H999" s="3" t="s">
        <v>222</v>
      </c>
    </row>
    <row r="1000" spans="1:8" ht="26.25" x14ac:dyDescent="0.25">
      <c r="A1000" s="3" t="s">
        <v>3245</v>
      </c>
      <c r="B1000" s="3"/>
      <c r="C1000" s="3" t="str">
        <f>"NEW EQUIPMENT AND SERVICE."</f>
        <v>NEW EQUIPMENT AND SERVICE.</v>
      </c>
      <c r="D1000" s="3" t="s">
        <v>9</v>
      </c>
      <c r="E1000" s="3" t="s">
        <v>46</v>
      </c>
      <c r="F1000" s="3" t="str">
        <f>"765-447-9419"</f>
        <v>765-447-9419</v>
      </c>
      <c r="G1000" s="3">
        <v>42385</v>
      </c>
      <c r="H1000" s="3" t="s">
        <v>419</v>
      </c>
    </row>
    <row r="1001" spans="1:8" ht="64.5" x14ac:dyDescent="0.25">
      <c r="A1001" s="3" t="s">
        <v>3246</v>
      </c>
      <c r="B1001" s="3"/>
      <c r="C1001" s="3" t="str">
        <f>"We are a General Construction firm which has been in operation since 1946. We perform excavation, concrete, carpentry, some types of roofing,iron work with our own forces."</f>
        <v>We are a General Construction firm which has been in operation since 1946. We perform excavation, concrete, carpentry, some types of roofing,iron work with our own forces.</v>
      </c>
      <c r="D1001" s="3" t="s">
        <v>9</v>
      </c>
      <c r="E1001" s="3" t="s">
        <v>46</v>
      </c>
      <c r="F1001" s="3" t="str">
        <f>"574-753-2511"</f>
        <v>574-753-2511</v>
      </c>
      <c r="G1001" s="3">
        <v>2362</v>
      </c>
      <c r="H1001" s="3" t="s">
        <v>423</v>
      </c>
    </row>
    <row r="1002" spans="1:8" ht="51.75" x14ac:dyDescent="0.25">
      <c r="A1002" s="3" t="s">
        <v>3247</v>
      </c>
      <c r="B1002" s="3"/>
      <c r="C1002" s="3" t="str">
        <f>"Serigraphics offers creative design and consultation services for digital and screen printing for large format graphic, signage and vehicle graphics."</f>
        <v>Serigraphics offers creative design and consultation services for digital and screen printing for large format graphic, signage and vehicle graphics.</v>
      </c>
      <c r="D1002" s="3" t="s">
        <v>3248</v>
      </c>
      <c r="E1002" s="3" t="s">
        <v>3249</v>
      </c>
      <c r="F1002" s="3" t="str">
        <f>"317-924-5555"</f>
        <v>317-924-5555</v>
      </c>
      <c r="G1002" s="3">
        <v>323113</v>
      </c>
      <c r="H1002" s="3" t="s">
        <v>1606</v>
      </c>
    </row>
    <row r="1003" spans="1:8" ht="153.75" x14ac:dyDescent="0.25">
      <c r="A1003" s="3" t="s">
        <v>3250</v>
      </c>
      <c r="B1003" s="3"/>
      <c r="C1003" s="3" t="s">
        <v>3251</v>
      </c>
      <c r="D1003" s="3" t="s">
        <v>3252</v>
      </c>
      <c r="E1003" s="3" t="s">
        <v>3253</v>
      </c>
      <c r="F1003" s="3" t="str">
        <f>"317-334-8700"</f>
        <v>317-334-8700</v>
      </c>
      <c r="G1003" s="3">
        <v>423450</v>
      </c>
      <c r="H1003" s="3" t="s">
        <v>1406</v>
      </c>
    </row>
    <row r="1004" spans="1:8" ht="306.75" x14ac:dyDescent="0.25">
      <c r="A1004" s="3" t="s">
        <v>3254</v>
      </c>
      <c r="B1004" s="3"/>
      <c r="C1004" s="3" t="s">
        <v>3255</v>
      </c>
      <c r="D1004" s="3" t="s">
        <v>3256</v>
      </c>
      <c r="E1004" s="3" t="s">
        <v>46</v>
      </c>
      <c r="F1004" s="3" t="str">
        <f>"317-819-2118"</f>
        <v>317-819-2118</v>
      </c>
      <c r="G1004" s="3">
        <v>561210</v>
      </c>
      <c r="H1004" s="3" t="s">
        <v>1697</v>
      </c>
    </row>
    <row r="1005" spans="1:8" ht="243" x14ac:dyDescent="0.25">
      <c r="A1005" s="3" t="s">
        <v>3257</v>
      </c>
      <c r="B1005" s="3"/>
      <c r="C1005" s="3" t="s">
        <v>3258</v>
      </c>
      <c r="D1005" s="3" t="s">
        <v>3259</v>
      </c>
      <c r="E1005" s="3" t="s">
        <v>46</v>
      </c>
      <c r="F1005" s="3" t="str">
        <f>"317-819-7878"</f>
        <v>317-819-7878</v>
      </c>
      <c r="G1005" s="3">
        <v>5413</v>
      </c>
      <c r="H1005" s="3" t="s">
        <v>1116</v>
      </c>
    </row>
    <row r="1006" spans="1:8" ht="26.25" x14ac:dyDescent="0.25">
      <c r="A1006" s="3" t="s">
        <v>3260</v>
      </c>
      <c r="B1006" s="3"/>
      <c r="C1006" s="3" t="str">
        <f>"Supply traffic control products."</f>
        <v>Supply traffic control products.</v>
      </c>
      <c r="D1006" s="3" t="s">
        <v>3261</v>
      </c>
      <c r="E1006" s="3" t="s">
        <v>3262</v>
      </c>
      <c r="F1006" s="3" t="str">
        <f>"317/501-9997"</f>
        <v>317/501-9997</v>
      </c>
      <c r="G1006" s="3">
        <v>444190</v>
      </c>
      <c r="H1006" s="3" t="s">
        <v>1188</v>
      </c>
    </row>
    <row r="1007" spans="1:8" ht="26.25" x14ac:dyDescent="0.25">
      <c r="A1007" s="3" t="s">
        <v>3263</v>
      </c>
      <c r="B1007" s="3"/>
      <c r="C1007" s="3" t="str">
        <f>"Crushed Stone and Delivery."</f>
        <v>Crushed Stone and Delivery.</v>
      </c>
      <c r="D1007" s="3" t="s">
        <v>9</v>
      </c>
      <c r="E1007" s="3" t="s">
        <v>46</v>
      </c>
      <c r="F1007" s="3" t="str">
        <f>"1-877-647-8663"</f>
        <v>1-877-647-8663</v>
      </c>
      <c r="G1007" s="3">
        <v>212312</v>
      </c>
      <c r="H1007" s="3" t="s">
        <v>3264</v>
      </c>
    </row>
    <row r="1008" spans="1:8" x14ac:dyDescent="0.25">
      <c r="A1008" s="3" t="s">
        <v>3265</v>
      </c>
      <c r="B1008" s="3"/>
      <c r="C1008" s="3" t="str">
        <f>" "</f>
        <v xml:space="preserve"> </v>
      </c>
      <c r="D1008" s="3" t="s">
        <v>9</v>
      </c>
      <c r="E1008" s="3" t="s">
        <v>46</v>
      </c>
      <c r="F1008" s="2"/>
      <c r="G1008" s="3">
        <v>235</v>
      </c>
      <c r="H1008" s="3" t="s">
        <v>259</v>
      </c>
    </row>
    <row r="1009" spans="1:8" ht="26.25" x14ac:dyDescent="0.25">
      <c r="A1009" s="3" t="s">
        <v>3266</v>
      </c>
      <c r="B1009" s="3"/>
      <c r="C1009" s="3" t="str">
        <f>"AUTO BODY REPAIR"</f>
        <v>AUTO BODY REPAIR</v>
      </c>
      <c r="D1009" s="3" t="s">
        <v>9</v>
      </c>
      <c r="E1009" s="3" t="s">
        <v>46</v>
      </c>
      <c r="F1009" s="3" t="str">
        <f>"219-872-7433"</f>
        <v>219-872-7433</v>
      </c>
      <c r="G1009" s="3">
        <v>811121</v>
      </c>
      <c r="H1009" s="3" t="s">
        <v>1432</v>
      </c>
    </row>
    <row r="1010" spans="1:8" ht="268.5" x14ac:dyDescent="0.25">
      <c r="A1010" s="3" t="s">
        <v>3267</v>
      </c>
      <c r="B1010" s="3"/>
      <c r="C1010" s="3" t="s">
        <v>3268</v>
      </c>
      <c r="D1010" s="3" t="s">
        <v>3269</v>
      </c>
      <c r="E1010" s="3" t="s">
        <v>3270</v>
      </c>
      <c r="F1010" s="3" t="str">
        <f>"317-972-6853"</f>
        <v>317-972-6853</v>
      </c>
      <c r="G1010" s="3">
        <v>23599</v>
      </c>
      <c r="H1010" s="3" t="s">
        <v>248</v>
      </c>
    </row>
    <row r="1011" spans="1:8" ht="77.25" x14ac:dyDescent="0.25">
      <c r="A1011" s="3" t="s">
        <v>3271</v>
      </c>
      <c r="B1011" s="3"/>
      <c r="C1011" s="3" t="str">
        <f>"Bullerdick Furniture &amp; Mattress has been family owned and operated since 1930. We provide quality design and sales service, custom window treatments and products (furniture, lighting, accessories, area rugs and artwork) for your home or business."</f>
        <v>Bullerdick Furniture &amp; Mattress has been family owned and operated since 1930. We provide quality design and sales service, custom window treatments and products (furniture, lighting, accessories, area rugs and artwork) for your home or business.</v>
      </c>
      <c r="D1011" s="3" t="s">
        <v>9</v>
      </c>
      <c r="E1011" s="3" t="s">
        <v>3272</v>
      </c>
      <c r="F1011" s="3" t="str">
        <f>"765-966-1235"</f>
        <v>765-966-1235</v>
      </c>
      <c r="G1011" s="3">
        <v>23552</v>
      </c>
      <c r="H1011" s="3" t="s">
        <v>955</v>
      </c>
    </row>
    <row r="1012" spans="1:8" ht="26.25" x14ac:dyDescent="0.25">
      <c r="A1012" s="3" t="s">
        <v>3273</v>
      </c>
      <c r="B1012" s="3"/>
      <c r="C1012" s="2"/>
      <c r="D1012" s="3" t="s">
        <v>9</v>
      </c>
      <c r="E1012" s="3" t="s">
        <v>3274</v>
      </c>
      <c r="F1012" s="3" t="str">
        <f>"765/689-9175"</f>
        <v>765/689-9175</v>
      </c>
      <c r="G1012" s="3">
        <v>23511</v>
      </c>
      <c r="H1012" s="3" t="s">
        <v>892</v>
      </c>
    </row>
    <row r="1013" spans="1:8" ht="26.25" x14ac:dyDescent="0.25">
      <c r="A1013" s="3" t="s">
        <v>3275</v>
      </c>
      <c r="B1013" s="3"/>
      <c r="C1013" s="3" t="str">
        <f>"Law Firm"</f>
        <v>Law Firm</v>
      </c>
      <c r="D1013" s="3" t="s">
        <v>3276</v>
      </c>
      <c r="E1013" s="3" t="s">
        <v>3277</v>
      </c>
      <c r="F1013" s="3" t="str">
        <f>"765-644-2891"</f>
        <v>765-644-2891</v>
      </c>
      <c r="G1013" s="3">
        <v>5411</v>
      </c>
      <c r="H1013" s="3" t="s">
        <v>87</v>
      </c>
    </row>
    <row r="1014" spans="1:8" ht="128.25" x14ac:dyDescent="0.25">
      <c r="A1014" s="3" t="s">
        <v>3278</v>
      </c>
      <c r="B1014" s="3"/>
      <c r="C1014" s="3" t="s">
        <v>3279</v>
      </c>
      <c r="D1014" s="3" t="s">
        <v>3280</v>
      </c>
      <c r="E1014" s="3" t="s">
        <v>3281</v>
      </c>
      <c r="F1014" s="3" t="str">
        <f>"812-474-4260"</f>
        <v>812-474-4260</v>
      </c>
      <c r="G1014" s="3">
        <v>442110</v>
      </c>
      <c r="H1014" s="3" t="s">
        <v>117</v>
      </c>
    </row>
    <row r="1015" spans="1:8" ht="26.25" x14ac:dyDescent="0.25">
      <c r="A1015" s="3" t="s">
        <v>3282</v>
      </c>
      <c r="B1015" s="3"/>
      <c r="C1015" s="2"/>
      <c r="D1015" s="3" t="s">
        <v>9</v>
      </c>
      <c r="E1015" s="3" t="s">
        <v>46</v>
      </c>
      <c r="F1015" s="2"/>
      <c r="G1015" s="3">
        <v>1114</v>
      </c>
      <c r="H1015" s="3" t="s">
        <v>3283</v>
      </c>
    </row>
    <row r="1016" spans="1:8" ht="77.25" x14ac:dyDescent="0.25">
      <c r="A1016" s="3" t="s">
        <v>3284</v>
      </c>
      <c r="B1016" s="3"/>
      <c r="C1016" s="3" t="str">
        <f>"Locally owned and operated since 1932. Full service Chrysler franchise specializing in Sales, Service, Parts &amp; Collision Repair. New Vehicle Dealership selling Chrysler, Jeep, Dodge and RAM vehicles, as well as Pre-Owned vehicles."</f>
        <v>Locally owned and operated since 1932. Full service Chrysler franchise specializing in Sales, Service, Parts &amp; Collision Repair. New Vehicle Dealership selling Chrysler, Jeep, Dodge and RAM vehicles, as well as Pre-Owned vehicles.</v>
      </c>
      <c r="D1016" s="3" t="s">
        <v>3285</v>
      </c>
      <c r="E1016" s="3" t="s">
        <v>3286</v>
      </c>
      <c r="F1016" s="3" t="str">
        <f>"765-457-1189"</f>
        <v>765-457-1189</v>
      </c>
      <c r="G1016" s="3">
        <v>44</v>
      </c>
      <c r="H1016" s="3" t="s">
        <v>574</v>
      </c>
    </row>
    <row r="1017" spans="1:8" ht="26.25" x14ac:dyDescent="0.25">
      <c r="A1017" s="3" t="s">
        <v>3287</v>
      </c>
      <c r="B1017" s="3"/>
      <c r="C1017" s="3" t="str">
        <f>" "</f>
        <v xml:space="preserve"> </v>
      </c>
      <c r="D1017" s="3" t="s">
        <v>9</v>
      </c>
      <c r="E1017" s="3" t="s">
        <v>46</v>
      </c>
      <c r="F1017" s="2"/>
      <c r="G1017" s="3">
        <v>333319</v>
      </c>
      <c r="H1017" s="3" t="s">
        <v>3288</v>
      </c>
    </row>
    <row r="1018" spans="1:8" ht="26.25" x14ac:dyDescent="0.25">
      <c r="A1018" s="3" t="s">
        <v>3289</v>
      </c>
      <c r="B1018" s="3"/>
      <c r="C1018" s="3" t="str">
        <f>" "</f>
        <v xml:space="preserve"> </v>
      </c>
      <c r="D1018" s="3" t="s">
        <v>9</v>
      </c>
      <c r="E1018" s="3" t="s">
        <v>46</v>
      </c>
      <c r="F1018" s="2"/>
      <c r="G1018" s="3">
        <v>324121</v>
      </c>
      <c r="H1018" s="3" t="s">
        <v>3290</v>
      </c>
    </row>
    <row r="1019" spans="1:8" ht="77.25" x14ac:dyDescent="0.25">
      <c r="A1019" s="3" t="s">
        <v>3291</v>
      </c>
      <c r="B1019" s="3"/>
      <c r="C1019" s="3" t="str">
        <f>"We are a general landscaping and construction company. We do finish grading, seeding, hydroseeding, straw blowing, and sod installation. We also install mulch, retaining walls and all plant materials."</f>
        <v>We are a general landscaping and construction company. We do finish grading, seeding, hydroseeding, straw blowing, and sod installation. We also install mulch, retaining walls and all plant materials.</v>
      </c>
      <c r="D1019" s="3" t="s">
        <v>9</v>
      </c>
      <c r="E1019" s="3" t="s">
        <v>3292</v>
      </c>
      <c r="F1019" s="3" t="str">
        <f>"812-342-2597"</f>
        <v>812-342-2597</v>
      </c>
      <c r="G1019" s="3">
        <v>561730</v>
      </c>
      <c r="H1019" s="3" t="s">
        <v>65</v>
      </c>
    </row>
    <row r="1020" spans="1:8" ht="64.5" x14ac:dyDescent="0.25">
      <c r="A1020" s="3" t="s">
        <v>3293</v>
      </c>
      <c r="B1020" s="3"/>
      <c r="C1020" s="3" t="str">
        <f>"We are an information management company specializing in the printing/mailing of various types of material. We also print different types of labels and other media."</f>
        <v>We are an information management company specializing in the printing/mailing of various types of material. We also print different types of labels and other media.</v>
      </c>
      <c r="D1020" s="3" t="s">
        <v>3294</v>
      </c>
      <c r="E1020" s="3" t="s">
        <v>3295</v>
      </c>
      <c r="F1020" s="3" t="str">
        <f>"317-574-7474"</f>
        <v>317-574-7474</v>
      </c>
      <c r="G1020" s="3">
        <v>32311</v>
      </c>
      <c r="H1020" s="3" t="s">
        <v>531</v>
      </c>
    </row>
    <row r="1021" spans="1:8" ht="26.25" x14ac:dyDescent="0.25">
      <c r="A1021" s="3" t="s">
        <v>3296</v>
      </c>
      <c r="B1021" s="3"/>
      <c r="C1021" s="3" t="str">
        <f>"Motorcyle shop that sells new parts and does service and repairs on motorcycles"</f>
        <v>Motorcyle shop that sells new parts and does service and repairs on motorcycles</v>
      </c>
      <c r="D1021" s="3" t="s">
        <v>3297</v>
      </c>
      <c r="E1021" s="3" t="s">
        <v>3298</v>
      </c>
      <c r="F1021" s="3" t="str">
        <f>"317-248-2453"</f>
        <v>317-248-2453</v>
      </c>
      <c r="G1021" s="3">
        <v>441221</v>
      </c>
      <c r="H1021" s="3" t="s">
        <v>3299</v>
      </c>
    </row>
    <row r="1022" spans="1:8" ht="39" x14ac:dyDescent="0.25">
      <c r="A1022" s="3" t="s">
        <v>3300</v>
      </c>
      <c r="B1022" s="3"/>
      <c r="C1022" s="3" t="str">
        <f>"HVAC, Plumbing, Piping, Sewer &amp; Drain, Electrical and Weatherization company. Installation, sales and service."</f>
        <v>HVAC, Plumbing, Piping, Sewer &amp; Drain, Electrical and Weatherization company. Installation, sales and service.</v>
      </c>
      <c r="D1022" s="3" t="s">
        <v>3301</v>
      </c>
      <c r="E1022" s="3" t="s">
        <v>3302</v>
      </c>
      <c r="F1022" s="3" t="str">
        <f>"765-962-4440"</f>
        <v>765-962-4440</v>
      </c>
      <c r="G1022" s="3">
        <v>238220</v>
      </c>
      <c r="H1022" s="3" t="s">
        <v>348</v>
      </c>
    </row>
    <row r="1023" spans="1:8" ht="26.25" x14ac:dyDescent="0.25">
      <c r="A1023" s="3" t="s">
        <v>3303</v>
      </c>
      <c r="B1023" s="3"/>
      <c r="C1023" s="3" t="str">
        <f>"I solve problems involving fuels and lubricants in Aerospace systems."</f>
        <v>I solve problems involving fuels and lubricants in Aerospace systems.</v>
      </c>
      <c r="D1023" s="3" t="s">
        <v>3304</v>
      </c>
      <c r="E1023" s="3" t="s">
        <v>3305</v>
      </c>
      <c r="F1023" s="3" t="str">
        <f>"765-743-9812"</f>
        <v>765-743-9812</v>
      </c>
      <c r="G1023" s="3">
        <v>541330</v>
      </c>
      <c r="H1023" s="3" t="s">
        <v>82</v>
      </c>
    </row>
    <row r="1024" spans="1:8" ht="51.75" x14ac:dyDescent="0.25">
      <c r="A1024" s="3" t="s">
        <v>3306</v>
      </c>
      <c r="B1024" s="3"/>
      <c r="C1024" s="3" t="str">
        <f>"We build new buildings from start to finish,providing quality workmanship &amp; materials. We also remodel, repair, or restore existing buildings."</f>
        <v>We build new buildings from start to finish,providing quality workmanship &amp; materials. We also remodel, repair, or restore existing buildings.</v>
      </c>
      <c r="D1024" s="3" t="s">
        <v>3307</v>
      </c>
      <c r="E1024" s="3" t="s">
        <v>3308</v>
      </c>
      <c r="F1024" s="3" t="str">
        <f>"260-244-2773"</f>
        <v>260-244-2773</v>
      </c>
      <c r="G1024" s="3">
        <v>236</v>
      </c>
      <c r="H1024" s="3" t="s">
        <v>291</v>
      </c>
    </row>
    <row r="1025" spans="1:8" ht="26.25" x14ac:dyDescent="0.25">
      <c r="A1025" s="3" t="s">
        <v>3309</v>
      </c>
      <c r="B1025" s="3"/>
      <c r="C1025" s="3" t="str">
        <f>"HVAC, Plumbing and Construction for Residential and Commercial needs."</f>
        <v>HVAC, Plumbing and Construction for Residential and Commercial needs.</v>
      </c>
      <c r="D1025" s="3" t="s">
        <v>9</v>
      </c>
      <c r="E1025" s="3" t="s">
        <v>3310</v>
      </c>
      <c r="F1025" s="3" t="str">
        <f>"812-499-4016"</f>
        <v>812-499-4016</v>
      </c>
      <c r="G1025" s="3">
        <v>23</v>
      </c>
      <c r="H1025" s="3" t="s">
        <v>133</v>
      </c>
    </row>
    <row r="1026" spans="1:8" ht="26.25" x14ac:dyDescent="0.25">
      <c r="A1026" s="3" t="s">
        <v>3311</v>
      </c>
      <c r="B1026" s="3"/>
      <c r="C1026" s="3" t="str">
        <f>" "</f>
        <v xml:space="preserve"> </v>
      </c>
      <c r="D1026" s="3" t="s">
        <v>9</v>
      </c>
      <c r="E1026" s="3" t="s">
        <v>46</v>
      </c>
      <c r="F1026" s="2"/>
      <c r="G1026" s="3">
        <v>42172</v>
      </c>
      <c r="H1026" s="3" t="s">
        <v>3003</v>
      </c>
    </row>
    <row r="1027" spans="1:8" ht="39" x14ac:dyDescent="0.25">
      <c r="A1027" s="3" t="s">
        <v>3312</v>
      </c>
      <c r="B1027" s="3"/>
      <c r="C1027" s="2"/>
      <c r="D1027" s="3" t="s">
        <v>9</v>
      </c>
      <c r="E1027" s="3" t="s">
        <v>46</v>
      </c>
      <c r="F1027" s="3" t="str">
        <f>"574-722-2000"</f>
        <v>574-722-2000</v>
      </c>
      <c r="G1027" s="3">
        <v>4237</v>
      </c>
      <c r="H1027" s="3" t="s">
        <v>245</v>
      </c>
    </row>
    <row r="1028" spans="1:8" ht="51.75" x14ac:dyDescent="0.25">
      <c r="A1028" s="3" t="s">
        <v>3313</v>
      </c>
      <c r="B1028" s="3"/>
      <c r="C1028" s="3" t="str">
        <f>"Office Furniture dealership providing new, used and refurbished office furniture. We provide design and space planning services and also have our own installation team."</f>
        <v>Office Furniture dealership providing new, used and refurbished office furniture. We provide design and space planning services and also have our own installation team.</v>
      </c>
      <c r="D1028" s="3" t="s">
        <v>3314</v>
      </c>
      <c r="E1028" s="3" t="s">
        <v>3315</v>
      </c>
      <c r="F1028" s="3" t="str">
        <f>"260-424-8112"</f>
        <v>260-424-8112</v>
      </c>
      <c r="G1028" s="3">
        <v>442110</v>
      </c>
      <c r="H1028" s="3" t="s">
        <v>117</v>
      </c>
    </row>
    <row r="1029" spans="1:8" ht="39" x14ac:dyDescent="0.25">
      <c r="A1029" s="3" t="s">
        <v>3316</v>
      </c>
      <c r="B1029" s="3"/>
      <c r="C1029" s="3" t="str">
        <f>"We specialize in septic system installation and maintenence, as well as portable toilet rental and service."</f>
        <v>We specialize in septic system installation and maintenence, as well as portable toilet rental and service.</v>
      </c>
      <c r="D1029" s="3" t="s">
        <v>9</v>
      </c>
      <c r="E1029" s="3" t="s">
        <v>3317</v>
      </c>
      <c r="F1029" s="3" t="str">
        <f>"1-765-653-2961"</f>
        <v>1-765-653-2961</v>
      </c>
      <c r="G1029" s="3">
        <v>562991</v>
      </c>
      <c r="H1029" s="3" t="s">
        <v>468</v>
      </c>
    </row>
    <row r="1030" spans="1:8" ht="90" x14ac:dyDescent="0.25">
      <c r="A1030" s="3" t="s">
        <v>3318</v>
      </c>
      <c r="B1030" s="3"/>
      <c r="C1030" s="3" t="str">
        <f>"We provide information technology and software consulting services to legal firms and corporations. Our primary focus is to automate the day to day business operations of these businesses using information technology and software applications."</f>
        <v>We provide information technology and software consulting services to legal firms and corporations. Our primary focus is to automate the day to day business operations of these businesses using information technology and software applications.</v>
      </c>
      <c r="D1030" s="3" t="s">
        <v>3319</v>
      </c>
      <c r="E1030" s="3" t="s">
        <v>3320</v>
      </c>
      <c r="F1030" s="3" t="str">
        <f>"574-234-5453"</f>
        <v>574-234-5453</v>
      </c>
      <c r="G1030" s="3">
        <v>5411</v>
      </c>
      <c r="H1030" s="3" t="s">
        <v>87</v>
      </c>
    </row>
    <row r="1031" spans="1:8" ht="64.5" x14ac:dyDescent="0.25">
      <c r="A1031" s="3" t="s">
        <v>3321</v>
      </c>
      <c r="B1031" s="3"/>
      <c r="C1031" s="3" t="str">
        <f>"New and used car dealership, selling new Chrysler, Dodge, Jeep, Nissan, and Hyundai. Full service department for all makes and models and parts department selling both retail and wholesale parts."</f>
        <v>New and used car dealership, selling new Chrysler, Dodge, Jeep, Nissan, and Hyundai. Full service department for all makes and models and parts department selling both retail and wholesale parts.</v>
      </c>
      <c r="D1031" s="3" t="s">
        <v>3322</v>
      </c>
      <c r="E1031" s="3" t="s">
        <v>3323</v>
      </c>
      <c r="F1031" s="3" t="str">
        <f>"812/282-4356"</f>
        <v>812/282-4356</v>
      </c>
      <c r="G1031" s="3">
        <v>423110</v>
      </c>
      <c r="H1031" s="3" t="s">
        <v>3324</v>
      </c>
    </row>
    <row r="1032" spans="1:8" ht="90" x14ac:dyDescent="0.25">
      <c r="A1032" s="3" t="s">
        <v>3325</v>
      </c>
      <c r="B1032" s="3"/>
      <c r="C1032" s="3" t="s">
        <v>3326</v>
      </c>
      <c r="D1032" s="3" t="s">
        <v>3327</v>
      </c>
      <c r="E1032" s="3" t="s">
        <v>3328</v>
      </c>
      <c r="F1032" s="3" t="str">
        <f>"260-672-1100"</f>
        <v>260-672-1100</v>
      </c>
      <c r="G1032" s="3">
        <v>541211</v>
      </c>
      <c r="H1032" s="3" t="s">
        <v>337</v>
      </c>
    </row>
    <row r="1033" spans="1:8" ht="128.25" x14ac:dyDescent="0.25">
      <c r="A1033" s="3" t="s">
        <v>3329</v>
      </c>
      <c r="B1033" s="3"/>
      <c r="C1033" s="3" t="s">
        <v>3330</v>
      </c>
      <c r="D1033" s="3" t="s">
        <v>9</v>
      </c>
      <c r="E1033" s="3" t="s">
        <v>3331</v>
      </c>
      <c r="F1033" s="3" t="str">
        <f>"317-920-0231"</f>
        <v>317-920-0231</v>
      </c>
      <c r="G1033" s="3">
        <v>611430</v>
      </c>
      <c r="H1033" s="3" t="s">
        <v>1224</v>
      </c>
    </row>
    <row r="1034" spans="1:8" ht="64.5" x14ac:dyDescent="0.25">
      <c r="A1034" s="3" t="s">
        <v>3332</v>
      </c>
      <c r="B1034" s="3"/>
      <c r="C1034" s="3" t="str">
        <f>"Ball Memorial Hospital, Inc., is an Indiana non-profit corporation, and acute care teaching hospital located in Muncie, Indiana, serving the health needs of the citizens of East Centra Indiana."</f>
        <v>Ball Memorial Hospital, Inc., is an Indiana non-profit corporation, and acute care teaching hospital located in Muncie, Indiana, serving the health needs of the citizens of East Centra Indiana.</v>
      </c>
      <c r="D1034" s="3" t="s">
        <v>3333</v>
      </c>
      <c r="E1034" s="3" t="s">
        <v>3334</v>
      </c>
      <c r="F1034" s="3" t="str">
        <f>"765-747-3111"</f>
        <v>765-747-3111</v>
      </c>
      <c r="G1034" s="3">
        <v>622110</v>
      </c>
      <c r="H1034" s="3" t="s">
        <v>3335</v>
      </c>
    </row>
    <row r="1035" spans="1:8" ht="77.25" x14ac:dyDescent="0.25">
      <c r="A1035" s="3" t="s">
        <v>3336</v>
      </c>
      <c r="B1035" s="3"/>
      <c r="C1035" s="3" t="str">
        <f>"Ball State University aspires to be the most student-centered and community-engaged of the 21st Century public research universities transforming entrepreneurial learners into impactful leaders committed to improving quality of life."</f>
        <v>Ball State University aspires to be the most student-centered and community-engaged of the 21st Century public research universities transforming entrepreneurial learners into impactful leaders committed to improving quality of life.</v>
      </c>
      <c r="D1035" s="3" t="s">
        <v>3337</v>
      </c>
      <c r="E1035" s="3" t="s">
        <v>3338</v>
      </c>
      <c r="F1035" s="3" t="str">
        <f>"765-285-1600"</f>
        <v>765-285-1600</v>
      </c>
      <c r="G1035" s="3">
        <v>611310</v>
      </c>
      <c r="H1035" s="3" t="s">
        <v>2063</v>
      </c>
    </row>
    <row r="1036" spans="1:8" ht="192" x14ac:dyDescent="0.25">
      <c r="A1036" s="3" t="s">
        <v>3339</v>
      </c>
      <c r="B1036" s="3"/>
      <c r="C1036" s="3" t="s">
        <v>3340</v>
      </c>
      <c r="D1036" s="3" t="s">
        <v>3341</v>
      </c>
      <c r="E1036" s="3" t="s">
        <v>3342</v>
      </c>
      <c r="F1036" s="3" t="str">
        <f>"317-637-8979"</f>
        <v>317-637-8979</v>
      </c>
      <c r="G1036" s="3">
        <v>711120</v>
      </c>
      <c r="H1036" s="3" t="s">
        <v>3343</v>
      </c>
    </row>
    <row r="1037" spans="1:8" ht="77.25" x14ac:dyDescent="0.25">
      <c r="A1037" s="3" t="s">
        <v>3344</v>
      </c>
      <c r="B1037" s="3"/>
      <c r="C1037" s="3" t="str">
        <f>"Ballistix is a full-service marketing, branding, advertising, public relations, and interactive agency offering complete strategic and creative services, and specializing in targeted, results-oriented solutions."</f>
        <v>Ballistix is a full-service marketing, branding, advertising, public relations, and interactive agency offering complete strategic and creative services, and specializing in targeted, results-oriented solutions.</v>
      </c>
      <c r="D1037" s="3" t="s">
        <v>3345</v>
      </c>
      <c r="E1037" s="3" t="s">
        <v>3346</v>
      </c>
      <c r="F1037" s="3" t="str">
        <f>"317-730-3203"</f>
        <v>317-730-3203</v>
      </c>
      <c r="G1037" s="3">
        <v>541810</v>
      </c>
      <c r="H1037" s="3" t="s">
        <v>976</v>
      </c>
    </row>
    <row r="1038" spans="1:8" ht="77.25" x14ac:dyDescent="0.25">
      <c r="A1038" s="3" t="s">
        <v>3347</v>
      </c>
      <c r="B1038" s="3"/>
      <c r="C1038" s="3" t="str">
        <f>"Balloon decor, bouquet, and delivery services. Mission Statement: Provide professional balloon designs and delivery services that offer unique beauty and fun with quality balloons to make each occasion a memorable and uplifting event!"</f>
        <v>Balloon decor, bouquet, and delivery services. Mission Statement: Provide professional balloon designs and delivery services that offer unique beauty and fun with quality balloons to make each occasion a memorable and uplifting event!</v>
      </c>
      <c r="D1038" s="3" t="s">
        <v>9</v>
      </c>
      <c r="E1038" s="3" t="s">
        <v>3348</v>
      </c>
      <c r="F1038" s="3" t="str">
        <f>"317-352-0576"</f>
        <v>317-352-0576</v>
      </c>
      <c r="G1038" s="3">
        <v>453220</v>
      </c>
      <c r="H1038" s="3" t="s">
        <v>274</v>
      </c>
    </row>
    <row r="1039" spans="1:8" ht="141" x14ac:dyDescent="0.25">
      <c r="A1039" s="3" t="s">
        <v>3349</v>
      </c>
      <c r="B1039" s="3"/>
      <c r="C1039" s="3" t="s">
        <v>3350</v>
      </c>
      <c r="D1039" s="3" t="s">
        <v>3351</v>
      </c>
      <c r="E1039" s="3" t="s">
        <v>3352</v>
      </c>
      <c r="F1039" s="3" t="str">
        <f>"574-234-4066"</f>
        <v>574-234-4066</v>
      </c>
      <c r="G1039" s="3">
        <v>326199</v>
      </c>
      <c r="H1039" s="3" t="s">
        <v>2129</v>
      </c>
    </row>
    <row r="1040" spans="1:8" ht="90" x14ac:dyDescent="0.25">
      <c r="A1040" s="3" t="s">
        <v>3353</v>
      </c>
      <c r="B1040" s="3"/>
      <c r="C1040" s="3" t="str">
        <f>"With offices in Evansville, Indianapolis, Mt. Vernon, Princeton, and Poseyville, Bamberger, Foreman, Oswald and Hahn, LLP, meets the individual, business, and litigation needs of its clients with progressive, hard-working, and creative lawyers."</f>
        <v>With offices in Evansville, Indianapolis, Mt. Vernon, Princeton, and Poseyville, Bamberger, Foreman, Oswald and Hahn, LLP, meets the individual, business, and litigation needs of its clients with progressive, hard-working, and creative lawyers.</v>
      </c>
      <c r="D1040" s="3" t="s">
        <v>3354</v>
      </c>
      <c r="E1040" s="3" t="s">
        <v>3355</v>
      </c>
      <c r="F1040" s="2"/>
      <c r="G1040" s="3">
        <v>541110</v>
      </c>
      <c r="H1040" s="3" t="s">
        <v>2978</v>
      </c>
    </row>
    <row r="1041" spans="1:8" ht="115.5" x14ac:dyDescent="0.25">
      <c r="A1041" s="3" t="s">
        <v>3356</v>
      </c>
      <c r="B1041" s="3"/>
      <c r="C1041" s="3" t="s">
        <v>3357</v>
      </c>
      <c r="D1041" s="3" t="s">
        <v>3358</v>
      </c>
      <c r="E1041" s="3" t="s">
        <v>3359</v>
      </c>
      <c r="F1041" s="3" t="str">
        <f>"765-866-0491"</f>
        <v>765-866-0491</v>
      </c>
      <c r="G1041" s="3">
        <v>11</v>
      </c>
      <c r="H1041" s="3" t="s">
        <v>175</v>
      </c>
    </row>
    <row r="1042" spans="1:8" ht="51.75" x14ac:dyDescent="0.25">
      <c r="A1042" s="3" t="s">
        <v>3360</v>
      </c>
      <c r="B1042" s="3"/>
      <c r="C1042" s="3" t="str">
        <f>"We provide residential and commercial carpet &amp; furniture cleaning services in Central Indiana. We also have a full line of Cleaning equipment &amp; chemicals."</f>
        <v>We provide residential and commercial carpet &amp; furniture cleaning services in Central Indiana. We also have a full line of Cleaning equipment &amp; chemicals.</v>
      </c>
      <c r="D1042" s="3" t="s">
        <v>3361</v>
      </c>
      <c r="E1042" s="3" t="s">
        <v>3362</v>
      </c>
      <c r="F1042" s="3" t="str">
        <f>"317-546-5448"</f>
        <v>317-546-5448</v>
      </c>
      <c r="G1042" s="3">
        <v>561740</v>
      </c>
      <c r="H1042" s="3" t="s">
        <v>241</v>
      </c>
    </row>
    <row r="1043" spans="1:8" ht="39" x14ac:dyDescent="0.25">
      <c r="A1043" s="3" t="s">
        <v>3363</v>
      </c>
      <c r="B1043" s="3"/>
      <c r="C1043" s="3" t="str">
        <f>"Case IH Agriculture Dealership. We carry many brands of lawnmowers and yard equipment as well."</f>
        <v>Case IH Agriculture Dealership. We carry many brands of lawnmowers and yard equipment as well.</v>
      </c>
      <c r="D1043" s="3" t="s">
        <v>3364</v>
      </c>
      <c r="E1043" s="3" t="s">
        <v>3365</v>
      </c>
      <c r="F1043" s="3" t="str">
        <f>"765.866.0494"</f>
        <v>765.866.0494</v>
      </c>
      <c r="G1043" s="3">
        <v>444210</v>
      </c>
      <c r="H1043" s="3" t="s">
        <v>392</v>
      </c>
    </row>
    <row r="1044" spans="1:8" ht="90" x14ac:dyDescent="0.25">
      <c r="A1044" s="3" t="s">
        <v>3366</v>
      </c>
      <c r="B1044" s="3"/>
      <c r="C1044" s="3" t="str">
        <f>"Home Furnishings, Lodge Style Furnishings, Residential &amp; Contract Matresses, Window Treatments/ Blinds, Lamps, Wall Art, Residential &amp; Contract Occational Tables, Conference &amp; Dinning Tables, Retail &amp; Commercial floor planning and interior design"</f>
        <v>Home Furnishings, Lodge Style Furnishings, Residential &amp; Contract Matresses, Window Treatments/ Blinds, Lamps, Wall Art, Residential &amp; Contract Occational Tables, Conference &amp; Dinning Tables, Retail &amp; Commercial floor planning and interior design</v>
      </c>
      <c r="D1044" s="3" t="s">
        <v>3367</v>
      </c>
      <c r="E1044" s="3" t="s">
        <v>3368</v>
      </c>
      <c r="F1044" s="3" t="str">
        <f>"574-936-1299"</f>
        <v>574-936-1299</v>
      </c>
      <c r="G1044" s="3">
        <v>442</v>
      </c>
      <c r="H1044" s="3" t="s">
        <v>3369</v>
      </c>
    </row>
    <row r="1045" spans="1:8" ht="64.5" x14ac:dyDescent="0.25">
      <c r="A1045" s="3" t="s">
        <v>3366</v>
      </c>
      <c r="B1045" s="3"/>
      <c r="C1045" s="3" t="str">
        <f>"Contract furniture, occational tables, conference tables, dining tables, contract mattresses. window treatments, window blinds, lamps, wall art, interior design, retail furniture"</f>
        <v>Contract furniture, occational tables, conference tables, dining tables, contract mattresses. window treatments, window blinds, lamps, wall art, interior design, retail furniture</v>
      </c>
      <c r="D1045" s="3" t="s">
        <v>3367</v>
      </c>
      <c r="E1045" s="3" t="s">
        <v>3370</v>
      </c>
      <c r="F1045" s="3" t="str">
        <f>"574-936-1299"</f>
        <v>574-936-1299</v>
      </c>
      <c r="G1045" s="3">
        <v>23829</v>
      </c>
      <c r="H1045" s="3" t="s">
        <v>237</v>
      </c>
    </row>
    <row r="1046" spans="1:8" ht="64.5" x14ac:dyDescent="0.25">
      <c r="A1046" s="3" t="s">
        <v>3371</v>
      </c>
      <c r="B1046" s="3"/>
      <c r="C1046" s="3" t="str">
        <f>"Bangura Medical Services, PC provides medical care to adult patients in many different settings such as nursing home, hospital(in patient) as well as outpatient settings."</f>
        <v>Bangura Medical Services, PC provides medical care to adult patients in many different settings such as nursing home, hospital(in patient) as well as outpatient settings.</v>
      </c>
      <c r="D1046" s="3" t="s">
        <v>9</v>
      </c>
      <c r="E1046" s="3" t="s">
        <v>46</v>
      </c>
      <c r="F1046" s="2"/>
      <c r="G1046" s="3">
        <v>621111</v>
      </c>
      <c r="H1046" s="3" t="s">
        <v>2002</v>
      </c>
    </row>
    <row r="1047" spans="1:8" x14ac:dyDescent="0.25">
      <c r="A1047" s="3" t="s">
        <v>3372</v>
      </c>
      <c r="B1047" s="3"/>
      <c r="C1047" s="3" t="str">
        <f>"A leading provider of car rental services"</f>
        <v>A leading provider of car rental services</v>
      </c>
      <c r="D1047" s="3" t="s">
        <v>9</v>
      </c>
      <c r="E1047" s="3" t="s">
        <v>46</v>
      </c>
      <c r="F1047" s="2"/>
      <c r="G1047" s="3">
        <v>532</v>
      </c>
      <c r="H1047" s="3" t="s">
        <v>2610</v>
      </c>
    </row>
    <row r="1048" spans="1:8" ht="26.25" x14ac:dyDescent="0.25">
      <c r="A1048" s="3" t="s">
        <v>3373</v>
      </c>
      <c r="B1048" s="3"/>
      <c r="C1048" s="3" t="str">
        <f>"Civil Engineering, Site Design, Land Development, &amp; Surveying Services"</f>
        <v>Civil Engineering, Site Design, Land Development, &amp; Surveying Services</v>
      </c>
      <c r="D1048" s="3" t="s">
        <v>3374</v>
      </c>
      <c r="E1048" s="3" t="s">
        <v>3375</v>
      </c>
      <c r="F1048" s="3" t="str">
        <f>"317-839-2581"</f>
        <v>317-839-2581</v>
      </c>
      <c r="G1048" s="3">
        <v>541330</v>
      </c>
      <c r="H1048" s="3" t="s">
        <v>82</v>
      </c>
    </row>
    <row r="1049" spans="1:8" ht="204.75" x14ac:dyDescent="0.25">
      <c r="A1049" s="3" t="s">
        <v>3376</v>
      </c>
      <c r="B1049" s="3"/>
      <c r="C1049" s="3" t="s">
        <v>3377</v>
      </c>
      <c r="D1049" s="3" t="s">
        <v>3378</v>
      </c>
      <c r="E1049" s="3" t="s">
        <v>3379</v>
      </c>
      <c r="F1049" s="3" t="str">
        <f>"765-932-5917"</f>
        <v>765-932-5917</v>
      </c>
      <c r="G1049" s="3">
        <v>541612</v>
      </c>
      <c r="H1049" s="3" t="s">
        <v>1923</v>
      </c>
    </row>
    <row r="1050" spans="1:8" ht="102.75" x14ac:dyDescent="0.25">
      <c r="A1050" s="3" t="s">
        <v>3380</v>
      </c>
      <c r="B1050" s="3"/>
      <c r="C1050" s="3" t="s">
        <v>3381</v>
      </c>
      <c r="D1050" s="3" t="s">
        <v>3382</v>
      </c>
      <c r="E1050" s="3" t="s">
        <v>3383</v>
      </c>
      <c r="F1050" s="3" t="str">
        <f>"317-809-6513"</f>
        <v>317-809-6513</v>
      </c>
      <c r="G1050" s="3">
        <v>722310</v>
      </c>
      <c r="H1050" s="3" t="s">
        <v>3051</v>
      </c>
    </row>
    <row r="1051" spans="1:8" ht="26.25" x14ac:dyDescent="0.25">
      <c r="A1051" s="3" t="s">
        <v>3384</v>
      </c>
      <c r="B1051" s="3"/>
      <c r="C1051" s="3" t="str">
        <f>"Art and Illustration Services"</f>
        <v>Art and Illustration Services</v>
      </c>
      <c r="D1051" s="3" t="s">
        <v>3385</v>
      </c>
      <c r="E1051" s="3" t="s">
        <v>3386</v>
      </c>
      <c r="F1051" s="3" t="str">
        <f>"219-512-6850"</f>
        <v>219-512-6850</v>
      </c>
      <c r="G1051" s="3">
        <v>711510</v>
      </c>
      <c r="H1051" s="3" t="s">
        <v>1980</v>
      </c>
    </row>
    <row r="1052" spans="1:8" ht="64.5" x14ac:dyDescent="0.25">
      <c r="A1052" s="3" t="s">
        <v>3387</v>
      </c>
      <c r="B1052" s="3"/>
      <c r="C1052" s="3" t="str">
        <f>"We are a rental store that rents a little bit of everything. We have carpet cleaners, straw blowers, skid steers, trenchers, bucket lift, dozer, lawn and garden equipment, tables and chairs."</f>
        <v>We are a rental store that rents a little bit of everything. We have carpet cleaners, straw blowers, skid steers, trenchers, bucket lift, dozer, lawn and garden equipment, tables and chairs.</v>
      </c>
      <c r="D1052" s="3" t="s">
        <v>9</v>
      </c>
      <c r="E1052" s="3" t="s">
        <v>46</v>
      </c>
      <c r="F1052" s="2"/>
      <c r="G1052" s="3">
        <v>532</v>
      </c>
      <c r="H1052" s="3" t="s">
        <v>2610</v>
      </c>
    </row>
    <row r="1053" spans="1:8" ht="294" x14ac:dyDescent="0.25">
      <c r="A1053" s="3" t="s">
        <v>3388</v>
      </c>
      <c r="B1053" s="3"/>
      <c r="C1053" s="3" t="s">
        <v>3389</v>
      </c>
      <c r="D1053" s="3" t="s">
        <v>3390</v>
      </c>
      <c r="E1053" s="3" t="s">
        <v>3391</v>
      </c>
      <c r="F1053" s="3" t="str">
        <f>"317-257-7444"</f>
        <v>317-257-7444</v>
      </c>
      <c r="G1053" s="3">
        <v>453998</v>
      </c>
      <c r="H1053" s="3" t="s">
        <v>112</v>
      </c>
    </row>
    <row r="1054" spans="1:8" ht="26.25" x14ac:dyDescent="0.25">
      <c r="A1054" s="3" t="s">
        <v>3392</v>
      </c>
      <c r="B1054" s="3"/>
      <c r="C1054" s="3" t="str">
        <f>"a small excavating company"</f>
        <v>a small excavating company</v>
      </c>
      <c r="D1054" s="3" t="s">
        <v>9</v>
      </c>
      <c r="E1054" s="3" t="s">
        <v>3393</v>
      </c>
      <c r="F1054" s="3" t="str">
        <f>"317-738-4564"</f>
        <v>317-738-4564</v>
      </c>
      <c r="G1054" s="3">
        <v>234</v>
      </c>
      <c r="H1054" s="3" t="s">
        <v>1414</v>
      </c>
    </row>
    <row r="1055" spans="1:8" ht="39" x14ac:dyDescent="0.25">
      <c r="A1055" s="3" t="s">
        <v>3394</v>
      </c>
      <c r="B1055" s="3"/>
      <c r="C1055" s="3" t="str">
        <f>"Ford-Lincoln-Mercury franchise. New and used auto sales, service, parts sales, and body shop"</f>
        <v>Ford-Lincoln-Mercury franchise. New and used auto sales, service, parts sales, and body shop</v>
      </c>
      <c r="D1055" s="3" t="s">
        <v>3395</v>
      </c>
      <c r="E1055" s="3" t="s">
        <v>3396</v>
      </c>
      <c r="F1055" s="3" t="str">
        <f>"219-464-3523"</f>
        <v>219-464-3523</v>
      </c>
      <c r="G1055" s="3">
        <v>4411</v>
      </c>
      <c r="H1055" s="3" t="s">
        <v>1015</v>
      </c>
    </row>
    <row r="1056" spans="1:8" ht="26.25" x14ac:dyDescent="0.25">
      <c r="A1056" s="3" t="s">
        <v>3397</v>
      </c>
      <c r="B1056" s="3"/>
      <c r="C1056" s="3" t="str">
        <f>"We provide premium coffees, other various drinks and pastries, etc."</f>
        <v>We provide premium coffees, other various drinks and pastries, etc.</v>
      </c>
      <c r="D1056" s="3" t="s">
        <v>9</v>
      </c>
      <c r="E1056" s="3" t="s">
        <v>3398</v>
      </c>
      <c r="F1056" s="3" t="str">
        <f>"(812) 375-1115"</f>
        <v>(812) 375-1115</v>
      </c>
      <c r="G1056" s="3">
        <v>722213</v>
      </c>
      <c r="H1056" s="3" t="s">
        <v>3399</v>
      </c>
    </row>
    <row r="1057" spans="1:8" ht="26.25" x14ac:dyDescent="0.25">
      <c r="A1057" s="3" t="s">
        <v>3400</v>
      </c>
      <c r="B1057" s="3"/>
      <c r="C1057" s="3" t="str">
        <f>"Full Service Law Firm"</f>
        <v>Full Service Law Firm</v>
      </c>
      <c r="D1057" s="3" t="s">
        <v>3401</v>
      </c>
      <c r="E1057" s="3" t="s">
        <v>46</v>
      </c>
      <c r="F1057" s="3" t="str">
        <f>"317-231-1313"</f>
        <v>317-231-1313</v>
      </c>
      <c r="G1057" s="3">
        <v>541110</v>
      </c>
      <c r="H1057" s="3" t="s">
        <v>2978</v>
      </c>
    </row>
    <row r="1058" spans="1:8" ht="243" x14ac:dyDescent="0.25">
      <c r="A1058" s="3" t="s">
        <v>3402</v>
      </c>
      <c r="B1058" s="3"/>
      <c r="C1058" s="3" t="s">
        <v>3403</v>
      </c>
      <c r="D1058" s="3" t="s">
        <v>3404</v>
      </c>
      <c r="E1058" s="3" t="s">
        <v>3405</v>
      </c>
      <c r="F1058" s="3" t="str">
        <f>"317 804-5058"</f>
        <v>317 804-5058</v>
      </c>
      <c r="G1058" s="3">
        <v>5411</v>
      </c>
      <c r="H1058" s="3" t="s">
        <v>87</v>
      </c>
    </row>
    <row r="1059" spans="1:8" ht="26.25" x14ac:dyDescent="0.25">
      <c r="A1059" s="3" t="s">
        <v>3406</v>
      </c>
      <c r="B1059" s="3"/>
      <c r="C1059" s="3" t="str">
        <f>"Mobile Marketing"</f>
        <v>Mobile Marketing</v>
      </c>
      <c r="D1059" s="3" t="s">
        <v>3407</v>
      </c>
      <c r="E1059" s="3" t="s">
        <v>3408</v>
      </c>
      <c r="F1059" s="3" t="str">
        <f>"219-746-3996"</f>
        <v>219-746-3996</v>
      </c>
      <c r="G1059" s="3">
        <v>541890</v>
      </c>
      <c r="H1059" s="3" t="s">
        <v>401</v>
      </c>
    </row>
    <row r="1060" spans="1:8" ht="39" x14ac:dyDescent="0.25">
      <c r="A1060" s="3" t="s">
        <v>3409</v>
      </c>
      <c r="B1060" s="3"/>
      <c r="C1060" s="3" t="str">
        <f>"We sell Kits for outdoor storage buildings. Build the kit yourself or have an Independent Contractor build your Kit."</f>
        <v>We sell Kits for outdoor storage buildings. Build the kit yourself or have an Independent Contractor build your Kit.</v>
      </c>
      <c r="D1060" s="3" t="s">
        <v>3410</v>
      </c>
      <c r="E1060" s="3" t="s">
        <v>3411</v>
      </c>
      <c r="F1060" s="3" t="str">
        <f>"812-477-2001"</f>
        <v>812-477-2001</v>
      </c>
      <c r="G1060" s="3">
        <v>23</v>
      </c>
      <c r="H1060" s="3" t="s">
        <v>133</v>
      </c>
    </row>
    <row r="1061" spans="1:8" ht="26.25" x14ac:dyDescent="0.25">
      <c r="A1061" s="3" t="s">
        <v>3412</v>
      </c>
      <c r="B1061" s="3"/>
      <c r="C1061" s="3" t="str">
        <f>"Supplier of janitorial/sanitation products and equipment"</f>
        <v>Supplier of janitorial/sanitation products and equipment</v>
      </c>
      <c r="D1061" s="3" t="s">
        <v>3413</v>
      </c>
      <c r="E1061" s="3" t="s">
        <v>3414</v>
      </c>
      <c r="F1061" s="3" t="str">
        <f>"317-594-6010"</f>
        <v>317-594-6010</v>
      </c>
      <c r="G1061" s="3">
        <v>424690</v>
      </c>
      <c r="H1061" s="3" t="s">
        <v>2494</v>
      </c>
    </row>
    <row r="1062" spans="1:8" ht="51.75" x14ac:dyDescent="0.25">
      <c r="A1062" s="3" t="s">
        <v>3415</v>
      </c>
      <c r="B1062" s="3"/>
      <c r="C1062" s="3" t="str">
        <f>"We provide construction, remodeling and repairs. We specialize in windows, roofing, guttering, soffit/facia, siding, and more. We handle commercial and residential needs."</f>
        <v>We provide construction, remodeling and repairs. We specialize in windows, roofing, guttering, soffit/facia, siding, and more. We handle commercial and residential needs.</v>
      </c>
      <c r="D1062" s="3" t="s">
        <v>3416</v>
      </c>
      <c r="E1062" s="3" t="s">
        <v>3417</v>
      </c>
      <c r="F1062" s="3" t="str">
        <f>"765-447-1300"</f>
        <v>765-447-1300</v>
      </c>
      <c r="G1062" s="3">
        <v>236220</v>
      </c>
      <c r="H1062" s="3" t="s">
        <v>598</v>
      </c>
    </row>
    <row r="1063" spans="1:8" ht="294" x14ac:dyDescent="0.25">
      <c r="A1063" s="3" t="s">
        <v>3418</v>
      </c>
      <c r="B1063" s="3"/>
      <c r="C1063" s="3" t="s">
        <v>3419</v>
      </c>
      <c r="D1063" s="3" t="s">
        <v>3420</v>
      </c>
      <c r="E1063" s="3" t="s">
        <v>3421</v>
      </c>
      <c r="F1063" s="3" t="str">
        <f>"317-545-4534"</f>
        <v>317-545-4534</v>
      </c>
      <c r="G1063" s="3">
        <v>541613</v>
      </c>
      <c r="H1063" s="3" t="s">
        <v>558</v>
      </c>
    </row>
    <row r="1064" spans="1:8" ht="26.25" x14ac:dyDescent="0.25">
      <c r="A1064" s="3" t="s">
        <v>3422</v>
      </c>
      <c r="B1064" s="3"/>
      <c r="C1064" s="3" t="str">
        <f>"Special Events Catering and Concessions"</f>
        <v>Special Events Catering and Concessions</v>
      </c>
      <c r="D1064" s="3" t="s">
        <v>3423</v>
      </c>
      <c r="E1064" s="3" t="s">
        <v>3424</v>
      </c>
      <c r="F1064" s="3" t="str">
        <f>"317-926-4936"</f>
        <v>317-926-4936</v>
      </c>
      <c r="G1064" s="3">
        <v>722310</v>
      </c>
      <c r="H1064" s="3" t="s">
        <v>3051</v>
      </c>
    </row>
    <row r="1065" spans="1:8" x14ac:dyDescent="0.25">
      <c r="A1065" s="3" t="s">
        <v>3425</v>
      </c>
      <c r="B1065" s="3"/>
      <c r="C1065" s="3" t="str">
        <f>" "</f>
        <v xml:space="preserve"> </v>
      </c>
      <c r="D1065" s="3" t="s">
        <v>9</v>
      </c>
      <c r="E1065" s="3" t="s">
        <v>46</v>
      </c>
      <c r="F1065" s="2"/>
      <c r="G1065" s="3">
        <v>441110</v>
      </c>
      <c r="H1065" s="3" t="s">
        <v>2588</v>
      </c>
    </row>
    <row r="1066" spans="1:8" ht="51.75" x14ac:dyDescent="0.25">
      <c r="A1066" s="3" t="s">
        <v>3426</v>
      </c>
      <c r="B1066" s="3"/>
      <c r="C1066" s="3" t="str">
        <f>"Electrical Contractor specializing in commercial and Industrial construction, both new and renovation work. We employ IBEW Electricians."</f>
        <v>Electrical Contractor specializing in commercial and Industrial construction, both new and renovation work. We employ IBEW Electricians.</v>
      </c>
      <c r="D1066" s="3" t="s">
        <v>9</v>
      </c>
      <c r="E1066" s="3" t="s">
        <v>3427</v>
      </c>
      <c r="F1066" s="3" t="str">
        <f>"219-756-1233"</f>
        <v>219-756-1233</v>
      </c>
      <c r="G1066" s="3">
        <v>238210</v>
      </c>
      <c r="H1066" s="3" t="s">
        <v>306</v>
      </c>
    </row>
    <row r="1067" spans="1:8" ht="153.75" x14ac:dyDescent="0.25">
      <c r="A1067" s="3" t="s">
        <v>3428</v>
      </c>
      <c r="B1067" s="3"/>
      <c r="C1067" s="3" t="s">
        <v>3429</v>
      </c>
      <c r="D1067" s="3" t="s">
        <v>3430</v>
      </c>
      <c r="E1067" s="3" t="s">
        <v>3431</v>
      </c>
      <c r="F1067" s="3" t="str">
        <f>"1-866-254-1581"</f>
        <v>1-866-254-1581</v>
      </c>
      <c r="G1067" s="3">
        <v>237130</v>
      </c>
      <c r="H1067" s="3" t="s">
        <v>3432</v>
      </c>
    </row>
    <row r="1068" spans="1:8" ht="77.25" x14ac:dyDescent="0.25">
      <c r="A1068" s="3" t="s">
        <v>3433</v>
      </c>
      <c r="B1068" s="3"/>
      <c r="C1068" s="3" t="str">
        <f>"Hearth and patio products for indoor and outdoor leisure living. Patio furniture, grills, smokers, indoor and outdoor furnishings. Spas, saunas. Gas logs and gas, electric and wood fireplaces. All hearth and patio accessories."</f>
        <v>Hearth and patio products for indoor and outdoor leisure living. Patio furniture, grills, smokers, indoor and outdoor furnishings. Spas, saunas. Gas logs and gas, electric and wood fireplaces. All hearth and patio accessories.</v>
      </c>
      <c r="D1068" s="3" t="s">
        <v>3434</v>
      </c>
      <c r="E1068" s="3" t="s">
        <v>3435</v>
      </c>
      <c r="F1068" s="3" t="str">
        <f>"812-479-6338"</f>
        <v>812-479-6338</v>
      </c>
      <c r="G1068" s="3">
        <v>442299</v>
      </c>
      <c r="H1068" s="3" t="s">
        <v>951</v>
      </c>
    </row>
    <row r="1069" spans="1:8" ht="26.25" x14ac:dyDescent="0.25">
      <c r="A1069" s="3" t="s">
        <v>3436</v>
      </c>
      <c r="B1069" s="3"/>
      <c r="C1069" s="3" t="str">
        <f>"We sell batteries and battery related items at wholesale and retail prices."</f>
        <v>We sell batteries and battery related items at wholesale and retail prices.</v>
      </c>
      <c r="D1069" s="3" t="s">
        <v>3011</v>
      </c>
      <c r="E1069" s="3" t="s">
        <v>3437</v>
      </c>
      <c r="F1069" s="3" t="str">
        <f>"812-234-3804"</f>
        <v>812-234-3804</v>
      </c>
      <c r="G1069" s="3">
        <v>42</v>
      </c>
      <c r="H1069" s="3" t="s">
        <v>674</v>
      </c>
    </row>
    <row r="1070" spans="1:8" ht="51.75" x14ac:dyDescent="0.25">
      <c r="A1070" s="3" t="s">
        <v>3438</v>
      </c>
      <c r="B1070" s="3"/>
      <c r="C1070" s="3" t="str">
        <f>"Manufacturer of lapel pin display boards produced in custom shapes and sizes, covered with a pinnable fabric and imprinted with full color logos and text."</f>
        <v>Manufacturer of lapel pin display boards produced in custom shapes and sizes, covered with a pinnable fabric and imprinted with full color logos and text.</v>
      </c>
      <c r="D1070" s="3" t="s">
        <v>3439</v>
      </c>
      <c r="E1070" s="3" t="s">
        <v>3440</v>
      </c>
      <c r="F1070" s="3" t="str">
        <f>"317-493-0546"</f>
        <v>317-493-0546</v>
      </c>
      <c r="G1070" s="3">
        <v>423990</v>
      </c>
      <c r="H1070" s="3" t="s">
        <v>983</v>
      </c>
    </row>
    <row r="1071" spans="1:8" ht="26.25" x14ac:dyDescent="0.25">
      <c r="A1071" s="3" t="s">
        <v>3441</v>
      </c>
      <c r="B1071" s="3"/>
      <c r="C1071" s="3" t="str">
        <f>"CAR SALES"</f>
        <v>CAR SALES</v>
      </c>
      <c r="D1071" s="3" t="s">
        <v>3442</v>
      </c>
      <c r="E1071" s="3" t="s">
        <v>3443</v>
      </c>
      <c r="F1071" s="3" t="str">
        <f>"765-647-4151"</f>
        <v>765-647-4151</v>
      </c>
      <c r="G1071" s="3">
        <v>4411</v>
      </c>
      <c r="H1071" s="3" t="s">
        <v>1015</v>
      </c>
    </row>
    <row r="1072" spans="1:8" ht="90" x14ac:dyDescent="0.25">
      <c r="A1072" s="3" t="s">
        <v>3444</v>
      </c>
      <c r="B1072" s="3"/>
      <c r="C1072" s="3" t="s">
        <v>3445</v>
      </c>
      <c r="D1072" s="3" t="s">
        <v>3446</v>
      </c>
      <c r="E1072" s="3" t="s">
        <v>3447</v>
      </c>
      <c r="F1072" s="3" t="str">
        <f>"513.348.3081"</f>
        <v>513.348.3081</v>
      </c>
      <c r="G1072" s="3">
        <v>2383</v>
      </c>
      <c r="H1072" s="3" t="s">
        <v>3448</v>
      </c>
    </row>
    <row r="1073" spans="1:8" ht="77.25" x14ac:dyDescent="0.25">
      <c r="A1073" s="3" t="s">
        <v>3449</v>
      </c>
      <c r="B1073" s="3"/>
      <c r="C1073" s="3" t="str">
        <f>"a Management Consulting firm dedicated to assisting organizaitons of all sizes and industries in the following areas: Program and Project Management, Strategy Development, Training, Staffing, among other business and IT services."</f>
        <v>a Management Consulting firm dedicated to assisting organizaitons of all sizes and industries in the following areas: Program and Project Management, Strategy Development, Training, Staffing, among other business and IT services.</v>
      </c>
      <c r="D1073" s="3" t="s">
        <v>3450</v>
      </c>
      <c r="E1073" s="3" t="s">
        <v>3451</v>
      </c>
      <c r="F1073" s="3" t="str">
        <f>"3176641672"</f>
        <v>3176641672</v>
      </c>
      <c r="G1073" s="3">
        <v>541611</v>
      </c>
      <c r="H1073" s="3" t="s">
        <v>278</v>
      </c>
    </row>
    <row r="1074" spans="1:8" ht="64.5" x14ac:dyDescent="0.25">
      <c r="A1074" s="3" t="s">
        <v>3452</v>
      </c>
      <c r="B1074" s="3"/>
      <c r="C1074" s="3" t="str">
        <f>"Video production services. To include: producing training videos, commercials, interviews, taping special events, meetings, conferences, etc. Also provide wedding videography."</f>
        <v>Video production services. To include: producing training videos, commercials, interviews, taping special events, meetings, conferences, etc. Also provide wedding videography.</v>
      </c>
      <c r="D1074" s="3" t="s">
        <v>3453</v>
      </c>
      <c r="E1074" s="3" t="s">
        <v>3454</v>
      </c>
      <c r="F1074" s="3" t="str">
        <f>"7656176651"</f>
        <v>7656176651</v>
      </c>
      <c r="G1074" s="3">
        <v>512110</v>
      </c>
      <c r="H1074" s="3" t="s">
        <v>406</v>
      </c>
    </row>
    <row r="1075" spans="1:8" ht="64.5" x14ac:dyDescent="0.25">
      <c r="A1075" s="3" t="s">
        <v>3455</v>
      </c>
      <c r="B1075" s="3"/>
      <c r="C1075" s="3" t="str">
        <f>"Safety training programs for fire departments, industry and individuals. Specializing in CPR, First Aid, Fire Extinguishers, Firefighting, Confined Space, Bloodborne Pathogens."</f>
        <v>Safety training programs for fire departments, industry and individuals. Specializing in CPR, First Aid, Fire Extinguishers, Firefighting, Confined Space, Bloodborne Pathogens.</v>
      </c>
      <c r="D1075" s="3" t="s">
        <v>9</v>
      </c>
      <c r="E1075" s="3" t="s">
        <v>3456</v>
      </c>
      <c r="F1075" s="3" t="str">
        <f>"(260)402-5268"</f>
        <v>(260)402-5268</v>
      </c>
      <c r="G1075" s="3">
        <v>541990</v>
      </c>
      <c r="H1075" s="3" t="s">
        <v>378</v>
      </c>
    </row>
    <row r="1076" spans="1:8" ht="51.75" x14ac:dyDescent="0.25">
      <c r="A1076" s="3" t="s">
        <v>3457</v>
      </c>
      <c r="B1076" s="3"/>
      <c r="C1076" s="3" t="str">
        <f>"A real estate development firm that specializes in the acquisition and improvement of distressed properties to provide low income housing solutions."</f>
        <v>A real estate development firm that specializes in the acquisition and improvement of distressed properties to provide low income housing solutions.</v>
      </c>
      <c r="D1076" s="3" t="s">
        <v>9</v>
      </c>
      <c r="E1076" s="3" t="s">
        <v>3458</v>
      </c>
      <c r="F1076" s="3" t="str">
        <f>"773-881-1906"</f>
        <v>773-881-1906</v>
      </c>
      <c r="G1076" s="3">
        <v>23</v>
      </c>
      <c r="H1076" s="3" t="s">
        <v>133</v>
      </c>
    </row>
    <row r="1077" spans="1:8" ht="192" x14ac:dyDescent="0.25">
      <c r="A1077" s="3" t="s">
        <v>3459</v>
      </c>
      <c r="B1077" s="3"/>
      <c r="C1077" s="3" t="s">
        <v>3460</v>
      </c>
      <c r="D1077" s="3" t="s">
        <v>3461</v>
      </c>
      <c r="E1077" s="3" t="s">
        <v>1892</v>
      </c>
      <c r="F1077" s="3" t="str">
        <f>"(765) 966-8181"</f>
        <v>(765) 966-8181</v>
      </c>
      <c r="G1077" s="3">
        <v>81111</v>
      </c>
      <c r="H1077" s="3" t="s">
        <v>96</v>
      </c>
    </row>
    <row r="1078" spans="1:8" ht="141" x14ac:dyDescent="0.25">
      <c r="A1078" s="3" t="s">
        <v>3462</v>
      </c>
      <c r="B1078" s="3"/>
      <c r="C1078" s="3" t="s">
        <v>3463</v>
      </c>
      <c r="D1078" s="3" t="s">
        <v>3464</v>
      </c>
      <c r="E1078" s="3" t="s">
        <v>3465</v>
      </c>
      <c r="F1078" s="3" t="str">
        <f>"866-612-2569"</f>
        <v>866-612-2569</v>
      </c>
      <c r="G1078" s="3">
        <v>23611</v>
      </c>
      <c r="H1078" s="3" t="s">
        <v>3466</v>
      </c>
    </row>
    <row r="1079" spans="1:8" ht="77.25" x14ac:dyDescent="0.25">
      <c r="A1079" s="3" t="s">
        <v>3467</v>
      </c>
      <c r="B1079" s="3"/>
      <c r="C1079" s="3" t="str">
        <f>"All categories of residential furniture, including sofas, chairs, tables, accents, dining and home office. Also, fabrics and wall coverings, both commercial and residential. Can comply with all FHA specifications. Statewide delivery available."</f>
        <v>All categories of residential furniture, including sofas, chairs, tables, accents, dining and home office. Also, fabrics and wall coverings, both commercial and residential. Can comply with all FHA specifications. Statewide delivery available.</v>
      </c>
      <c r="D1079" s="3" t="s">
        <v>3468</v>
      </c>
      <c r="E1079" s="3" t="s">
        <v>3469</v>
      </c>
      <c r="F1079" s="3" t="str">
        <f>"800-880-1006"</f>
        <v>800-880-1006</v>
      </c>
      <c r="G1079" s="3">
        <v>442110</v>
      </c>
      <c r="H1079" s="3" t="s">
        <v>117</v>
      </c>
    </row>
    <row r="1080" spans="1:8" ht="255.75" x14ac:dyDescent="0.25">
      <c r="A1080" s="3" t="s">
        <v>3470</v>
      </c>
      <c r="B1080" s="3"/>
      <c r="C1080" s="3" t="s">
        <v>3471</v>
      </c>
      <c r="D1080" s="3" t="s">
        <v>3472</v>
      </c>
      <c r="E1080" s="3" t="s">
        <v>3473</v>
      </c>
      <c r="F1080" s="3" t="str">
        <f>"317-846-8377"</f>
        <v>317-846-8377</v>
      </c>
      <c r="G1080" s="3">
        <v>561310</v>
      </c>
      <c r="H1080" s="3" t="s">
        <v>1720</v>
      </c>
    </row>
    <row r="1081" spans="1:8" ht="26.25" x14ac:dyDescent="0.25">
      <c r="A1081" s="3" t="s">
        <v>3474</v>
      </c>
      <c r="B1081" s="3"/>
      <c r="C1081" s="3" t="str">
        <f>"Powder Coating and E Coating"</f>
        <v>Powder Coating and E Coating</v>
      </c>
      <c r="D1081" s="3" t="s">
        <v>3475</v>
      </c>
      <c r="E1081" s="3" t="s">
        <v>3476</v>
      </c>
      <c r="F1081" s="3" t="str">
        <f>"812-526-0100"</f>
        <v>812-526-0100</v>
      </c>
      <c r="G1081" s="3">
        <v>33281</v>
      </c>
      <c r="H1081" s="3" t="s">
        <v>3477</v>
      </c>
    </row>
    <row r="1082" spans="1:8" ht="77.25" x14ac:dyDescent="0.25">
      <c r="A1082" s="3" t="s">
        <v>3478</v>
      </c>
      <c r="B1082" s="3"/>
      <c r="C1082" s="3" t="str">
        <f>"The Indiana State Dept. of Health requires all X-ray machines to be tested periodically. We provide this testing to clients in the Western half of Indiana. We also provide radiation safety consultation services, primarily to medical facilities."</f>
        <v>The Indiana State Dept. of Health requires all X-ray machines to be tested periodically. We provide this testing to clients in the Western half of Indiana. We also provide radiation safety consultation services, primarily to medical facilities.</v>
      </c>
      <c r="D1082" s="3" t="s">
        <v>9</v>
      </c>
      <c r="E1082" s="3" t="s">
        <v>3479</v>
      </c>
      <c r="F1082" s="3" t="str">
        <f>"812-894-2554"</f>
        <v>812-894-2554</v>
      </c>
      <c r="G1082" s="3">
        <v>621999</v>
      </c>
      <c r="H1082" s="3" t="s">
        <v>3480</v>
      </c>
    </row>
    <row r="1083" spans="1:8" ht="26.25" x14ac:dyDescent="0.25">
      <c r="A1083" s="3" t="s">
        <v>3481</v>
      </c>
      <c r="B1083" s="3"/>
      <c r="C1083" s="3" t="str">
        <f>"Consulting Engineers and Land Surveyors"</f>
        <v>Consulting Engineers and Land Surveyors</v>
      </c>
      <c r="D1083" s="3" t="s">
        <v>3482</v>
      </c>
      <c r="E1083" s="3" t="s">
        <v>3483</v>
      </c>
      <c r="F1083" s="3" t="str">
        <f>"(317)849-5832"</f>
        <v>(317)849-5832</v>
      </c>
      <c r="G1083" s="3">
        <v>541330</v>
      </c>
      <c r="H1083" s="3" t="s">
        <v>82</v>
      </c>
    </row>
    <row r="1084" spans="1:8" ht="26.25" x14ac:dyDescent="0.25">
      <c r="A1084" s="3" t="s">
        <v>3484</v>
      </c>
      <c r="B1084" s="3"/>
      <c r="C1084" s="3" t="str">
        <f>"Quality Printing for non-profit organizations."</f>
        <v>Quality Printing for non-profit organizations.</v>
      </c>
      <c r="D1084" s="3" t="s">
        <v>3485</v>
      </c>
      <c r="E1084" s="3" t="s">
        <v>3486</v>
      </c>
      <c r="F1084" s="3" t="str">
        <f>"574-457-8373"</f>
        <v>574-457-8373</v>
      </c>
      <c r="G1084" s="3">
        <v>323</v>
      </c>
      <c r="H1084" s="3" t="s">
        <v>302</v>
      </c>
    </row>
    <row r="1085" spans="1:8" ht="26.25" x14ac:dyDescent="0.25">
      <c r="A1085" s="3" t="s">
        <v>3487</v>
      </c>
      <c r="B1085" s="3"/>
      <c r="C1085" s="3" t="str">
        <f>"Beck Printing has been providing quality printing and service since 1912."</f>
        <v>Beck Printing has been providing quality printing and service since 1912.</v>
      </c>
      <c r="D1085" s="3" t="s">
        <v>9</v>
      </c>
      <c r="E1085" s="3" t="s">
        <v>3488</v>
      </c>
      <c r="F1085" s="3" t="str">
        <f>"317-635-7108"</f>
        <v>317-635-7108</v>
      </c>
      <c r="G1085" s="3">
        <v>3231</v>
      </c>
      <c r="H1085" s="3" t="s">
        <v>302</v>
      </c>
    </row>
    <row r="1086" spans="1:8" ht="26.25" x14ac:dyDescent="0.25">
      <c r="A1086" s="3" t="s">
        <v>3489</v>
      </c>
      <c r="B1086" s="3"/>
      <c r="C1086" s="3" t="str">
        <f>"New Toyota and Used Vehicle Sales, Service and Parts"</f>
        <v>New Toyota and Used Vehicle Sales, Service and Parts</v>
      </c>
      <c r="D1086" s="3" t="s">
        <v>3490</v>
      </c>
      <c r="E1086" s="3" t="s">
        <v>3491</v>
      </c>
      <c r="F1086" s="3" t="str">
        <f>"317-882-2600"</f>
        <v>317-882-2600</v>
      </c>
      <c r="G1086" s="3">
        <v>4411</v>
      </c>
      <c r="H1086" s="3" t="s">
        <v>1015</v>
      </c>
    </row>
    <row r="1087" spans="1:8" ht="90" x14ac:dyDescent="0.25">
      <c r="A1087" s="3" t="s">
        <v>3492</v>
      </c>
      <c r="B1087" s="3"/>
      <c r="C1087" s="3" t="s">
        <v>3493</v>
      </c>
      <c r="D1087" s="3" t="s">
        <v>9</v>
      </c>
      <c r="E1087" s="3" t="s">
        <v>3494</v>
      </c>
      <c r="F1087" s="3" t="str">
        <f>"866-397-6950"</f>
        <v>866-397-6950</v>
      </c>
      <c r="G1087" s="3">
        <v>541611</v>
      </c>
      <c r="H1087" s="3" t="s">
        <v>278</v>
      </c>
    </row>
    <row r="1088" spans="1:8" ht="102.75" x14ac:dyDescent="0.25">
      <c r="A1088" s="3" t="s">
        <v>3495</v>
      </c>
      <c r="B1088" s="3"/>
      <c r="C1088" s="3" t="s">
        <v>3496</v>
      </c>
      <c r="D1088" s="3" t="s">
        <v>3497</v>
      </c>
      <c r="E1088" s="3" t="s">
        <v>3498</v>
      </c>
      <c r="F1088" s="3" t="str">
        <f>"765-282-2261"</f>
        <v>765-282-2261</v>
      </c>
      <c r="G1088" s="3">
        <v>331525</v>
      </c>
      <c r="H1088" s="3" t="s">
        <v>3499</v>
      </c>
    </row>
    <row r="1089" spans="1:8" ht="128.25" x14ac:dyDescent="0.25">
      <c r="A1089" s="3" t="s">
        <v>3500</v>
      </c>
      <c r="B1089" s="3"/>
      <c r="C1089" s="3" t="s">
        <v>3501</v>
      </c>
      <c r="D1089" s="3" t="s">
        <v>3502</v>
      </c>
      <c r="E1089" s="3" t="s">
        <v>3503</v>
      </c>
      <c r="F1089" s="3" t="str">
        <f>"201 847-6000"</f>
        <v>201 847-6000</v>
      </c>
      <c r="G1089" s="3">
        <v>31</v>
      </c>
      <c r="H1089" s="3" t="s">
        <v>999</v>
      </c>
    </row>
    <row r="1090" spans="1:8" ht="115.5" x14ac:dyDescent="0.25">
      <c r="A1090" s="3" t="s">
        <v>3504</v>
      </c>
      <c r="B1090" s="3"/>
      <c r="C1090" s="3" t="s">
        <v>3505</v>
      </c>
      <c r="D1090" s="3" t="s">
        <v>3506</v>
      </c>
      <c r="E1090" s="3" t="s">
        <v>3507</v>
      </c>
      <c r="F1090" s="3" t="str">
        <f>"812-926-0296"</f>
        <v>812-926-0296</v>
      </c>
      <c r="G1090" s="3">
        <v>423210</v>
      </c>
      <c r="H1090" s="3" t="s">
        <v>3508</v>
      </c>
    </row>
    <row r="1091" spans="1:8" ht="153.75" x14ac:dyDescent="0.25">
      <c r="A1091" s="3" t="s">
        <v>3509</v>
      </c>
      <c r="B1091" s="3"/>
      <c r="C1091" s="3" t="s">
        <v>3510</v>
      </c>
      <c r="D1091" s="3" t="s">
        <v>3511</v>
      </c>
      <c r="E1091" s="3" t="s">
        <v>3512</v>
      </c>
      <c r="F1091" s="3" t="str">
        <f>"317-843-1358"</f>
        <v>317-843-1358</v>
      </c>
      <c r="G1091" s="3">
        <v>523930</v>
      </c>
      <c r="H1091" s="3" t="s">
        <v>2936</v>
      </c>
    </row>
    <row r="1092" spans="1:8" ht="64.5" x14ac:dyDescent="0.25">
      <c r="A1092" s="3" t="s">
        <v>3513</v>
      </c>
      <c r="B1092" s="3"/>
      <c r="C1092" s="3" t="str">
        <f>"Residental,commerical &amp; industrial plumbing (new &amp; service), bathroom &amp; kitchen remodel, commercial &amp; residental excavating and sewer &amp; water replacemnt/ repair work."</f>
        <v>Residental,commerical &amp; industrial plumbing (new &amp; service), bathroom &amp; kitchen remodel, commercial &amp; residental excavating and sewer &amp; water replacemnt/ repair work.</v>
      </c>
      <c r="D1092" s="3" t="s">
        <v>3514</v>
      </c>
      <c r="E1092" s="3" t="s">
        <v>3515</v>
      </c>
      <c r="F1092" s="3" t="str">
        <f>"(317) 891-2700"</f>
        <v>(317) 891-2700</v>
      </c>
      <c r="G1092" s="3">
        <v>238220</v>
      </c>
      <c r="H1092" s="3" t="s">
        <v>348</v>
      </c>
    </row>
    <row r="1093" spans="1:8" ht="90" x14ac:dyDescent="0.25">
      <c r="A1093" s="3" t="s">
        <v>3516</v>
      </c>
      <c r="B1093" s="3"/>
      <c r="C1093" s="3" t="s">
        <v>3517</v>
      </c>
      <c r="D1093" s="3" t="s">
        <v>9</v>
      </c>
      <c r="E1093" s="3" t="s">
        <v>3518</v>
      </c>
      <c r="F1093" s="3" t="str">
        <f>"812-279-6149"</f>
        <v>812-279-6149</v>
      </c>
      <c r="G1093" s="3">
        <v>454210</v>
      </c>
      <c r="H1093" s="3" t="s">
        <v>2889</v>
      </c>
    </row>
    <row r="1094" spans="1:8" ht="166.5" x14ac:dyDescent="0.25">
      <c r="A1094" s="3" t="s">
        <v>3519</v>
      </c>
      <c r="B1094" s="3"/>
      <c r="C1094" s="3" t="s">
        <v>3520</v>
      </c>
      <c r="D1094" s="3" t="s">
        <v>3521</v>
      </c>
      <c r="E1094" s="3" t="s">
        <v>3522</v>
      </c>
      <c r="F1094" s="3" t="str">
        <f>"812-282-7787"</f>
        <v>812-282-7787</v>
      </c>
      <c r="G1094" s="3">
        <v>811211</v>
      </c>
      <c r="H1094" s="3" t="s">
        <v>2396</v>
      </c>
    </row>
    <row r="1095" spans="1:8" ht="319.5" x14ac:dyDescent="0.25">
      <c r="A1095" s="3" t="s">
        <v>3523</v>
      </c>
      <c r="B1095" s="3"/>
      <c r="C1095" s="3" t="s">
        <v>3524</v>
      </c>
      <c r="D1095" s="3" t="s">
        <v>3525</v>
      </c>
      <c r="E1095" s="3" t="s">
        <v>3526</v>
      </c>
      <c r="F1095" s="3" t="str">
        <f>"812-455-7185"</f>
        <v>812-455-7185</v>
      </c>
      <c r="G1095" s="3">
        <v>541618</v>
      </c>
      <c r="H1095" s="3" t="s">
        <v>3527</v>
      </c>
    </row>
    <row r="1096" spans="1:8" ht="26.25" x14ac:dyDescent="0.25">
      <c r="A1096" s="3" t="s">
        <v>3528</v>
      </c>
      <c r="B1096" s="3"/>
      <c r="C1096" s="3" t="str">
        <f>"Slag Material Handling"</f>
        <v>Slag Material Handling</v>
      </c>
      <c r="D1096" s="3" t="s">
        <v>9</v>
      </c>
      <c r="E1096" s="3" t="s">
        <v>3529</v>
      </c>
      <c r="F1096" s="3" t="str">
        <f>"219-931-7492"</f>
        <v>219-931-7492</v>
      </c>
      <c r="G1096" s="3">
        <v>33392</v>
      </c>
      <c r="H1096" s="3" t="s">
        <v>3530</v>
      </c>
    </row>
    <row r="1097" spans="1:8" ht="115.5" x14ac:dyDescent="0.25">
      <c r="A1097" s="3" t="s">
        <v>3531</v>
      </c>
      <c r="B1097" s="3"/>
      <c r="C1097" s="3" t="s">
        <v>3532</v>
      </c>
      <c r="D1097" s="3" t="s">
        <v>3533</v>
      </c>
      <c r="E1097" s="3" t="s">
        <v>3534</v>
      </c>
      <c r="F1097" s="3" t="str">
        <f>"317-535-9338"</f>
        <v>317-535-9338</v>
      </c>
      <c r="G1097" s="3">
        <v>238220</v>
      </c>
      <c r="H1097" s="3" t="s">
        <v>348</v>
      </c>
    </row>
    <row r="1098" spans="1:8" ht="166.5" x14ac:dyDescent="0.25">
      <c r="A1098" s="3" t="s">
        <v>3535</v>
      </c>
      <c r="B1098" s="3"/>
      <c r="C1098" s="3" t="s">
        <v>3536</v>
      </c>
      <c r="D1098" s="3" t="s">
        <v>3537</v>
      </c>
      <c r="E1098" s="3" t="s">
        <v>3538</v>
      </c>
      <c r="F1098" s="3" t="str">
        <f>"812.490.2826"</f>
        <v>812.490.2826</v>
      </c>
      <c r="G1098" s="3">
        <v>541720</v>
      </c>
      <c r="H1098" s="3" t="s">
        <v>1123</v>
      </c>
    </row>
    <row r="1099" spans="1:8" ht="26.25" x14ac:dyDescent="0.25">
      <c r="A1099" s="3" t="s">
        <v>3539</v>
      </c>
      <c r="B1099" s="3"/>
      <c r="C1099" s="3" t="str">
        <f>"Excavating, construction, cleaning services, mowing, Property Managment, Trucking"</f>
        <v>Excavating, construction, cleaning services, mowing, Property Managment, Trucking</v>
      </c>
      <c r="D1099" s="3" t="s">
        <v>9</v>
      </c>
      <c r="E1099" s="3" t="s">
        <v>3540</v>
      </c>
      <c r="F1099" s="3" t="str">
        <f>"812-797-9496"</f>
        <v>812-797-9496</v>
      </c>
      <c r="G1099" s="3">
        <v>23</v>
      </c>
      <c r="H1099" s="3" t="s">
        <v>133</v>
      </c>
    </row>
    <row r="1100" spans="1:8" ht="128.25" x14ac:dyDescent="0.25">
      <c r="A1100" s="3" t="s">
        <v>3541</v>
      </c>
      <c r="B1100" s="3"/>
      <c r="C1100" s="3" t="s">
        <v>3542</v>
      </c>
      <c r="D1100" s="3" t="s">
        <v>3543</v>
      </c>
      <c r="E1100" s="3" t="s">
        <v>3544</v>
      </c>
      <c r="F1100" s="3" t="str">
        <f>"800-235-3361"</f>
        <v>800-235-3361</v>
      </c>
      <c r="G1100" s="3">
        <v>331421</v>
      </c>
      <c r="H1100" s="3" t="s">
        <v>3545</v>
      </c>
    </row>
    <row r="1101" spans="1:8" ht="128.25" x14ac:dyDescent="0.25">
      <c r="A1101" s="3" t="s">
        <v>3546</v>
      </c>
      <c r="B1101" s="3"/>
      <c r="C1101" s="3" t="s">
        <v>3547</v>
      </c>
      <c r="D1101" s="3" t="s">
        <v>3548</v>
      </c>
      <c r="E1101" s="3" t="s">
        <v>3549</v>
      </c>
      <c r="F1101" s="3" t="str">
        <f>"(812) 295-2200"</f>
        <v>(812) 295-2200</v>
      </c>
      <c r="G1101" s="3">
        <v>42322</v>
      </c>
      <c r="H1101" s="3" t="s">
        <v>3550</v>
      </c>
    </row>
    <row r="1102" spans="1:8" ht="64.5" x14ac:dyDescent="0.25">
      <c r="A1102" s="3" t="s">
        <v>3551</v>
      </c>
      <c r="B1102" s="3"/>
      <c r="C1102" s="3" t="str">
        <f>"We preserve and provide multifamily rental affordable housing for low-income households and coordinate a resident volunteership program as an economic development initiative."</f>
        <v>We preserve and provide multifamily rental affordable housing for low-income households and coordinate a resident volunteership program as an economic development initiative.</v>
      </c>
      <c r="D1102" s="3" t="s">
        <v>3552</v>
      </c>
      <c r="E1102" s="3" t="s">
        <v>3553</v>
      </c>
      <c r="F1102" s="3" t="str">
        <f>"213-268-0359"</f>
        <v>213-268-0359</v>
      </c>
      <c r="G1102" s="3">
        <v>236116</v>
      </c>
      <c r="H1102" s="3" t="s">
        <v>438</v>
      </c>
    </row>
    <row r="1103" spans="1:8" ht="51.75" x14ac:dyDescent="0.25">
      <c r="A1103" s="3" t="s">
        <v>3554</v>
      </c>
      <c r="B1103" s="3"/>
      <c r="C1103" s="3" t="str">
        <f>"Bella Villa Realtors provides professional real estate services. Additionally, Bella Villa Realtors provides commerical and residential cleaning services."</f>
        <v>Bella Villa Realtors provides professional real estate services. Additionally, Bella Villa Realtors provides commerical and residential cleaning services.</v>
      </c>
      <c r="D1103" s="3" t="s">
        <v>9</v>
      </c>
      <c r="E1103" s="3" t="s">
        <v>46</v>
      </c>
      <c r="F1103" s="2"/>
      <c r="G1103" s="3">
        <v>531</v>
      </c>
      <c r="H1103" s="3" t="s">
        <v>74</v>
      </c>
    </row>
    <row r="1104" spans="1:8" ht="26.25" x14ac:dyDescent="0.25">
      <c r="A1104" s="3" t="s">
        <v>3555</v>
      </c>
      <c r="B1104" s="3"/>
      <c r="C1104" s="3" t="str">
        <f>"GIS - Mapping - Data Analysis - Data Acquisition"</f>
        <v>GIS - Mapping - Data Analysis - Data Acquisition</v>
      </c>
      <c r="D1104" s="3" t="s">
        <v>3556</v>
      </c>
      <c r="E1104" s="3" t="s">
        <v>3557</v>
      </c>
      <c r="F1104" s="2"/>
      <c r="G1104" s="3">
        <v>541370</v>
      </c>
      <c r="H1104" s="3" t="s">
        <v>160</v>
      </c>
    </row>
    <row r="1105" spans="1:8" ht="26.25" x14ac:dyDescent="0.25">
      <c r="A1105" s="3" t="s">
        <v>3558</v>
      </c>
      <c r="B1105" s="3"/>
      <c r="C1105" s="2"/>
      <c r="D1105" s="3" t="s">
        <v>9</v>
      </c>
      <c r="E1105" s="3" t="s">
        <v>3559</v>
      </c>
      <c r="F1105" s="3" t="str">
        <f>"219-554-1100"</f>
        <v>219-554-1100</v>
      </c>
      <c r="G1105" s="3">
        <v>235310</v>
      </c>
      <c r="H1105" s="2"/>
    </row>
    <row r="1106" spans="1:8" ht="319.5" x14ac:dyDescent="0.25">
      <c r="A1106" s="3" t="s">
        <v>3560</v>
      </c>
      <c r="B1106" s="3"/>
      <c r="C1106" s="3" t="s">
        <v>3561</v>
      </c>
      <c r="D1106" s="3" t="s">
        <v>3562</v>
      </c>
      <c r="E1106" s="3" t="s">
        <v>3563</v>
      </c>
      <c r="F1106" s="3" t="str">
        <f>"317-916-9930"</f>
        <v>317-916-9930</v>
      </c>
      <c r="G1106" s="3">
        <v>541810</v>
      </c>
      <c r="H1106" s="3" t="s">
        <v>976</v>
      </c>
    </row>
    <row r="1107" spans="1:8" ht="39" x14ac:dyDescent="0.25">
      <c r="A1107" s="3" t="s">
        <v>3564</v>
      </c>
      <c r="B1107" s="3"/>
      <c r="C1107" s="3" t="str">
        <f>"Trucking company that moves freight from Indy to approximately 180 miles out and back."</f>
        <v>Trucking company that moves freight from Indy to approximately 180 miles out and back.</v>
      </c>
      <c r="D1107" s="3" t="s">
        <v>9</v>
      </c>
      <c r="E1107" s="3" t="s">
        <v>3565</v>
      </c>
      <c r="F1107" s="3" t="str">
        <f>"317-881-6943"</f>
        <v>317-881-6943</v>
      </c>
      <c r="G1107" s="3">
        <v>484121</v>
      </c>
      <c r="H1107" s="3" t="s">
        <v>342</v>
      </c>
    </row>
    <row r="1108" spans="1:8" ht="90" x14ac:dyDescent="0.25">
      <c r="A1108" s="3" t="s">
        <v>3566</v>
      </c>
      <c r="B1108" s="3"/>
      <c r="C1108" s="3" t="s">
        <v>3567</v>
      </c>
      <c r="D1108" s="3" t="s">
        <v>3568</v>
      </c>
      <c r="E1108" s="3" t="s">
        <v>3569</v>
      </c>
      <c r="F1108" s="3" t="str">
        <f>"765-452-9500"</f>
        <v>765-452-9500</v>
      </c>
      <c r="G1108" s="3">
        <v>2351</v>
      </c>
      <c r="H1108" s="3" t="s">
        <v>892</v>
      </c>
    </row>
    <row r="1109" spans="1:8" ht="128.25" x14ac:dyDescent="0.25">
      <c r="A1109" s="3" t="s">
        <v>3570</v>
      </c>
      <c r="B1109" s="3"/>
      <c r="C1109" s="3" t="s">
        <v>3571</v>
      </c>
      <c r="D1109" s="3" t="s">
        <v>9</v>
      </c>
      <c r="E1109" s="3" t="s">
        <v>3572</v>
      </c>
      <c r="F1109" s="3" t="str">
        <f>"317-541-1565"</f>
        <v>317-541-1565</v>
      </c>
      <c r="G1109" s="3">
        <v>61</v>
      </c>
      <c r="H1109" s="3" t="s">
        <v>140</v>
      </c>
    </row>
    <row r="1110" spans="1:8" ht="268.5" x14ac:dyDescent="0.25">
      <c r="A1110" s="3" t="s">
        <v>3573</v>
      </c>
      <c r="B1110" s="3"/>
      <c r="C1110" s="3" t="s">
        <v>3574</v>
      </c>
      <c r="D1110" s="3" t="s">
        <v>3575</v>
      </c>
      <c r="E1110" s="3" t="s">
        <v>3576</v>
      </c>
      <c r="F1110" s="3" t="str">
        <f>"317-769-5800"</f>
        <v>317-769-5800</v>
      </c>
      <c r="G1110" s="3">
        <v>5133</v>
      </c>
      <c r="H1110" s="3" t="s">
        <v>682</v>
      </c>
    </row>
    <row r="1111" spans="1:8" ht="64.5" x14ac:dyDescent="0.25">
      <c r="A1111" s="3" t="s">
        <v>3577</v>
      </c>
      <c r="B1111" s="3"/>
      <c r="C1111" s="3" t="str">
        <f>"New and used cars and trucks. Full service Body Shop. Parts department and Service department for both domestic and import vehicles. Truck rental. Rhino Linings sprayed in bed liner. Storage facillity."</f>
        <v>New and used cars and trucks. Full service Body Shop. Parts department and Service department for both domestic and import vehicles. Truck rental. Rhino Linings sprayed in bed liner. Storage facillity.</v>
      </c>
      <c r="D1111" s="3" t="s">
        <v>3578</v>
      </c>
      <c r="E1111" s="3" t="s">
        <v>3579</v>
      </c>
      <c r="F1111" s="3" t="str">
        <f>"1-888-273-3135"</f>
        <v>1-888-273-3135</v>
      </c>
      <c r="G1111" s="3">
        <v>441110</v>
      </c>
      <c r="H1111" s="3" t="s">
        <v>2588</v>
      </c>
    </row>
    <row r="1112" spans="1:8" ht="26.25" x14ac:dyDescent="0.25">
      <c r="A1112" s="3" t="s">
        <v>3580</v>
      </c>
      <c r="B1112" s="3"/>
      <c r="C1112" s="3" t="str">
        <f>" "</f>
        <v xml:space="preserve"> </v>
      </c>
      <c r="D1112" s="3" t="s">
        <v>3581</v>
      </c>
      <c r="E1112" s="3" t="s">
        <v>3582</v>
      </c>
      <c r="F1112" s="3" t="str">
        <f>"2197509113"</f>
        <v>2197509113</v>
      </c>
      <c r="G1112" s="3">
        <v>23551</v>
      </c>
      <c r="H1112" s="3" t="s">
        <v>3583</v>
      </c>
    </row>
    <row r="1113" spans="1:8" ht="26.25" x14ac:dyDescent="0.25">
      <c r="A1113" s="3" t="s">
        <v>3584</v>
      </c>
      <c r="B1113" s="3"/>
      <c r="C1113" s="3" t="str">
        <f>"Supply products for commercial use.."</f>
        <v>Supply products for commercial use..</v>
      </c>
      <c r="D1113" s="3" t="s">
        <v>9</v>
      </c>
      <c r="E1113" s="3" t="s">
        <v>3585</v>
      </c>
      <c r="F1113" s="3" t="str">
        <f>"317-283-9129"</f>
        <v>317-283-9129</v>
      </c>
      <c r="G1113" s="3">
        <v>42</v>
      </c>
      <c r="H1113" s="3" t="s">
        <v>674</v>
      </c>
    </row>
    <row r="1114" spans="1:8" x14ac:dyDescent="0.25">
      <c r="A1114" s="3" t="s">
        <v>3586</v>
      </c>
      <c r="B1114" s="3"/>
      <c r="C1114" s="3" t="str">
        <f>"Automotive general repair"</f>
        <v>Automotive general repair</v>
      </c>
      <c r="D1114" s="3" t="s">
        <v>9</v>
      </c>
      <c r="E1114" s="3" t="s">
        <v>46</v>
      </c>
      <c r="F1114" s="2"/>
      <c r="G1114" s="3">
        <v>8111</v>
      </c>
      <c r="H1114" s="3" t="s">
        <v>3587</v>
      </c>
    </row>
    <row r="1115" spans="1:8" ht="204.75" x14ac:dyDescent="0.25">
      <c r="A1115" s="3" t="s">
        <v>3588</v>
      </c>
      <c r="B1115" s="3"/>
      <c r="C1115" s="3" t="s">
        <v>3589</v>
      </c>
      <c r="D1115" s="3" t="s">
        <v>3590</v>
      </c>
      <c r="E1115" s="3" t="s">
        <v>3591</v>
      </c>
      <c r="F1115" s="3" t="str">
        <f>"219.926.4246"</f>
        <v>219.926.4246</v>
      </c>
      <c r="G1115" s="3">
        <v>233</v>
      </c>
      <c r="H1115" s="3" t="s">
        <v>131</v>
      </c>
    </row>
    <row r="1116" spans="1:8" ht="179.25" x14ac:dyDescent="0.25">
      <c r="A1116" s="3" t="s">
        <v>3592</v>
      </c>
      <c r="B1116" s="3"/>
      <c r="C1116" s="3" t="s">
        <v>3593</v>
      </c>
      <c r="D1116" s="3" t="s">
        <v>9</v>
      </c>
      <c r="E1116" s="3" t="s">
        <v>3594</v>
      </c>
      <c r="F1116" s="3" t="str">
        <f>"317-946-3470"</f>
        <v>317-946-3470</v>
      </c>
      <c r="G1116" s="3">
        <v>541320</v>
      </c>
      <c r="H1116" s="3" t="s">
        <v>2241</v>
      </c>
    </row>
    <row r="1117" spans="1:8" ht="77.25" x14ac:dyDescent="0.25">
      <c r="A1117" s="3" t="s">
        <v>3595</v>
      </c>
      <c r="B1117" s="3"/>
      <c r="C1117" s="3" t="str">
        <f>"Bergman Irrigation LLC is an unique firm with a singular mission. Bergman Irrigation LLC specializes in providing purely professional design, installation, and maintenance services for residential lots, commercial properties, and athletic fields."</f>
        <v>Bergman Irrigation LLC is an unique firm with a singular mission. Bergman Irrigation LLC specializes in providing purely professional design, installation, and maintenance services for residential lots, commercial properties, and athletic fields.</v>
      </c>
      <c r="D1117" s="3" t="s">
        <v>9</v>
      </c>
      <c r="E1117" s="3" t="s">
        <v>3594</v>
      </c>
      <c r="F1117" s="3" t="str">
        <f>"317-946-3470"</f>
        <v>317-946-3470</v>
      </c>
      <c r="G1117" s="3">
        <v>561730</v>
      </c>
      <c r="H1117" s="3" t="s">
        <v>65</v>
      </c>
    </row>
    <row r="1118" spans="1:8" ht="77.25" x14ac:dyDescent="0.25">
      <c r="A1118" s="3" t="s">
        <v>3596</v>
      </c>
      <c r="B1118" s="3"/>
      <c r="C1118" s="3" t="str">
        <f>"We are a trucking company which uses flatbed trailers to transport general freight. Most of the material that we transport are building materials, such as stone, lumber, steel, brick, drywall and occasionally machinery."</f>
        <v>We are a trucking company which uses flatbed trailers to transport general freight. Most of the material that we transport are building materials, such as stone, lumber, steel, brick, drywall and occasionally machinery.</v>
      </c>
      <c r="D1118" s="3" t="s">
        <v>9</v>
      </c>
      <c r="E1118" s="3" t="s">
        <v>3597</v>
      </c>
      <c r="F1118" s="3" t="str">
        <f>"812-824-5550"</f>
        <v>812-824-5550</v>
      </c>
      <c r="G1118" s="3">
        <v>4841</v>
      </c>
      <c r="H1118" s="3" t="s">
        <v>3598</v>
      </c>
    </row>
    <row r="1119" spans="1:8" ht="26.25" x14ac:dyDescent="0.25">
      <c r="A1119" s="3" t="s">
        <v>3599</v>
      </c>
      <c r="B1119" s="3"/>
      <c r="C1119" s="3" t="str">
        <f>"Trucking, hauling"</f>
        <v>Trucking, hauling</v>
      </c>
      <c r="D1119" s="3" t="s">
        <v>9</v>
      </c>
      <c r="E1119" s="3" t="s">
        <v>46</v>
      </c>
      <c r="F1119" s="3" t="str">
        <f>"812-352-0474"</f>
        <v>812-352-0474</v>
      </c>
      <c r="G1119" s="3">
        <v>23411</v>
      </c>
      <c r="H1119" s="3" t="s">
        <v>2406</v>
      </c>
    </row>
    <row r="1120" spans="1:8" ht="51.75" x14ac:dyDescent="0.25">
      <c r="A1120" s="3" t="s">
        <v>3600</v>
      </c>
      <c r="B1120" s="3"/>
      <c r="C1120" s="3" t="str">
        <f>"At Berne Apparel, we have been redefining workwear since 1915. Creating clothing that is rugged, yet comfortable; durable, yet affordable; hardworking, yet attractive."</f>
        <v>At Berne Apparel, we have been redefining workwear since 1915. Creating clothing that is rugged, yet comfortable; durable, yet affordable; hardworking, yet attractive.</v>
      </c>
      <c r="D1120" s="3" t="s">
        <v>3601</v>
      </c>
      <c r="E1120" s="3" t="s">
        <v>3602</v>
      </c>
      <c r="F1120" s="3" t="str">
        <f>"800 843-7657"</f>
        <v>800 843-7657</v>
      </c>
      <c r="G1120" s="3">
        <v>315</v>
      </c>
      <c r="H1120" s="3" t="s">
        <v>3603</v>
      </c>
    </row>
    <row r="1121" spans="1:8" ht="39" x14ac:dyDescent="0.25">
      <c r="A1121" s="3" t="s">
        <v>3604</v>
      </c>
      <c r="B1121" s="3"/>
      <c r="C1121" s="3" t="str">
        <f>"independent provider of insurance and financial products serving consumers and business in the Midwest."</f>
        <v>independent provider of insurance and financial products serving consumers and business in the Midwest.</v>
      </c>
      <c r="D1121" s="3" t="s">
        <v>9</v>
      </c>
      <c r="E1121" s="3" t="s">
        <v>3605</v>
      </c>
      <c r="F1121" s="3" t="str">
        <f>"260-637-1948"</f>
        <v>260-637-1948</v>
      </c>
      <c r="G1121" s="3">
        <v>524210</v>
      </c>
      <c r="H1121" s="3" t="s">
        <v>1183</v>
      </c>
    </row>
    <row r="1122" spans="1:8" ht="26.25" x14ac:dyDescent="0.25">
      <c r="A1122" s="3" t="s">
        <v>3606</v>
      </c>
      <c r="B1122" s="3"/>
      <c r="C1122" s="2"/>
      <c r="D1122" s="3" t="s">
        <v>3607</v>
      </c>
      <c r="E1122" s="3" t="s">
        <v>46</v>
      </c>
      <c r="F1122" s="3" t="str">
        <f>"812-424-2904"</f>
        <v>812-424-2904</v>
      </c>
      <c r="G1122" s="3">
        <v>326</v>
      </c>
      <c r="H1122" s="3" t="s">
        <v>3608</v>
      </c>
    </row>
    <row r="1123" spans="1:8" ht="26.25" x14ac:dyDescent="0.25">
      <c r="A1123" s="3" t="s">
        <v>3609</v>
      </c>
      <c r="B1123" s="3"/>
      <c r="C1123" s="3" t="str">
        <f>"My company sells and services products for the blind and low vision citizens of Indiana."</f>
        <v>My company sells and services products for the blind and low vision citizens of Indiana.</v>
      </c>
      <c r="D1123" s="3" t="s">
        <v>9</v>
      </c>
      <c r="E1123" s="3" t="s">
        <v>3610</v>
      </c>
      <c r="F1123" s="3" t="str">
        <f>"317-251-8157"</f>
        <v>317-251-8157</v>
      </c>
      <c r="G1123" s="3">
        <v>454111</v>
      </c>
      <c r="H1123" s="3" t="s">
        <v>492</v>
      </c>
    </row>
    <row r="1124" spans="1:8" ht="102.75" x14ac:dyDescent="0.25">
      <c r="A1124" s="3" t="s">
        <v>3611</v>
      </c>
      <c r="B1124" s="3"/>
      <c r="C1124" s="3" t="s">
        <v>3612</v>
      </c>
      <c r="D1124" s="3" t="s">
        <v>9</v>
      </c>
      <c r="E1124" s="3" t="s">
        <v>3613</v>
      </c>
      <c r="F1124" s="3" t="str">
        <f>"317-844-4237"</f>
        <v>317-844-4237</v>
      </c>
      <c r="G1124" s="3">
        <v>524210</v>
      </c>
      <c r="H1124" s="3" t="s">
        <v>1183</v>
      </c>
    </row>
    <row r="1125" spans="1:8" ht="153.75" x14ac:dyDescent="0.25">
      <c r="A1125" s="3" t="s">
        <v>3614</v>
      </c>
      <c r="B1125" s="3"/>
      <c r="C1125" s="3" t="s">
        <v>3615</v>
      </c>
      <c r="D1125" s="3" t="s">
        <v>3616</v>
      </c>
      <c r="E1125" s="3" t="s">
        <v>3617</v>
      </c>
      <c r="F1125" s="3" t="str">
        <f>"888 224 8181 EXT 60816"</f>
        <v>888 224 8181 EXT 60816</v>
      </c>
      <c r="G1125" s="3">
        <v>4431</v>
      </c>
      <c r="H1125" s="3" t="s">
        <v>3618</v>
      </c>
    </row>
    <row r="1126" spans="1:8" ht="141" x14ac:dyDescent="0.25">
      <c r="A1126" s="3" t="s">
        <v>3619</v>
      </c>
      <c r="B1126" s="3"/>
      <c r="C1126" s="3" t="s">
        <v>3620</v>
      </c>
      <c r="D1126" s="3" t="s">
        <v>9</v>
      </c>
      <c r="E1126" s="3" t="s">
        <v>3621</v>
      </c>
      <c r="F1126" s="3" t="str">
        <f>"317-506-2229"</f>
        <v>317-506-2229</v>
      </c>
      <c r="G1126" s="3">
        <v>561740</v>
      </c>
      <c r="H1126" s="3" t="s">
        <v>241</v>
      </c>
    </row>
    <row r="1127" spans="1:8" ht="26.25" x14ac:dyDescent="0.25">
      <c r="A1127" s="3" t="s">
        <v>3622</v>
      </c>
      <c r="B1127" s="3"/>
      <c r="C1127" s="3" t="str">
        <f>"We sell herbicides to all size customers - specializing in ROW and state entities"</f>
        <v>We sell herbicides to all size customers - specializing in ROW and state entities</v>
      </c>
      <c r="D1127" s="3" t="s">
        <v>9</v>
      </c>
      <c r="E1127" s="3" t="s">
        <v>46</v>
      </c>
      <c r="F1127" s="2"/>
      <c r="G1127" s="3">
        <v>424690</v>
      </c>
      <c r="H1127" s="3" t="s">
        <v>2494</v>
      </c>
    </row>
    <row r="1128" spans="1:8" ht="26.25" x14ac:dyDescent="0.25">
      <c r="A1128" s="3" t="s">
        <v>3623</v>
      </c>
      <c r="B1128" s="3"/>
      <c r="C1128" s="3" t="str">
        <f>"Service and installation of commercial cooking and refrigeration equipment."</f>
        <v>Service and installation of commercial cooking and refrigeration equipment.</v>
      </c>
      <c r="D1128" s="3" t="s">
        <v>9</v>
      </c>
      <c r="E1128" s="3" t="s">
        <v>3624</v>
      </c>
      <c r="F1128" s="3" t="str">
        <f>"800 956-5568"</f>
        <v>800 956-5568</v>
      </c>
      <c r="G1128" s="3">
        <v>23899</v>
      </c>
      <c r="H1128" s="3" t="s">
        <v>481</v>
      </c>
    </row>
    <row r="1129" spans="1:8" ht="115.5" x14ac:dyDescent="0.25">
      <c r="A1129" s="3" t="s">
        <v>3625</v>
      </c>
      <c r="B1129" s="3"/>
      <c r="C1129" s="3" t="s">
        <v>3626</v>
      </c>
      <c r="D1129" s="3" t="s">
        <v>3627</v>
      </c>
      <c r="E1129" s="3" t="s">
        <v>3628</v>
      </c>
      <c r="F1129" s="3" t="str">
        <f>"3176383515"</f>
        <v>3176383515</v>
      </c>
      <c r="G1129" s="3">
        <v>541990</v>
      </c>
      <c r="H1129" s="3" t="s">
        <v>378</v>
      </c>
    </row>
    <row r="1130" spans="1:8" ht="64.5" x14ac:dyDescent="0.25">
      <c r="A1130" s="3" t="s">
        <v>3629</v>
      </c>
      <c r="B1130" s="3"/>
      <c r="C1130" s="3" t="str">
        <f>"Solid Waste and Recycling Collecton and Disposal Locations in Greensburg, IN (812) 663-6703 Indianapolis, IN (317) 247-6808 Anderson, IN (765) 649-7272 Modoc, IN (765) 853-5714"</f>
        <v>Solid Waste and Recycling Collecton and Disposal Locations in Greensburg, IN (812) 663-6703 Indianapolis, IN (317) 247-6808 Anderson, IN (765) 649-7272 Modoc, IN (765) 853-5714</v>
      </c>
      <c r="D1130" s="3" t="s">
        <v>9</v>
      </c>
      <c r="E1130" s="3" t="s">
        <v>3630</v>
      </c>
      <c r="F1130" s="3" t="str">
        <f>"812-663-6703"</f>
        <v>812-663-6703</v>
      </c>
      <c r="G1130" s="3">
        <v>562111</v>
      </c>
      <c r="H1130" s="3" t="s">
        <v>1818</v>
      </c>
    </row>
    <row r="1131" spans="1:8" ht="51.75" x14ac:dyDescent="0.25">
      <c r="A1131" s="3" t="s">
        <v>3631</v>
      </c>
      <c r="B1131" s="3"/>
      <c r="C1131" s="3" t="str">
        <f>"Lawn Care, Landscaping, Mulch Installation, Fall &amp; Spring clean ups, Gutter Cleaning, Leaf Removal, Snow Removal. Free Estimates Fair Prices!"</f>
        <v>Lawn Care, Landscaping, Mulch Installation, Fall &amp; Spring clean ups, Gutter Cleaning, Leaf Removal, Snow Removal. Free Estimates Fair Prices!</v>
      </c>
      <c r="D1131" s="3" t="s">
        <v>9</v>
      </c>
      <c r="E1131" s="3" t="s">
        <v>3632</v>
      </c>
      <c r="F1131" s="3" t="str">
        <f>"317-374-4578"</f>
        <v>317-374-4578</v>
      </c>
      <c r="G1131" s="3">
        <v>561730</v>
      </c>
      <c r="H1131" s="3" t="s">
        <v>65</v>
      </c>
    </row>
    <row r="1132" spans="1:8" ht="26.25" x14ac:dyDescent="0.25">
      <c r="A1132" s="3" t="s">
        <v>3633</v>
      </c>
      <c r="B1132" s="3"/>
      <c r="C1132" s="3" t="str">
        <f>"My business is a build to lease company. Specializing in full service leasing."</f>
        <v>My business is a build to lease company. Specializing in full service leasing.</v>
      </c>
      <c r="D1132" s="3" t="s">
        <v>9</v>
      </c>
      <c r="E1132" s="3" t="s">
        <v>3634</v>
      </c>
      <c r="F1132" s="3" t="str">
        <f>"574-772-6335"</f>
        <v>574-772-6335</v>
      </c>
      <c r="G1132" s="3">
        <v>531120</v>
      </c>
      <c r="H1132" s="3" t="s">
        <v>2926</v>
      </c>
    </row>
    <row r="1133" spans="1:8" ht="90" x14ac:dyDescent="0.25">
      <c r="A1133" s="3" t="s">
        <v>3635</v>
      </c>
      <c r="B1133" s="3"/>
      <c r="C1133" s="3" t="str">
        <f>"Architectural and movable walls, power and data accessible flooring, office furniture, training room furniture, lab furniture, conference furniture, seating, mezzanines, rental trailers, flexible work space solutions, modular rooms, modular buildings"</f>
        <v>Architectural and movable walls, power and data accessible flooring, office furniture, training room furniture, lab furniture, conference furniture, seating, mezzanines, rental trailers, flexible work space solutions, modular rooms, modular buildings</v>
      </c>
      <c r="D1133" s="3" t="s">
        <v>3636</v>
      </c>
      <c r="E1133" s="3" t="s">
        <v>3637</v>
      </c>
      <c r="F1133" s="3" t="str">
        <f>"317 201-2463"</f>
        <v>317 201-2463</v>
      </c>
      <c r="G1133" s="3">
        <v>23</v>
      </c>
      <c r="H1133" s="3" t="s">
        <v>133</v>
      </c>
    </row>
    <row r="1134" spans="1:8" ht="64.5" x14ac:dyDescent="0.25">
      <c r="A1134" s="3" t="s">
        <v>3638</v>
      </c>
      <c r="B1134" s="3"/>
      <c r="C1134" s="3" t="str">
        <f>"Beth &amp; I Trucking provides hauling of dirt, rock, sand to and from local residential sites and local quarries via triaxial dump truck. All 3 employees live and work in Indiana"</f>
        <v>Beth &amp; I Trucking provides hauling of dirt, rock, sand to and from local residential sites and local quarries via triaxial dump truck. All 3 employees live and work in Indiana</v>
      </c>
      <c r="D1134" s="3" t="s">
        <v>9</v>
      </c>
      <c r="E1134" s="3" t="s">
        <v>3639</v>
      </c>
      <c r="F1134" s="3" t="str">
        <f>"502 643 1988"</f>
        <v>502 643 1988</v>
      </c>
      <c r="G1134" s="3">
        <v>484110</v>
      </c>
      <c r="H1134" s="3" t="s">
        <v>644</v>
      </c>
    </row>
    <row r="1135" spans="1:8" ht="39" x14ac:dyDescent="0.25">
      <c r="A1135" s="3" t="s">
        <v>3640</v>
      </c>
      <c r="B1135" s="3"/>
      <c r="C1135" s="3" t="str">
        <f>"Project Management of municipal and commercial construction and interior and exterior decorating"</f>
        <v>Project Management of municipal and commercial construction and interior and exterior decorating</v>
      </c>
      <c r="D1135" s="3" t="s">
        <v>9</v>
      </c>
      <c r="E1135" s="3" t="s">
        <v>3641</v>
      </c>
      <c r="F1135" s="3" t="str">
        <f>"219 322 1979"</f>
        <v>219 322 1979</v>
      </c>
      <c r="G1135" s="3">
        <v>236220</v>
      </c>
      <c r="H1135" s="3" t="s">
        <v>598</v>
      </c>
    </row>
    <row r="1136" spans="1:8" ht="26.25" x14ac:dyDescent="0.25">
      <c r="A1136" s="3" t="s">
        <v>3642</v>
      </c>
      <c r="B1136" s="3"/>
      <c r="C1136" s="3" t="str">
        <f>"Sell Office Supplies, Furniture, Printed Forms and Checks"</f>
        <v>Sell Office Supplies, Furniture, Printed Forms and Checks</v>
      </c>
      <c r="D1136" s="3" t="s">
        <v>3643</v>
      </c>
      <c r="E1136" s="3" t="s">
        <v>3644</v>
      </c>
      <c r="F1136" s="3" t="str">
        <f>"812-886-9905"</f>
        <v>812-886-9905</v>
      </c>
      <c r="G1136" s="3">
        <v>453210</v>
      </c>
      <c r="H1136" s="3" t="s">
        <v>431</v>
      </c>
    </row>
    <row r="1137" spans="1:8" ht="26.25" x14ac:dyDescent="0.25">
      <c r="A1137" s="3" t="s">
        <v>3645</v>
      </c>
      <c r="B1137" s="3"/>
      <c r="C1137" s="3" t="str">
        <f>"Hauling of bulk crushed stone, sand, gravel and asphalt."</f>
        <v>Hauling of bulk crushed stone, sand, gravel and asphalt.</v>
      </c>
      <c r="D1137" s="3" t="s">
        <v>9</v>
      </c>
      <c r="E1137" s="3" t="s">
        <v>3646</v>
      </c>
      <c r="F1137" s="3" t="str">
        <f>"812-360-5101"</f>
        <v>812-360-5101</v>
      </c>
      <c r="G1137" s="3">
        <v>484</v>
      </c>
      <c r="H1137" s="3" t="s">
        <v>3647</v>
      </c>
    </row>
    <row r="1138" spans="1:8" ht="26.25" x14ac:dyDescent="0.25">
      <c r="A1138" s="3" t="s">
        <v>3648</v>
      </c>
      <c r="B1138" s="3"/>
      <c r="C1138" s="3" t="str">
        <f>"Adoption and child welfare agency"</f>
        <v>Adoption and child welfare agency</v>
      </c>
      <c r="D1138" s="3" t="s">
        <v>3649</v>
      </c>
      <c r="E1138" s="3" t="s">
        <v>3650</v>
      </c>
      <c r="F1138" s="3" t="str">
        <f>"317-578-5000"</f>
        <v>317-578-5000</v>
      </c>
      <c r="G1138" s="3">
        <v>624110</v>
      </c>
      <c r="H1138" s="3" t="s">
        <v>628</v>
      </c>
    </row>
    <row r="1139" spans="1:8" ht="90" x14ac:dyDescent="0.25">
      <c r="A1139" s="3" t="s">
        <v>3651</v>
      </c>
      <c r="B1139" s="3"/>
      <c r="C1139" s="3" t="s">
        <v>3652</v>
      </c>
      <c r="D1139" s="3" t="s">
        <v>9</v>
      </c>
      <c r="E1139" s="3" t="s">
        <v>3653</v>
      </c>
      <c r="F1139" s="3" t="str">
        <f>"219-465-0852"</f>
        <v>219-465-0852</v>
      </c>
      <c r="G1139" s="3">
        <v>621340</v>
      </c>
      <c r="H1139" s="3" t="s">
        <v>987</v>
      </c>
    </row>
    <row r="1140" spans="1:8" ht="294" x14ac:dyDescent="0.25">
      <c r="A1140" s="3" t="s">
        <v>3654</v>
      </c>
      <c r="B1140" s="3"/>
      <c r="C1140" s="3" t="s">
        <v>3655</v>
      </c>
      <c r="D1140" s="3" t="s">
        <v>9</v>
      </c>
      <c r="E1140" s="3" t="s">
        <v>3656</v>
      </c>
      <c r="F1140" s="3" t="str">
        <f>"(317) 409-6205"</f>
        <v>(317) 409-6205</v>
      </c>
      <c r="G1140" s="3">
        <v>541511</v>
      </c>
      <c r="H1140" s="3" t="s">
        <v>122</v>
      </c>
    </row>
    <row r="1141" spans="1:8" ht="141" x14ac:dyDescent="0.25">
      <c r="A1141" s="3" t="s">
        <v>3657</v>
      </c>
      <c r="B1141" s="3"/>
      <c r="C1141" s="3" t="s">
        <v>3658</v>
      </c>
      <c r="D1141" s="3" t="s">
        <v>3659</v>
      </c>
      <c r="E1141" s="3" t="s">
        <v>3660</v>
      </c>
      <c r="F1141" s="3" t="str">
        <f>"574-247-9293"</f>
        <v>574-247-9293</v>
      </c>
      <c r="G1141" s="3">
        <v>722110</v>
      </c>
      <c r="H1141" s="3" t="s">
        <v>1307</v>
      </c>
    </row>
    <row r="1142" spans="1:8" ht="51.75" x14ac:dyDescent="0.25">
      <c r="A1142" s="3" t="s">
        <v>3661</v>
      </c>
      <c r="B1142" s="3"/>
      <c r="C1142" s="3" t="str">
        <f>"We sell lumber, windows, doors, paint, stain, plumbing, tools, electrical, shingles, metal, paneling, nails, screws, anything for a home, we stock or can order."</f>
        <v>We sell lumber, windows, doors, paint, stain, plumbing, tools, electrical, shingles, metal, paneling, nails, screws, anything for a home, we stock or can order.</v>
      </c>
      <c r="D1142" s="3" t="s">
        <v>3662</v>
      </c>
      <c r="E1142" s="3" t="s">
        <v>3663</v>
      </c>
      <c r="F1142" s="3" t="str">
        <f>"812-481-9400"</f>
        <v>812-481-9400</v>
      </c>
      <c r="G1142" s="3">
        <v>444190</v>
      </c>
      <c r="H1142" s="3" t="s">
        <v>1188</v>
      </c>
    </row>
    <row r="1143" spans="1:8" ht="64.5" x14ac:dyDescent="0.25">
      <c r="A1143" s="3" t="s">
        <v>3664</v>
      </c>
      <c r="B1143" s="3"/>
      <c r="C1143" s="3" t="str">
        <f>"Healthcare provider for the elderly population in DeKalb County, Indiana since 1955. 115 skilled/intermediate beds available in a facility located on a 17 acre site."</f>
        <v>Healthcare provider for the elderly population in DeKalb County, Indiana since 1955. 115 skilled/intermediate beds available in a facility located on a 17 acre site.</v>
      </c>
      <c r="D1143" s="3" t="s">
        <v>3665</v>
      </c>
      <c r="E1143" s="3" t="s">
        <v>3666</v>
      </c>
      <c r="F1143" s="3" t="str">
        <f>"260-925-3814"</f>
        <v>260-925-3814</v>
      </c>
      <c r="G1143" s="3">
        <v>623110</v>
      </c>
      <c r="H1143" s="3" t="s">
        <v>1876</v>
      </c>
    </row>
    <row r="1144" spans="1:8" ht="51.75" x14ac:dyDescent="0.25">
      <c r="A1144" s="3" t="s">
        <v>3667</v>
      </c>
      <c r="B1144" s="3"/>
      <c r="C1144" s="3" t="str">
        <f>"Customer service driven manufacturer of widgets and assemblies (plastics and EPDM) primarily serving the automotive industry."</f>
        <v>Customer service driven manufacturer of widgets and assemblies (plastics and EPDM) primarily serving the automotive industry.</v>
      </c>
      <c r="D1144" s="3" t="s">
        <v>9</v>
      </c>
      <c r="E1144" s="3" t="s">
        <v>3668</v>
      </c>
      <c r="F1144" s="3" t="str">
        <f>"219-764-4885"</f>
        <v>219-764-4885</v>
      </c>
      <c r="G1144" s="3">
        <v>3262</v>
      </c>
      <c r="H1144" s="3" t="s">
        <v>3669</v>
      </c>
    </row>
    <row r="1145" spans="1:8" x14ac:dyDescent="0.25">
      <c r="A1145" s="3" t="s">
        <v>3670</v>
      </c>
      <c r="B1145" s="3"/>
      <c r="C1145" s="3" t="str">
        <f>" "</f>
        <v xml:space="preserve"> </v>
      </c>
      <c r="D1145" s="3" t="s">
        <v>9</v>
      </c>
      <c r="E1145" s="3" t="s">
        <v>46</v>
      </c>
      <c r="F1145" s="2"/>
      <c r="G1145" s="3">
        <v>238140</v>
      </c>
      <c r="H1145" s="3" t="s">
        <v>1830</v>
      </c>
    </row>
    <row r="1146" spans="1:8" ht="64.5" x14ac:dyDescent="0.25">
      <c r="A1146" s="3" t="s">
        <v>3671</v>
      </c>
      <c r="B1146" s="3"/>
      <c r="C1146" s="3" t="str">
        <f>"I provide Drug Prevention Programs for youth ages 10 to 14 years old and also facilitate Preparing for the Drug Free Years sessions for parents of children 9 to 12 years old."</f>
        <v>I provide Drug Prevention Programs for youth ages 10 to 14 years old and also facilitate Preparing for the Drug Free Years sessions for parents of children 9 to 12 years old.</v>
      </c>
      <c r="D1146" s="3" t="s">
        <v>9</v>
      </c>
      <c r="E1146" s="3" t="s">
        <v>3672</v>
      </c>
      <c r="F1146" s="3" t="str">
        <f>"812-280-8525"</f>
        <v>812-280-8525</v>
      </c>
      <c r="G1146" s="3">
        <v>61</v>
      </c>
      <c r="H1146" s="3" t="s">
        <v>140</v>
      </c>
    </row>
    <row r="1147" spans="1:8" ht="230.25" x14ac:dyDescent="0.25">
      <c r="A1147" s="3" t="s">
        <v>3673</v>
      </c>
      <c r="B1147" s="3"/>
      <c r="C1147" s="3" t="s">
        <v>3674</v>
      </c>
      <c r="D1147" s="3" t="s">
        <v>3675</v>
      </c>
      <c r="E1147" s="3" t="s">
        <v>3676</v>
      </c>
      <c r="F1147" s="3" t="str">
        <f>"765-346-3269"</f>
        <v>765-346-3269</v>
      </c>
      <c r="G1147" s="3">
        <v>61143</v>
      </c>
      <c r="H1147" s="3" t="s">
        <v>1224</v>
      </c>
    </row>
    <row r="1148" spans="1:8" ht="102.75" x14ac:dyDescent="0.25">
      <c r="A1148" s="3" t="s">
        <v>3677</v>
      </c>
      <c r="B1148" s="3"/>
      <c r="C1148" s="3" t="s">
        <v>3678</v>
      </c>
      <c r="D1148" s="3" t="s">
        <v>9</v>
      </c>
      <c r="E1148" s="3" t="s">
        <v>3679</v>
      </c>
      <c r="F1148" s="3" t="str">
        <f>"260 -482-4750"</f>
        <v>260 -482-4750</v>
      </c>
      <c r="G1148" s="3">
        <v>541214</v>
      </c>
      <c r="H1148" s="3" t="s">
        <v>3680</v>
      </c>
    </row>
    <row r="1149" spans="1:8" ht="64.5" x14ac:dyDescent="0.25">
      <c r="A1149" s="3" t="s">
        <v>3681</v>
      </c>
      <c r="B1149" s="3"/>
      <c r="C1149" s="3" t="str">
        <f>"This firm is 100% woman owned. I provide graphic design and writing services as well as printing. I also provide resume preparation and career consulting. In business since 1988."</f>
        <v>This firm is 100% woman owned. I provide graphic design and writing services as well as printing. I also provide resume preparation and career consulting. In business since 1988.</v>
      </c>
      <c r="D1149" s="3" t="s">
        <v>9</v>
      </c>
      <c r="E1149" s="3" t="s">
        <v>3682</v>
      </c>
      <c r="F1149" s="3" t="str">
        <f>"317-241-5773"</f>
        <v>317-241-5773</v>
      </c>
      <c r="G1149" s="3">
        <v>541430</v>
      </c>
      <c r="H1149" s="3" t="s">
        <v>78</v>
      </c>
    </row>
    <row r="1150" spans="1:8" ht="39" x14ac:dyDescent="0.25">
      <c r="A1150" s="3" t="s">
        <v>3683</v>
      </c>
      <c r="B1150" s="3"/>
      <c r="C1150" s="3" t="str">
        <f>"Providing commercial and residential landscaping, snow removal and janitorial services."</f>
        <v>Providing commercial and residential landscaping, snow removal and janitorial services.</v>
      </c>
      <c r="D1150" s="3" t="s">
        <v>3684</v>
      </c>
      <c r="E1150" s="3" t="s">
        <v>3685</v>
      </c>
      <c r="F1150" s="3" t="str">
        <f>"317-283-8773"</f>
        <v>317-283-8773</v>
      </c>
      <c r="G1150" s="3">
        <v>56173</v>
      </c>
      <c r="H1150" s="3" t="s">
        <v>65</v>
      </c>
    </row>
    <row r="1151" spans="1:8" ht="306.75" x14ac:dyDescent="0.25">
      <c r="A1151" s="3" t="s">
        <v>3686</v>
      </c>
      <c r="B1151" s="3"/>
      <c r="C1151" s="3" t="s">
        <v>3687</v>
      </c>
      <c r="D1151" s="3" t="s">
        <v>9</v>
      </c>
      <c r="E1151" s="3" t="s">
        <v>3688</v>
      </c>
      <c r="F1151" s="3" t="str">
        <f>"317-545-1704"</f>
        <v>317-545-1704</v>
      </c>
      <c r="G1151" s="3">
        <v>484220</v>
      </c>
      <c r="H1151" s="3" t="s">
        <v>11</v>
      </c>
    </row>
    <row r="1152" spans="1:8" ht="294" x14ac:dyDescent="0.25">
      <c r="A1152" s="3" t="s">
        <v>3689</v>
      </c>
      <c r="B1152" s="3"/>
      <c r="C1152" s="3" t="s">
        <v>3690</v>
      </c>
      <c r="D1152" s="3" t="s">
        <v>3691</v>
      </c>
      <c r="E1152" s="3" t="s">
        <v>3692</v>
      </c>
      <c r="F1152" s="3" t="str">
        <f>"8123052482"</f>
        <v>8123052482</v>
      </c>
      <c r="G1152" s="3">
        <v>561730</v>
      </c>
      <c r="H1152" s="3" t="s">
        <v>65</v>
      </c>
    </row>
    <row r="1153" spans="1:8" ht="26.25" x14ac:dyDescent="0.25">
      <c r="A1153" s="3" t="s">
        <v>3693</v>
      </c>
      <c r="B1153" s="3"/>
      <c r="C1153" s="3" t="str">
        <f>"Retail lumber and building materials"</f>
        <v>Retail lumber and building materials</v>
      </c>
      <c r="D1153" s="3" t="s">
        <v>3694</v>
      </c>
      <c r="E1153" s="3" t="s">
        <v>46</v>
      </c>
      <c r="F1153" s="3" t="str">
        <f>"260-347-3050"</f>
        <v>260-347-3050</v>
      </c>
      <c r="G1153" s="3">
        <v>444190</v>
      </c>
      <c r="H1153" s="3" t="s">
        <v>1188</v>
      </c>
    </row>
    <row r="1154" spans="1:8" ht="26.25" x14ac:dyDescent="0.25">
      <c r="A1154" s="3" t="s">
        <v>3695</v>
      </c>
      <c r="B1154" s="3"/>
      <c r="C1154" s="3" t="str">
        <f>"WHOLESALE &amp; RETAIL PLUMBING &amp; ELECTRICAL SUPPLIES. WILL DELIVER LOCALLY."</f>
        <v>WHOLESALE &amp; RETAIL PLUMBING &amp; ELECTRICAL SUPPLIES. WILL DELIVER LOCALLY.</v>
      </c>
      <c r="D1154" s="3" t="s">
        <v>9</v>
      </c>
      <c r="E1154" s="3" t="s">
        <v>46</v>
      </c>
      <c r="F1154" s="3" t="str">
        <f>"812-256-6495"</f>
        <v>812-256-6495</v>
      </c>
      <c r="G1154" s="3">
        <v>42172</v>
      </c>
      <c r="H1154" s="3" t="s">
        <v>3003</v>
      </c>
    </row>
    <row r="1155" spans="1:8" ht="39" x14ac:dyDescent="0.25">
      <c r="A1155" s="3" t="s">
        <v>3696</v>
      </c>
      <c r="B1155" s="3"/>
      <c r="C1155" s="3" t="str">
        <f>"Design and general contractor specializing in residential and small commercial construction."</f>
        <v>Design and general contractor specializing in residential and small commercial construction.</v>
      </c>
      <c r="D1155" s="3" t="s">
        <v>9</v>
      </c>
      <c r="E1155" s="3" t="s">
        <v>3697</v>
      </c>
      <c r="F1155" s="3" t="str">
        <f>"812-883-4384"</f>
        <v>812-883-4384</v>
      </c>
      <c r="G1155" s="3">
        <v>23611</v>
      </c>
      <c r="H1155" s="3" t="s">
        <v>3466</v>
      </c>
    </row>
    <row r="1156" spans="1:8" ht="204.75" x14ac:dyDescent="0.25">
      <c r="A1156" s="3" t="s">
        <v>3698</v>
      </c>
      <c r="B1156" s="3"/>
      <c r="C1156" s="3" t="s">
        <v>3699</v>
      </c>
      <c r="D1156" s="3" t="s">
        <v>3700</v>
      </c>
      <c r="E1156" s="3" t="s">
        <v>3701</v>
      </c>
      <c r="F1156" s="3" t="str">
        <f>"866-966-6984"</f>
        <v>866-966-6984</v>
      </c>
      <c r="G1156" s="3">
        <v>81131</v>
      </c>
      <c r="H1156" s="3" t="s">
        <v>1895</v>
      </c>
    </row>
    <row r="1157" spans="1:8" ht="102.75" x14ac:dyDescent="0.25">
      <c r="A1157" s="3" t="s">
        <v>3702</v>
      </c>
      <c r="B1157" s="3"/>
      <c r="C1157" s="3" t="s">
        <v>3703</v>
      </c>
      <c r="D1157" s="3" t="s">
        <v>3704</v>
      </c>
      <c r="E1157" s="3" t="s">
        <v>3705</v>
      </c>
      <c r="F1157" s="3" t="str">
        <f>"317-965-5369"</f>
        <v>317-965-5369</v>
      </c>
      <c r="G1157" s="3">
        <v>454390</v>
      </c>
      <c r="H1157" s="3" t="s">
        <v>1348</v>
      </c>
    </row>
    <row r="1158" spans="1:8" ht="26.25" x14ac:dyDescent="0.25">
      <c r="A1158" s="3" t="s">
        <v>3706</v>
      </c>
      <c r="B1158" s="3"/>
      <c r="C1158" s="3" t="str">
        <f>"Commercial painting and wallcovering contractor"</f>
        <v>Commercial painting and wallcovering contractor</v>
      </c>
      <c r="D1158" s="3" t="s">
        <v>3707</v>
      </c>
      <c r="E1158" s="3" t="s">
        <v>3708</v>
      </c>
      <c r="F1158" s="3" t="str">
        <f>"3176320363"</f>
        <v>3176320363</v>
      </c>
      <c r="G1158" s="3">
        <v>238320</v>
      </c>
      <c r="H1158" s="3" t="s">
        <v>462</v>
      </c>
    </row>
    <row r="1159" spans="1:8" ht="39" x14ac:dyDescent="0.25">
      <c r="A1159" s="3" t="s">
        <v>3709</v>
      </c>
      <c r="B1159" s="3"/>
      <c r="C1159" s="3" t="str">
        <f>"Franchised Ford-Lincoln-Mercury dealership. Full line service, parts and body shop."</f>
        <v>Franchised Ford-Lincoln-Mercury dealership. Full line service, parts and body shop.</v>
      </c>
      <c r="D1159" s="3" t="s">
        <v>3710</v>
      </c>
      <c r="E1159" s="3" t="s">
        <v>3711</v>
      </c>
      <c r="F1159" s="3" t="str">
        <f>"765 289 0431"</f>
        <v>765 289 0431</v>
      </c>
      <c r="G1159" s="3">
        <v>441110</v>
      </c>
      <c r="H1159" s="3" t="s">
        <v>2588</v>
      </c>
    </row>
    <row r="1160" spans="1:8" ht="26.25" x14ac:dyDescent="0.25">
      <c r="A1160" s="3" t="s">
        <v>3712</v>
      </c>
      <c r="B1160" s="3"/>
      <c r="C1160" s="3" t="str">
        <f>"Trucking business ."</f>
        <v>Trucking business .</v>
      </c>
      <c r="D1160" s="3" t="s">
        <v>9</v>
      </c>
      <c r="E1160" s="3" t="s">
        <v>3713</v>
      </c>
      <c r="F1160" s="3" t="str">
        <f>"8123465545"</f>
        <v>8123465545</v>
      </c>
      <c r="G1160" s="3">
        <v>484110</v>
      </c>
      <c r="H1160" s="3" t="s">
        <v>644</v>
      </c>
    </row>
    <row r="1161" spans="1:8" ht="102.75" x14ac:dyDescent="0.25">
      <c r="A1161" s="3" t="s">
        <v>3714</v>
      </c>
      <c r="B1161" s="3"/>
      <c r="C1161" s="3" t="s">
        <v>3715</v>
      </c>
      <c r="D1161" s="3" t="s">
        <v>3716</v>
      </c>
      <c r="E1161" s="3" t="s">
        <v>3717</v>
      </c>
      <c r="F1161" s="3" t="str">
        <f>"219-567-2002"</f>
        <v>219-567-2002</v>
      </c>
      <c r="G1161" s="3">
        <v>444210</v>
      </c>
      <c r="H1161" s="3" t="s">
        <v>392</v>
      </c>
    </row>
    <row r="1162" spans="1:8" ht="39" x14ac:dyDescent="0.25">
      <c r="A1162" s="3" t="s">
        <v>3718</v>
      </c>
      <c r="B1162" s="3"/>
      <c r="C1162" s="3" t="str">
        <f>"We sell , service, and repair golf cars. We also carry a full line of parts for Club Cars plus other makes and model of golf cars."</f>
        <v>We sell , service, and repair golf cars. We also carry a full line of parts for Club Cars plus other makes and model of golf cars.</v>
      </c>
      <c r="D1162" s="3" t="s">
        <v>3719</v>
      </c>
      <c r="E1162" s="3" t="s">
        <v>3720</v>
      </c>
      <c r="F1162" s="3" t="str">
        <f>"317-831-4283"</f>
        <v>317-831-4283</v>
      </c>
      <c r="G1162" s="3">
        <v>441229</v>
      </c>
      <c r="H1162" s="3" t="s">
        <v>3721</v>
      </c>
    </row>
    <row r="1163" spans="1:8" ht="90" x14ac:dyDescent="0.25">
      <c r="A1163" s="3" t="s">
        <v>3722</v>
      </c>
      <c r="B1163" s="3"/>
      <c r="C1163" s="3" t="s">
        <v>3723</v>
      </c>
      <c r="D1163" s="3" t="s">
        <v>3724</v>
      </c>
      <c r="E1163" s="3" t="s">
        <v>3725</v>
      </c>
      <c r="F1163" s="3" t="str">
        <f>"317-927=7004"</f>
        <v>317-927=7004</v>
      </c>
      <c r="G1163" s="3">
        <v>541910</v>
      </c>
      <c r="H1163" s="3" t="s">
        <v>510</v>
      </c>
    </row>
    <row r="1164" spans="1:8" ht="77.25" x14ac:dyDescent="0.25">
      <c r="A1164" s="3" t="s">
        <v>3726</v>
      </c>
      <c r="B1164" s="3"/>
      <c r="C1164" s="3" t="str">
        <f>"We have been in business for 13 years in historic Madison, In. We are a custom framing shop specializing in custom framing installations of multiple framing in hopitals, colleges, and government facilities."</f>
        <v>We have been in business for 13 years in historic Madison, In. We are a custom framing shop specializing in custom framing installations of multiple framing in hopitals, colleges, and government facilities.</v>
      </c>
      <c r="D1164" s="3" t="s">
        <v>3727</v>
      </c>
      <c r="E1164" s="3" t="s">
        <v>3728</v>
      </c>
      <c r="F1164" s="3" t="str">
        <f>"812-273-3873"</f>
        <v>812-273-3873</v>
      </c>
      <c r="G1164" s="3">
        <v>442299</v>
      </c>
      <c r="H1164" s="3" t="s">
        <v>951</v>
      </c>
    </row>
    <row r="1165" spans="1:8" ht="166.5" x14ac:dyDescent="0.25">
      <c r="A1165" s="3" t="s">
        <v>3729</v>
      </c>
      <c r="B1165" s="3"/>
      <c r="C1165" s="3" t="s">
        <v>3730</v>
      </c>
      <c r="D1165" s="3" t="s">
        <v>3731</v>
      </c>
      <c r="E1165" s="3" t="s">
        <v>3732</v>
      </c>
      <c r="F1165" s="3" t="str">
        <f>"8129611700"</f>
        <v>8129611700</v>
      </c>
      <c r="G1165" s="3">
        <v>541710</v>
      </c>
      <c r="H1165" s="3" t="s">
        <v>3733</v>
      </c>
    </row>
    <row r="1166" spans="1:8" ht="153.75" x14ac:dyDescent="0.25">
      <c r="A1166" s="3" t="s">
        <v>3734</v>
      </c>
      <c r="B1166" s="3"/>
      <c r="C1166" s="3" t="s">
        <v>3735</v>
      </c>
      <c r="D1166" s="3" t="s">
        <v>3736</v>
      </c>
      <c r="E1166" s="3" t="s">
        <v>3737</v>
      </c>
      <c r="F1166" s="3" t="str">
        <f>"800-444-5951"</f>
        <v>800-444-5951</v>
      </c>
      <c r="G1166" s="3">
        <v>44611</v>
      </c>
      <c r="H1166" s="3" t="s">
        <v>3738</v>
      </c>
    </row>
    <row r="1167" spans="1:8" ht="26.25" x14ac:dyDescent="0.25">
      <c r="A1167" s="3" t="s">
        <v>3739</v>
      </c>
      <c r="B1167" s="3"/>
      <c r="C1167" s="3" t="str">
        <f>"Air and water purification systems and single source filter supplier."</f>
        <v>Air and water purification systems and single source filter supplier.</v>
      </c>
      <c r="D1167" s="3" t="s">
        <v>9</v>
      </c>
      <c r="E1167" s="3" t="s">
        <v>46</v>
      </c>
      <c r="F1167" s="3" t="str">
        <f>"317-769-3903"</f>
        <v>317-769-3903</v>
      </c>
      <c r="G1167" s="3">
        <v>333411</v>
      </c>
      <c r="H1167" s="3" t="s">
        <v>3130</v>
      </c>
    </row>
    <row r="1168" spans="1:8" ht="102.75" x14ac:dyDescent="0.25">
      <c r="A1168" s="3" t="s">
        <v>3740</v>
      </c>
      <c r="B1168" s="3"/>
      <c r="C1168" s="3" t="s">
        <v>3741</v>
      </c>
      <c r="D1168" s="3" t="s">
        <v>3742</v>
      </c>
      <c r="E1168" s="3" t="s">
        <v>3743</v>
      </c>
      <c r="F1168" s="3" t="str">
        <f>"317-417-6199"</f>
        <v>317-417-6199</v>
      </c>
      <c r="G1168" s="3">
        <v>23</v>
      </c>
      <c r="H1168" s="3" t="s">
        <v>133</v>
      </c>
    </row>
    <row r="1169" spans="1:8" x14ac:dyDescent="0.25">
      <c r="A1169" s="3" t="s">
        <v>3744</v>
      </c>
      <c r="B1169" s="3"/>
      <c r="C1169" s="3" t="str">
        <f>" "</f>
        <v xml:space="preserve"> </v>
      </c>
      <c r="D1169" s="3" t="s">
        <v>3745</v>
      </c>
      <c r="E1169" s="3" t="s">
        <v>46</v>
      </c>
      <c r="F1169" s="2"/>
      <c r="G1169" s="3">
        <v>311812</v>
      </c>
      <c r="H1169" s="3" t="s">
        <v>1752</v>
      </c>
    </row>
    <row r="1170" spans="1:8" ht="166.5" x14ac:dyDescent="0.25">
      <c r="A1170" s="3" t="s">
        <v>3746</v>
      </c>
      <c r="B1170" s="3"/>
      <c r="C1170" s="3" t="s">
        <v>3747</v>
      </c>
      <c r="D1170" s="3" t="s">
        <v>3748</v>
      </c>
      <c r="E1170" s="3" t="s">
        <v>3749</v>
      </c>
      <c r="F1170" s="3" t="str">
        <f>"317-663-8571"</f>
        <v>317-663-8571</v>
      </c>
      <c r="G1170" s="3">
        <v>485320</v>
      </c>
      <c r="H1170" s="3" t="s">
        <v>3750</v>
      </c>
    </row>
    <row r="1171" spans="1:8" ht="26.25" x14ac:dyDescent="0.25">
      <c r="A1171" s="3" t="s">
        <v>3751</v>
      </c>
      <c r="B1171" s="3"/>
      <c r="C1171" s="3" t="str">
        <f>"Motivational speaker for young girls/teens and associated audience."</f>
        <v>Motivational speaker for young girls/teens and associated audience.</v>
      </c>
      <c r="D1171" s="3" t="s">
        <v>9</v>
      </c>
      <c r="E1171" s="3" t="s">
        <v>46</v>
      </c>
      <c r="F1171" s="3" t="str">
        <f>"317 968-8653"</f>
        <v>317 968-8653</v>
      </c>
      <c r="G1171" s="3">
        <v>711510</v>
      </c>
      <c r="H1171" s="3" t="s">
        <v>1980</v>
      </c>
    </row>
    <row r="1172" spans="1:8" ht="39" x14ac:dyDescent="0.25">
      <c r="A1172" s="3" t="s">
        <v>3752</v>
      </c>
      <c r="B1172" s="3"/>
      <c r="C1172" s="3" t="str">
        <f>"Steel erectors, fabricators, certified welding, signatory with Iron Workers Local 22. Structural and miscellaneous steel."</f>
        <v>Steel erectors, fabricators, certified welding, signatory with Iron Workers Local 22. Structural and miscellaneous steel.</v>
      </c>
      <c r="D1172" s="3" t="s">
        <v>9</v>
      </c>
      <c r="E1172" s="3" t="s">
        <v>3753</v>
      </c>
      <c r="F1172" s="3" t="str">
        <f>"317-831-0800"</f>
        <v>317-831-0800</v>
      </c>
      <c r="G1172" s="3">
        <v>2362</v>
      </c>
      <c r="H1172" s="3" t="s">
        <v>423</v>
      </c>
    </row>
    <row r="1173" spans="1:8" ht="51.75" x14ac:dyDescent="0.25">
      <c r="A1173" s="3" t="s">
        <v>3754</v>
      </c>
      <c r="B1173" s="3"/>
      <c r="C1173" s="3" t="str">
        <f>"Global Water Solutions specializes in design, engineering and operation of high purity water systems for industrial applications."</f>
        <v>Global Water Solutions specializes in design, engineering and operation of high purity water systems for industrial applications.</v>
      </c>
      <c r="D1173" s="3" t="s">
        <v>3755</v>
      </c>
      <c r="E1173" s="3" t="s">
        <v>3756</v>
      </c>
      <c r="F1173" s="3" t="str">
        <f>"317-843-0428"</f>
        <v>317-843-0428</v>
      </c>
      <c r="G1173" s="3">
        <v>541330</v>
      </c>
      <c r="H1173" s="3" t="s">
        <v>82</v>
      </c>
    </row>
    <row r="1174" spans="1:8" ht="115.5" x14ac:dyDescent="0.25">
      <c r="A1174" s="3" t="s">
        <v>3757</v>
      </c>
      <c r="B1174" s="3"/>
      <c r="C1174" s="3" t="s">
        <v>3758</v>
      </c>
      <c r="D1174" s="3" t="s">
        <v>3759</v>
      </c>
      <c r="E1174" s="3" t="s">
        <v>3760</v>
      </c>
      <c r="F1174" s="3" t="str">
        <f>"317-388-9162"</f>
        <v>317-388-9162</v>
      </c>
      <c r="G1174" s="3">
        <v>541430</v>
      </c>
      <c r="H1174" s="3" t="s">
        <v>78</v>
      </c>
    </row>
    <row r="1175" spans="1:8" ht="64.5" x14ac:dyDescent="0.25">
      <c r="A1175" s="3" t="s">
        <v>3761</v>
      </c>
      <c r="B1175" s="3"/>
      <c r="C1175" s="3" t="str">
        <f>"Selling uniforms,pants ,jackets ,shirts, badges, boots, nylon and leather gear. bullet proof vests,hats ,gloves embroidered items polo shirts ,coveralls fire -retardent clothing,"</f>
        <v>Selling uniforms,pants ,jackets ,shirts, badges, boots, nylon and leather gear. bullet proof vests,hats ,gloves embroidered items polo shirts ,coveralls fire -retardent clothing,</v>
      </c>
      <c r="D1175" s="3" t="s">
        <v>9</v>
      </c>
      <c r="E1175" s="3" t="s">
        <v>3762</v>
      </c>
      <c r="F1175" s="3" t="str">
        <f>"219-405-0833"</f>
        <v>219-405-0833</v>
      </c>
      <c r="G1175" s="3">
        <v>44</v>
      </c>
      <c r="H1175" s="3" t="s">
        <v>574</v>
      </c>
    </row>
    <row r="1176" spans="1:8" ht="39" x14ac:dyDescent="0.25">
      <c r="A1176" s="3" t="s">
        <v>3763</v>
      </c>
      <c r="B1176" s="3"/>
      <c r="C1176" s="3" t="str">
        <f>"PC Maintenance, Network Design, Website Design and Hosting, Database Creation, Software Training."</f>
        <v>PC Maintenance, Network Design, Website Design and Hosting, Database Creation, Software Training.</v>
      </c>
      <c r="D1176" s="3" t="s">
        <v>9</v>
      </c>
      <c r="E1176" s="3" t="s">
        <v>3764</v>
      </c>
      <c r="F1176" s="3" t="str">
        <f>"317-441-3892"</f>
        <v>317-441-3892</v>
      </c>
      <c r="G1176" s="3">
        <v>5415</v>
      </c>
      <c r="H1176" s="3" t="s">
        <v>188</v>
      </c>
    </row>
    <row r="1177" spans="1:8" ht="141" x14ac:dyDescent="0.25">
      <c r="A1177" s="3" t="s">
        <v>3765</v>
      </c>
      <c r="B1177" s="3"/>
      <c r="C1177" s="3" t="s">
        <v>3766</v>
      </c>
      <c r="D1177" s="3" t="s">
        <v>9</v>
      </c>
      <c r="E1177" s="3" t="s">
        <v>3767</v>
      </c>
      <c r="F1177" s="3" t="str">
        <f>"317-835-7221"</f>
        <v>317-835-7221</v>
      </c>
      <c r="G1177" s="3">
        <v>541990</v>
      </c>
      <c r="H1177" s="3" t="s">
        <v>378</v>
      </c>
    </row>
    <row r="1178" spans="1:8" ht="115.5" x14ac:dyDescent="0.25">
      <c r="A1178" s="3" t="s">
        <v>3768</v>
      </c>
      <c r="B1178" s="3"/>
      <c r="C1178" s="3" t="s">
        <v>3769</v>
      </c>
      <c r="D1178" s="3" t="s">
        <v>3770</v>
      </c>
      <c r="E1178" s="3" t="s">
        <v>3771</v>
      </c>
      <c r="F1178" s="3" t="str">
        <f>"7654478700"</f>
        <v>7654478700</v>
      </c>
      <c r="G1178" s="3">
        <v>621511</v>
      </c>
      <c r="H1178" s="3" t="s">
        <v>1240</v>
      </c>
    </row>
    <row r="1179" spans="1:8" ht="77.25" x14ac:dyDescent="0.25">
      <c r="A1179" s="3" t="s">
        <v>3772</v>
      </c>
      <c r="B1179" s="3"/>
      <c r="C1179" s="3" t="str">
        <f>"Blackburn Architects Inc. is a full-service architectural design, interior design, space planning and public art consulting firm. We are 100% women- and minority-owned with certifications from the State of Indiana and the City of Indianapolis."</f>
        <v>Blackburn Architects Inc. is a full-service architectural design, interior design, space planning and public art consulting firm. We are 100% women- and minority-owned with certifications from the State of Indiana and the City of Indianapolis.</v>
      </c>
      <c r="D1179" s="3" t="s">
        <v>3773</v>
      </c>
      <c r="E1179" s="3" t="s">
        <v>3774</v>
      </c>
      <c r="F1179" s="3" t="str">
        <f>"317-875-5500"</f>
        <v>317-875-5500</v>
      </c>
      <c r="G1179" s="3">
        <v>541310</v>
      </c>
      <c r="H1179" s="3" t="s">
        <v>446</v>
      </c>
    </row>
    <row r="1180" spans="1:8" ht="102.75" x14ac:dyDescent="0.25">
      <c r="A1180" s="3" t="s">
        <v>3775</v>
      </c>
      <c r="B1180" s="3"/>
      <c r="C1180" s="3" t="s">
        <v>3776</v>
      </c>
      <c r="D1180" s="3" t="s">
        <v>3777</v>
      </c>
      <c r="E1180" s="3" t="s">
        <v>3778</v>
      </c>
      <c r="F1180" s="3" t="str">
        <f>"3172630707"</f>
        <v>3172630707</v>
      </c>
      <c r="G1180" s="3">
        <v>238160</v>
      </c>
      <c r="H1180" s="3" t="s">
        <v>144</v>
      </c>
    </row>
    <row r="1181" spans="1:8" ht="77.25" x14ac:dyDescent="0.25">
      <c r="A1181" s="3" t="s">
        <v>3779</v>
      </c>
      <c r="B1181" s="3"/>
      <c r="C1181" s="3" t="str">
        <f>"Critical Infrastructure technical consulting services. Exercise planning, execution, and evaluation. Nuclear, chemical, biological threat training and support. Command, control and communications training and support."</f>
        <v>Critical Infrastructure technical consulting services. Exercise planning, execution, and evaluation. Nuclear, chemical, biological threat training and support. Command, control and communications training and support.</v>
      </c>
      <c r="D1181" s="3" t="s">
        <v>3780</v>
      </c>
      <c r="E1181" s="3" t="s">
        <v>3781</v>
      </c>
      <c r="F1181" s="3" t="str">
        <f>"812-241-9493"</f>
        <v>812-241-9493</v>
      </c>
      <c r="G1181" s="3">
        <v>928110</v>
      </c>
      <c r="H1181" s="3" t="s">
        <v>3782</v>
      </c>
    </row>
    <row r="1182" spans="1:8" ht="26.25" x14ac:dyDescent="0.25">
      <c r="A1182" s="3" t="s">
        <v>3783</v>
      </c>
      <c r="B1182" s="3"/>
      <c r="C1182" s="3" t="str">
        <f>"Certified Public Accountant in the Speedway area."</f>
        <v>Certified Public Accountant in the Speedway area.</v>
      </c>
      <c r="D1182" s="3" t="s">
        <v>9</v>
      </c>
      <c r="E1182" s="3" t="s">
        <v>3784</v>
      </c>
      <c r="F1182" s="3" t="str">
        <f>"317-247-5195"</f>
        <v>317-247-5195</v>
      </c>
      <c r="G1182" s="3">
        <v>541211</v>
      </c>
      <c r="H1182" s="3" t="s">
        <v>337</v>
      </c>
    </row>
    <row r="1183" spans="1:8" ht="26.25" x14ac:dyDescent="0.25">
      <c r="A1183" s="3" t="s">
        <v>3785</v>
      </c>
      <c r="B1183" s="3"/>
      <c r="C1183" s="3" t="str">
        <f>"electrical contracting and emergency service"</f>
        <v>electrical contracting and emergency service</v>
      </c>
      <c r="D1183" s="3" t="s">
        <v>9</v>
      </c>
      <c r="E1183" s="3" t="s">
        <v>3786</v>
      </c>
      <c r="F1183" s="3" t="str">
        <f>"812-720-1261"</f>
        <v>812-720-1261</v>
      </c>
      <c r="G1183" s="3">
        <v>238210</v>
      </c>
      <c r="H1183" s="3" t="s">
        <v>306</v>
      </c>
    </row>
    <row r="1184" spans="1:8" ht="26.25" x14ac:dyDescent="0.25">
      <c r="A1184" s="3" t="s">
        <v>3787</v>
      </c>
      <c r="B1184" s="3"/>
      <c r="C1184" s="2"/>
      <c r="D1184" s="3" t="s">
        <v>9</v>
      </c>
      <c r="E1184" s="3" t="s">
        <v>46</v>
      </c>
      <c r="F1184" s="3" t="str">
        <f>"842-9600"</f>
        <v>842-9600</v>
      </c>
      <c r="G1184" s="3">
        <v>23332</v>
      </c>
      <c r="H1184" s="3" t="s">
        <v>598</v>
      </c>
    </row>
    <row r="1185" spans="1:8" ht="26.25" x14ac:dyDescent="0.25">
      <c r="A1185" s="3" t="s">
        <v>3788</v>
      </c>
      <c r="B1185" s="3"/>
      <c r="C1185" s="3" t="str">
        <f>"Public Involvement, Business Consulting, and Engineering Services"</f>
        <v>Public Involvement, Business Consulting, and Engineering Services</v>
      </c>
      <c r="D1185" s="3" t="s">
        <v>3789</v>
      </c>
      <c r="E1185" s="3" t="s">
        <v>3790</v>
      </c>
      <c r="F1185" s="3" t="str">
        <f>"317 453-2026"</f>
        <v>317 453-2026</v>
      </c>
      <c r="G1185" s="3">
        <v>541820</v>
      </c>
      <c r="H1185" s="3" t="s">
        <v>795</v>
      </c>
    </row>
    <row r="1186" spans="1:8" ht="90" x14ac:dyDescent="0.25">
      <c r="A1186" s="3" t="s">
        <v>3791</v>
      </c>
      <c r="B1186" s="3"/>
      <c r="C1186" s="3" t="s">
        <v>3792</v>
      </c>
      <c r="D1186" s="3" t="s">
        <v>3793</v>
      </c>
      <c r="E1186" s="3" t="s">
        <v>3794</v>
      </c>
      <c r="F1186" s="3" t="str">
        <f>"812-845-2717"</f>
        <v>812-845-2717</v>
      </c>
      <c r="G1186" s="3">
        <v>237990</v>
      </c>
      <c r="H1186" s="3" t="s">
        <v>2631</v>
      </c>
    </row>
    <row r="1187" spans="1:8" ht="294" x14ac:dyDescent="0.25">
      <c r="A1187" s="3" t="s">
        <v>3795</v>
      </c>
      <c r="B1187" s="3"/>
      <c r="C1187" s="3" t="s">
        <v>3796</v>
      </c>
      <c r="D1187" s="3" t="s">
        <v>3797</v>
      </c>
      <c r="E1187" s="3" t="s">
        <v>3798</v>
      </c>
      <c r="F1187" s="3" t="str">
        <f>"317-748-7293"</f>
        <v>317-748-7293</v>
      </c>
      <c r="G1187" s="3">
        <v>541519</v>
      </c>
      <c r="H1187" s="3" t="s">
        <v>898</v>
      </c>
    </row>
    <row r="1188" spans="1:8" ht="90" x14ac:dyDescent="0.25">
      <c r="A1188" s="3" t="s">
        <v>3799</v>
      </c>
      <c r="B1188" s="3"/>
      <c r="C1188" s="3" t="s">
        <v>3800</v>
      </c>
      <c r="D1188" s="3" t="s">
        <v>9</v>
      </c>
      <c r="E1188" s="3" t="s">
        <v>46</v>
      </c>
      <c r="F1188" s="2"/>
      <c r="G1188" s="3">
        <v>332996</v>
      </c>
      <c r="H1188" s="3" t="s">
        <v>3801</v>
      </c>
    </row>
    <row r="1189" spans="1:8" ht="243" x14ac:dyDescent="0.25">
      <c r="A1189" s="3" t="s">
        <v>3802</v>
      </c>
      <c r="B1189" s="3"/>
      <c r="C1189" s="3" t="s">
        <v>3803</v>
      </c>
      <c r="D1189" s="3" t="s">
        <v>9</v>
      </c>
      <c r="E1189" s="3" t="s">
        <v>3804</v>
      </c>
      <c r="F1189" s="3" t="str">
        <f>"317-821-4750"</f>
        <v>317-821-4750</v>
      </c>
      <c r="G1189" s="3">
        <v>541350</v>
      </c>
      <c r="H1189" s="3" t="s">
        <v>1784</v>
      </c>
    </row>
    <row r="1190" spans="1:8" ht="141" x14ac:dyDescent="0.25">
      <c r="A1190" s="3" t="s">
        <v>3805</v>
      </c>
      <c r="B1190" s="3"/>
      <c r="C1190" s="3" t="s">
        <v>3806</v>
      </c>
      <c r="D1190" s="3" t="s">
        <v>3807</v>
      </c>
      <c r="E1190" s="3" t="s">
        <v>3808</v>
      </c>
      <c r="F1190" s="3" t="str">
        <f>"812-336-8277"</f>
        <v>812-336-8277</v>
      </c>
      <c r="G1190" s="3">
        <v>541370</v>
      </c>
      <c r="H1190" s="3" t="s">
        <v>160</v>
      </c>
    </row>
    <row r="1191" spans="1:8" ht="243" x14ac:dyDescent="0.25">
      <c r="A1191" s="3" t="s">
        <v>3809</v>
      </c>
      <c r="B1191" s="3"/>
      <c r="C1191" s="3" t="s">
        <v>3810</v>
      </c>
      <c r="D1191" s="3" t="s">
        <v>9</v>
      </c>
      <c r="E1191" s="3" t="s">
        <v>3811</v>
      </c>
      <c r="F1191" s="3" t="str">
        <f>"260-481-5855"</f>
        <v>260-481-5855</v>
      </c>
      <c r="G1191" s="3">
        <v>442291</v>
      </c>
      <c r="H1191" s="3" t="s">
        <v>3812</v>
      </c>
    </row>
    <row r="1192" spans="1:8" ht="26.25" x14ac:dyDescent="0.25">
      <c r="A1192" s="3" t="s">
        <v>3813</v>
      </c>
      <c r="B1192" s="3"/>
      <c r="C1192" s="3" t="str">
        <f>"Fresh baked hand decorated logo, event and photo cookies."</f>
        <v>Fresh baked hand decorated logo, event and photo cookies.</v>
      </c>
      <c r="D1192" s="3" t="s">
        <v>3814</v>
      </c>
      <c r="E1192" s="3" t="s">
        <v>3815</v>
      </c>
      <c r="F1192" s="3" t="str">
        <f>"3179856046"</f>
        <v>3179856046</v>
      </c>
      <c r="G1192" s="3">
        <v>311</v>
      </c>
      <c r="H1192" s="3" t="s">
        <v>3816</v>
      </c>
    </row>
    <row r="1193" spans="1:8" ht="51.75" x14ac:dyDescent="0.25">
      <c r="A1193" s="3" t="s">
        <v>3817</v>
      </c>
      <c r="B1193" s="3"/>
      <c r="C1193" s="3" t="str">
        <f>"Multi-franchise automobile dealership specializing in selling and servicing Subaru's, Nissan's, Audi's, Volkswagen's, Lincoln's, Mercury's, and used vehicles."</f>
        <v>Multi-franchise automobile dealership specializing in selling and servicing Subaru's, Nissan's, Audi's, Volkswagen's, Lincoln's, Mercury's, and used vehicles.</v>
      </c>
      <c r="D1193" s="3" t="s">
        <v>3818</v>
      </c>
      <c r="E1193" s="3" t="s">
        <v>3819</v>
      </c>
      <c r="F1193" s="3" t="str">
        <f>"8123323333"</f>
        <v>8123323333</v>
      </c>
      <c r="G1193" s="3">
        <v>4411</v>
      </c>
      <c r="H1193" s="3" t="s">
        <v>1015</v>
      </c>
    </row>
    <row r="1194" spans="1:8" ht="115.5" x14ac:dyDescent="0.25">
      <c r="A1194" s="3" t="s">
        <v>3820</v>
      </c>
      <c r="B1194" s="3"/>
      <c r="C1194" s="3" t="s">
        <v>3821</v>
      </c>
      <c r="D1194" s="3" t="s">
        <v>3822</v>
      </c>
      <c r="E1194" s="3" t="s">
        <v>3823</v>
      </c>
      <c r="F1194" s="3" t="str">
        <f>"812-331-2200"</f>
        <v>812-331-2200</v>
      </c>
      <c r="G1194" s="3">
        <v>4411</v>
      </c>
      <c r="H1194" s="3" t="s">
        <v>1015</v>
      </c>
    </row>
    <row r="1195" spans="1:8" ht="128.25" x14ac:dyDescent="0.25">
      <c r="A1195" s="3" t="s">
        <v>3824</v>
      </c>
      <c r="B1195" s="3"/>
      <c r="C1195" s="3" t="s">
        <v>3825</v>
      </c>
      <c r="D1195" s="3" t="s">
        <v>3826</v>
      </c>
      <c r="E1195" s="3" t="s">
        <v>46</v>
      </c>
      <c r="F1195" s="3" t="str">
        <f>"812-723-2811"</f>
        <v>812-723-2811</v>
      </c>
      <c r="G1195" s="3">
        <v>622110</v>
      </c>
      <c r="H1195" s="3" t="s">
        <v>3335</v>
      </c>
    </row>
    <row r="1196" spans="1:8" ht="102.75" x14ac:dyDescent="0.25">
      <c r="A1196" s="3" t="s">
        <v>3827</v>
      </c>
      <c r="B1196" s="3"/>
      <c r="C1196" s="3" t="s">
        <v>3828</v>
      </c>
      <c r="D1196" s="3" t="s">
        <v>3829</v>
      </c>
      <c r="E1196" s="3" t="s">
        <v>3830</v>
      </c>
      <c r="F1196" s="3" t="str">
        <f>"812-961-8831"</f>
        <v>812-961-8831</v>
      </c>
      <c r="G1196" s="3">
        <v>811212</v>
      </c>
      <c r="H1196" s="3" t="s">
        <v>1632</v>
      </c>
    </row>
    <row r="1197" spans="1:8" ht="115.5" x14ac:dyDescent="0.25">
      <c r="A1197" s="3" t="s">
        <v>3831</v>
      </c>
      <c r="B1197" s="3"/>
      <c r="C1197" s="3" t="s">
        <v>3832</v>
      </c>
      <c r="D1197" s="3" t="s">
        <v>3833</v>
      </c>
      <c r="E1197" s="3" t="s">
        <v>3834</v>
      </c>
      <c r="F1197" s="3" t="str">
        <f>"812-336-3372"</f>
        <v>812-336-3372</v>
      </c>
      <c r="G1197" s="3">
        <v>238220</v>
      </c>
      <c r="H1197" s="3" t="s">
        <v>348</v>
      </c>
    </row>
    <row r="1198" spans="1:8" ht="26.25" x14ac:dyDescent="0.25">
      <c r="A1198" s="3" t="s">
        <v>3835</v>
      </c>
      <c r="B1198" s="3"/>
      <c r="C1198" s="2"/>
      <c r="D1198" s="3" t="s">
        <v>3836</v>
      </c>
      <c r="E1198" s="3" t="s">
        <v>3837</v>
      </c>
      <c r="F1198" s="3" t="str">
        <f>"317-848-8920"</f>
        <v>317-848-8920</v>
      </c>
      <c r="G1198" s="3">
        <v>541211</v>
      </c>
      <c r="H1198" s="3" t="s">
        <v>337</v>
      </c>
    </row>
    <row r="1199" spans="1:8" ht="115.5" x14ac:dyDescent="0.25">
      <c r="A1199" s="3" t="s">
        <v>3838</v>
      </c>
      <c r="B1199" s="3"/>
      <c r="C1199" s="3" t="s">
        <v>3839</v>
      </c>
      <c r="D1199" s="3" t="s">
        <v>3840</v>
      </c>
      <c r="E1199" s="3" t="s">
        <v>3841</v>
      </c>
      <c r="F1199" s="3" t="str">
        <f>"317-374-8802"</f>
        <v>317-374-8802</v>
      </c>
      <c r="G1199" s="3">
        <v>512110</v>
      </c>
      <c r="H1199" s="3" t="s">
        <v>406</v>
      </c>
    </row>
    <row r="1200" spans="1:8" ht="77.25" x14ac:dyDescent="0.25">
      <c r="A1200" s="3" t="s">
        <v>3842</v>
      </c>
      <c r="B1200" s="3"/>
      <c r="C1200" s="3" t="str">
        <f>"Distributor of Cleaning Supplies, equipment and paper products. Professional Development Training and Consulting- Professional trainer, customizing workshops and seminars for individuals, employee groups and management."</f>
        <v>Distributor of Cleaning Supplies, equipment and paper products. Professional Development Training and Consulting- Professional trainer, customizing workshops and seminars for individuals, employee groups and management.</v>
      </c>
      <c r="D1200" s="3" t="s">
        <v>9</v>
      </c>
      <c r="E1200" s="3" t="s">
        <v>3843</v>
      </c>
      <c r="F1200" s="3" t="str">
        <f>"317-698-1664"</f>
        <v>317-698-1664</v>
      </c>
      <c r="G1200" s="3">
        <v>611430</v>
      </c>
      <c r="H1200" s="3" t="s">
        <v>1224</v>
      </c>
    </row>
    <row r="1201" spans="1:8" ht="268.5" x14ac:dyDescent="0.25">
      <c r="A1201" s="3" t="s">
        <v>3844</v>
      </c>
      <c r="B1201" s="3"/>
      <c r="C1201" s="3" t="s">
        <v>3845</v>
      </c>
      <c r="D1201" s="3" t="s">
        <v>3846</v>
      </c>
      <c r="E1201" s="3" t="s">
        <v>3847</v>
      </c>
      <c r="F1201" s="3" t="str">
        <f>"317-573-2583"</f>
        <v>317-573-2583</v>
      </c>
      <c r="G1201" s="3">
        <v>541511</v>
      </c>
      <c r="H1201" s="3" t="s">
        <v>122</v>
      </c>
    </row>
    <row r="1202" spans="1:8" ht="90" x14ac:dyDescent="0.25">
      <c r="A1202" s="3" t="s">
        <v>3848</v>
      </c>
      <c r="B1202" s="3"/>
      <c r="C1202" s="3" t="s">
        <v>3849</v>
      </c>
      <c r="D1202" s="3" t="s">
        <v>3850</v>
      </c>
      <c r="E1202" s="3" t="s">
        <v>3851</v>
      </c>
      <c r="F1202" s="3" t="str">
        <f>"317-536-6161"</f>
        <v>317-536-6161</v>
      </c>
      <c r="G1202" s="3">
        <v>541320</v>
      </c>
      <c r="H1202" s="3" t="s">
        <v>2241</v>
      </c>
    </row>
    <row r="1203" spans="1:8" ht="26.25" x14ac:dyDescent="0.25">
      <c r="A1203" s="3" t="s">
        <v>3852</v>
      </c>
      <c r="B1203" s="3"/>
      <c r="C1203" s="3" t="str">
        <f>"Ornamental metal and structural steel fabricators and installers."</f>
        <v>Ornamental metal and structural steel fabricators and installers.</v>
      </c>
      <c r="D1203" s="3" t="s">
        <v>9</v>
      </c>
      <c r="E1203" s="3" t="s">
        <v>3853</v>
      </c>
      <c r="F1203" s="3" t="str">
        <f>"317-870-8171"</f>
        <v>317-870-8171</v>
      </c>
      <c r="G1203" s="3">
        <v>332323</v>
      </c>
      <c r="H1203" s="3" t="s">
        <v>3854</v>
      </c>
    </row>
    <row r="1204" spans="1:8" ht="39" x14ac:dyDescent="0.25">
      <c r="A1204" s="3" t="s">
        <v>3855</v>
      </c>
      <c r="B1204" s="3"/>
      <c r="C1204" s="3" t="str">
        <f>"Wholesale container grown perennial nursery offering over 400 varieties of perennials, ornamental grasses and ferns."</f>
        <v>Wholesale container grown perennial nursery offering over 400 varieties of perennials, ornamental grasses and ferns.</v>
      </c>
      <c r="D1204" s="3" t="s">
        <v>3856</v>
      </c>
      <c r="E1204" s="3" t="s">
        <v>3857</v>
      </c>
      <c r="F1204" s="3" t="str">
        <f>"765-675-2413"</f>
        <v>765-675-2413</v>
      </c>
      <c r="G1204" s="3">
        <v>11142</v>
      </c>
      <c r="H1204" s="3" t="s">
        <v>3858</v>
      </c>
    </row>
    <row r="1205" spans="1:8" ht="26.25" x14ac:dyDescent="0.25">
      <c r="A1205" s="3" t="s">
        <v>3859</v>
      </c>
      <c r="B1205" s="3"/>
      <c r="C1205" s="3" t="str">
        <f>"Blue Mountain Company, Inc. is a distributor of food service equipment."</f>
        <v>Blue Mountain Company, Inc. is a distributor of food service equipment.</v>
      </c>
      <c r="D1205" s="3" t="s">
        <v>9</v>
      </c>
      <c r="E1205" s="3" t="s">
        <v>3860</v>
      </c>
      <c r="F1205" s="3" t="str">
        <f>"317-644-7810"</f>
        <v>317-644-7810</v>
      </c>
      <c r="G1205" s="3">
        <v>423990</v>
      </c>
      <c r="H1205" s="3" t="s">
        <v>983</v>
      </c>
    </row>
    <row r="1206" spans="1:8" ht="39" x14ac:dyDescent="0.25">
      <c r="A1206" s="3" t="s">
        <v>3861</v>
      </c>
      <c r="B1206" s="3"/>
      <c r="C1206" s="3" t="str">
        <f>"Deep Clean Restrooms, Ceramic and VCT cleaning, waxing, stripping, maintenance. General janitorial services also provided."</f>
        <v>Deep Clean Restrooms, Ceramic and VCT cleaning, waxing, stripping, maintenance. General janitorial services also provided.</v>
      </c>
      <c r="D1206" s="3" t="s">
        <v>3862</v>
      </c>
      <c r="E1206" s="3" t="s">
        <v>3863</v>
      </c>
      <c r="F1206" s="3" t="str">
        <f>"317-576-XCEL (9235)"</f>
        <v>317-576-XCEL (9235)</v>
      </c>
      <c r="G1206" s="3">
        <v>561720</v>
      </c>
      <c r="H1206" s="3" t="s">
        <v>222</v>
      </c>
    </row>
    <row r="1207" spans="1:8" ht="294" x14ac:dyDescent="0.25">
      <c r="A1207" s="3" t="s">
        <v>3864</v>
      </c>
      <c r="B1207" s="3"/>
      <c r="C1207" s="3" t="s">
        <v>3865</v>
      </c>
      <c r="D1207" s="3" t="s">
        <v>3866</v>
      </c>
      <c r="E1207" s="3" t="s">
        <v>3867</v>
      </c>
      <c r="F1207" s="3" t="str">
        <f>"1-888-234-3212"</f>
        <v>1-888-234-3212</v>
      </c>
      <c r="G1207" s="3">
        <v>511210</v>
      </c>
      <c r="H1207" s="3" t="s">
        <v>315</v>
      </c>
    </row>
    <row r="1208" spans="1:8" ht="102.75" x14ac:dyDescent="0.25">
      <c r="A1208" s="3" t="s">
        <v>3868</v>
      </c>
      <c r="B1208" s="3"/>
      <c r="C1208" s="3" t="s">
        <v>3869</v>
      </c>
      <c r="D1208" s="3" t="s">
        <v>3870</v>
      </c>
      <c r="E1208" s="3" t="s">
        <v>3871</v>
      </c>
      <c r="F1208" s="3" t="str">
        <f>"765-742-6976"</f>
        <v>765-742-6976</v>
      </c>
      <c r="G1208" s="3">
        <v>561439</v>
      </c>
      <c r="H1208" s="3" t="s">
        <v>3872</v>
      </c>
    </row>
    <row r="1209" spans="1:8" ht="51.75" x14ac:dyDescent="0.25">
      <c r="A1209" s="3" t="s">
        <v>3873</v>
      </c>
      <c r="B1209" s="3"/>
      <c r="C1209" s="3" t="str">
        <f>"Career and technical education to Shelby County high school students. Adult education classes and testing for the High School Equivalency exam."</f>
        <v>Career and technical education to Shelby County high school students. Adult education classes and testing for the High School Equivalency exam.</v>
      </c>
      <c r="D1209" s="3" t="s">
        <v>3874</v>
      </c>
      <c r="E1209" s="3" t="s">
        <v>3875</v>
      </c>
      <c r="F1209" s="3" t="str">
        <f>"317-392-4191"</f>
        <v>317-392-4191</v>
      </c>
      <c r="G1209" s="3">
        <v>611110</v>
      </c>
      <c r="H1209" s="3" t="s">
        <v>3876</v>
      </c>
    </row>
    <row r="1210" spans="1:8" ht="26.25" x14ac:dyDescent="0.25">
      <c r="A1210" s="3" t="s">
        <v>3877</v>
      </c>
      <c r="B1210" s="3"/>
      <c r="C1210" s="3" t="str">
        <f>"Transmission repair."</f>
        <v>Transmission repair.</v>
      </c>
      <c r="D1210" s="3" t="s">
        <v>9</v>
      </c>
      <c r="E1210" s="3" t="s">
        <v>46</v>
      </c>
      <c r="F1210" s="3" t="str">
        <f>"812-526-7933"</f>
        <v>812-526-7933</v>
      </c>
      <c r="G1210" s="3">
        <v>811111</v>
      </c>
      <c r="H1210" s="3" t="s">
        <v>2383</v>
      </c>
    </row>
    <row r="1211" spans="1:8" ht="64.5" x14ac:dyDescent="0.25">
      <c r="A1211" s="3" t="s">
        <v>3878</v>
      </c>
      <c r="B1211" s="3"/>
      <c r="C1211" s="3" t="str">
        <f>"Blue River Services, Inc. is a non-profit organization that provides several fee generating services, such as screen printing, janitorial services and janitorial cleaning supplies."</f>
        <v>Blue River Services, Inc. is a non-profit organization that provides several fee generating services, such as screen printing, janitorial services and janitorial cleaning supplies.</v>
      </c>
      <c r="D1211" s="3" t="s">
        <v>3879</v>
      </c>
      <c r="E1211" s="3" t="s">
        <v>3880</v>
      </c>
      <c r="F1211" s="3" t="str">
        <f>"812-738-2408"</f>
        <v>812-738-2408</v>
      </c>
      <c r="G1211" s="3">
        <v>323113</v>
      </c>
      <c r="H1211" s="3" t="s">
        <v>1606</v>
      </c>
    </row>
    <row r="1212" spans="1:8" ht="102.75" x14ac:dyDescent="0.25">
      <c r="A1212" s="3" t="s">
        <v>3881</v>
      </c>
      <c r="B1212" s="3"/>
      <c r="C1212" s="3" t="s">
        <v>3882</v>
      </c>
      <c r="D1212" s="3" t="s">
        <v>3883</v>
      </c>
      <c r="E1212" s="3" t="s">
        <v>3884</v>
      </c>
      <c r="F1212" s="3" t="str">
        <f>"812-381-9061"</f>
        <v>812-381-9061</v>
      </c>
      <c r="G1212" s="3">
        <v>541330</v>
      </c>
      <c r="H1212" s="3" t="s">
        <v>82</v>
      </c>
    </row>
    <row r="1213" spans="1:8" ht="51.75" x14ac:dyDescent="0.25">
      <c r="A1213" s="3" t="s">
        <v>3885</v>
      </c>
      <c r="B1213" s="3"/>
      <c r="C1213" s="3" t="str">
        <f>"Bluebird is a custom logistics firm and remains the only 100% minority owned and certified firm in its marketspace with a worldwide footprint."</f>
        <v>Bluebird is a custom logistics firm and remains the only 100% minority owned and certified firm in its marketspace with a worldwide footprint.</v>
      </c>
      <c r="D1213" s="3" t="s">
        <v>3886</v>
      </c>
      <c r="E1213" s="3" t="s">
        <v>3887</v>
      </c>
      <c r="F1213" s="3" t="str">
        <f>"832-257-5584"</f>
        <v>832-257-5584</v>
      </c>
      <c r="G1213" s="3">
        <v>541614</v>
      </c>
      <c r="H1213" s="3" t="s">
        <v>107</v>
      </c>
    </row>
    <row r="1214" spans="1:8" ht="26.25" x14ac:dyDescent="0.25">
      <c r="A1214" s="3" t="s">
        <v>3888</v>
      </c>
      <c r="B1214" s="3"/>
      <c r="C1214" s="3" t="str">
        <f>"Wireless life-cycle management"</f>
        <v>Wireless life-cycle management</v>
      </c>
      <c r="D1214" s="3" t="s">
        <v>3889</v>
      </c>
      <c r="E1214" s="3" t="s">
        <v>46</v>
      </c>
      <c r="F1214" s="3" t="str">
        <f>"317.733.8300"</f>
        <v>317.733.8300</v>
      </c>
      <c r="G1214" s="3">
        <v>443112</v>
      </c>
      <c r="H1214" s="3" t="s">
        <v>3890</v>
      </c>
    </row>
    <row r="1215" spans="1:8" ht="179.25" x14ac:dyDescent="0.25">
      <c r="A1215" s="3" t="s">
        <v>3891</v>
      </c>
      <c r="B1215" s="3"/>
      <c r="C1215" s="3" t="s">
        <v>3892</v>
      </c>
      <c r="D1215" s="3" t="s">
        <v>3893</v>
      </c>
      <c r="E1215" s="3" t="s">
        <v>3894</v>
      </c>
      <c r="F1215" s="3" t="str">
        <f>"608-826-7400"</f>
        <v>608-826-7400</v>
      </c>
      <c r="G1215" s="3">
        <v>335122</v>
      </c>
      <c r="H1215" s="3" t="s">
        <v>3895</v>
      </c>
    </row>
    <row r="1216" spans="1:8" ht="64.5" x14ac:dyDescent="0.25">
      <c r="A1216" s="3" t="s">
        <v>3896</v>
      </c>
      <c r="B1216" s="3"/>
      <c r="C1216" s="3" t="str">
        <f>"MediaSauce is a marketing communications firm specializing in sales and marketing strategy, storytelling and rich online media to help businesses and organizations grow top line revenue."</f>
        <v>MediaSauce is a marketing communications firm specializing in sales and marketing strategy, storytelling and rich online media to help businesses and organizations grow top line revenue.</v>
      </c>
      <c r="D1216" s="3" t="s">
        <v>3897</v>
      </c>
      <c r="E1216" s="3" t="s">
        <v>3898</v>
      </c>
      <c r="F1216" s="3" t="str">
        <f>"317-806-1000"</f>
        <v>317-806-1000</v>
      </c>
      <c r="G1216" s="3">
        <v>541990</v>
      </c>
      <c r="H1216" s="3" t="s">
        <v>378</v>
      </c>
    </row>
    <row r="1217" spans="1:8" ht="115.5" x14ac:dyDescent="0.25">
      <c r="A1217" s="3" t="s">
        <v>3899</v>
      </c>
      <c r="B1217" s="3"/>
      <c r="C1217" s="3" t="s">
        <v>3900</v>
      </c>
      <c r="D1217" s="3" t="s">
        <v>9</v>
      </c>
      <c r="E1217" s="3" t="s">
        <v>3901</v>
      </c>
      <c r="F1217" s="3" t="str">
        <f>"317-902-7423"</f>
        <v>317-902-7423</v>
      </c>
      <c r="G1217" s="3">
        <v>561730</v>
      </c>
      <c r="H1217" s="3" t="s">
        <v>65</v>
      </c>
    </row>
    <row r="1218" spans="1:8" ht="128.25" x14ac:dyDescent="0.25">
      <c r="A1218" s="3" t="s">
        <v>3902</v>
      </c>
      <c r="B1218" s="3"/>
      <c r="C1218" s="3" t="s">
        <v>3903</v>
      </c>
      <c r="D1218" s="3" t="s">
        <v>3904</v>
      </c>
      <c r="E1218" s="3" t="s">
        <v>3905</v>
      </c>
      <c r="F1218" s="3" t="str">
        <f>"317-216-7606"</f>
        <v>317-216-7606</v>
      </c>
      <c r="G1218" s="3">
        <v>333991</v>
      </c>
      <c r="H1218" s="3" t="s">
        <v>3906</v>
      </c>
    </row>
    <row r="1219" spans="1:8" ht="26.25" x14ac:dyDescent="0.25">
      <c r="A1219" s="3" t="s">
        <v>3907</v>
      </c>
      <c r="B1219" s="3"/>
      <c r="C1219" s="3" t="str">
        <f>"Executive branch of the Monroe County, Indiana Government."</f>
        <v>Executive branch of the Monroe County, Indiana Government.</v>
      </c>
      <c r="D1219" s="3" t="s">
        <v>3908</v>
      </c>
      <c r="E1219" s="3" t="s">
        <v>3909</v>
      </c>
      <c r="F1219" s="3" t="str">
        <f>"812-349-2550"</f>
        <v>812-349-2550</v>
      </c>
      <c r="G1219" s="3">
        <v>624110</v>
      </c>
      <c r="H1219" s="3" t="s">
        <v>628</v>
      </c>
    </row>
    <row r="1220" spans="1:8" ht="26.25" x14ac:dyDescent="0.25">
      <c r="A1220" s="3" t="s">
        <v>3910</v>
      </c>
      <c r="B1220" s="3"/>
      <c r="C1220" s="3" t="str">
        <f>"Interior and exterior home renovation and remodeling."</f>
        <v>Interior and exterior home renovation and remodeling.</v>
      </c>
      <c r="D1220" s="3" t="s">
        <v>3911</v>
      </c>
      <c r="E1220" s="3" t="s">
        <v>3912</v>
      </c>
      <c r="F1220" s="3" t="str">
        <f>"317-289-0561"</f>
        <v>317-289-0561</v>
      </c>
      <c r="G1220" s="3">
        <v>236118</v>
      </c>
      <c r="H1220" s="3" t="s">
        <v>465</v>
      </c>
    </row>
    <row r="1221" spans="1:8" ht="64.5" x14ac:dyDescent="0.25">
      <c r="A1221" s="3" t="s">
        <v>3913</v>
      </c>
      <c r="B1221" s="3"/>
      <c r="C1221" s="3" t="str">
        <f>"Bob Block Fitness Equipment provides commercial fitness equipment, fitness equipment service &amp; maintenance, fitness room flooring, fitness room design, and other related items to all regions of Indiana."</f>
        <v>Bob Block Fitness Equipment provides commercial fitness equipment, fitness equipment service &amp; maintenance, fitness room flooring, fitness room design, and other related items to all regions of Indiana.</v>
      </c>
      <c r="D1221" s="3" t="s">
        <v>3914</v>
      </c>
      <c r="E1221" s="3" t="s">
        <v>3915</v>
      </c>
      <c r="F1221" s="3" t="str">
        <f>"800-852-4168"</f>
        <v>800-852-4168</v>
      </c>
      <c r="G1221" s="3">
        <v>7139</v>
      </c>
      <c r="H1221" s="3" t="s">
        <v>3916</v>
      </c>
    </row>
    <row r="1222" spans="1:8" ht="102.75" x14ac:dyDescent="0.25">
      <c r="A1222" s="3" t="s">
        <v>3917</v>
      </c>
      <c r="B1222" s="3"/>
      <c r="C1222" s="3" t="s">
        <v>3918</v>
      </c>
      <c r="D1222" s="3" t="s">
        <v>3919</v>
      </c>
      <c r="E1222" s="3" t="s">
        <v>3920</v>
      </c>
      <c r="F1222" s="3" t="str">
        <f>"765-689-7000"</f>
        <v>765-689-7000</v>
      </c>
      <c r="G1222" s="3">
        <v>441110</v>
      </c>
      <c r="H1222" s="3" t="s">
        <v>2588</v>
      </c>
    </row>
    <row r="1223" spans="1:8" ht="26.25" x14ac:dyDescent="0.25">
      <c r="A1223" s="3" t="s">
        <v>3921</v>
      </c>
      <c r="B1223" s="3"/>
      <c r="C1223" s="3" t="str">
        <f>"General contractor."</f>
        <v>General contractor.</v>
      </c>
      <c r="D1223" s="3" t="s">
        <v>9</v>
      </c>
      <c r="E1223" s="3" t="s">
        <v>46</v>
      </c>
      <c r="F1223" s="3" t="str">
        <f>"1-812-346-3038"</f>
        <v>1-812-346-3038</v>
      </c>
      <c r="G1223" s="3">
        <v>233</v>
      </c>
      <c r="H1223" s="3" t="s">
        <v>131</v>
      </c>
    </row>
    <row r="1224" spans="1:8" ht="26.25" x14ac:dyDescent="0.25">
      <c r="A1224" s="3" t="s">
        <v>3922</v>
      </c>
      <c r="B1224" s="3"/>
      <c r="C1224" s="3" t="str">
        <f>"Security Guard Service"</f>
        <v>Security Guard Service</v>
      </c>
      <c r="D1224" s="3" t="s">
        <v>9</v>
      </c>
      <c r="E1224" s="3" t="s">
        <v>3923</v>
      </c>
      <c r="F1224" s="3" t="str">
        <f>"574-255-4040"</f>
        <v>574-255-4040</v>
      </c>
      <c r="G1224" s="3">
        <v>561612</v>
      </c>
      <c r="H1224" s="3" t="s">
        <v>362</v>
      </c>
    </row>
    <row r="1225" spans="1:8" ht="26.25" x14ac:dyDescent="0.25">
      <c r="A1225" s="3" t="s">
        <v>3924</v>
      </c>
      <c r="B1225" s="3"/>
      <c r="C1225" s="3" t="str">
        <f>"Custom build countertops for homes and businesses. Also sell and install cabinetry."</f>
        <v>Custom build countertops for homes and businesses. Also sell and install cabinetry.</v>
      </c>
      <c r="D1225" s="3" t="s">
        <v>9</v>
      </c>
      <c r="E1225" s="3" t="s">
        <v>46</v>
      </c>
      <c r="F1225" s="2"/>
      <c r="G1225" s="3">
        <v>238990</v>
      </c>
      <c r="H1225" s="3" t="s">
        <v>481</v>
      </c>
    </row>
    <row r="1226" spans="1:8" ht="153.75" x14ac:dyDescent="0.25">
      <c r="A1226" s="3" t="s">
        <v>3925</v>
      </c>
      <c r="B1226" s="3"/>
      <c r="C1226" s="3" t="s">
        <v>3926</v>
      </c>
      <c r="D1226" s="3" t="s">
        <v>9</v>
      </c>
      <c r="E1226" s="3" t="s">
        <v>3927</v>
      </c>
      <c r="F1226" s="3" t="str">
        <f>"812-346-3319"</f>
        <v>812-346-3319</v>
      </c>
      <c r="G1226" s="3">
        <v>23599</v>
      </c>
      <c r="H1226" s="3" t="s">
        <v>248</v>
      </c>
    </row>
    <row r="1227" spans="1:8" ht="26.25" x14ac:dyDescent="0.25">
      <c r="A1227" s="3" t="s">
        <v>3928</v>
      </c>
      <c r="B1227" s="3"/>
      <c r="C1227" s="3" t="str">
        <f>"Real Estate Owner/Landlord"</f>
        <v>Real Estate Owner/Landlord</v>
      </c>
      <c r="D1227" s="3" t="s">
        <v>9</v>
      </c>
      <c r="E1227" s="3" t="s">
        <v>3929</v>
      </c>
      <c r="F1227" s="3" t="str">
        <f>"317-916-5500"</f>
        <v>317-916-5500</v>
      </c>
      <c r="G1227" s="3">
        <v>531120</v>
      </c>
      <c r="H1227" s="3" t="s">
        <v>2926</v>
      </c>
    </row>
    <row r="1228" spans="1:8" ht="51.75" x14ac:dyDescent="0.25">
      <c r="A1228" s="3" t="s">
        <v>3930</v>
      </c>
      <c r="B1228" s="3"/>
      <c r="C1228" s="3" t="str">
        <f>"Furniture &amp; floorcovering supplier. We offer commercial &amp; residential products. Professional delivery &amp; installation available."</f>
        <v>Furniture &amp; floorcovering supplier. We offer commercial &amp; residential products. Professional delivery &amp; installation available.</v>
      </c>
      <c r="D1228" s="3" t="s">
        <v>9</v>
      </c>
      <c r="E1228" s="3" t="s">
        <v>3931</v>
      </c>
      <c r="F1228" s="3" t="str">
        <f>"812-482-6477"</f>
        <v>812-482-6477</v>
      </c>
      <c r="G1228" s="3">
        <v>442110</v>
      </c>
      <c r="H1228" s="3" t="s">
        <v>117</v>
      </c>
    </row>
    <row r="1229" spans="1:8" ht="243" x14ac:dyDescent="0.25">
      <c r="A1229" s="3" t="s">
        <v>3932</v>
      </c>
      <c r="B1229" s="3"/>
      <c r="C1229" s="3" t="s">
        <v>3933</v>
      </c>
      <c r="D1229" s="3" t="s">
        <v>3934</v>
      </c>
      <c r="E1229" s="3" t="s">
        <v>3935</v>
      </c>
      <c r="F1229" s="3" t="str">
        <f>"317-602-7137"</f>
        <v>317-602-7137</v>
      </c>
      <c r="G1229" s="3">
        <v>541990</v>
      </c>
      <c r="H1229" s="3" t="s">
        <v>378</v>
      </c>
    </row>
    <row r="1230" spans="1:8" ht="243" x14ac:dyDescent="0.25">
      <c r="A1230" s="3" t="s">
        <v>3936</v>
      </c>
      <c r="B1230" s="3"/>
      <c r="C1230" s="3" t="s">
        <v>3937</v>
      </c>
      <c r="D1230" s="3" t="s">
        <v>3934</v>
      </c>
      <c r="E1230" s="3" t="s">
        <v>3935</v>
      </c>
      <c r="F1230" s="3" t="str">
        <f>"317-602-7137"</f>
        <v>317-602-7137</v>
      </c>
      <c r="G1230" s="3">
        <v>541990</v>
      </c>
      <c r="H1230" s="3" t="s">
        <v>378</v>
      </c>
    </row>
    <row r="1231" spans="1:8" ht="39" x14ac:dyDescent="0.25">
      <c r="A1231" s="3" t="s">
        <v>3938</v>
      </c>
      <c r="B1231" s="3"/>
      <c r="C1231" s="3" t="str">
        <f>"Technology consulting- includes data and voice networks, storage, networks, and network security"</f>
        <v>Technology consulting- includes data and voice networks, storage, networks, and network security</v>
      </c>
      <c r="D1231" s="3" t="s">
        <v>3939</v>
      </c>
      <c r="E1231" s="3" t="s">
        <v>3940</v>
      </c>
      <c r="F1231" s="3" t="str">
        <f>"502-271-2100"</f>
        <v>502-271-2100</v>
      </c>
      <c r="G1231" s="3">
        <v>541513</v>
      </c>
      <c r="H1231" s="3" t="s">
        <v>2401</v>
      </c>
    </row>
    <row r="1232" spans="1:8" ht="26.25" x14ac:dyDescent="0.25">
      <c r="A1232" s="3" t="s">
        <v>3941</v>
      </c>
      <c r="B1232" s="3"/>
      <c r="C1232" s="3" t="str">
        <f>"Document imaging, Document conversion, and data entry services"</f>
        <v>Document imaging, Document conversion, and data entry services</v>
      </c>
      <c r="D1232" s="3" t="s">
        <v>3942</v>
      </c>
      <c r="E1232" s="3" t="s">
        <v>3943</v>
      </c>
      <c r="F1232" s="3" t="str">
        <f>"317-974-1008"</f>
        <v>317-974-1008</v>
      </c>
      <c r="G1232" s="3">
        <v>5614</v>
      </c>
      <c r="H1232" s="3" t="s">
        <v>847</v>
      </c>
    </row>
    <row r="1233" spans="1:8" ht="26.25" x14ac:dyDescent="0.25">
      <c r="A1233" s="3" t="s">
        <v>3944</v>
      </c>
      <c r="B1233" s="3"/>
      <c r="C1233" s="3" t="str">
        <f>"Data entry, scanning, imaging, PDF conversion"</f>
        <v>Data entry, scanning, imaging, PDF conversion</v>
      </c>
      <c r="D1233" s="3" t="s">
        <v>3945</v>
      </c>
      <c r="E1233" s="3" t="s">
        <v>3946</v>
      </c>
      <c r="F1233" s="3" t="str">
        <f>"317-770-8981"</f>
        <v>317-770-8981</v>
      </c>
      <c r="G1233" s="3">
        <v>518210</v>
      </c>
      <c r="H1233" s="3" t="s">
        <v>3133</v>
      </c>
    </row>
    <row r="1234" spans="1:8" ht="51.75" x14ac:dyDescent="0.25">
      <c r="A1234" s="3" t="s">
        <v>3947</v>
      </c>
      <c r="B1234" s="3"/>
      <c r="C1234" s="3" t="str">
        <f>"Supplier of quality fasteners to Agricultural, Commercial and Industrial accounts at competitive prices with service and delivery in a prompt and professional manner."</f>
        <v>Supplier of quality fasteners to Agricultural, Commercial and Industrial accounts at competitive prices with service and delivery in a prompt and professional manner.</v>
      </c>
      <c r="D1234" s="3" t="s">
        <v>9</v>
      </c>
      <c r="E1234" s="3" t="s">
        <v>3948</v>
      </c>
      <c r="F1234" s="3" t="str">
        <f>"317-462-1459"</f>
        <v>317-462-1459</v>
      </c>
      <c r="G1234" s="3">
        <v>453998</v>
      </c>
      <c r="H1234" s="3" t="s">
        <v>112</v>
      </c>
    </row>
    <row r="1235" spans="1:8" ht="26.25" x14ac:dyDescent="0.25">
      <c r="A1235" s="3" t="s">
        <v>3949</v>
      </c>
      <c r="B1235" s="3"/>
      <c r="C1235" s="3" t="str">
        <f>"Full service advertising and public relations agency."</f>
        <v>Full service advertising and public relations agency.</v>
      </c>
      <c r="D1235" s="3" t="s">
        <v>3950</v>
      </c>
      <c r="E1235" s="3" t="s">
        <v>3951</v>
      </c>
      <c r="F1235" s="3" t="str">
        <f>"317-684-7711"</f>
        <v>317-684-7711</v>
      </c>
      <c r="G1235" s="3">
        <v>541810</v>
      </c>
      <c r="H1235" s="3" t="s">
        <v>976</v>
      </c>
    </row>
    <row r="1236" spans="1:8" ht="294" x14ac:dyDescent="0.25">
      <c r="A1236" s="3" t="s">
        <v>3952</v>
      </c>
      <c r="B1236" s="3"/>
      <c r="C1236" s="3" t="s">
        <v>3953</v>
      </c>
      <c r="D1236" s="3" t="s">
        <v>3954</v>
      </c>
      <c r="E1236" s="3" t="s">
        <v>3955</v>
      </c>
      <c r="F1236" s="3" t="str">
        <f>"2609698802"</f>
        <v>2609698802</v>
      </c>
      <c r="G1236" s="3">
        <v>22</v>
      </c>
      <c r="H1236" s="3" t="s">
        <v>1151</v>
      </c>
    </row>
    <row r="1237" spans="1:8" ht="90" x14ac:dyDescent="0.25">
      <c r="A1237" s="3" t="s">
        <v>3956</v>
      </c>
      <c r="B1237" s="3"/>
      <c r="C1237" s="3" t="s">
        <v>3957</v>
      </c>
      <c r="D1237" s="3" t="s">
        <v>3958</v>
      </c>
      <c r="E1237" s="3" t="s">
        <v>3959</v>
      </c>
      <c r="F1237" s="3" t="str">
        <f>"317-895-2800"</f>
        <v>317-895-2800</v>
      </c>
      <c r="G1237" s="3">
        <v>561990</v>
      </c>
      <c r="H1237" s="3" t="s">
        <v>219</v>
      </c>
    </row>
    <row r="1238" spans="1:8" ht="26.25" x14ac:dyDescent="0.25">
      <c r="A1238" s="3" t="s">
        <v>3960</v>
      </c>
      <c r="B1238" s="3"/>
      <c r="C1238" s="3" t="str">
        <f>"preparation of income taxes, bookkeeping, payroll, financial services"</f>
        <v>preparation of income taxes, bookkeeping, payroll, financial services</v>
      </c>
      <c r="D1238" s="3" t="s">
        <v>9</v>
      </c>
      <c r="E1238" s="3" t="s">
        <v>3961</v>
      </c>
      <c r="F1238" s="3" t="str">
        <f>"260-693-3285"</f>
        <v>260-693-3285</v>
      </c>
      <c r="G1238" s="3">
        <v>541213</v>
      </c>
      <c r="H1238" s="3" t="s">
        <v>209</v>
      </c>
    </row>
    <row r="1239" spans="1:8" ht="51.75" x14ac:dyDescent="0.25">
      <c r="A1239" s="3" t="s">
        <v>3962</v>
      </c>
      <c r="B1239" s="3"/>
      <c r="C1239" s="3" t="str">
        <f>"BookNation sells new books. We specialize in serving government, educators and other institutions. We offer quantity discounts and convenient delivery options."</f>
        <v>BookNation sells new books. We specialize in serving government, educators and other institutions. We offer quantity discounts and convenient delivery options.</v>
      </c>
      <c r="D1239" s="3" t="s">
        <v>9</v>
      </c>
      <c r="E1239" s="3" t="s">
        <v>3963</v>
      </c>
      <c r="F1239" s="3" t="str">
        <f>"812-232-2595"</f>
        <v>812-232-2595</v>
      </c>
      <c r="G1239" s="3">
        <v>451211</v>
      </c>
      <c r="H1239" s="3" t="s">
        <v>3964</v>
      </c>
    </row>
    <row r="1240" spans="1:8" ht="153.75" x14ac:dyDescent="0.25">
      <c r="A1240" s="3" t="s">
        <v>3965</v>
      </c>
      <c r="B1240" s="3"/>
      <c r="C1240" s="3" t="s">
        <v>3966</v>
      </c>
      <c r="D1240" s="3" t="s">
        <v>3967</v>
      </c>
      <c r="E1240" s="3" t="s">
        <v>3968</v>
      </c>
      <c r="F1240" s="3" t="str">
        <f>"317-462-2049"</f>
        <v>317-462-2049</v>
      </c>
      <c r="G1240" s="3">
        <v>541219</v>
      </c>
      <c r="H1240" s="3" t="s">
        <v>2010</v>
      </c>
    </row>
    <row r="1241" spans="1:8" ht="39" x14ac:dyDescent="0.25">
      <c r="A1241" s="3" t="s">
        <v>3969</v>
      </c>
      <c r="B1241" s="3"/>
      <c r="C1241" s="3" t="str">
        <f>"Family-owned and operated automotive body repair and painting located in Southern Indiana for over 50 years."</f>
        <v>Family-owned and operated automotive body repair and painting located in Southern Indiana for over 50 years.</v>
      </c>
      <c r="D1241" s="3" t="s">
        <v>9</v>
      </c>
      <c r="E1241" s="3" t="s">
        <v>3970</v>
      </c>
      <c r="F1241" s="3" t="str">
        <f>"812-897-3790"</f>
        <v>812-897-3790</v>
      </c>
      <c r="G1241" s="3">
        <v>811121</v>
      </c>
      <c r="H1241" s="3" t="s">
        <v>1432</v>
      </c>
    </row>
    <row r="1242" spans="1:8" ht="90" x14ac:dyDescent="0.25">
      <c r="A1242" s="3" t="s">
        <v>3971</v>
      </c>
      <c r="B1242" s="3"/>
      <c r="C1242" s="3" t="s">
        <v>3972</v>
      </c>
      <c r="D1242" s="3" t="s">
        <v>3973</v>
      </c>
      <c r="E1242" s="3" t="s">
        <v>3974</v>
      </c>
      <c r="F1242" s="3" t="str">
        <f>"317-446-9177"</f>
        <v>317-446-9177</v>
      </c>
      <c r="G1242" s="3">
        <v>522320</v>
      </c>
      <c r="H1242" s="3" t="s">
        <v>3975</v>
      </c>
    </row>
    <row r="1243" spans="1:8" ht="26.25" x14ac:dyDescent="0.25">
      <c r="A1243" s="3" t="s">
        <v>3976</v>
      </c>
      <c r="B1243" s="3"/>
      <c r="C1243" s="3" t="str">
        <f>"Real Estate and Appraisal Services"</f>
        <v>Real Estate and Appraisal Services</v>
      </c>
      <c r="D1243" s="3" t="s">
        <v>9</v>
      </c>
      <c r="E1243" s="3" t="s">
        <v>3977</v>
      </c>
      <c r="F1243" s="3" t="str">
        <f>"317 926-3314"</f>
        <v>317 926-3314</v>
      </c>
      <c r="G1243" s="3">
        <v>531</v>
      </c>
      <c r="H1243" s="3" t="s">
        <v>74</v>
      </c>
    </row>
    <row r="1244" spans="1:8" ht="90" x14ac:dyDescent="0.25">
      <c r="A1244" s="3" t="s">
        <v>3978</v>
      </c>
      <c r="B1244" s="3"/>
      <c r="C1244" s="3" t="s">
        <v>3979</v>
      </c>
      <c r="D1244" s="3" t="s">
        <v>3980</v>
      </c>
      <c r="E1244" s="3" t="s">
        <v>3981</v>
      </c>
      <c r="F1244" s="3" t="str">
        <f>"219-395-9996"</f>
        <v>219-395-9996</v>
      </c>
      <c r="G1244" s="3">
        <v>2359</v>
      </c>
      <c r="H1244" s="3" t="s">
        <v>631</v>
      </c>
    </row>
    <row r="1245" spans="1:8" ht="39" x14ac:dyDescent="0.25">
      <c r="A1245" s="3" t="s">
        <v>3982</v>
      </c>
      <c r="B1245" s="3"/>
      <c r="C1245" s="3" t="str">
        <f>"General Contracting firm specializinng in new housing and light commercial structures."</f>
        <v>General Contracting firm specializinng in new housing and light commercial structures.</v>
      </c>
      <c r="D1245" s="3" t="s">
        <v>3983</v>
      </c>
      <c r="E1245" s="3" t="s">
        <v>3984</v>
      </c>
      <c r="F1245" s="3" t="str">
        <f>"317-251-0685"</f>
        <v>317-251-0685</v>
      </c>
      <c r="G1245" s="3">
        <v>23</v>
      </c>
      <c r="H1245" s="3" t="s">
        <v>133</v>
      </c>
    </row>
    <row r="1246" spans="1:8" ht="115.5" x14ac:dyDescent="0.25">
      <c r="A1246" s="3" t="s">
        <v>3985</v>
      </c>
      <c r="B1246" s="3"/>
      <c r="C1246" s="3" t="s">
        <v>3986</v>
      </c>
      <c r="D1246" s="3" t="s">
        <v>3198</v>
      </c>
      <c r="E1246" s="3" t="s">
        <v>3987</v>
      </c>
      <c r="F1246" s="3" t="str">
        <f>"317-631-6400"</f>
        <v>317-631-6400</v>
      </c>
      <c r="G1246" s="3">
        <v>541820</v>
      </c>
      <c r="H1246" s="3" t="s">
        <v>795</v>
      </c>
    </row>
    <row r="1247" spans="1:8" ht="90" x14ac:dyDescent="0.25">
      <c r="A1247" s="3" t="s">
        <v>3988</v>
      </c>
      <c r="B1247" s="3"/>
      <c r="C1247" s="3" t="s">
        <v>3989</v>
      </c>
      <c r="D1247" s="3" t="s">
        <v>3990</v>
      </c>
      <c r="E1247" s="3" t="s">
        <v>3991</v>
      </c>
      <c r="F1247" s="3" t="str">
        <f>"317-684-5400"</f>
        <v>317-684-5400</v>
      </c>
      <c r="G1247" s="3">
        <v>541820</v>
      </c>
      <c r="H1247" s="3" t="s">
        <v>795</v>
      </c>
    </row>
    <row r="1248" spans="1:8" ht="115.5" x14ac:dyDescent="0.25">
      <c r="A1248" s="3" t="s">
        <v>3992</v>
      </c>
      <c r="B1248" s="3"/>
      <c r="C1248" s="3" t="s">
        <v>3993</v>
      </c>
      <c r="D1248" s="3" t="s">
        <v>3994</v>
      </c>
      <c r="E1248" s="3" t="s">
        <v>3995</v>
      </c>
      <c r="F1248" s="3" t="str">
        <f>"(260) 416-0222"</f>
        <v>(260) 416-0222</v>
      </c>
      <c r="G1248" s="3">
        <v>541820</v>
      </c>
      <c r="H1248" s="3" t="s">
        <v>795</v>
      </c>
    </row>
    <row r="1249" spans="1:8" ht="281.25" x14ac:dyDescent="0.25">
      <c r="A1249" s="3" t="s">
        <v>3996</v>
      </c>
      <c r="B1249" s="3"/>
      <c r="C1249" s="3" t="s">
        <v>3997</v>
      </c>
      <c r="D1249" s="3" t="s">
        <v>3998</v>
      </c>
      <c r="E1249" s="3" t="s">
        <v>3999</v>
      </c>
      <c r="F1249" s="2"/>
      <c r="G1249" s="3">
        <v>541613</v>
      </c>
      <c r="H1249" s="3" t="s">
        <v>558</v>
      </c>
    </row>
    <row r="1250" spans="1:8" ht="153.75" x14ac:dyDescent="0.25">
      <c r="A1250" s="3" t="s">
        <v>4000</v>
      </c>
      <c r="B1250" s="3"/>
      <c r="C1250" s="3" t="s">
        <v>4001</v>
      </c>
      <c r="D1250" s="3" t="s">
        <v>4002</v>
      </c>
      <c r="E1250" s="3" t="s">
        <v>4003</v>
      </c>
      <c r="F1250" s="3" t="str">
        <f>"574-286-9066"</f>
        <v>574-286-9066</v>
      </c>
      <c r="G1250" s="3">
        <v>5415</v>
      </c>
      <c r="H1250" s="3" t="s">
        <v>188</v>
      </c>
    </row>
    <row r="1251" spans="1:8" ht="77.25" x14ac:dyDescent="0.25">
      <c r="A1251" s="3" t="s">
        <v>4004</v>
      </c>
      <c r="B1251" s="3"/>
      <c r="C1251" s="3" t="str">
        <f>"Bowen Technovation provides design, installation, training, and production for systems utilizing audio, video, and/or lighting. Bowen's primary customer base includes museums, education, and public facilities."</f>
        <v>Bowen Technovation provides design, installation, training, and production for systems utilizing audio, video, and/or lighting. Bowen's primary customer base includes museums, education, and public facilities.</v>
      </c>
      <c r="D1251" s="3" t="s">
        <v>4005</v>
      </c>
      <c r="E1251" s="3" t="s">
        <v>4006</v>
      </c>
      <c r="F1251" s="3" t="str">
        <f>"317-863-0525"</f>
        <v>317-863-0525</v>
      </c>
      <c r="G1251" s="3">
        <v>238210</v>
      </c>
      <c r="H1251" s="3" t="s">
        <v>306</v>
      </c>
    </row>
    <row r="1252" spans="1:8" ht="26.25" x14ac:dyDescent="0.25">
      <c r="A1252" s="3" t="s">
        <v>4007</v>
      </c>
      <c r="B1252" s="3"/>
      <c r="C1252" s="3" t="str">
        <f>"Trash and debris removal service"</f>
        <v>Trash and debris removal service</v>
      </c>
      <c r="D1252" s="3" t="s">
        <v>4008</v>
      </c>
      <c r="E1252" s="3" t="s">
        <v>4009</v>
      </c>
      <c r="F1252" s="3" t="str">
        <f>"317-626-7987"</f>
        <v>317-626-7987</v>
      </c>
      <c r="G1252" s="3">
        <v>562111</v>
      </c>
      <c r="H1252" s="3" t="s">
        <v>1818</v>
      </c>
    </row>
    <row r="1253" spans="1:8" ht="39" x14ac:dyDescent="0.25">
      <c r="A1253" s="3" t="s">
        <v>4010</v>
      </c>
      <c r="B1253" s="3"/>
      <c r="C1253" s="3" t="str">
        <f>"Licensed to test and service all Backflow prevention Devices in Indiana. Wholesale rights to most component parts."</f>
        <v>Licensed to test and service all Backflow prevention Devices in Indiana. Wholesale rights to most component parts.</v>
      </c>
      <c r="D1253" s="3" t="s">
        <v>9</v>
      </c>
      <c r="E1253" s="3" t="s">
        <v>4011</v>
      </c>
      <c r="F1253" s="3" t="str">
        <f>"812-701-2357"</f>
        <v>812-701-2357</v>
      </c>
      <c r="G1253" s="3">
        <v>2351</v>
      </c>
      <c r="H1253" s="3" t="s">
        <v>892</v>
      </c>
    </row>
    <row r="1254" spans="1:8" ht="39" x14ac:dyDescent="0.25">
      <c r="A1254" s="3" t="s">
        <v>4012</v>
      </c>
      <c r="B1254" s="3"/>
      <c r="C1254" s="3" t="str">
        <f>"Private transportation company with emphasis on meeting the needs of special needs clients and groups."</f>
        <v>Private transportation company with emphasis on meeting the needs of special needs clients and groups.</v>
      </c>
      <c r="D1254" s="3" t="s">
        <v>9</v>
      </c>
      <c r="E1254" s="3" t="s">
        <v>4013</v>
      </c>
      <c r="F1254" s="3" t="str">
        <f>"317-547-5433"</f>
        <v>317-547-5433</v>
      </c>
      <c r="G1254" s="3">
        <v>485410</v>
      </c>
      <c r="H1254" s="3" t="s">
        <v>4014</v>
      </c>
    </row>
    <row r="1255" spans="1:8" ht="51.75" x14ac:dyDescent="0.25">
      <c r="A1255" s="3" t="s">
        <v>4015</v>
      </c>
      <c r="B1255" s="3"/>
      <c r="C1255" s="3" t="str">
        <f>"Commercial &amp; Residential heating &amp; air conditioning, install new, repair used. Custom sheet metal fabrication. Duct cleaning. Ventilating."</f>
        <v>Commercial &amp; Residential heating &amp; air conditioning, install new, repair used. Custom sheet metal fabrication. Duct cleaning. Ventilating.</v>
      </c>
      <c r="D1255" s="3" t="s">
        <v>9</v>
      </c>
      <c r="E1255" s="3" t="s">
        <v>4016</v>
      </c>
      <c r="F1255" s="3" t="str">
        <f>"574-936-3234"</f>
        <v>574-936-3234</v>
      </c>
      <c r="G1255" s="3">
        <v>238220</v>
      </c>
      <c r="H1255" s="3" t="s">
        <v>348</v>
      </c>
    </row>
    <row r="1256" spans="1:8" ht="51.75" x14ac:dyDescent="0.25">
      <c r="A1256" s="3" t="s">
        <v>4017</v>
      </c>
      <c r="B1256" s="3"/>
      <c r="C1256" s="3" t="str">
        <f>"We are primarily a Financial Printer but we also do work for the Federal Government. We are looking to expand our business to include work with the State of Indiana."</f>
        <v>We are primarily a Financial Printer but we also do work for the Federal Government. We are looking to expand our business to include work with the State of Indiana.</v>
      </c>
      <c r="D1256" s="3" t="s">
        <v>9</v>
      </c>
      <c r="E1256" s="3" t="s">
        <v>4018</v>
      </c>
      <c r="F1256" s="3" t="str">
        <f>"574-251-4000"</f>
        <v>574-251-4000</v>
      </c>
      <c r="G1256" s="3">
        <v>551112</v>
      </c>
      <c r="H1256" s="3" t="s">
        <v>1243</v>
      </c>
    </row>
    <row r="1257" spans="1:8" ht="115.5" x14ac:dyDescent="0.25">
      <c r="A1257" s="3" t="s">
        <v>4019</v>
      </c>
      <c r="B1257" s="3"/>
      <c r="C1257" s="3" t="s">
        <v>4020</v>
      </c>
      <c r="D1257" s="3" t="s">
        <v>4021</v>
      </c>
      <c r="E1257" s="3" t="s">
        <v>4022</v>
      </c>
      <c r="F1257" s="3" t="str">
        <f>"812-457-9769"</f>
        <v>812-457-9769</v>
      </c>
      <c r="G1257" s="3">
        <v>238210</v>
      </c>
      <c r="H1257" s="3" t="s">
        <v>306</v>
      </c>
    </row>
    <row r="1258" spans="1:8" ht="26.25" x14ac:dyDescent="0.25">
      <c r="A1258" s="3" t="s">
        <v>4023</v>
      </c>
      <c r="B1258" s="3"/>
      <c r="C1258" s="3" t="str">
        <f>"Database administration, software development, project management"</f>
        <v>Database administration, software development, project management</v>
      </c>
      <c r="D1258" s="3" t="s">
        <v>4024</v>
      </c>
      <c r="E1258" s="3" t="s">
        <v>4025</v>
      </c>
      <c r="F1258" s="3" t="str">
        <f>"317.780.8342"</f>
        <v>317.780.8342</v>
      </c>
      <c r="G1258" s="3">
        <v>541512</v>
      </c>
      <c r="H1258" s="3" t="s">
        <v>19</v>
      </c>
    </row>
    <row r="1259" spans="1:8" ht="26.25" x14ac:dyDescent="0.25">
      <c r="A1259" s="3" t="s">
        <v>4026</v>
      </c>
      <c r="B1259" s="3"/>
      <c r="C1259" s="3" t="str">
        <f>"YOUTH DEVELOPMENT"</f>
        <v>YOUTH DEVELOPMENT</v>
      </c>
      <c r="D1259" s="3" t="s">
        <v>4027</v>
      </c>
      <c r="E1259" s="3" t="s">
        <v>46</v>
      </c>
      <c r="F1259" s="3" t="str">
        <f>"5742595666"</f>
        <v>5742595666</v>
      </c>
      <c r="G1259" s="3">
        <v>624110</v>
      </c>
      <c r="H1259" s="3" t="s">
        <v>628</v>
      </c>
    </row>
    <row r="1260" spans="1:8" ht="102.75" x14ac:dyDescent="0.25">
      <c r="A1260" s="3" t="s">
        <v>4028</v>
      </c>
      <c r="B1260" s="3"/>
      <c r="C1260" s="3" t="s">
        <v>4029</v>
      </c>
      <c r="D1260" s="3" t="s">
        <v>4030</v>
      </c>
      <c r="E1260" s="3" t="s">
        <v>4031</v>
      </c>
      <c r="F1260" s="3" t="str">
        <f>"317-920-4700"</f>
        <v>317-920-4700</v>
      </c>
      <c r="G1260" s="3">
        <v>624110</v>
      </c>
      <c r="H1260" s="3" t="s">
        <v>628</v>
      </c>
    </row>
    <row r="1261" spans="1:8" ht="77.25" x14ac:dyDescent="0.25">
      <c r="A1261" s="3" t="s">
        <v>4032</v>
      </c>
      <c r="B1261" s="3"/>
      <c r="C1261" s="3" t="str">
        <f>"Custom architectural (sections 6400 &amp;12000) woodwork and casework We offer running trims, upper &amp; lower cabinets, file cabinets reception desk also solid surface or plastic laminate countertops . We also offer installation"</f>
        <v>Custom architectural (sections 6400 &amp;12000) woodwork and casework We offer running trims, upper &amp; lower cabinets, file cabinets reception desk also solid surface or plastic laminate countertops . We also offer installation</v>
      </c>
      <c r="D1261" s="3" t="s">
        <v>9</v>
      </c>
      <c r="E1261" s="3" t="s">
        <v>4033</v>
      </c>
      <c r="F1261" s="3" t="str">
        <f>"260.478.9041"</f>
        <v>260.478.9041</v>
      </c>
      <c r="G1261" s="3">
        <v>2389</v>
      </c>
      <c r="H1261" s="3" t="s">
        <v>1236</v>
      </c>
    </row>
    <row r="1262" spans="1:8" ht="141" x14ac:dyDescent="0.25">
      <c r="A1262" s="3" t="s">
        <v>4034</v>
      </c>
      <c r="B1262" s="3"/>
      <c r="C1262" s="3" t="s">
        <v>4035</v>
      </c>
      <c r="D1262" s="3" t="s">
        <v>4036</v>
      </c>
      <c r="E1262" s="3" t="s">
        <v>4037</v>
      </c>
      <c r="F1262" s="3" t="str">
        <f>"(317)580-0100"</f>
        <v>(317)580-0100</v>
      </c>
      <c r="G1262" s="3">
        <v>454390</v>
      </c>
      <c r="H1262" s="3" t="s">
        <v>1348</v>
      </c>
    </row>
    <row r="1263" spans="1:8" ht="26.25" x14ac:dyDescent="0.25">
      <c r="A1263" s="3" t="s">
        <v>4038</v>
      </c>
      <c r="B1263" s="3"/>
      <c r="C1263" s="3" t="str">
        <f>"Drafting services including Plumbing, Mechanical and Electrical"</f>
        <v>Drafting services including Plumbing, Mechanical and Electrical</v>
      </c>
      <c r="D1263" s="3" t="s">
        <v>9</v>
      </c>
      <c r="E1263" s="3" t="s">
        <v>4039</v>
      </c>
      <c r="F1263" s="3" t="str">
        <f>"317-271-1721"</f>
        <v>317-271-1721</v>
      </c>
      <c r="G1263" s="3">
        <v>541340</v>
      </c>
      <c r="H1263" s="3" t="s">
        <v>4040</v>
      </c>
    </row>
    <row r="1264" spans="1:8" ht="141" x14ac:dyDescent="0.25">
      <c r="A1264" s="3" t="s">
        <v>4041</v>
      </c>
      <c r="B1264" s="3"/>
      <c r="C1264" s="3" t="s">
        <v>4042</v>
      </c>
      <c r="D1264" s="3" t="s">
        <v>4043</v>
      </c>
      <c r="E1264" s="3" t="s">
        <v>4044</v>
      </c>
      <c r="F1264" s="3" t="str">
        <f>"574-533-9913"</f>
        <v>574-533-9913</v>
      </c>
      <c r="G1264" s="3">
        <v>541330</v>
      </c>
      <c r="H1264" s="3" t="s">
        <v>82</v>
      </c>
    </row>
    <row r="1265" spans="1:8" ht="39" x14ac:dyDescent="0.25">
      <c r="A1265" s="3" t="s">
        <v>4045</v>
      </c>
      <c r="B1265" s="3"/>
      <c r="C1265" s="3" t="str">
        <f>"Psychological, neuropsychological and mental health treatment and assessment. Public safety evaluations and consulting."</f>
        <v>Psychological, neuropsychological and mental health treatment and assessment. Public safety evaluations and consulting.</v>
      </c>
      <c r="D1265" s="3" t="s">
        <v>9</v>
      </c>
      <c r="E1265" s="3" t="s">
        <v>4046</v>
      </c>
      <c r="F1265" s="3" t="str">
        <f>"317 903 0088"</f>
        <v>317 903 0088</v>
      </c>
      <c r="G1265" s="3">
        <v>621330</v>
      </c>
      <c r="H1265" s="3" t="s">
        <v>2643</v>
      </c>
    </row>
    <row r="1266" spans="1:8" ht="90" x14ac:dyDescent="0.25">
      <c r="A1266" s="3" t="s">
        <v>4047</v>
      </c>
      <c r="B1266" s="3"/>
      <c r="C1266" s="3" t="s">
        <v>4048</v>
      </c>
      <c r="D1266" s="3" t="s">
        <v>9</v>
      </c>
      <c r="E1266" s="3" t="s">
        <v>46</v>
      </c>
      <c r="F1266" s="2"/>
      <c r="G1266" s="3">
        <v>624110</v>
      </c>
      <c r="H1266" s="3" t="s">
        <v>628</v>
      </c>
    </row>
    <row r="1267" spans="1:8" ht="39" x14ac:dyDescent="0.25">
      <c r="A1267" s="3" t="s">
        <v>4049</v>
      </c>
      <c r="B1267" s="3"/>
      <c r="C1267" s="3" t="str">
        <f>"Commercial Electrical Contracting; telecommunications equipment dealer structured cabling installer"</f>
        <v>Commercial Electrical Contracting; telecommunications equipment dealer structured cabling installer</v>
      </c>
      <c r="D1267" s="3" t="s">
        <v>3221</v>
      </c>
      <c r="E1267" s="3" t="s">
        <v>4050</v>
      </c>
      <c r="F1267" s="3" t="str">
        <f>"765-296-3437"</f>
        <v>765-296-3437</v>
      </c>
      <c r="G1267" s="3">
        <v>238210</v>
      </c>
      <c r="H1267" s="3" t="s">
        <v>306</v>
      </c>
    </row>
    <row r="1268" spans="1:8" ht="51.75" x14ac:dyDescent="0.25">
      <c r="A1268" s="3" t="s">
        <v>4051</v>
      </c>
      <c r="B1268" s="3"/>
      <c r="C1268" s="3" t="str">
        <f>"We provide Construciton and Project Management services as well as various self performing jobs related to the construction trades."</f>
        <v>We provide Construciton and Project Management services as well as various self performing jobs related to the construction trades.</v>
      </c>
      <c r="D1268" s="3" t="s">
        <v>9</v>
      </c>
      <c r="E1268" s="3" t="s">
        <v>4052</v>
      </c>
      <c r="F1268" s="3" t="str">
        <f>"2196446716"</f>
        <v>2196446716</v>
      </c>
      <c r="G1268" s="3">
        <v>541330</v>
      </c>
      <c r="H1268" s="3" t="s">
        <v>82</v>
      </c>
    </row>
    <row r="1269" spans="1:8" ht="26.25" x14ac:dyDescent="0.25">
      <c r="A1269" s="3" t="s">
        <v>4053</v>
      </c>
      <c r="B1269" s="3"/>
      <c r="C1269" s="3" t="str">
        <f>"General Contractor/Construction Manager"</f>
        <v>General Contractor/Construction Manager</v>
      </c>
      <c r="D1269" s="3" t="s">
        <v>4054</v>
      </c>
      <c r="E1269" s="3" t="s">
        <v>46</v>
      </c>
      <c r="F1269" s="3" t="str">
        <f>"3176383300"</f>
        <v>3176383300</v>
      </c>
      <c r="G1269" s="3">
        <v>236220</v>
      </c>
      <c r="H1269" s="3" t="s">
        <v>598</v>
      </c>
    </row>
    <row r="1270" spans="1:8" ht="141" x14ac:dyDescent="0.25">
      <c r="A1270" s="3" t="s">
        <v>4055</v>
      </c>
      <c r="B1270" s="3"/>
      <c r="C1270" s="3" t="s">
        <v>4056</v>
      </c>
      <c r="D1270" s="3" t="s">
        <v>4057</v>
      </c>
      <c r="E1270" s="3" t="s">
        <v>4058</v>
      </c>
      <c r="F1270" s="3" t="str">
        <f>"317-238-3044"</f>
        <v>317-238-3044</v>
      </c>
      <c r="G1270" s="3">
        <v>54181</v>
      </c>
      <c r="H1270" s="3" t="s">
        <v>976</v>
      </c>
    </row>
    <row r="1271" spans="1:8" ht="26.25" x14ac:dyDescent="0.25">
      <c r="A1271" s="3" t="s">
        <v>4059</v>
      </c>
      <c r="B1271" s="3"/>
      <c r="C1271" s="3" t="str">
        <f>" "</f>
        <v xml:space="preserve"> </v>
      </c>
      <c r="D1271" s="3" t="s">
        <v>9</v>
      </c>
      <c r="E1271" s="3" t="s">
        <v>4060</v>
      </c>
      <c r="F1271" s="3" t="str">
        <f>"317-225-7772"</f>
        <v>317-225-7772</v>
      </c>
      <c r="G1271" s="3">
        <v>23</v>
      </c>
      <c r="H1271" s="3" t="s">
        <v>133</v>
      </c>
    </row>
    <row r="1272" spans="1:8" ht="64.5" x14ac:dyDescent="0.25">
      <c r="A1272" s="3" t="s">
        <v>4061</v>
      </c>
      <c r="B1272" s="3"/>
      <c r="C1272" s="3" t="str">
        <f>"General contractors. Construction managers. Design-build contractor. Commercial; industrial; metal buildings; specializing in medical facilities. Active throughout U.S."</f>
        <v>General contractors. Construction managers. Design-build contractor. Commercial; industrial; metal buildings; specializing in medical facilities. Active throughout U.S.</v>
      </c>
      <c r="D1272" s="3" t="s">
        <v>4062</v>
      </c>
      <c r="E1272" s="3" t="s">
        <v>4063</v>
      </c>
      <c r="F1272" s="3" t="str">
        <f>"219-838-2300"</f>
        <v>219-838-2300</v>
      </c>
      <c r="G1272" s="3">
        <v>2362</v>
      </c>
      <c r="H1272" s="3" t="s">
        <v>423</v>
      </c>
    </row>
    <row r="1273" spans="1:8" ht="51.75" x14ac:dyDescent="0.25">
      <c r="A1273" s="3" t="s">
        <v>4064</v>
      </c>
      <c r="B1273" s="3"/>
      <c r="C1273" s="3" t="str">
        <f>"I help people realize their dream of home ownership through fair and flexible contracts. Any credit level can get on the path to owning a home."</f>
        <v>I help people realize their dream of home ownership through fair and flexible contracts. Any credit level can get on the path to owning a home.</v>
      </c>
      <c r="D1273" s="3" t="s">
        <v>4065</v>
      </c>
      <c r="E1273" s="3" t="s">
        <v>4066</v>
      </c>
      <c r="F1273" s="3" t="str">
        <f>"317-701-3723"</f>
        <v>317-701-3723</v>
      </c>
      <c r="G1273" s="3">
        <v>53</v>
      </c>
      <c r="H1273" s="3" t="s">
        <v>2336</v>
      </c>
    </row>
    <row r="1274" spans="1:8" ht="179.25" x14ac:dyDescent="0.25">
      <c r="A1274" s="3" t="s">
        <v>4067</v>
      </c>
      <c r="B1274" s="3"/>
      <c r="C1274" s="3" t="s">
        <v>4068</v>
      </c>
      <c r="D1274" s="3" t="s">
        <v>4069</v>
      </c>
      <c r="E1274" s="3" t="s">
        <v>4070</v>
      </c>
      <c r="F1274" s="3" t="str">
        <f>"317-610-3221"</f>
        <v>317-610-3221</v>
      </c>
      <c r="G1274" s="3">
        <v>522220</v>
      </c>
      <c r="H1274" s="3" t="s">
        <v>4071</v>
      </c>
    </row>
    <row r="1275" spans="1:8" ht="26.25" x14ac:dyDescent="0.25">
      <c r="A1275" s="3" t="s">
        <v>4072</v>
      </c>
      <c r="B1275" s="3"/>
      <c r="C1275" s="3" t="str">
        <f>" "</f>
        <v xml:space="preserve"> </v>
      </c>
      <c r="D1275" s="3" t="s">
        <v>9</v>
      </c>
      <c r="E1275" s="3" t="s">
        <v>46</v>
      </c>
      <c r="F1275" s="2"/>
      <c r="G1275" s="3">
        <v>236220</v>
      </c>
      <c r="H1275" s="3" t="s">
        <v>598</v>
      </c>
    </row>
    <row r="1276" spans="1:8" ht="90" x14ac:dyDescent="0.25">
      <c r="A1276" s="3" t="s">
        <v>4073</v>
      </c>
      <c r="B1276" s="3"/>
      <c r="C1276" s="3" t="s">
        <v>4074</v>
      </c>
      <c r="D1276" s="3" t="s">
        <v>4075</v>
      </c>
      <c r="E1276" s="3" t="s">
        <v>4076</v>
      </c>
      <c r="F1276" s="3" t="str">
        <f>"317-900-2312"</f>
        <v>317-900-2312</v>
      </c>
      <c r="G1276" s="3">
        <v>713940</v>
      </c>
      <c r="H1276" s="3" t="s">
        <v>1471</v>
      </c>
    </row>
    <row r="1277" spans="1:8" ht="115.5" x14ac:dyDescent="0.25">
      <c r="A1277" s="3" t="s">
        <v>4077</v>
      </c>
      <c r="B1277" s="3"/>
      <c r="C1277" s="3" t="s">
        <v>4078</v>
      </c>
      <c r="D1277" s="3" t="s">
        <v>4079</v>
      </c>
      <c r="E1277" s="3" t="s">
        <v>4080</v>
      </c>
      <c r="F1277" s="3" t="str">
        <f>"(888) 715-8040"</f>
        <v>(888) 715-8040</v>
      </c>
      <c r="G1277" s="3">
        <v>541</v>
      </c>
      <c r="H1277" s="3" t="s">
        <v>179</v>
      </c>
    </row>
    <row r="1278" spans="1:8" ht="39" x14ac:dyDescent="0.25">
      <c r="A1278" s="3" t="s">
        <v>4081</v>
      </c>
      <c r="B1278" s="3"/>
      <c r="C1278" s="3" t="str">
        <f>"Sell &amp; Service Industrial Equipment--Electric Motors, Air Compressors and Crain &amp; Hoist Equipment."</f>
        <v>Sell &amp; Service Industrial Equipment--Electric Motors, Air Compressors and Crain &amp; Hoist Equipment.</v>
      </c>
      <c r="D1278" s="3" t="s">
        <v>4082</v>
      </c>
      <c r="E1278" s="3" t="s">
        <v>4083</v>
      </c>
      <c r="F1278" s="3" t="str">
        <f>"317-231-8080"</f>
        <v>317-231-8080</v>
      </c>
      <c r="G1278" s="3">
        <v>81131</v>
      </c>
      <c r="H1278" s="3" t="s">
        <v>1895</v>
      </c>
    </row>
    <row r="1279" spans="1:8" ht="64.5" x14ac:dyDescent="0.25">
      <c r="A1279" s="3" t="s">
        <v>4084</v>
      </c>
      <c r="B1279" s="3"/>
      <c r="C1279" s="3" t="str">
        <f>"We sell and install resilient sports floors for multi-purpose use along with sports equipment, both residential and commercial as well as construct outdoor basketball goals and courts."</f>
        <v>We sell and install resilient sports floors for multi-purpose use along with sports equipment, both residential and commercial as well as construct outdoor basketball goals and courts.</v>
      </c>
      <c r="D1279" s="3" t="s">
        <v>4085</v>
      </c>
      <c r="E1279" s="3" t="s">
        <v>4086</v>
      </c>
      <c r="F1279" s="3" t="str">
        <f>"317-713-2982"</f>
        <v>317-713-2982</v>
      </c>
      <c r="G1279" s="3">
        <v>238330</v>
      </c>
      <c r="H1279" s="3" t="s">
        <v>2995</v>
      </c>
    </row>
    <row r="1280" spans="1:8" ht="179.25" x14ac:dyDescent="0.25">
      <c r="A1280" s="3" t="s">
        <v>4087</v>
      </c>
      <c r="B1280" s="3"/>
      <c r="C1280" s="3" t="s">
        <v>4088</v>
      </c>
      <c r="D1280" s="3" t="s">
        <v>4089</v>
      </c>
      <c r="E1280" s="3" t="s">
        <v>4090</v>
      </c>
      <c r="F1280" s="3" t="str">
        <f>"574-546-2411"</f>
        <v>574-546-2411</v>
      </c>
      <c r="G1280" s="3">
        <v>331511</v>
      </c>
      <c r="H1280" s="3" t="s">
        <v>2737</v>
      </c>
    </row>
    <row r="1281" spans="1:8" ht="166.5" x14ac:dyDescent="0.25">
      <c r="A1281" s="3" t="s">
        <v>4091</v>
      </c>
      <c r="B1281" s="3"/>
      <c r="C1281" s="3" t="s">
        <v>4092</v>
      </c>
      <c r="D1281" s="3" t="s">
        <v>4093</v>
      </c>
      <c r="E1281" s="3" t="s">
        <v>4094</v>
      </c>
      <c r="F1281" s="2"/>
      <c r="G1281" s="3">
        <v>541511</v>
      </c>
      <c r="H1281" s="3" t="s">
        <v>122</v>
      </c>
    </row>
    <row r="1282" spans="1:8" ht="64.5" x14ac:dyDescent="0.25">
      <c r="A1282" s="3" t="s">
        <v>4095</v>
      </c>
      <c r="B1282" s="3"/>
      <c r="C1282" s="3" t="str">
        <f>"Full service photography. Including but not limited to Advertising/catalogue photography, corporate head shots, event photography, commercial, family portraits, newborn, children, and high school seniors."</f>
        <v>Full service photography. Including but not limited to Advertising/catalogue photography, corporate head shots, event photography, commercial, family portraits, newborn, children, and high school seniors.</v>
      </c>
      <c r="D1282" s="3" t="s">
        <v>9</v>
      </c>
      <c r="E1282" s="3" t="s">
        <v>4096</v>
      </c>
      <c r="F1282" s="3" t="str">
        <f>"317-626-5644"</f>
        <v>317-626-5644</v>
      </c>
      <c r="G1282" s="3">
        <v>54192</v>
      </c>
      <c r="H1282" s="3" t="s">
        <v>2613</v>
      </c>
    </row>
    <row r="1283" spans="1:8" ht="39" x14ac:dyDescent="0.25">
      <c r="A1283" s="3" t="s">
        <v>4097</v>
      </c>
      <c r="B1283" s="3"/>
      <c r="C1283" s="3" t="str">
        <f>"commercial masonry contractor, specializing, but not limited to, schools, churches, &amp; hospitals"</f>
        <v>commercial masonry contractor, specializing, but not limited to, schools, churches, &amp; hospitals</v>
      </c>
      <c r="D1283" s="3" t="s">
        <v>9</v>
      </c>
      <c r="E1283" s="3" t="s">
        <v>46</v>
      </c>
      <c r="F1283" s="3" t="str">
        <f>"812-547-6934"</f>
        <v>812-547-6934</v>
      </c>
      <c r="G1283" s="3">
        <v>23541</v>
      </c>
      <c r="H1283" s="3" t="s">
        <v>4098</v>
      </c>
    </row>
    <row r="1284" spans="1:8" ht="26.25" x14ac:dyDescent="0.25">
      <c r="A1284" s="3" t="s">
        <v>4099</v>
      </c>
      <c r="B1284" s="3"/>
      <c r="C1284" s="3" t="str">
        <f>" "</f>
        <v xml:space="preserve"> </v>
      </c>
      <c r="D1284" s="3" t="s">
        <v>9</v>
      </c>
      <c r="E1284" s="3" t="s">
        <v>46</v>
      </c>
      <c r="F1284" s="2"/>
      <c r="G1284" s="3">
        <v>711510</v>
      </c>
      <c r="H1284" s="3" t="s">
        <v>1980</v>
      </c>
    </row>
    <row r="1285" spans="1:8" ht="77.25" x14ac:dyDescent="0.25">
      <c r="A1285" s="3" t="s">
        <v>4100</v>
      </c>
      <c r="B1285" s="3"/>
      <c r="C1285" s="3" t="str">
        <f>"We provide Accounting and Tax Services to not-for-profits, small businesses, and individuals. Our services include but are not limited to: Bookkeeping, Income Tax Preparation, Compilations, Financial Reporting, etc."</f>
        <v>We provide Accounting and Tax Services to not-for-profits, small businesses, and individuals. Our services include but are not limited to: Bookkeeping, Income Tax Preparation, Compilations, Financial Reporting, etc.</v>
      </c>
      <c r="D1285" s="3" t="s">
        <v>4101</v>
      </c>
      <c r="E1285" s="3" t="s">
        <v>4102</v>
      </c>
      <c r="F1285" s="3" t="str">
        <f>"317-490-0288"</f>
        <v>317-490-0288</v>
      </c>
      <c r="G1285" s="3">
        <v>5412</v>
      </c>
      <c r="H1285" s="3" t="s">
        <v>311</v>
      </c>
    </row>
    <row r="1286" spans="1:8" ht="319.5" x14ac:dyDescent="0.25">
      <c r="A1286" s="3" t="s">
        <v>4103</v>
      </c>
      <c r="B1286" s="3"/>
      <c r="C1286" s="3" t="s">
        <v>4104</v>
      </c>
      <c r="D1286" s="3" t="s">
        <v>4105</v>
      </c>
      <c r="E1286" s="3" t="s">
        <v>4106</v>
      </c>
      <c r="F1286" s="3" t="str">
        <f>"317-445-8932"</f>
        <v>317-445-8932</v>
      </c>
      <c r="G1286" s="3">
        <v>561499</v>
      </c>
      <c r="H1286" s="3" t="s">
        <v>3092</v>
      </c>
    </row>
    <row r="1287" spans="1:8" ht="281.25" x14ac:dyDescent="0.25">
      <c r="A1287" s="3" t="s">
        <v>4107</v>
      </c>
      <c r="B1287" s="3"/>
      <c r="C1287" s="3" t="s">
        <v>4108</v>
      </c>
      <c r="D1287" s="3" t="s">
        <v>9</v>
      </c>
      <c r="E1287" s="3" t="s">
        <v>4109</v>
      </c>
      <c r="F1287" s="3" t="str">
        <f>"317-652-2179"</f>
        <v>317-652-2179</v>
      </c>
      <c r="G1287" s="3">
        <v>454390</v>
      </c>
      <c r="H1287" s="3" t="s">
        <v>1348</v>
      </c>
    </row>
    <row r="1288" spans="1:8" ht="64.5" x14ac:dyDescent="0.25">
      <c r="A1288" s="3" t="s">
        <v>4110</v>
      </c>
      <c r="B1288" s="3"/>
      <c r="C1288" s="3" t="str">
        <f>"Aerobic Studio specializing in Women's Fitness and well- being. Offering a variety of fitness classes with no contracts. Zumba, Kickboxing, Pole and Chair Fitness and more"</f>
        <v>Aerobic Studio specializing in Women's Fitness and well- being. Offering a variety of fitness classes with no contracts. Zumba, Kickboxing, Pole and Chair Fitness and more</v>
      </c>
      <c r="D1288" s="3" t="s">
        <v>4111</v>
      </c>
      <c r="E1288" s="3" t="s">
        <v>4112</v>
      </c>
      <c r="F1288" s="3" t="str">
        <f>"317-332-0138"</f>
        <v>317-332-0138</v>
      </c>
      <c r="G1288" s="3">
        <v>812191</v>
      </c>
      <c r="H1288" s="3" t="s">
        <v>4113</v>
      </c>
    </row>
    <row r="1289" spans="1:8" ht="115.5" x14ac:dyDescent="0.25">
      <c r="A1289" s="3" t="s">
        <v>4114</v>
      </c>
      <c r="B1289" s="3"/>
      <c r="C1289" s="3" t="s">
        <v>4115</v>
      </c>
      <c r="D1289" s="3" t="s">
        <v>4116</v>
      </c>
      <c r="E1289" s="3" t="s">
        <v>4117</v>
      </c>
      <c r="F1289" s="3" t="str">
        <f>"800-269-7130"</f>
        <v>800-269-7130</v>
      </c>
      <c r="G1289" s="3">
        <v>713940</v>
      </c>
      <c r="H1289" s="3" t="s">
        <v>1471</v>
      </c>
    </row>
    <row r="1290" spans="1:8" ht="77.25" x14ac:dyDescent="0.25">
      <c r="A1290" s="3" t="s">
        <v>4118</v>
      </c>
      <c r="B1290" s="3"/>
      <c r="C1290" s="3" t="str">
        <f>"FULL LINE BOBCAT DEALER INCLUDING SKID STEER LOADERS MATERIAL HANDLING EQUIPMENT, COMPACT TRACK LOADERS, COMPACT TRACTORS RENTAL SALES AND PARTS. EXMARK &amp; TORO MOWERS AND TORO SNOW EQUIPMENT"</f>
        <v>FULL LINE BOBCAT DEALER INCLUDING SKID STEER LOADERS MATERIAL HANDLING EQUIPMENT, COMPACT TRACK LOADERS, COMPACT TRACTORS RENTAL SALES AND PARTS. EXMARK &amp; TORO MOWERS AND TORO SNOW EQUIPMENT</v>
      </c>
      <c r="D1290" s="3" t="s">
        <v>4119</v>
      </c>
      <c r="E1290" s="3" t="s">
        <v>4120</v>
      </c>
      <c r="F1290" s="3" t="str">
        <f>"765-643-4222"</f>
        <v>765-643-4222</v>
      </c>
      <c r="G1290" s="3">
        <v>81131</v>
      </c>
      <c r="H1290" s="3" t="s">
        <v>1895</v>
      </c>
    </row>
    <row r="1291" spans="1:8" ht="90" x14ac:dyDescent="0.25">
      <c r="A1291" s="3" t="s">
        <v>4121</v>
      </c>
      <c r="B1291" s="3"/>
      <c r="C1291" s="3" t="s">
        <v>4122</v>
      </c>
      <c r="D1291" s="3" t="s">
        <v>9</v>
      </c>
      <c r="E1291" s="3" t="s">
        <v>4123</v>
      </c>
      <c r="F1291" s="3" t="str">
        <f>"317 291 7600"</f>
        <v>317 291 7600</v>
      </c>
      <c r="G1291" s="3">
        <v>23822</v>
      </c>
      <c r="H1291" s="3" t="s">
        <v>348</v>
      </c>
    </row>
    <row r="1292" spans="1:8" ht="179.25" x14ac:dyDescent="0.25">
      <c r="A1292" s="3" t="s">
        <v>4124</v>
      </c>
      <c r="B1292" s="3"/>
      <c r="C1292" s="3" t="s">
        <v>4125</v>
      </c>
      <c r="D1292" s="3" t="s">
        <v>9</v>
      </c>
      <c r="E1292" s="3" t="s">
        <v>4126</v>
      </c>
      <c r="F1292" s="2"/>
      <c r="G1292" s="3">
        <v>561720</v>
      </c>
      <c r="H1292" s="3" t="s">
        <v>222</v>
      </c>
    </row>
    <row r="1293" spans="1:8" ht="166.5" x14ac:dyDescent="0.25">
      <c r="A1293" s="3" t="s">
        <v>4127</v>
      </c>
      <c r="B1293" s="3"/>
      <c r="C1293" s="3" t="s">
        <v>4128</v>
      </c>
      <c r="D1293" s="3" t="s">
        <v>4129</v>
      </c>
      <c r="E1293" s="3" t="s">
        <v>4130</v>
      </c>
      <c r="F1293" s="3" t="str">
        <f>"317-752-1098"</f>
        <v>317-752-1098</v>
      </c>
      <c r="G1293" s="3">
        <v>541611</v>
      </c>
      <c r="H1293" s="3" t="s">
        <v>278</v>
      </c>
    </row>
    <row r="1294" spans="1:8" ht="102.75" x14ac:dyDescent="0.25">
      <c r="A1294" s="3" t="s">
        <v>4131</v>
      </c>
      <c r="B1294" s="3"/>
      <c r="C1294" s="3" t="s">
        <v>4132</v>
      </c>
      <c r="D1294" s="3" t="s">
        <v>9</v>
      </c>
      <c r="E1294" s="3" t="s">
        <v>4133</v>
      </c>
      <c r="F1294" s="3" t="str">
        <f>"812-754-1447"</f>
        <v>812-754-1447</v>
      </c>
      <c r="G1294" s="3">
        <v>561740</v>
      </c>
      <c r="H1294" s="3" t="s">
        <v>241</v>
      </c>
    </row>
    <row r="1295" spans="1:8" ht="90" x14ac:dyDescent="0.25">
      <c r="A1295" s="3" t="s">
        <v>4134</v>
      </c>
      <c r="B1295" s="3"/>
      <c r="C1295" s="3" t="str">
        <f>"Briljent's core line of services includes development and deployment of training, business and technical writing, public outreach, staff outsourcing and augmentation, project management, contact center support, and operational improvement and support."</f>
        <v>Briljent's core line of services includes development and deployment of training, business and technical writing, public outreach, staff outsourcing and augmentation, project management, contact center support, and operational improvement and support.</v>
      </c>
      <c r="D1295" s="3" t="s">
        <v>4135</v>
      </c>
      <c r="E1295" s="3" t="s">
        <v>4136</v>
      </c>
      <c r="F1295" s="3" t="str">
        <f>"(260) 434-0990"</f>
        <v>(260) 434-0990</v>
      </c>
      <c r="G1295" s="3">
        <v>611430</v>
      </c>
      <c r="H1295" s="3" t="s">
        <v>1224</v>
      </c>
    </row>
    <row r="1296" spans="1:8" x14ac:dyDescent="0.25">
      <c r="A1296" s="3" t="s">
        <v>4137</v>
      </c>
      <c r="B1296" s="3"/>
      <c r="C1296" s="3" t="str">
        <f>"Legal Services"</f>
        <v>Legal Services</v>
      </c>
      <c r="D1296" s="3" t="s">
        <v>9</v>
      </c>
      <c r="E1296" s="3" t="s">
        <v>46</v>
      </c>
      <c r="F1296" s="2"/>
      <c r="G1296" s="3">
        <v>541110</v>
      </c>
      <c r="H1296" s="3" t="s">
        <v>2978</v>
      </c>
    </row>
    <row r="1297" spans="1:8" ht="141" x14ac:dyDescent="0.25">
      <c r="A1297" s="3" t="s">
        <v>4138</v>
      </c>
      <c r="B1297" s="3"/>
      <c r="C1297" s="3" t="s">
        <v>4139</v>
      </c>
      <c r="D1297" s="3" t="s">
        <v>4140</v>
      </c>
      <c r="E1297" s="3" t="s">
        <v>4141</v>
      </c>
      <c r="F1297" s="3" t="str">
        <f>"317-222-1977"</f>
        <v>317-222-1977</v>
      </c>
      <c r="G1297" s="3">
        <v>541512</v>
      </c>
      <c r="H1297" s="3" t="s">
        <v>19</v>
      </c>
    </row>
    <row r="1298" spans="1:8" ht="64.5" x14ac:dyDescent="0.25">
      <c r="A1298" s="3" t="s">
        <v>4142</v>
      </c>
      <c r="B1298" s="3"/>
      <c r="C1298" s="3" t="str">
        <f>"We are a female owned Masonry, Concrete and Restoration Company. We will entertain jobs both large and small. When in available we always use local suppliers before using national suppliers."</f>
        <v>We are a female owned Masonry, Concrete and Restoration Company. We will entertain jobs both large and small. When in available we always use local suppliers before using national suppliers.</v>
      </c>
      <c r="D1298" s="3" t="s">
        <v>4143</v>
      </c>
      <c r="E1298" s="3" t="s">
        <v>4144</v>
      </c>
      <c r="F1298" s="3" t="str">
        <f>"(317)431-8023"</f>
        <v>(317)431-8023</v>
      </c>
      <c r="G1298" s="3">
        <v>23541</v>
      </c>
      <c r="H1298" s="3" t="s">
        <v>4098</v>
      </c>
    </row>
    <row r="1299" spans="1:8" ht="64.5" x14ac:dyDescent="0.25">
      <c r="A1299" s="3" t="s">
        <v>4145</v>
      </c>
      <c r="B1299" s="3"/>
      <c r="C1299" s="3" t="str">
        <f>"Full service catering for small to large jobs. Casual to formal and everything in between is available. We offer on-site catering as well as off site. Lunch &amp; dinner services available."</f>
        <v>Full service catering for small to large jobs. Casual to formal and everything in between is available. We offer on-site catering as well as off site. Lunch &amp; dinner services available.</v>
      </c>
      <c r="D1299" s="3" t="s">
        <v>4146</v>
      </c>
      <c r="E1299" s="3" t="s">
        <v>4147</v>
      </c>
      <c r="F1299" s="3" t="str">
        <f>"3177322233"</f>
        <v>3177322233</v>
      </c>
      <c r="G1299" s="3">
        <v>722110</v>
      </c>
      <c r="H1299" s="3" t="s">
        <v>1307</v>
      </c>
    </row>
    <row r="1300" spans="1:8" ht="128.25" x14ac:dyDescent="0.25">
      <c r="A1300" s="3" t="s">
        <v>4148</v>
      </c>
      <c r="B1300" s="3"/>
      <c r="C1300" s="3" t="s">
        <v>4149</v>
      </c>
      <c r="D1300" s="3" t="s">
        <v>4150</v>
      </c>
      <c r="E1300" s="3" t="s">
        <v>46</v>
      </c>
      <c r="F1300" s="3" t="str">
        <f>"1-855-322-4335"</f>
        <v>1-855-322-4335</v>
      </c>
      <c r="G1300" s="3">
        <v>5415</v>
      </c>
      <c r="H1300" s="3" t="s">
        <v>188</v>
      </c>
    </row>
    <row r="1301" spans="1:8" ht="39" x14ac:dyDescent="0.25">
      <c r="A1301" s="3" t="s">
        <v>4151</v>
      </c>
      <c r="B1301" s="3"/>
      <c r="C1301" s="3" t="str">
        <f>"We are a Computer Sales &amp; Service Store. We also carry Nextel Cell Phone Accessories."</f>
        <v>We are a Computer Sales &amp; Service Store. We also carry Nextel Cell Phone Accessories.</v>
      </c>
      <c r="D1301" s="3" t="s">
        <v>4152</v>
      </c>
      <c r="E1301" s="3" t="s">
        <v>4153</v>
      </c>
      <c r="F1301" s="3" t="str">
        <f>"765-475-0994"</f>
        <v>765-475-0994</v>
      </c>
      <c r="G1301" s="3">
        <v>443120</v>
      </c>
      <c r="H1301" s="3" t="s">
        <v>609</v>
      </c>
    </row>
    <row r="1302" spans="1:8" ht="51.75" x14ac:dyDescent="0.25">
      <c r="A1302" s="3" t="s">
        <v>4154</v>
      </c>
      <c r="B1302" s="3"/>
      <c r="C1302" s="3" t="str">
        <f>"Small Construction Firm. Site work, concrete foundations and slabs; Interior, Exterior and Finish Carpentry; Swimming pool construction and renovation"</f>
        <v>Small Construction Firm. Site work, concrete foundations and slabs; Interior, Exterior and Finish Carpentry; Swimming pool construction and renovation</v>
      </c>
      <c r="D1302" s="3" t="s">
        <v>4155</v>
      </c>
      <c r="E1302" s="3" t="s">
        <v>4156</v>
      </c>
      <c r="F1302" s="3" t="str">
        <f>"812-325-5802"</f>
        <v>812-325-5802</v>
      </c>
      <c r="G1302" s="3">
        <v>23</v>
      </c>
      <c r="H1302" s="3" t="s">
        <v>133</v>
      </c>
    </row>
    <row r="1303" spans="1:8" ht="26.25" x14ac:dyDescent="0.25">
      <c r="A1303" s="3" t="s">
        <v>4157</v>
      </c>
      <c r="B1303" s="3"/>
      <c r="C1303" s="3" t="str">
        <f>"Precise Print provides toner cartridges and service for laser printers."</f>
        <v>Precise Print provides toner cartridges and service for laser printers.</v>
      </c>
      <c r="D1303" s="3" t="s">
        <v>4158</v>
      </c>
      <c r="E1303" s="3" t="s">
        <v>4159</v>
      </c>
      <c r="F1303" s="3" t="str">
        <f>"(317) 517-6071"</f>
        <v>(317) 517-6071</v>
      </c>
      <c r="G1303" s="3">
        <v>4234</v>
      </c>
      <c r="H1303" s="3" t="s">
        <v>4160</v>
      </c>
    </row>
    <row r="1304" spans="1:8" ht="268.5" x14ac:dyDescent="0.25">
      <c r="A1304" s="3" t="s">
        <v>4161</v>
      </c>
      <c r="B1304" s="3"/>
      <c r="C1304" s="3" t="s">
        <v>4162</v>
      </c>
      <c r="D1304" s="3" t="s">
        <v>9</v>
      </c>
      <c r="E1304" s="3" t="s">
        <v>4163</v>
      </c>
      <c r="F1304" s="2"/>
      <c r="G1304" s="3">
        <v>561410</v>
      </c>
      <c r="H1304" s="3" t="s">
        <v>4164</v>
      </c>
    </row>
    <row r="1305" spans="1:8" ht="77.25" x14ac:dyDescent="0.25">
      <c r="A1305" s="3" t="s">
        <v>4165</v>
      </c>
      <c r="B1305" s="3"/>
      <c r="C1305" s="3" t="str">
        <f>"Electrical contractor who performs work in the healthcare, commercial, industrial, institutional, and the tlecommunication fields. Brooks Electric Company also provides electrical equipment, components, lighting, and supplies."</f>
        <v>Electrical contractor who performs work in the healthcare, commercial, industrial, institutional, and the tlecommunication fields. Brooks Electric Company also provides electrical equipment, components, lighting, and supplies.</v>
      </c>
      <c r="D1305" s="3" t="s">
        <v>9</v>
      </c>
      <c r="E1305" s="3" t="s">
        <v>46</v>
      </c>
      <c r="F1305" s="2"/>
      <c r="G1305" s="3">
        <v>238210</v>
      </c>
      <c r="H1305" s="3" t="s">
        <v>306</v>
      </c>
    </row>
    <row r="1306" spans="1:8" ht="90" x14ac:dyDescent="0.25">
      <c r="A1306" s="3" t="s">
        <v>4166</v>
      </c>
      <c r="B1306" s="3"/>
      <c r="C1306" s="3" t="str">
        <f>"Provide and install electrical distribution, cable, raceways, lighting, devices, fire alram, security, voice data, sound, nurse call, etc. for new construction and remodels. Remodel and design builds for residential, commercial, and industrial projects."</f>
        <v>Provide and install electrical distribution, cable, raceways, lighting, devices, fire alram, security, voice data, sound, nurse call, etc. for new construction and remodels. Remodel and design builds for residential, commercial, and industrial projects.</v>
      </c>
      <c r="D1306" s="3" t="s">
        <v>4167</v>
      </c>
      <c r="E1306" s="3" t="s">
        <v>4168</v>
      </c>
      <c r="F1306" s="3" t="str">
        <f>"317-228-8411"</f>
        <v>317-228-8411</v>
      </c>
      <c r="G1306" s="3">
        <v>238210</v>
      </c>
      <c r="H1306" s="3" t="s">
        <v>306</v>
      </c>
    </row>
    <row r="1307" spans="1:8" ht="26.25" x14ac:dyDescent="0.25">
      <c r="A1307" s="3" t="s">
        <v>4169</v>
      </c>
      <c r="B1307" s="3"/>
      <c r="C1307" s="3" t="str">
        <f>"24 hour towing/recovery and auto repair"</f>
        <v>24 hour towing/recovery and auto repair</v>
      </c>
      <c r="D1307" s="3" t="s">
        <v>9</v>
      </c>
      <c r="E1307" s="3" t="s">
        <v>4170</v>
      </c>
      <c r="F1307" s="3" t="str">
        <f>"317-774-0384"</f>
        <v>317-774-0384</v>
      </c>
      <c r="G1307" s="3">
        <v>488410</v>
      </c>
      <c r="H1307" s="3" t="s">
        <v>4171</v>
      </c>
    </row>
    <row r="1308" spans="1:8" ht="77.25" x14ac:dyDescent="0.25">
      <c r="A1308" s="3" t="s">
        <v>4172</v>
      </c>
      <c r="B1308" s="3"/>
      <c r="C1308" s="3" t="str">
        <f>"Full-service Travel Management Company specializing in Corportate, Conference and Meeting Management for small and medium size Companies. Headquartered in Indianapolis IN, Travel Leaders Indianapolis was established in 1985."</f>
        <v>Full-service Travel Management Company specializing in Corportate, Conference and Meeting Management for small and medium size Companies. Headquartered in Indianapolis IN, Travel Leaders Indianapolis was established in 1985.</v>
      </c>
      <c r="D1308" s="3" t="s">
        <v>4173</v>
      </c>
      <c r="E1308" s="3" t="s">
        <v>4174</v>
      </c>
      <c r="F1308" s="3" t="str">
        <f>"317 899-4477"</f>
        <v>317 899-4477</v>
      </c>
      <c r="G1308" s="3">
        <v>5615</v>
      </c>
      <c r="H1308" s="3" t="s">
        <v>4175</v>
      </c>
    </row>
    <row r="1309" spans="1:8" ht="26.25" x14ac:dyDescent="0.25">
      <c r="A1309" s="3" t="s">
        <v>4176</v>
      </c>
      <c r="B1309" s="3"/>
      <c r="C1309" s="3" t="str">
        <f>"outdoor oriented goods, services"</f>
        <v>outdoor oriented goods, services</v>
      </c>
      <c r="D1309" s="3" t="s">
        <v>9</v>
      </c>
      <c r="E1309" s="3" t="s">
        <v>4177</v>
      </c>
      <c r="F1309" s="3" t="str">
        <f>"877-725-6665"</f>
        <v>877-725-6665</v>
      </c>
      <c r="G1309" s="3">
        <v>713990</v>
      </c>
      <c r="H1309" s="3" t="s">
        <v>2490</v>
      </c>
    </row>
    <row r="1310" spans="1:8" ht="26.25" x14ac:dyDescent="0.25">
      <c r="A1310" s="3" t="s">
        <v>4178</v>
      </c>
      <c r="B1310" s="3"/>
      <c r="C1310" s="3" t="str">
        <f>"Interior and exterior slabs and flat work. A variety of concrete finishes are offered."</f>
        <v>Interior and exterior slabs and flat work. A variety of concrete finishes are offered.</v>
      </c>
      <c r="D1310" s="3" t="s">
        <v>9</v>
      </c>
      <c r="E1310" s="3" t="s">
        <v>4179</v>
      </c>
      <c r="F1310" s="3" t="str">
        <f>"317.846.2803"</f>
        <v>317.846.2803</v>
      </c>
      <c r="G1310" s="3">
        <v>238110</v>
      </c>
      <c r="H1310" s="3" t="s">
        <v>156</v>
      </c>
    </row>
    <row r="1311" spans="1:8" x14ac:dyDescent="0.25">
      <c r="A1311" s="3" t="s">
        <v>4180</v>
      </c>
      <c r="B1311" s="3"/>
      <c r="C1311" s="3" t="str">
        <f>" "</f>
        <v xml:space="preserve"> </v>
      </c>
      <c r="D1311" s="3" t="s">
        <v>9</v>
      </c>
      <c r="E1311" s="3" t="s">
        <v>4181</v>
      </c>
      <c r="F1311" s="2"/>
      <c r="G1311" s="3">
        <v>541618</v>
      </c>
      <c r="H1311" s="3" t="s">
        <v>3527</v>
      </c>
    </row>
    <row r="1312" spans="1:8" ht="26.25" x14ac:dyDescent="0.25">
      <c r="A1312" s="3" t="s">
        <v>4182</v>
      </c>
      <c r="B1312" s="3"/>
      <c r="C1312" s="3" t="str">
        <f>"Public School, located in Brown County, state of Indiana."</f>
        <v>Public School, located in Brown County, state of Indiana.</v>
      </c>
      <c r="D1312" s="3" t="s">
        <v>4183</v>
      </c>
      <c r="E1312" s="3" t="s">
        <v>4184</v>
      </c>
      <c r="F1312" s="3" t="str">
        <f>"812-988-6601"</f>
        <v>812-988-6601</v>
      </c>
      <c r="G1312" s="3">
        <v>6111</v>
      </c>
      <c r="H1312" s="3" t="s">
        <v>3876</v>
      </c>
    </row>
    <row r="1313" spans="1:8" ht="90" x14ac:dyDescent="0.25">
      <c r="A1313" s="3" t="s">
        <v>4185</v>
      </c>
      <c r="B1313" s="3"/>
      <c r="C1313" s="3" t="str">
        <f>"Today, Brown Equipment Co., Inc. services customers in both the government and private sectors. Focusing, on street and sewer maintenance equipment, has allowed Brown Equipment to become recognized as a knowledgeable source for sales, parts and service."</f>
        <v>Today, Brown Equipment Co., Inc. services customers in both the government and private sectors. Focusing, on street and sewer maintenance equipment, has allowed Brown Equipment to become recognized as a knowledgeable source for sales, parts and service.</v>
      </c>
      <c r="D1313" s="3" t="s">
        <v>4186</v>
      </c>
      <c r="E1313" s="3" t="s">
        <v>4187</v>
      </c>
      <c r="F1313" s="3" t="str">
        <f>"260-747-2312"</f>
        <v>260-747-2312</v>
      </c>
      <c r="G1313" s="3">
        <v>423</v>
      </c>
      <c r="H1313" s="3" t="s">
        <v>1561</v>
      </c>
    </row>
    <row r="1314" spans="1:8" ht="51.75" x14ac:dyDescent="0.25">
      <c r="A1314" s="3" t="s">
        <v>4188</v>
      </c>
      <c r="B1314" s="3"/>
      <c r="C1314" s="3" t="str">
        <f>"Brown Ink, LLC, provides writing, editing and public relations support to individuals, government organizations, not-for-profit groups and businesses."</f>
        <v>Brown Ink, LLC, provides writing, editing and public relations support to individuals, government organizations, not-for-profit groups and businesses.</v>
      </c>
      <c r="D1314" s="3" t="s">
        <v>4189</v>
      </c>
      <c r="E1314" s="3" t="s">
        <v>4190</v>
      </c>
      <c r="F1314" s="3" t="str">
        <f>"317-410-2617"</f>
        <v>317-410-2617</v>
      </c>
      <c r="G1314" s="3">
        <v>541820</v>
      </c>
      <c r="H1314" s="3" t="s">
        <v>795</v>
      </c>
    </row>
    <row r="1315" spans="1:8" ht="64.5" x14ac:dyDescent="0.25">
      <c r="A1315" s="3" t="s">
        <v>4191</v>
      </c>
      <c r="B1315" s="3"/>
      <c r="C1315" s="3" t="str">
        <f>"Adhesive tapes(Standard and custom including imprinted), plastic bags, kraft paper, bubble/foam, HVAC tapes, mailers, boxes, pack list envelopes, A/V tapes, and other packaging &amp; shipping supplies."</f>
        <v>Adhesive tapes(Standard and custom including imprinted), plastic bags, kraft paper, bubble/foam, HVAC tapes, mailers, boxes, pack list envelopes, A/V tapes, and other packaging &amp; shipping supplies.</v>
      </c>
      <c r="D1315" s="3" t="s">
        <v>4192</v>
      </c>
      <c r="E1315" s="3" t="s">
        <v>4193</v>
      </c>
      <c r="F1315" s="3" t="str">
        <f>"1-866-276-9682"</f>
        <v>1-866-276-9682</v>
      </c>
      <c r="G1315" s="3">
        <v>42384</v>
      </c>
      <c r="H1315" s="3" t="s">
        <v>553</v>
      </c>
    </row>
    <row r="1316" spans="1:8" ht="192" x14ac:dyDescent="0.25">
      <c r="A1316" s="3" t="s">
        <v>4194</v>
      </c>
      <c r="B1316" s="3"/>
      <c r="C1316" s="3" t="s">
        <v>4195</v>
      </c>
      <c r="D1316" s="3" t="s">
        <v>4196</v>
      </c>
      <c r="E1316" s="3" t="s">
        <v>4197</v>
      </c>
      <c r="F1316" s="3" t="str">
        <f>"888-829-9997"</f>
        <v>888-829-9997</v>
      </c>
      <c r="G1316" s="3">
        <v>56144</v>
      </c>
      <c r="H1316" s="3" t="s">
        <v>473</v>
      </c>
    </row>
    <row r="1317" spans="1:8" ht="128.25" x14ac:dyDescent="0.25">
      <c r="A1317" s="3" t="s">
        <v>4198</v>
      </c>
      <c r="B1317" s="3"/>
      <c r="C1317" s="3" t="s">
        <v>4199</v>
      </c>
      <c r="D1317" s="3" t="s">
        <v>4200</v>
      </c>
      <c r="E1317" s="3" t="s">
        <v>4201</v>
      </c>
      <c r="F1317" s="3" t="str">
        <f>"1-888-353-1664"</f>
        <v>1-888-353-1664</v>
      </c>
      <c r="G1317" s="3">
        <v>326111</v>
      </c>
      <c r="H1317" s="3" t="s">
        <v>4202</v>
      </c>
    </row>
    <row r="1318" spans="1:8" ht="39" x14ac:dyDescent="0.25">
      <c r="A1318" s="3" t="s">
        <v>4203</v>
      </c>
      <c r="B1318" s="3"/>
      <c r="C1318" s="3" t="str">
        <f>"2-way radio sales and service for transportation, law enforcement, fire departments, etc."</f>
        <v>2-way radio sales and service for transportation, law enforcement, fire departments, etc.</v>
      </c>
      <c r="D1318" s="3" t="s">
        <v>9</v>
      </c>
      <c r="E1318" s="3" t="s">
        <v>4204</v>
      </c>
      <c r="F1318" s="3" t="str">
        <f>"219-929-4277"</f>
        <v>219-929-4277</v>
      </c>
      <c r="G1318" s="3">
        <v>3342</v>
      </c>
      <c r="H1318" s="3" t="s">
        <v>4205</v>
      </c>
    </row>
    <row r="1319" spans="1:8" ht="26.25" x14ac:dyDescent="0.25">
      <c r="A1319" s="3" t="s">
        <v>4206</v>
      </c>
      <c r="B1319" s="3"/>
      <c r="C1319" s="3" t="str">
        <f>"Auto Body Shop"</f>
        <v>Auto Body Shop</v>
      </c>
      <c r="D1319" s="3" t="s">
        <v>9</v>
      </c>
      <c r="E1319" s="3" t="s">
        <v>4207</v>
      </c>
      <c r="F1319" s="3" t="str">
        <f>"8128383050"</f>
        <v>8128383050</v>
      </c>
      <c r="G1319" s="3">
        <v>8111</v>
      </c>
      <c r="H1319" s="3" t="s">
        <v>3587</v>
      </c>
    </row>
    <row r="1320" spans="1:8" ht="51.75" x14ac:dyDescent="0.25">
      <c r="A1320" s="3" t="s">
        <v>4208</v>
      </c>
      <c r="B1320" s="3"/>
      <c r="C1320" s="3" t="str">
        <f>"Custom trailers built to fit your need. Racing, auto haulers, lawn care, contracting, cargo, concessions or vending, we can help you get it there."</f>
        <v>Custom trailers built to fit your need. Racing, auto haulers, lawn care, contracting, cargo, concessions or vending, we can help you get it there.</v>
      </c>
      <c r="D1320" s="3" t="s">
        <v>4209</v>
      </c>
      <c r="E1320" s="3" t="s">
        <v>4210</v>
      </c>
      <c r="F1320" s="3" t="str">
        <f>"3172937007"</f>
        <v>3172937007</v>
      </c>
      <c r="G1320" s="3">
        <v>44122</v>
      </c>
      <c r="H1320" s="3" t="s">
        <v>4211</v>
      </c>
    </row>
    <row r="1321" spans="1:8" ht="141" x14ac:dyDescent="0.25">
      <c r="A1321" s="3" t="s">
        <v>4212</v>
      </c>
      <c r="B1321" s="3"/>
      <c r="C1321" s="3" t="s">
        <v>4213</v>
      </c>
      <c r="D1321" s="3" t="s">
        <v>9</v>
      </c>
      <c r="E1321" s="3" t="s">
        <v>4214</v>
      </c>
      <c r="F1321" s="3" t="str">
        <f>"219-736-7450"</f>
        <v>219-736-7450</v>
      </c>
      <c r="G1321" s="3">
        <v>811111</v>
      </c>
      <c r="H1321" s="3" t="s">
        <v>2383</v>
      </c>
    </row>
    <row r="1322" spans="1:8" ht="141" x14ac:dyDescent="0.25">
      <c r="A1322" s="3" t="s">
        <v>4215</v>
      </c>
      <c r="B1322" s="3"/>
      <c r="C1322" s="3" t="s">
        <v>4216</v>
      </c>
      <c r="D1322" s="3" t="s">
        <v>4217</v>
      </c>
      <c r="E1322" s="3" t="s">
        <v>4218</v>
      </c>
      <c r="F1322" s="3" t="str">
        <f>"317-923-3211"</f>
        <v>317-923-3211</v>
      </c>
      <c r="G1322" s="3">
        <v>325611</v>
      </c>
      <c r="H1322" s="3" t="s">
        <v>4219</v>
      </c>
    </row>
    <row r="1323" spans="1:8" ht="141" x14ac:dyDescent="0.25">
      <c r="A1323" s="3" t="s">
        <v>4220</v>
      </c>
      <c r="B1323" s="3"/>
      <c r="C1323" s="3" t="s">
        <v>4221</v>
      </c>
      <c r="D1323" s="3" t="s">
        <v>9</v>
      </c>
      <c r="E1323" s="3" t="s">
        <v>46</v>
      </c>
      <c r="F1323" s="3" t="str">
        <f>"765-289-3611"</f>
        <v>765-289-3611</v>
      </c>
      <c r="G1323" s="3">
        <v>111421</v>
      </c>
      <c r="H1323" s="3" t="s">
        <v>4222</v>
      </c>
    </row>
    <row r="1324" spans="1:8" ht="26.25" x14ac:dyDescent="0.25">
      <c r="A1324" s="3" t="s">
        <v>4223</v>
      </c>
      <c r="B1324" s="3"/>
      <c r="C1324" s="3" t="str">
        <f>"Provides landscape design, installation, maintenance, mowing, and green roofs."</f>
        <v>Provides landscape design, installation, maintenance, mowing, and green roofs.</v>
      </c>
      <c r="D1324" s="3" t="s">
        <v>4224</v>
      </c>
      <c r="E1324" s="3" t="s">
        <v>4225</v>
      </c>
      <c r="F1324" s="3" t="str">
        <f>"812/265-6781"</f>
        <v>812/265-6781</v>
      </c>
      <c r="G1324" s="3">
        <v>541320</v>
      </c>
      <c r="H1324" s="3" t="s">
        <v>2241</v>
      </c>
    </row>
    <row r="1325" spans="1:8" ht="26.25" x14ac:dyDescent="0.25">
      <c r="A1325" s="3" t="s">
        <v>4226</v>
      </c>
      <c r="B1325" s="3"/>
      <c r="C1325" s="3" t="str">
        <f>"General &amp; Masonry Contractor for private and public works"</f>
        <v>General &amp; Masonry Contractor for private and public works</v>
      </c>
      <c r="D1325" s="3" t="s">
        <v>4227</v>
      </c>
      <c r="E1325" s="3" t="s">
        <v>4228</v>
      </c>
      <c r="F1325" s="3" t="str">
        <f>"812-934-2105"</f>
        <v>812-934-2105</v>
      </c>
      <c r="G1325" s="3">
        <v>233</v>
      </c>
      <c r="H1325" s="3" t="s">
        <v>131</v>
      </c>
    </row>
    <row r="1326" spans="1:8" ht="115.5" x14ac:dyDescent="0.25">
      <c r="A1326" s="3" t="s">
        <v>4229</v>
      </c>
      <c r="B1326" s="3"/>
      <c r="C1326" s="3" t="s">
        <v>4230</v>
      </c>
      <c r="D1326" s="3" t="s">
        <v>4231</v>
      </c>
      <c r="E1326" s="3" t="s">
        <v>4232</v>
      </c>
      <c r="F1326" s="3" t="str">
        <f>"765-827-5441"</f>
        <v>765-827-5441</v>
      </c>
      <c r="G1326" s="3">
        <v>32311</v>
      </c>
      <c r="H1326" s="3" t="s">
        <v>531</v>
      </c>
    </row>
    <row r="1327" spans="1:8" ht="268.5" x14ac:dyDescent="0.25">
      <c r="A1327" s="3" t="s">
        <v>4233</v>
      </c>
      <c r="B1327" s="3"/>
      <c r="C1327" s="3" t="s">
        <v>4234</v>
      </c>
      <c r="D1327" s="3" t="s">
        <v>9</v>
      </c>
      <c r="E1327" s="3" t="s">
        <v>4235</v>
      </c>
      <c r="F1327" s="3" t="str">
        <f>"317-346-0659"</f>
        <v>317-346-0659</v>
      </c>
      <c r="G1327" s="3">
        <v>54161</v>
      </c>
      <c r="H1327" s="3" t="s">
        <v>1221</v>
      </c>
    </row>
    <row r="1328" spans="1:8" ht="51.75" x14ac:dyDescent="0.25">
      <c r="A1328" s="3" t="s">
        <v>4236</v>
      </c>
      <c r="B1328" s="3"/>
      <c r="C1328" s="3" t="str">
        <f>"We are primarily a demolition company. We also do excavation and site preparation work. We are a verified Veteran-owned Small Business also."</f>
        <v>We are primarily a demolition company. We also do excavation and site preparation work. We are a verified Veteran-owned Small Business also.</v>
      </c>
      <c r="D1328" s="3" t="s">
        <v>9</v>
      </c>
      <c r="E1328" s="3" t="s">
        <v>4237</v>
      </c>
      <c r="F1328" s="3" t="str">
        <f>"8123382271"</f>
        <v>8123382271</v>
      </c>
      <c r="G1328" s="3">
        <v>238910</v>
      </c>
      <c r="H1328" s="3" t="s">
        <v>886</v>
      </c>
    </row>
    <row r="1329" spans="1:8" ht="153.75" x14ac:dyDescent="0.25">
      <c r="A1329" s="3" t="s">
        <v>4238</v>
      </c>
      <c r="B1329" s="3"/>
      <c r="C1329" s="3" t="s">
        <v>4239</v>
      </c>
      <c r="D1329" s="3" t="s">
        <v>4240</v>
      </c>
      <c r="E1329" s="3" t="s">
        <v>4241</v>
      </c>
      <c r="F1329" s="3" t="str">
        <f>"7652361248"</f>
        <v>7652361248</v>
      </c>
      <c r="G1329" s="3">
        <v>541330</v>
      </c>
      <c r="H1329" s="3" t="s">
        <v>82</v>
      </c>
    </row>
    <row r="1330" spans="1:8" ht="26.25" x14ac:dyDescent="0.25">
      <c r="A1330" s="3" t="s">
        <v>4242</v>
      </c>
      <c r="B1330" s="3"/>
      <c r="C1330" s="3" t="str">
        <f>"Law firm"</f>
        <v>Law firm</v>
      </c>
      <c r="D1330" s="3" t="s">
        <v>4243</v>
      </c>
      <c r="E1330" s="3" t="s">
        <v>4244</v>
      </c>
      <c r="F1330" s="3" t="str">
        <f>"317-873-8396"</f>
        <v>317-873-8396</v>
      </c>
      <c r="G1330" s="3">
        <v>541110</v>
      </c>
      <c r="H1330" s="3" t="s">
        <v>2978</v>
      </c>
    </row>
    <row r="1331" spans="1:8" ht="294" x14ac:dyDescent="0.25">
      <c r="A1331" s="3" t="s">
        <v>4245</v>
      </c>
      <c r="B1331" s="3"/>
      <c r="C1331" s="3" t="s">
        <v>4246</v>
      </c>
      <c r="D1331" s="3" t="s">
        <v>4247</v>
      </c>
      <c r="E1331" s="3" t="s">
        <v>4248</v>
      </c>
      <c r="F1331" s="3" t="str">
        <f>"317-423-8980"</f>
        <v>317-423-8980</v>
      </c>
      <c r="G1331" s="3">
        <v>541511</v>
      </c>
      <c r="H1331" s="3" t="s">
        <v>122</v>
      </c>
    </row>
    <row r="1332" spans="1:8" ht="39" x14ac:dyDescent="0.25">
      <c r="A1332" s="3" t="s">
        <v>4249</v>
      </c>
      <c r="B1332" s="3"/>
      <c r="C1332" s="3" t="str">
        <f>"Motorcycle, ATV and scooter dealership: sales, parts, accessories, and service department"</f>
        <v>Motorcycle, ATV and scooter dealership: sales, parts, accessories, and service department</v>
      </c>
      <c r="D1332" s="3" t="s">
        <v>4250</v>
      </c>
      <c r="E1332" s="3" t="s">
        <v>4251</v>
      </c>
      <c r="F1332" s="3" t="str">
        <f>"219-477-4700"</f>
        <v>219-477-4700</v>
      </c>
      <c r="G1332" s="3">
        <v>441221</v>
      </c>
      <c r="H1332" s="3" t="s">
        <v>3299</v>
      </c>
    </row>
    <row r="1333" spans="1:8" ht="64.5" x14ac:dyDescent="0.25">
      <c r="A1333" s="3" t="s">
        <v>4252</v>
      </c>
      <c r="B1333" s="3"/>
      <c r="C1333" s="3" t="str">
        <f>"Buckaroo Marketing | New Media provides customized marketing, advertising, graphic design, website design, email marketing, PR, writing and database-related services to area companies."</f>
        <v>Buckaroo Marketing | New Media provides customized marketing, advertising, graphic design, website design, email marketing, PR, writing and database-related services to area companies.</v>
      </c>
      <c r="D1333" s="3" t="s">
        <v>4253</v>
      </c>
      <c r="E1333" s="3" t="s">
        <v>4254</v>
      </c>
      <c r="F1333" s="3" t="str">
        <f>"317.845.0830"</f>
        <v>317.845.0830</v>
      </c>
      <c r="G1333" s="3">
        <v>5418</v>
      </c>
      <c r="H1333" s="3" t="s">
        <v>1337</v>
      </c>
    </row>
    <row r="1334" spans="1:8" ht="64.5" x14ac:dyDescent="0.25">
      <c r="A1334" s="3" t="s">
        <v>4255</v>
      </c>
      <c r="B1334" s="3"/>
      <c r="C1334" s="3" t="str">
        <f>"Full line janitorial supplies distributor. Including Green Seal Certified supplies, hand soap, hand sanitizer, paper, trash liners, cleaning chemicals, and cleaning equipment."</f>
        <v>Full line janitorial supplies distributor. Including Green Seal Certified supplies, hand soap, hand sanitizer, paper, trash liners, cleaning chemicals, and cleaning equipment.</v>
      </c>
      <c r="D1334" s="3" t="s">
        <v>4256</v>
      </c>
      <c r="E1334" s="3" t="s">
        <v>4257</v>
      </c>
      <c r="F1334" s="3" t="str">
        <f>"317-698-6836"</f>
        <v>317-698-6836</v>
      </c>
      <c r="G1334" s="3">
        <v>325612</v>
      </c>
      <c r="H1334" s="3" t="s">
        <v>4258</v>
      </c>
    </row>
    <row r="1335" spans="1:8" ht="26.25" x14ac:dyDescent="0.25">
      <c r="A1335" s="3" t="s">
        <v>4259</v>
      </c>
      <c r="B1335" s="3"/>
      <c r="C1335" s="3" t="str">
        <f>"Woman owned real estate brokerage firm"</f>
        <v>Woman owned real estate brokerage firm</v>
      </c>
      <c r="D1335" s="3" t="s">
        <v>4260</v>
      </c>
      <c r="E1335" s="3" t="s">
        <v>4261</v>
      </c>
      <c r="F1335" s="3" t="str">
        <f>"317-609-4000"</f>
        <v>317-609-4000</v>
      </c>
      <c r="G1335" s="3">
        <v>531210</v>
      </c>
      <c r="H1335" s="3" t="s">
        <v>1101</v>
      </c>
    </row>
    <row r="1336" spans="1:8" ht="128.25" x14ac:dyDescent="0.25">
      <c r="A1336" s="3" t="s">
        <v>4262</v>
      </c>
      <c r="B1336" s="3"/>
      <c r="C1336" s="3" t="s">
        <v>4263</v>
      </c>
      <c r="D1336" s="3" t="s">
        <v>9</v>
      </c>
      <c r="E1336" s="3" t="s">
        <v>4264</v>
      </c>
      <c r="F1336" s="3" t="str">
        <f>"317-697-6730"</f>
        <v>317-697-6730</v>
      </c>
      <c r="G1336" s="3">
        <v>561612</v>
      </c>
      <c r="H1336" s="3" t="s">
        <v>362</v>
      </c>
    </row>
    <row r="1337" spans="1:8" ht="39" x14ac:dyDescent="0.25">
      <c r="A1337" s="3" t="s">
        <v>4265</v>
      </c>
      <c r="B1337" s="3"/>
      <c r="C1337" s="3" t="str">
        <f>"A wholesale business dealing in plumbing supplies, sewer pipe, drainage tubing, kitchens and some industrial items."</f>
        <v>A wholesale business dealing in plumbing supplies, sewer pipe, drainage tubing, kitchens and some industrial items.</v>
      </c>
      <c r="D1337" s="3" t="s">
        <v>9</v>
      </c>
      <c r="E1337" s="3" t="s">
        <v>46</v>
      </c>
      <c r="F1337" s="2"/>
      <c r="G1337" s="3">
        <v>423720</v>
      </c>
      <c r="H1337" s="3" t="s">
        <v>2695</v>
      </c>
    </row>
    <row r="1338" spans="1:8" ht="115.5" x14ac:dyDescent="0.25">
      <c r="A1338" s="3" t="s">
        <v>4266</v>
      </c>
      <c r="B1338" s="3"/>
      <c r="C1338" s="3" t="s">
        <v>4267</v>
      </c>
      <c r="D1338" s="3" t="s">
        <v>4268</v>
      </c>
      <c r="E1338" s="3" t="s">
        <v>4269</v>
      </c>
      <c r="F1338" s="3" t="str">
        <f>"317-571-8331"</f>
        <v>317-571-8331</v>
      </c>
      <c r="G1338" s="3">
        <v>11</v>
      </c>
      <c r="H1338" s="3" t="s">
        <v>175</v>
      </c>
    </row>
    <row r="1339" spans="1:8" ht="51.75" x14ac:dyDescent="0.25">
      <c r="A1339" s="3" t="s">
        <v>4270</v>
      </c>
      <c r="B1339" s="3"/>
      <c r="C1339" s="3" t="str">
        <f>"Specialized in hauling full truck loads of freight transporting general commodities. We use 53' Van air ride trailers and can pull customers trailers if need be."</f>
        <v>Specialized in hauling full truck loads of freight transporting general commodities. We use 53' Van air ride trailers and can pull customers trailers if need be.</v>
      </c>
      <c r="D1339" s="3" t="s">
        <v>4271</v>
      </c>
      <c r="E1339" s="3" t="s">
        <v>4272</v>
      </c>
      <c r="F1339" s="3" t="str">
        <f>"765-228-5885"</f>
        <v>765-228-5885</v>
      </c>
      <c r="G1339" s="3">
        <v>48</v>
      </c>
      <c r="H1339" s="3" t="s">
        <v>104</v>
      </c>
    </row>
    <row r="1340" spans="1:8" ht="39" x14ac:dyDescent="0.25">
      <c r="A1340" s="3" t="s">
        <v>4273</v>
      </c>
      <c r="B1340" s="3"/>
      <c r="C1340" s="3" t="str">
        <f>"Sales, Service, Parts and Rental of Bobcat brand compact equipment and attachment accessories."</f>
        <v>Sales, Service, Parts and Rental of Bobcat brand compact equipment and attachment accessories.</v>
      </c>
      <c r="D1340" s="3" t="s">
        <v>4274</v>
      </c>
      <c r="E1340" s="3" t="s">
        <v>4275</v>
      </c>
      <c r="F1340" s="3" t="str">
        <f>"260-489-5511"</f>
        <v>260-489-5511</v>
      </c>
      <c r="G1340" s="3">
        <v>423810</v>
      </c>
      <c r="H1340" s="3" t="s">
        <v>4276</v>
      </c>
    </row>
    <row r="1341" spans="1:8" ht="39" x14ac:dyDescent="0.25">
      <c r="A1341" s="3" t="s">
        <v>4277</v>
      </c>
      <c r="B1341" s="3"/>
      <c r="C1341" s="3" t="str">
        <f>"Commercial janitorial, complete floor care and carpet cleaning, land scaping, and general construction."</f>
        <v>Commercial janitorial, complete floor care and carpet cleaning, land scaping, and general construction.</v>
      </c>
      <c r="D1341" s="3" t="s">
        <v>9</v>
      </c>
      <c r="E1341" s="3" t="s">
        <v>4278</v>
      </c>
      <c r="F1341" s="3" t="str">
        <f>"8122859499"</f>
        <v>8122859499</v>
      </c>
      <c r="G1341" s="3">
        <v>561720</v>
      </c>
      <c r="H1341" s="3" t="s">
        <v>222</v>
      </c>
    </row>
    <row r="1342" spans="1:8" ht="26.25" x14ac:dyDescent="0.25">
      <c r="A1342" s="3" t="s">
        <v>4279</v>
      </c>
      <c r="B1342" s="3"/>
      <c r="C1342" s="3" t="str">
        <f>"Educational Services. Graphic Design. Multimedia Presentations."</f>
        <v>Educational Services. Graphic Design. Multimedia Presentations.</v>
      </c>
      <c r="D1342" s="3" t="s">
        <v>4280</v>
      </c>
      <c r="E1342" s="3" t="s">
        <v>4281</v>
      </c>
      <c r="F1342" s="3" t="str">
        <f>"8123338902"</f>
        <v>8123338902</v>
      </c>
      <c r="G1342" s="3">
        <v>61</v>
      </c>
      <c r="H1342" s="3" t="s">
        <v>140</v>
      </c>
    </row>
    <row r="1343" spans="1:8" ht="102.75" x14ac:dyDescent="0.25">
      <c r="A1343" s="3" t="s">
        <v>4282</v>
      </c>
      <c r="B1343" s="3"/>
      <c r="C1343" s="3" t="s">
        <v>4283</v>
      </c>
      <c r="D1343" s="3" t="s">
        <v>9</v>
      </c>
      <c r="E1343" s="3" t="s">
        <v>46</v>
      </c>
      <c r="F1343" s="2"/>
      <c r="G1343" s="3">
        <v>561720</v>
      </c>
      <c r="H1343" s="3" t="s">
        <v>222</v>
      </c>
    </row>
    <row r="1344" spans="1:8" ht="26.25" x14ac:dyDescent="0.25">
      <c r="A1344" s="3" t="s">
        <v>4284</v>
      </c>
      <c r="B1344" s="3"/>
      <c r="C1344" s="3" t="str">
        <f>"We sell remanufactured and compatible Laser Toner Cartridges and repair printers."</f>
        <v>We sell remanufactured and compatible Laser Toner Cartridges and repair printers.</v>
      </c>
      <c r="D1344" s="3" t="s">
        <v>9</v>
      </c>
      <c r="E1344" s="3" t="s">
        <v>46</v>
      </c>
      <c r="F1344" s="2"/>
      <c r="G1344" s="3">
        <v>541519</v>
      </c>
      <c r="H1344" s="3" t="s">
        <v>898</v>
      </c>
    </row>
    <row r="1345" spans="1:8" ht="153.75" x14ac:dyDescent="0.25">
      <c r="A1345" s="3" t="s">
        <v>4285</v>
      </c>
      <c r="B1345" s="3"/>
      <c r="C1345" s="3" t="s">
        <v>4286</v>
      </c>
      <c r="D1345" s="3" t="s">
        <v>9</v>
      </c>
      <c r="E1345" s="3" t="s">
        <v>4287</v>
      </c>
      <c r="F1345" s="3" t="str">
        <f>"8124791444"</f>
        <v>8124791444</v>
      </c>
      <c r="G1345" s="3">
        <v>541310</v>
      </c>
      <c r="H1345" s="3" t="s">
        <v>446</v>
      </c>
    </row>
    <row r="1346" spans="1:8" ht="26.25" x14ac:dyDescent="0.25">
      <c r="A1346" s="3" t="s">
        <v>4288</v>
      </c>
      <c r="B1346" s="3"/>
      <c r="C1346" s="3" t="str">
        <f>"pest control - all general insects, bedbugs, rodents. Commercial &amp; residential."</f>
        <v>pest control - all general insects, bedbugs, rodents. Commercial &amp; residential.</v>
      </c>
      <c r="D1346" s="3" t="s">
        <v>4289</v>
      </c>
      <c r="E1346" s="3" t="s">
        <v>4290</v>
      </c>
      <c r="F1346" s="3" t="str">
        <f>"317-945-2965"</f>
        <v>317-945-2965</v>
      </c>
      <c r="G1346" s="3">
        <v>561710</v>
      </c>
      <c r="H1346" s="3" t="s">
        <v>946</v>
      </c>
    </row>
    <row r="1347" spans="1:8" ht="39" x14ac:dyDescent="0.25">
      <c r="A1347" s="3" t="s">
        <v>4291</v>
      </c>
      <c r="B1347" s="3"/>
      <c r="C1347" s="3" t="str">
        <f>"General Contractor and Construction Management and all aspects of the small to medium construction industry."</f>
        <v>General Contractor and Construction Management and all aspects of the small to medium construction industry.</v>
      </c>
      <c r="D1347" s="3" t="s">
        <v>9</v>
      </c>
      <c r="E1347" s="3" t="s">
        <v>4292</v>
      </c>
      <c r="F1347" s="3" t="str">
        <f>"317-354-4905"</f>
        <v>317-354-4905</v>
      </c>
      <c r="G1347" s="3">
        <v>236</v>
      </c>
      <c r="H1347" s="3" t="s">
        <v>291</v>
      </c>
    </row>
    <row r="1348" spans="1:8" ht="166.5" x14ac:dyDescent="0.25">
      <c r="A1348" s="3" t="s">
        <v>4293</v>
      </c>
      <c r="B1348" s="3"/>
      <c r="C1348" s="3" t="s">
        <v>4294</v>
      </c>
      <c r="D1348" s="3" t="s">
        <v>4295</v>
      </c>
      <c r="E1348" s="3" t="s">
        <v>4296</v>
      </c>
      <c r="F1348" s="3" t="str">
        <f>"765.446.7900"</f>
        <v>765.446.7900</v>
      </c>
      <c r="G1348" s="3">
        <v>624110</v>
      </c>
      <c r="H1348" s="3" t="s">
        <v>628</v>
      </c>
    </row>
    <row r="1349" spans="1:8" ht="64.5" x14ac:dyDescent="0.25">
      <c r="A1349" s="3" t="s">
        <v>4297</v>
      </c>
      <c r="B1349" s="3"/>
      <c r="C1349" s="3" t="str">
        <f>"We are a contractor offering serivce and installtion in the following areas: HVAC, automatic temperature controls, access controls, energy management. We are a Johnson Controls ABCS contractor."</f>
        <v>We are a contractor offering serivce and installtion in the following areas: HVAC, automatic temperature controls, access controls, energy management. We are a Johnson Controls ABCS contractor.</v>
      </c>
      <c r="D1349" s="3" t="s">
        <v>4298</v>
      </c>
      <c r="E1349" s="3" t="s">
        <v>4299</v>
      </c>
      <c r="F1349" s="3" t="str">
        <f>"2604329580"</f>
        <v>2604329580</v>
      </c>
      <c r="G1349" s="3">
        <v>238990</v>
      </c>
      <c r="H1349" s="3" t="s">
        <v>481</v>
      </c>
    </row>
    <row r="1350" spans="1:8" ht="64.5" x14ac:dyDescent="0.25">
      <c r="A1350" s="3" t="s">
        <v>4300</v>
      </c>
      <c r="B1350" s="3"/>
      <c r="C1350" s="3" t="str">
        <f>"A contractor for various types of building maintenace services, to include but not limited to full service lawn care and landscaping, roofing, plumbing and janitorial services."</f>
        <v>A contractor for various types of building maintenace services, to include but not limited to full service lawn care and landscaping, roofing, plumbing and janitorial services.</v>
      </c>
      <c r="D1350" s="3" t="s">
        <v>4301</v>
      </c>
      <c r="E1350" s="3" t="s">
        <v>4302</v>
      </c>
      <c r="F1350" s="3" t="str">
        <f>"317-833-2741"</f>
        <v>317-833-2741</v>
      </c>
      <c r="G1350" s="3">
        <v>5617</v>
      </c>
      <c r="H1350" s="3" t="s">
        <v>812</v>
      </c>
    </row>
    <row r="1351" spans="1:8" ht="39" x14ac:dyDescent="0.25">
      <c r="A1351" s="3" t="s">
        <v>4303</v>
      </c>
      <c r="B1351" s="3"/>
      <c r="C1351" s="3" t="str">
        <f>"Family Law, Bankruptcy and Wills and Estate Attorney with over 20 years experience."</f>
        <v>Family Law, Bankruptcy and Wills and Estate Attorney with over 20 years experience.</v>
      </c>
      <c r="D1351" s="3" t="s">
        <v>9</v>
      </c>
      <c r="E1351" s="3" t="s">
        <v>4304</v>
      </c>
      <c r="F1351" s="3" t="str">
        <f>"317-631-5808"</f>
        <v>317-631-5808</v>
      </c>
      <c r="G1351" s="3">
        <v>8121</v>
      </c>
      <c r="H1351" s="3" t="s">
        <v>4305</v>
      </c>
    </row>
    <row r="1352" spans="1:8" ht="319.5" x14ac:dyDescent="0.25">
      <c r="A1352" s="3" t="s">
        <v>4306</v>
      </c>
      <c r="B1352" s="3"/>
      <c r="C1352" s="3" t="s">
        <v>4307</v>
      </c>
      <c r="D1352" s="3" t="s">
        <v>4308</v>
      </c>
      <c r="E1352" s="3" t="s">
        <v>4309</v>
      </c>
      <c r="F1352" s="3" t="str">
        <f>"517-455-7016"</f>
        <v>517-455-7016</v>
      </c>
      <c r="G1352" s="3">
        <v>541611</v>
      </c>
      <c r="H1352" s="3" t="s">
        <v>278</v>
      </c>
    </row>
    <row r="1353" spans="1:8" ht="90" x14ac:dyDescent="0.25">
      <c r="A1353" s="3" t="s">
        <v>4310</v>
      </c>
      <c r="B1353" s="3"/>
      <c r="C1353" s="3" t="s">
        <v>4311</v>
      </c>
      <c r="D1353" s="3" t="s">
        <v>4312</v>
      </c>
      <c r="E1353" s="3" t="s">
        <v>4313</v>
      </c>
      <c r="F1353" s="3" t="str">
        <f>"317-694-5863"</f>
        <v>317-694-5863</v>
      </c>
      <c r="G1353" s="3">
        <v>611699</v>
      </c>
      <c r="H1353" s="3" t="s">
        <v>2136</v>
      </c>
    </row>
    <row r="1354" spans="1:8" ht="64.5" x14ac:dyDescent="0.25">
      <c r="A1354" s="3" t="s">
        <v>4314</v>
      </c>
      <c r="B1354" s="3"/>
      <c r="C1354" s="3" t="str">
        <f>"We offer high quality hassle free 100 percent Indiana DOT compliant tri-axle dump truck service. One call does it all , leed dumpsites,filldirt,topsoil,state wide service."</f>
        <v>We offer high quality hassle free 100 percent Indiana DOT compliant tri-axle dump truck service. One call does it all , leed dumpsites,filldirt,topsoil,state wide service.</v>
      </c>
      <c r="D1354" s="3" t="s">
        <v>4315</v>
      </c>
      <c r="E1354" s="3" t="s">
        <v>4316</v>
      </c>
      <c r="F1354" s="3" t="str">
        <f>"765-208-5692"</f>
        <v>765-208-5692</v>
      </c>
      <c r="G1354" s="3">
        <v>484220</v>
      </c>
      <c r="H1354" s="3" t="s">
        <v>11</v>
      </c>
    </row>
    <row r="1355" spans="1:8" ht="51.75" x14ac:dyDescent="0.25">
      <c r="A1355" s="3" t="s">
        <v>4317</v>
      </c>
      <c r="B1355" s="3"/>
      <c r="C1355" s="3" t="str">
        <f>"Welding, metal fabrication, metal manufacturing, NDE inspection, welding instruction and certification, NDE instruction and certification."</f>
        <v>Welding, metal fabrication, metal manufacturing, NDE inspection, welding instruction and certification, NDE instruction and certification.</v>
      </c>
      <c r="D1355" s="3" t="s">
        <v>4318</v>
      </c>
      <c r="E1355" s="3" t="s">
        <v>4319</v>
      </c>
      <c r="F1355" s="3" t="str">
        <f>"8122543300"</f>
        <v>8122543300</v>
      </c>
      <c r="G1355" s="3">
        <v>237310</v>
      </c>
      <c r="H1355" s="3" t="s">
        <v>768</v>
      </c>
    </row>
    <row r="1356" spans="1:8" ht="26.25" x14ac:dyDescent="0.25">
      <c r="A1356" s="3" t="s">
        <v>4320</v>
      </c>
      <c r="B1356" s="3"/>
      <c r="C1356" s="2"/>
      <c r="D1356" s="3" t="s">
        <v>9</v>
      </c>
      <c r="E1356" s="3" t="s">
        <v>4321</v>
      </c>
      <c r="F1356" s="3" t="str">
        <f>"812-966-2551"</f>
        <v>812-966-2551</v>
      </c>
      <c r="G1356" s="3">
        <v>42291</v>
      </c>
      <c r="H1356" s="3" t="s">
        <v>4322</v>
      </c>
    </row>
    <row r="1357" spans="1:8" ht="102.75" x14ac:dyDescent="0.25">
      <c r="A1357" s="3" t="s">
        <v>4323</v>
      </c>
      <c r="B1357" s="3"/>
      <c r="C1357" s="3" t="s">
        <v>4324</v>
      </c>
      <c r="D1357" s="3" t="s">
        <v>4325</v>
      </c>
      <c r="E1357" s="3" t="s">
        <v>4326</v>
      </c>
      <c r="F1357" s="3" t="str">
        <f>"765-664-1275"</f>
        <v>765-664-1275</v>
      </c>
      <c r="G1357" s="3">
        <v>441110</v>
      </c>
      <c r="H1357" s="3" t="s">
        <v>2588</v>
      </c>
    </row>
    <row r="1358" spans="1:8" ht="26.25" x14ac:dyDescent="0.25">
      <c r="A1358" s="3" t="s">
        <v>4327</v>
      </c>
      <c r="B1358" s="3"/>
      <c r="C1358" s="3" t="str">
        <f>"Local dump trucking of sand, stone, gravel, etc."</f>
        <v>Local dump trucking of sand, stone, gravel, etc.</v>
      </c>
      <c r="D1358" s="3" t="s">
        <v>9</v>
      </c>
      <c r="E1358" s="3" t="s">
        <v>4328</v>
      </c>
      <c r="F1358" s="3" t="str">
        <f>"317-753-5771"</f>
        <v>317-753-5771</v>
      </c>
      <c r="G1358" s="3">
        <v>484110</v>
      </c>
      <c r="H1358" s="3" t="s">
        <v>644</v>
      </c>
    </row>
    <row r="1359" spans="1:8" ht="39" x14ac:dyDescent="0.25">
      <c r="A1359" s="3" t="s">
        <v>4329</v>
      </c>
      <c r="B1359" s="3"/>
      <c r="C1359" s="3" t="str">
        <f>"Construction of non residential buildings included but not limited to drywall construction."</f>
        <v>Construction of non residential buildings included but not limited to drywall construction.</v>
      </c>
      <c r="D1359" s="3" t="s">
        <v>9</v>
      </c>
      <c r="E1359" s="3" t="s">
        <v>46</v>
      </c>
      <c r="F1359" s="3" t="str">
        <f>"317-270-9100"</f>
        <v>317-270-9100</v>
      </c>
      <c r="G1359" s="3">
        <v>2362</v>
      </c>
      <c r="H1359" s="3" t="s">
        <v>423</v>
      </c>
    </row>
    <row r="1360" spans="1:8" ht="39" x14ac:dyDescent="0.25">
      <c r="A1360" s="3" t="s">
        <v>4330</v>
      </c>
      <c r="B1360" s="3"/>
      <c r="C1360" s="3" t="str">
        <f>"We are a trucking company that hauls on flatbeds, stepdecks &amp; dump trailers. We haul primarily east of the Mississippi River."</f>
        <v>We are a trucking company that hauls on flatbeds, stepdecks &amp; dump trailers. We haul primarily east of the Mississippi River.</v>
      </c>
      <c r="D1360" s="3" t="s">
        <v>9</v>
      </c>
      <c r="E1360" s="3" t="s">
        <v>4331</v>
      </c>
      <c r="F1360" s="3" t="str">
        <f>"1-812-876-6366"</f>
        <v>1-812-876-6366</v>
      </c>
      <c r="G1360" s="3">
        <v>484110</v>
      </c>
      <c r="H1360" s="3" t="s">
        <v>644</v>
      </c>
    </row>
    <row r="1361" spans="1:8" ht="26.25" x14ac:dyDescent="0.25">
      <c r="A1361" s="3" t="s">
        <v>4332</v>
      </c>
      <c r="B1361" s="3"/>
      <c r="C1361" s="3" t="str">
        <f>"New and used vehicle sales, repair, and parts sales"</f>
        <v>New and used vehicle sales, repair, and parts sales</v>
      </c>
      <c r="D1361" s="3" t="s">
        <v>4333</v>
      </c>
      <c r="E1361" s="3" t="s">
        <v>4334</v>
      </c>
      <c r="F1361" s="3" t="str">
        <f>"317-545-8551"</f>
        <v>317-545-8551</v>
      </c>
      <c r="G1361" s="3">
        <v>441110</v>
      </c>
      <c r="H1361" s="3" t="s">
        <v>2588</v>
      </c>
    </row>
    <row r="1362" spans="1:8" ht="51.75" x14ac:dyDescent="0.25">
      <c r="A1362" s="3" t="s">
        <v>4335</v>
      </c>
      <c r="B1362" s="3"/>
      <c r="C1362" s="3" t="str">
        <f>"Sales of Infrastructure Repair products, Coatings, MRO Products, Lighting products, Lubricants, Water recovery systems. Manufactures Representative."</f>
        <v>Sales of Infrastructure Repair products, Coatings, MRO Products, Lighting products, Lubricants, Water recovery systems. Manufactures Representative.</v>
      </c>
      <c r="D1362" s="3" t="s">
        <v>4336</v>
      </c>
      <c r="E1362" s="3" t="s">
        <v>4337</v>
      </c>
      <c r="F1362" s="3" t="str">
        <f>"260.403.5083"</f>
        <v>260.403.5083</v>
      </c>
      <c r="G1362" s="3">
        <v>213112</v>
      </c>
      <c r="H1362" s="3" t="s">
        <v>4338</v>
      </c>
    </row>
    <row r="1363" spans="1:8" ht="51.75" x14ac:dyDescent="0.25">
      <c r="A1363" s="3" t="s">
        <v>4339</v>
      </c>
      <c r="B1363" s="3"/>
      <c r="C1363" s="3" t="str">
        <f>"Auto Repair Shop specializing in suspension, steering, brakes, alignments on all vehicles from passenger to Class 8 (heavy duty/commercial) trucks."</f>
        <v>Auto Repair Shop specializing in suspension, steering, brakes, alignments on all vehicles from passenger to Class 8 (heavy duty/commercial) trucks.</v>
      </c>
      <c r="D1363" s="3" t="s">
        <v>4340</v>
      </c>
      <c r="E1363" s="3" t="s">
        <v>4341</v>
      </c>
      <c r="F1363" s="3" t="str">
        <f>"812-232-5017"</f>
        <v>812-232-5017</v>
      </c>
      <c r="G1363" s="3">
        <v>8111</v>
      </c>
      <c r="H1363" s="3" t="s">
        <v>3587</v>
      </c>
    </row>
    <row r="1364" spans="1:8" ht="166.5" x14ac:dyDescent="0.25">
      <c r="A1364" s="3" t="s">
        <v>4342</v>
      </c>
      <c r="B1364" s="3"/>
      <c r="C1364" s="3" t="s">
        <v>4343</v>
      </c>
      <c r="D1364" s="3" t="s">
        <v>9</v>
      </c>
      <c r="E1364" s="3" t="s">
        <v>4344</v>
      </c>
      <c r="F1364" s="3" t="str">
        <f>"317-841-3722"</f>
        <v>317-841-3722</v>
      </c>
      <c r="G1364" s="3">
        <v>611710</v>
      </c>
      <c r="H1364" s="3" t="s">
        <v>508</v>
      </c>
    </row>
    <row r="1365" spans="1:8" ht="217.5" x14ac:dyDescent="0.25">
      <c r="A1365" s="3" t="s">
        <v>4345</v>
      </c>
      <c r="B1365" s="3"/>
      <c r="C1365" s="3" t="s">
        <v>4346</v>
      </c>
      <c r="D1365" s="3" t="s">
        <v>4347</v>
      </c>
      <c r="E1365" s="3" t="s">
        <v>4348</v>
      </c>
      <c r="F1365" s="3" t="str">
        <f>"317-231-0095"</f>
        <v>317-231-0095</v>
      </c>
      <c r="G1365" s="3">
        <v>541810</v>
      </c>
      <c r="H1365" s="3" t="s">
        <v>976</v>
      </c>
    </row>
    <row r="1366" spans="1:8" ht="192" x14ac:dyDescent="0.25">
      <c r="A1366" s="3" t="s">
        <v>4349</v>
      </c>
      <c r="B1366" s="3"/>
      <c r="C1366" s="3" t="s">
        <v>4350</v>
      </c>
      <c r="D1366" s="3" t="s">
        <v>4351</v>
      </c>
      <c r="E1366" s="3" t="s">
        <v>4352</v>
      </c>
      <c r="F1366" s="3" t="str">
        <f>"3176569945"</f>
        <v>3176569945</v>
      </c>
      <c r="G1366" s="3">
        <v>711130</v>
      </c>
      <c r="H1366" s="3" t="s">
        <v>4353</v>
      </c>
    </row>
    <row r="1367" spans="1:8" ht="64.5" x14ac:dyDescent="0.25">
      <c r="A1367" s="3" t="s">
        <v>4354</v>
      </c>
      <c r="B1367" s="3"/>
      <c r="C1367" s="3" t="str">
        <f>"Designer and manufacturer of accessories including baby blankets, beanie caps, security blankets, bibs, burp cloths, receiving blankets, teen blankets and adults blanket throws."</f>
        <v>Designer and manufacturer of accessories including baby blankets, beanie caps, security blankets, bibs, burp cloths, receiving blankets, teen blankets and adults blanket throws.</v>
      </c>
      <c r="D1367" s="3" t="s">
        <v>4355</v>
      </c>
      <c r="E1367" s="3" t="s">
        <v>4356</v>
      </c>
      <c r="F1367" s="3" t="str">
        <f>"800-225-6703"</f>
        <v>800-225-6703</v>
      </c>
      <c r="G1367" s="3">
        <v>315999</v>
      </c>
      <c r="H1367" s="3" t="s">
        <v>4357</v>
      </c>
    </row>
    <row r="1368" spans="1:8" ht="26.25" x14ac:dyDescent="0.25">
      <c r="A1368" s="3" t="s">
        <v>4358</v>
      </c>
      <c r="B1368" s="3"/>
      <c r="C1368" s="3" t="str">
        <f>" "</f>
        <v xml:space="preserve"> </v>
      </c>
      <c r="D1368" s="3" t="s">
        <v>9</v>
      </c>
      <c r="E1368" s="3" t="s">
        <v>46</v>
      </c>
      <c r="F1368" s="2"/>
      <c r="G1368" s="3">
        <v>541611</v>
      </c>
      <c r="H1368" s="3" t="s">
        <v>278</v>
      </c>
    </row>
    <row r="1369" spans="1:8" ht="77.25" x14ac:dyDescent="0.25">
      <c r="A1369" s="3" t="s">
        <v>4359</v>
      </c>
      <c r="B1369" s="3"/>
      <c r="C1369" s="3" t="str">
        <f>"We provide general pest control services to homes and businesses in Bartholomew and surrounding counties. We also provide termite control and real estate inspection services for realtors and lending institutions."</f>
        <v>We provide general pest control services to homes and businesses in Bartholomew and surrounding counties. We also provide termite control and real estate inspection services for realtors and lending institutions.</v>
      </c>
      <c r="D1369" s="3" t="s">
        <v>4360</v>
      </c>
      <c r="E1369" s="3" t="s">
        <v>46</v>
      </c>
      <c r="F1369" s="3" t="str">
        <f>"812-372-3212"</f>
        <v>812-372-3212</v>
      </c>
      <c r="G1369" s="3">
        <v>561710</v>
      </c>
      <c r="H1369" s="3" t="s">
        <v>946</v>
      </c>
    </row>
    <row r="1370" spans="1:8" ht="115.5" x14ac:dyDescent="0.25">
      <c r="A1370" s="3" t="s">
        <v>4361</v>
      </c>
      <c r="B1370" s="3"/>
      <c r="C1370" s="3" t="s">
        <v>4362</v>
      </c>
      <c r="D1370" s="3" t="s">
        <v>9</v>
      </c>
      <c r="E1370" s="3" t="s">
        <v>4363</v>
      </c>
      <c r="F1370" s="3" t="str">
        <f>"812-852-4920"</f>
        <v>812-852-4920</v>
      </c>
      <c r="G1370" s="3">
        <v>561730</v>
      </c>
      <c r="H1370" s="3" t="s">
        <v>65</v>
      </c>
    </row>
    <row r="1371" spans="1:8" ht="39" x14ac:dyDescent="0.25">
      <c r="A1371" s="3" t="s">
        <v>4364</v>
      </c>
      <c r="B1371" s="3"/>
      <c r="C1371" s="3" t="str">
        <f>"Wholesale tree nursery--flowering pear, locust, maple, oak, river birch (2-3.5"" diameter)"</f>
        <v>Wholesale tree nursery--flowering pear, locust, maple, oak, river birch (2-3.5" diameter)</v>
      </c>
      <c r="D1371" s="3" t="s">
        <v>9</v>
      </c>
      <c r="E1371" s="3" t="s">
        <v>4363</v>
      </c>
      <c r="F1371" s="3" t="str">
        <f>"812-852-4920"</f>
        <v>812-852-4920</v>
      </c>
      <c r="G1371" s="3">
        <v>111421</v>
      </c>
      <c r="H1371" s="3" t="s">
        <v>4222</v>
      </c>
    </row>
    <row r="1372" spans="1:8" ht="26.25" x14ac:dyDescent="0.25">
      <c r="A1372" s="3" t="s">
        <v>4365</v>
      </c>
      <c r="B1372" s="3"/>
      <c r="C1372" s="3" t="str">
        <f>" "</f>
        <v xml:space="preserve"> </v>
      </c>
      <c r="D1372" s="3" t="s">
        <v>4366</v>
      </c>
      <c r="E1372" s="3" t="s">
        <v>4367</v>
      </c>
      <c r="F1372" s="3" t="str">
        <f>"6095109705"</f>
        <v>6095109705</v>
      </c>
      <c r="G1372" s="3">
        <v>561310</v>
      </c>
      <c r="H1372" s="3" t="s">
        <v>1720</v>
      </c>
    </row>
    <row r="1373" spans="1:8" ht="77.25" x14ac:dyDescent="0.25">
      <c r="A1373" s="3" t="s">
        <v>4368</v>
      </c>
      <c r="B1373" s="3"/>
      <c r="C1373" s="3" t="str">
        <f>"Sell and service computer hardware, complete systems, laptops and software. Build websites and provide on-site computer installation, repair and networking. Consult on technolgy needs and solutions."</f>
        <v>Sell and service computer hardware, complete systems, laptops and software. Build websites and provide on-site computer installation, repair and networking. Consult on technolgy needs and solutions.</v>
      </c>
      <c r="D1373" s="3" t="s">
        <v>4369</v>
      </c>
      <c r="E1373" s="3" t="s">
        <v>4370</v>
      </c>
      <c r="F1373" s="3" t="str">
        <f>"317-788-7885"</f>
        <v>317-788-7885</v>
      </c>
      <c r="G1373" s="3">
        <v>44312</v>
      </c>
      <c r="H1373" s="3" t="s">
        <v>609</v>
      </c>
    </row>
    <row r="1374" spans="1:8" ht="115.5" x14ac:dyDescent="0.25">
      <c r="A1374" s="3" t="s">
        <v>4371</v>
      </c>
      <c r="B1374" s="3"/>
      <c r="C1374" s="3" t="s">
        <v>4372</v>
      </c>
      <c r="D1374" s="3" t="s">
        <v>4373</v>
      </c>
      <c r="E1374" s="3" t="s">
        <v>4374</v>
      </c>
      <c r="F1374" s="3" t="str">
        <f>"(866) 305-7202"</f>
        <v>(866) 305-7202</v>
      </c>
      <c r="G1374" s="3">
        <v>238210</v>
      </c>
      <c r="H1374" s="3" t="s">
        <v>306</v>
      </c>
    </row>
    <row r="1375" spans="1:8" ht="141" x14ac:dyDescent="0.25">
      <c r="A1375" s="3" t="s">
        <v>4375</v>
      </c>
      <c r="B1375" s="3"/>
      <c r="C1375" s="3" t="s">
        <v>4376</v>
      </c>
      <c r="D1375" s="3" t="s">
        <v>4377</v>
      </c>
      <c r="E1375" s="3" t="s">
        <v>4378</v>
      </c>
      <c r="F1375" s="3" t="str">
        <f>"317-579-1455"</f>
        <v>317-579-1455</v>
      </c>
      <c r="G1375" s="3">
        <v>611430</v>
      </c>
      <c r="H1375" s="3" t="s">
        <v>1224</v>
      </c>
    </row>
    <row r="1376" spans="1:8" ht="179.25" x14ac:dyDescent="0.25">
      <c r="A1376" s="3" t="s">
        <v>4379</v>
      </c>
      <c r="B1376" s="3"/>
      <c r="C1376" s="3" t="s">
        <v>4380</v>
      </c>
      <c r="D1376" s="3" t="s">
        <v>4381</v>
      </c>
      <c r="E1376" s="3" t="s">
        <v>4382</v>
      </c>
      <c r="F1376" s="3" t="str">
        <f>"812-853-3440"</f>
        <v>812-853-3440</v>
      </c>
      <c r="G1376" s="3">
        <v>561110</v>
      </c>
      <c r="H1376" s="3" t="s">
        <v>4383</v>
      </c>
    </row>
    <row r="1377" spans="1:8" ht="179.25" x14ac:dyDescent="0.25">
      <c r="A1377" s="3" t="s">
        <v>4379</v>
      </c>
      <c r="B1377" s="3"/>
      <c r="C1377" s="3" t="s">
        <v>4380</v>
      </c>
      <c r="D1377" s="3" t="s">
        <v>4381</v>
      </c>
      <c r="E1377" s="3" t="s">
        <v>4384</v>
      </c>
      <c r="F1377" s="3" t="str">
        <f>"877-799-3769"</f>
        <v>877-799-3769</v>
      </c>
      <c r="G1377" s="3">
        <v>51821</v>
      </c>
      <c r="H1377" s="3" t="s">
        <v>3133</v>
      </c>
    </row>
    <row r="1378" spans="1:8" ht="39" x14ac:dyDescent="0.25">
      <c r="A1378" s="3" t="s">
        <v>4385</v>
      </c>
      <c r="B1378" s="3"/>
      <c r="C1378" s="3" t="str">
        <f>"We are a furniture dealership that represents many furniture manufacturers throughout Indiana and the U.S."</f>
        <v>We are a furniture dealership that represents many furniture manufacturers throughout Indiana and the U.S.</v>
      </c>
      <c r="D1378" s="3" t="s">
        <v>4386</v>
      </c>
      <c r="E1378" s="3" t="s">
        <v>4387</v>
      </c>
      <c r="F1378" s="3" t="str">
        <f>"317-216-1600"</f>
        <v>317-216-1600</v>
      </c>
      <c r="G1378" s="3">
        <v>442110</v>
      </c>
      <c r="H1378" s="3" t="s">
        <v>117</v>
      </c>
    </row>
    <row r="1379" spans="1:8" ht="141" x14ac:dyDescent="0.25">
      <c r="A1379" s="3" t="s">
        <v>4388</v>
      </c>
      <c r="B1379" s="3"/>
      <c r="C1379" s="3" t="s">
        <v>4389</v>
      </c>
      <c r="D1379" s="3" t="s">
        <v>4390</v>
      </c>
      <c r="E1379" s="3" t="s">
        <v>4391</v>
      </c>
      <c r="F1379" s="3" t="str">
        <f>"(765) 325-2885"</f>
        <v>(765) 325-2885</v>
      </c>
      <c r="G1379" s="3">
        <v>621</v>
      </c>
      <c r="H1379" s="3" t="s">
        <v>4392</v>
      </c>
    </row>
    <row r="1380" spans="1:8" ht="102.75" x14ac:dyDescent="0.25">
      <c r="A1380" s="3" t="s">
        <v>4393</v>
      </c>
      <c r="B1380" s="3"/>
      <c r="C1380" s="3" t="s">
        <v>4394</v>
      </c>
      <c r="D1380" s="3" t="s">
        <v>9</v>
      </c>
      <c r="E1380" s="3" t="s">
        <v>4395</v>
      </c>
      <c r="F1380" s="3" t="str">
        <f>"317.865.0371"</f>
        <v>317.865.0371</v>
      </c>
      <c r="G1380" s="3">
        <v>32311</v>
      </c>
      <c r="H1380" s="3" t="s">
        <v>531</v>
      </c>
    </row>
    <row r="1381" spans="1:8" ht="26.25" x14ac:dyDescent="0.25">
      <c r="A1381" s="3" t="s">
        <v>4396</v>
      </c>
      <c r="B1381" s="3"/>
      <c r="C1381" s="3" t="str">
        <f>"Computer Application Development and Consulting"</f>
        <v>Computer Application Development and Consulting</v>
      </c>
      <c r="D1381" s="3" t="s">
        <v>9</v>
      </c>
      <c r="E1381" s="3" t="s">
        <v>46</v>
      </c>
      <c r="F1381" s="2"/>
      <c r="G1381" s="3">
        <v>541990</v>
      </c>
      <c r="H1381" s="3" t="s">
        <v>378</v>
      </c>
    </row>
    <row r="1382" spans="1:8" ht="26.25" x14ac:dyDescent="0.25">
      <c r="A1382" s="3" t="s">
        <v>4396</v>
      </c>
      <c r="B1382" s="3"/>
      <c r="C1382" s="3" t="str">
        <f>" "</f>
        <v xml:space="preserve"> </v>
      </c>
      <c r="D1382" s="3" t="s">
        <v>9</v>
      </c>
      <c r="E1382" s="3" t="s">
        <v>46</v>
      </c>
      <c r="F1382" s="2"/>
      <c r="G1382" s="3">
        <v>541990</v>
      </c>
      <c r="H1382" s="3" t="s">
        <v>378</v>
      </c>
    </row>
    <row r="1383" spans="1:8" ht="243" x14ac:dyDescent="0.25">
      <c r="A1383" s="3" t="s">
        <v>4397</v>
      </c>
      <c r="B1383" s="3"/>
      <c r="C1383" s="3" t="s">
        <v>4398</v>
      </c>
      <c r="D1383" s="3" t="s">
        <v>4399</v>
      </c>
      <c r="E1383" s="3" t="s">
        <v>4400</v>
      </c>
      <c r="F1383" s="3" t="str">
        <f>"(317)208-4822"</f>
        <v>(317)208-4822</v>
      </c>
      <c r="G1383" s="3">
        <v>518210</v>
      </c>
      <c r="H1383" s="3" t="s">
        <v>3133</v>
      </c>
    </row>
    <row r="1384" spans="1:8" ht="77.25" x14ac:dyDescent="0.25">
      <c r="A1384" s="3" t="s">
        <v>4401</v>
      </c>
      <c r="B1384" s="3"/>
      <c r="C1384" s="3" t="str">
        <f>"Design, Fabricate and install bullet-resistant acrylic and protective glass. Protection for owners and employees in retail stores, convenience stores, gas stations, banks, and money service operations."</f>
        <v>Design, Fabricate and install bullet-resistant acrylic and protective glass. Protection for owners and employees in retail stores, convenience stores, gas stations, banks, and money service operations.</v>
      </c>
      <c r="D1384" s="3" t="s">
        <v>9</v>
      </c>
      <c r="E1384" s="3" t="s">
        <v>46</v>
      </c>
      <c r="F1384" s="2"/>
      <c r="G1384" s="3">
        <v>235</v>
      </c>
      <c r="H1384" s="3" t="s">
        <v>259</v>
      </c>
    </row>
    <row r="1385" spans="1:8" ht="51.75" x14ac:dyDescent="0.25">
      <c r="A1385" s="3" t="s">
        <v>4402</v>
      </c>
      <c r="B1385" s="3"/>
      <c r="C1385" s="3" t="str">
        <f>"I am in the business of selling: Retail Goods, Computers, Scanners, Copiers, Electronics, Fire and Safety Equipment, Printers, Musical Instrements"</f>
        <v>I am in the business of selling: Retail Goods, Computers, Scanners, Copiers, Electronics, Fire and Safety Equipment, Printers, Musical Instrements</v>
      </c>
      <c r="D1385" s="3" t="s">
        <v>9</v>
      </c>
      <c r="E1385" s="3" t="s">
        <v>4403</v>
      </c>
      <c r="F1385" s="3" t="str">
        <f>"619-819-6401"</f>
        <v>619-819-6401</v>
      </c>
      <c r="G1385" s="3">
        <v>5614</v>
      </c>
      <c r="H1385" s="3" t="s">
        <v>847</v>
      </c>
    </row>
    <row r="1386" spans="1:8" ht="294" x14ac:dyDescent="0.25">
      <c r="A1386" s="3" t="s">
        <v>4404</v>
      </c>
      <c r="B1386" s="3"/>
      <c r="C1386" s="3" t="s">
        <v>4405</v>
      </c>
      <c r="D1386" s="3" t="s">
        <v>4406</v>
      </c>
      <c r="E1386" s="3" t="s">
        <v>4407</v>
      </c>
      <c r="F1386" s="3" t="str">
        <f>"219.738.1105"</f>
        <v>219.738.1105</v>
      </c>
      <c r="G1386" s="3">
        <v>541512</v>
      </c>
      <c r="H1386" s="3" t="s">
        <v>19</v>
      </c>
    </row>
    <row r="1387" spans="1:8" ht="64.5" x14ac:dyDescent="0.25">
      <c r="A1387" s="3" t="s">
        <v>4408</v>
      </c>
      <c r="B1387" s="3"/>
      <c r="C1387" s="3" t="str">
        <f>"Batteries of all types, Oil's and Lubricants, oil absorbent materials, Grease, Antifreeze, Deicing products for streets and sidewalks,Geomelt (Beet Juice) for treating salt and roads in bulk,"</f>
        <v>Batteries of all types, Oil's and Lubricants, oil absorbent materials, Grease, Antifreeze, Deicing products for streets and sidewalks,Geomelt (Beet Juice) for treating salt and roads in bulk,</v>
      </c>
      <c r="D1387" s="3" t="s">
        <v>9</v>
      </c>
      <c r="E1387" s="3" t="s">
        <v>4409</v>
      </c>
      <c r="F1387" s="3" t="str">
        <f>"812-205-6249"</f>
        <v>812-205-6249</v>
      </c>
      <c r="G1387" s="3">
        <v>42</v>
      </c>
      <c r="H1387" s="3" t="s">
        <v>674</v>
      </c>
    </row>
    <row r="1388" spans="1:8" ht="90" x14ac:dyDescent="0.25">
      <c r="A1388" s="3" t="s">
        <v>4410</v>
      </c>
      <c r="B1388" s="3"/>
      <c r="C1388" s="3" t="s">
        <v>4411</v>
      </c>
      <c r="D1388" s="3" t="s">
        <v>4412</v>
      </c>
      <c r="E1388" s="3" t="s">
        <v>4413</v>
      </c>
      <c r="F1388" s="3" t="str">
        <f>"317-541-9878"</f>
        <v>317-541-9878</v>
      </c>
      <c r="G1388" s="3">
        <v>5617</v>
      </c>
      <c r="H1388" s="3" t="s">
        <v>812</v>
      </c>
    </row>
    <row r="1389" spans="1:8" ht="26.25" x14ac:dyDescent="0.25">
      <c r="A1389" s="3" t="s">
        <v>4414</v>
      </c>
      <c r="B1389" s="3"/>
      <c r="C1389" s="3" t="str">
        <f>"Construction and excavating"</f>
        <v>Construction and excavating</v>
      </c>
      <c r="D1389" s="3" t="s">
        <v>9</v>
      </c>
      <c r="E1389" s="3" t="s">
        <v>4415</v>
      </c>
      <c r="F1389" s="3" t="str">
        <f>"812-744-3427"</f>
        <v>812-744-3427</v>
      </c>
      <c r="G1389" s="3">
        <v>236</v>
      </c>
      <c r="H1389" s="3" t="s">
        <v>291</v>
      </c>
    </row>
    <row r="1390" spans="1:8" ht="26.25" x14ac:dyDescent="0.25">
      <c r="A1390" s="3" t="s">
        <v>4416</v>
      </c>
      <c r="B1390" s="3"/>
      <c r="C1390" s="3" t="str">
        <f>"Home Cleaning and other services including grocery shopping and laundry."</f>
        <v>Home Cleaning and other services including grocery shopping and laundry.</v>
      </c>
      <c r="D1390" s="3" t="s">
        <v>9</v>
      </c>
      <c r="E1390" s="3" t="s">
        <v>4417</v>
      </c>
      <c r="F1390" s="3" t="str">
        <f>"260-868-0371"</f>
        <v>260-868-0371</v>
      </c>
      <c r="G1390" s="3">
        <v>561720</v>
      </c>
      <c r="H1390" s="3" t="s">
        <v>222</v>
      </c>
    </row>
    <row r="1391" spans="1:8" ht="51.75" x14ac:dyDescent="0.25">
      <c r="A1391" s="3" t="s">
        <v>4418</v>
      </c>
      <c r="B1391" s="3"/>
      <c r="C1391" s="3" t="str">
        <f>"Butler Sales is a wholesale distributor to the OEM industry. We also have a retail presence in local business, as well as some national chains."</f>
        <v>Butler Sales is a wholesale distributor to the OEM industry. We also have a retail presence in local business, as well as some national chains.</v>
      </c>
      <c r="D1391" s="3" t="s">
        <v>4419</v>
      </c>
      <c r="E1391" s="3" t="s">
        <v>4420</v>
      </c>
      <c r="F1391" s="3" t="str">
        <f>"574-252-4274"</f>
        <v>574-252-4274</v>
      </c>
      <c r="G1391" s="3">
        <v>423620</v>
      </c>
      <c r="H1391" s="3" t="s">
        <v>4421</v>
      </c>
    </row>
    <row r="1392" spans="1:8" ht="26.25" x14ac:dyDescent="0.25">
      <c r="A1392" s="3" t="s">
        <v>4422</v>
      </c>
      <c r="B1392" s="3"/>
      <c r="C1392" s="3" t="str">
        <f>"Automotive sales and repair"</f>
        <v>Automotive sales and repair</v>
      </c>
      <c r="D1392" s="3" t="s">
        <v>4423</v>
      </c>
      <c r="E1392" s="3" t="s">
        <v>4424</v>
      </c>
      <c r="F1392" s="3" t="str">
        <f>"(317)846-9600"</f>
        <v>(317)846-9600</v>
      </c>
      <c r="G1392" s="3">
        <v>4411</v>
      </c>
      <c r="H1392" s="3" t="s">
        <v>1015</v>
      </c>
    </row>
    <row r="1393" spans="1:8" ht="26.25" x14ac:dyDescent="0.25">
      <c r="A1393" s="3" t="s">
        <v>4425</v>
      </c>
      <c r="B1393" s="3"/>
      <c r="C1393" s="3" t="str">
        <f>"South Bend Law Firm Specializing in Estate Planning, Probate, and Real Estate Matters"</f>
        <v>South Bend Law Firm Specializing in Estate Planning, Probate, and Real Estate Matters</v>
      </c>
      <c r="D1393" s="3" t="s">
        <v>9</v>
      </c>
      <c r="E1393" s="3" t="s">
        <v>4426</v>
      </c>
      <c r="F1393" s="3" t="str">
        <f>"574-233-9500"</f>
        <v>574-233-9500</v>
      </c>
      <c r="G1393" s="3">
        <v>541110</v>
      </c>
      <c r="H1393" s="3" t="s">
        <v>2978</v>
      </c>
    </row>
    <row r="1394" spans="1:8" ht="306.75" x14ac:dyDescent="0.25">
      <c r="A1394" s="3" t="s">
        <v>4427</v>
      </c>
      <c r="B1394" s="3"/>
      <c r="C1394" s="3" t="s">
        <v>4428</v>
      </c>
      <c r="D1394" s="3" t="s">
        <v>4429</v>
      </c>
      <c r="E1394" s="3" t="s">
        <v>4430</v>
      </c>
      <c r="F1394" s="3" t="str">
        <f>"317-713-4615"</f>
        <v>317-713-4615</v>
      </c>
      <c r="G1394" s="3">
        <v>541330</v>
      </c>
      <c r="H1394" s="3" t="s">
        <v>82</v>
      </c>
    </row>
    <row r="1395" spans="1:8" ht="26.25" x14ac:dyDescent="0.25">
      <c r="A1395" s="3" t="s">
        <v>4431</v>
      </c>
      <c r="B1395" s="3"/>
      <c r="C1395" s="3" t="str">
        <f>"Supplier of all general merchandise and bulk food products."</f>
        <v>Supplier of all general merchandise and bulk food products.</v>
      </c>
      <c r="D1395" s="3" t="s">
        <v>9</v>
      </c>
      <c r="E1395" s="3" t="s">
        <v>4432</v>
      </c>
      <c r="F1395" s="3" t="str">
        <f>"219/2929235"</f>
        <v>219/2929235</v>
      </c>
      <c r="G1395" s="3">
        <v>452990</v>
      </c>
      <c r="H1395" s="3" t="s">
        <v>2975</v>
      </c>
    </row>
    <row r="1396" spans="1:8" ht="128.25" x14ac:dyDescent="0.25">
      <c r="A1396" s="3" t="s">
        <v>4433</v>
      </c>
      <c r="B1396" s="3"/>
      <c r="C1396" s="3" t="s">
        <v>4434</v>
      </c>
      <c r="D1396" s="3" t="s">
        <v>4435</v>
      </c>
      <c r="E1396" s="3" t="s">
        <v>4436</v>
      </c>
      <c r="F1396" s="3" t="str">
        <f>"317-756-8263"</f>
        <v>317-756-8263</v>
      </c>
      <c r="G1396" s="3">
        <v>711190</v>
      </c>
      <c r="H1396" s="3" t="s">
        <v>4437</v>
      </c>
    </row>
    <row r="1397" spans="1:8" ht="77.25" x14ac:dyDescent="0.25">
      <c r="A1397" s="3" t="s">
        <v>4438</v>
      </c>
      <c r="B1397" s="3"/>
      <c r="C1397" s="3" t="str">
        <f>"Award-winning film and video production company specializing in narrative, commercial, internal and safety videos. Scriptwriting, copywriting, film editing, graphic design, and web design services also available. Woman-owned business."</f>
        <v>Award-winning film and video production company specializing in narrative, commercial, internal and safety videos. Scriptwriting, copywriting, film editing, graphic design, and web design services also available. Woman-owned business.</v>
      </c>
      <c r="D1397" s="3" t="s">
        <v>4439</v>
      </c>
      <c r="E1397" s="3" t="s">
        <v>4440</v>
      </c>
      <c r="F1397" s="3" t="str">
        <f>"8125085244"</f>
        <v>8125085244</v>
      </c>
      <c r="G1397" s="3">
        <v>512110</v>
      </c>
      <c r="H1397" s="3" t="s">
        <v>406</v>
      </c>
    </row>
    <row r="1398" spans="1:8" ht="26.25" x14ac:dyDescent="0.25">
      <c r="A1398" s="3" t="s">
        <v>4441</v>
      </c>
      <c r="B1398" s="3"/>
      <c r="C1398" s="3" t="str">
        <f>"Commercial &amp; Residential Roofing &amp; Siding"</f>
        <v>Commercial &amp; Residential Roofing &amp; Siding</v>
      </c>
      <c r="D1398" s="3" t="s">
        <v>4442</v>
      </c>
      <c r="E1398" s="3" t="s">
        <v>4443</v>
      </c>
      <c r="F1398" s="3" t="str">
        <f>"260-749-9319"</f>
        <v>260-749-9319</v>
      </c>
      <c r="G1398" s="3">
        <v>238160</v>
      </c>
      <c r="H1398" s="3" t="s">
        <v>144</v>
      </c>
    </row>
    <row r="1399" spans="1:8" x14ac:dyDescent="0.25">
      <c r="A1399" s="3" t="s">
        <v>4444</v>
      </c>
      <c r="B1399" s="3"/>
      <c r="C1399" s="2"/>
      <c r="D1399" s="3" t="s">
        <v>9</v>
      </c>
      <c r="E1399" s="3" t="s">
        <v>46</v>
      </c>
      <c r="F1399" s="2"/>
      <c r="G1399" s="3">
        <v>238990</v>
      </c>
      <c r="H1399" s="3" t="s">
        <v>481</v>
      </c>
    </row>
    <row r="1400" spans="1:8" ht="51.75" x14ac:dyDescent="0.25">
      <c r="A1400" s="3" t="s">
        <v>4445</v>
      </c>
      <c r="B1400" s="3"/>
      <c r="C1400" s="3" t="str">
        <f>"Bynum Fanyo Utilities provides operation and management services for water distribution and treatment facilities and wastewater collection and treatment plants."</f>
        <v>Bynum Fanyo Utilities provides operation and management services for water distribution and treatment facilities and wastewater collection and treatment plants.</v>
      </c>
      <c r="D1400" s="3" t="s">
        <v>4446</v>
      </c>
      <c r="E1400" s="3" t="s">
        <v>4447</v>
      </c>
      <c r="F1400" s="3" t="str">
        <f>"812-332-8030"</f>
        <v>812-332-8030</v>
      </c>
      <c r="G1400" s="3">
        <v>221320</v>
      </c>
      <c r="H1400" s="3" t="s">
        <v>734</v>
      </c>
    </row>
    <row r="1401" spans="1:8" ht="255.75" x14ac:dyDescent="0.25">
      <c r="A1401" s="3" t="s">
        <v>4448</v>
      </c>
      <c r="B1401" s="3"/>
      <c r="C1401" s="3" t="s">
        <v>4449</v>
      </c>
      <c r="D1401" s="3" t="s">
        <v>4450</v>
      </c>
      <c r="E1401" s="3" t="s">
        <v>4451</v>
      </c>
      <c r="F1401" s="3" t="str">
        <f>"317-372-7625"</f>
        <v>317-372-7625</v>
      </c>
      <c r="G1401" s="3">
        <v>541513</v>
      </c>
      <c r="H1401" s="3" t="s">
        <v>2401</v>
      </c>
    </row>
    <row r="1402" spans="1:8" ht="77.25" x14ac:dyDescent="0.25">
      <c r="A1402" s="3" t="s">
        <v>4452</v>
      </c>
      <c r="B1402" s="3"/>
      <c r="C1402" s="3" t="str">
        <f>"Manufacturer of high precision components for fuel systems, areospace, medical, and power transmission industries. Including prototype and production volumes. Also producing tooling, design through manufacture, in these industries."</f>
        <v>Manufacturer of high precision components for fuel systems, areospace, medical, and power transmission industries. Including prototype and production volumes. Also producing tooling, design through manufacture, in these industries.</v>
      </c>
      <c r="D1402" s="3" t="s">
        <v>4453</v>
      </c>
      <c r="E1402" s="3" t="s">
        <v>4454</v>
      </c>
      <c r="F1402" s="3" t="str">
        <f>"260-693-2167"</f>
        <v>260-693-2167</v>
      </c>
      <c r="G1402" s="3">
        <v>332</v>
      </c>
      <c r="H1402" s="3" t="s">
        <v>2580</v>
      </c>
    </row>
    <row r="1403" spans="1:8" ht="39" x14ac:dyDescent="0.25">
      <c r="A1403" s="3" t="s">
        <v>4455</v>
      </c>
      <c r="B1403" s="3"/>
      <c r="C1403" s="3" t="str">
        <f>"Retail billiard store. Gameroom products. Air hockey, fooseball, ping pong, pool tables, dart boards and more."</f>
        <v>Retail billiard store. Gameroom products. Air hockey, fooseball, ping pong, pool tables, dart boards and more.</v>
      </c>
      <c r="D1403" s="3" t="s">
        <v>9</v>
      </c>
      <c r="E1403" s="3" t="s">
        <v>4456</v>
      </c>
      <c r="F1403" s="3" t="str">
        <f>"317-259-7665"</f>
        <v>317-259-7665</v>
      </c>
      <c r="G1403" s="3">
        <v>442299</v>
      </c>
      <c r="H1403" s="3" t="s">
        <v>951</v>
      </c>
    </row>
    <row r="1404" spans="1:8" ht="26.25" x14ac:dyDescent="0.25">
      <c r="A1404" s="3" t="s">
        <v>4457</v>
      </c>
      <c r="B1404" s="3"/>
      <c r="C1404" s="3" t="str">
        <f>"Janitorial: Business &amp; new home/building construction cleaning"</f>
        <v>Janitorial: Business &amp; new home/building construction cleaning</v>
      </c>
      <c r="D1404" s="3" t="s">
        <v>9</v>
      </c>
      <c r="E1404" s="3" t="s">
        <v>4458</v>
      </c>
      <c r="F1404" s="3" t="str">
        <f>"260-704-1702"</f>
        <v>260-704-1702</v>
      </c>
      <c r="G1404" s="3">
        <v>561720</v>
      </c>
      <c r="H1404" s="3" t="s">
        <v>222</v>
      </c>
    </row>
    <row r="1405" spans="1:8" ht="102.75" x14ac:dyDescent="0.25">
      <c r="A1405" s="3" t="s">
        <v>4459</v>
      </c>
      <c r="B1405" s="3"/>
      <c r="C1405" s="3" t="s">
        <v>4460</v>
      </c>
      <c r="D1405" s="3" t="s">
        <v>4461</v>
      </c>
      <c r="E1405" s="3" t="s">
        <v>4462</v>
      </c>
      <c r="F1405" s="3" t="str">
        <f>"317 270-9540"</f>
        <v>317 270-9540</v>
      </c>
      <c r="G1405" s="3">
        <v>8121</v>
      </c>
      <c r="H1405" s="3" t="s">
        <v>4305</v>
      </c>
    </row>
    <row r="1406" spans="1:8" ht="51.75" x14ac:dyDescent="0.25">
      <c r="A1406" s="3" t="s">
        <v>4463</v>
      </c>
      <c r="B1406" s="3"/>
      <c r="C1406" s="3" t="str">
        <f>"Custom Picture Framing, Custom Matting, Custom Photography and Painting. also, Technical design for Fiber optic cable routes, both aerial and underground."</f>
        <v>Custom Picture Framing, Custom Matting, Custom Photography and Painting. also, Technical design for Fiber optic cable routes, both aerial and underground.</v>
      </c>
      <c r="D1406" s="3" t="s">
        <v>4464</v>
      </c>
      <c r="E1406" s="3" t="s">
        <v>4465</v>
      </c>
      <c r="F1406" s="3" t="str">
        <f>"317-258-7398"</f>
        <v>317-258-7398</v>
      </c>
      <c r="G1406" s="3">
        <v>442299</v>
      </c>
      <c r="H1406" s="3" t="s">
        <v>951</v>
      </c>
    </row>
    <row r="1407" spans="1:8" ht="26.25" x14ac:dyDescent="0.25">
      <c r="A1407" s="3" t="s">
        <v>4466</v>
      </c>
      <c r="B1407" s="3"/>
      <c r="C1407" s="2"/>
      <c r="D1407" s="3" t="s">
        <v>4467</v>
      </c>
      <c r="E1407" s="3" t="s">
        <v>46</v>
      </c>
      <c r="F1407" s="3" t="str">
        <f>"317-972-1234"</f>
        <v>317-972-1234</v>
      </c>
      <c r="G1407" s="3">
        <v>541810</v>
      </c>
      <c r="H1407" s="3" t="s">
        <v>976</v>
      </c>
    </row>
    <row r="1408" spans="1:8" ht="26.25" x14ac:dyDescent="0.25">
      <c r="A1408" s="3" t="s">
        <v>4468</v>
      </c>
      <c r="B1408" s="3"/>
      <c r="C1408" s="3" t="str">
        <f>"Asbestos Inspection and Abatement services."</f>
        <v>Asbestos Inspection and Abatement services.</v>
      </c>
      <c r="D1408" s="3" t="s">
        <v>9</v>
      </c>
      <c r="E1408" s="3" t="s">
        <v>4469</v>
      </c>
      <c r="F1408" s="3" t="str">
        <f>"812-877-1660"</f>
        <v>812-877-1660</v>
      </c>
      <c r="G1408" s="3">
        <v>562910</v>
      </c>
      <c r="H1408" s="3" t="s">
        <v>2278</v>
      </c>
    </row>
    <row r="1409" spans="1:8" ht="115.5" x14ac:dyDescent="0.25">
      <c r="A1409" s="3" t="s">
        <v>4470</v>
      </c>
      <c r="B1409" s="3"/>
      <c r="C1409" s="3" t="s">
        <v>4471</v>
      </c>
      <c r="D1409" s="3" t="s">
        <v>4472</v>
      </c>
      <c r="E1409" s="3" t="s">
        <v>4473</v>
      </c>
      <c r="F1409" s="3" t="str">
        <f>"765-362-5922"</f>
        <v>765-362-5922</v>
      </c>
      <c r="G1409" s="3">
        <v>332322</v>
      </c>
      <c r="H1409" s="3" t="s">
        <v>2534</v>
      </c>
    </row>
    <row r="1410" spans="1:8" ht="26.25" x14ac:dyDescent="0.25">
      <c r="A1410" s="3" t="s">
        <v>4474</v>
      </c>
      <c r="B1410" s="3"/>
      <c r="C1410" s="3" t="str">
        <f>"Commercial mowing. Large acreage or small."</f>
        <v>Commercial mowing. Large acreage or small.</v>
      </c>
      <c r="D1410" s="3" t="s">
        <v>9</v>
      </c>
      <c r="E1410" s="3" t="s">
        <v>46</v>
      </c>
      <c r="F1410" s="3" t="str">
        <f>"219-996-3223"</f>
        <v>219-996-3223</v>
      </c>
      <c r="G1410" s="3">
        <v>235</v>
      </c>
      <c r="H1410" s="3" t="s">
        <v>259</v>
      </c>
    </row>
    <row r="1411" spans="1:8" ht="90" x14ac:dyDescent="0.25">
      <c r="A1411" s="3" t="s">
        <v>4475</v>
      </c>
      <c r="B1411" s="3"/>
      <c r="C1411" s="3" t="str">
        <f>"Construction contractor--heavy construction, land subdivision and developing, highway/street/bridge/tunnel construction, concrete contractors, waste management and remediation services, natural gas distribution, water/sewage/other systems"</f>
        <v>Construction contractor--heavy construction, land subdivision and developing, highway/street/bridge/tunnel construction, concrete contractors, waste management and remediation services, natural gas distribution, water/sewage/other systems</v>
      </c>
      <c r="D1411" s="3" t="s">
        <v>9</v>
      </c>
      <c r="E1411" s="3" t="s">
        <v>4476</v>
      </c>
      <c r="F1411" s="3" t="str">
        <f>"812-654-2030"</f>
        <v>812-654-2030</v>
      </c>
      <c r="G1411" s="3">
        <v>23</v>
      </c>
      <c r="H1411" s="3" t="s">
        <v>133</v>
      </c>
    </row>
    <row r="1412" spans="1:8" ht="115.5" x14ac:dyDescent="0.25">
      <c r="A1412" s="3" t="s">
        <v>4477</v>
      </c>
      <c r="B1412" s="3"/>
      <c r="C1412" s="3" t="s">
        <v>4478</v>
      </c>
      <c r="D1412" s="3" t="s">
        <v>9</v>
      </c>
      <c r="E1412" s="3" t="s">
        <v>4479</v>
      </c>
      <c r="F1412" s="3" t="str">
        <f>"317-770-7222"</f>
        <v>317-770-7222</v>
      </c>
      <c r="G1412" s="3">
        <v>722310</v>
      </c>
      <c r="H1412" s="3" t="s">
        <v>3051</v>
      </c>
    </row>
    <row r="1413" spans="1:8" ht="26.25" x14ac:dyDescent="0.25">
      <c r="A1413" s="3" t="s">
        <v>4480</v>
      </c>
      <c r="B1413" s="3"/>
      <c r="C1413" s="3" t="str">
        <f>"C &amp; R Catering specializing in gourmet food to soul food."</f>
        <v>C &amp; R Catering specializing in gourmet food to soul food.</v>
      </c>
      <c r="D1413" s="3" t="s">
        <v>9</v>
      </c>
      <c r="E1413" s="3" t="s">
        <v>4481</v>
      </c>
      <c r="F1413" s="3" t="str">
        <f>"317-920-8614"</f>
        <v>317-920-8614</v>
      </c>
      <c r="G1413" s="3">
        <v>722310</v>
      </c>
      <c r="H1413" s="3" t="s">
        <v>3051</v>
      </c>
    </row>
    <row r="1414" spans="1:8" ht="26.25" x14ac:dyDescent="0.25">
      <c r="A1414" s="3" t="s">
        <v>4482</v>
      </c>
      <c r="B1414" s="3"/>
      <c r="C1414" s="3" t="str">
        <f>"Consulting, in particular bridges and asphalt. Small construction operations."</f>
        <v>Consulting, in particular bridges and asphalt. Small construction operations.</v>
      </c>
      <c r="D1414" s="3" t="s">
        <v>9</v>
      </c>
      <c r="E1414" s="3" t="s">
        <v>4483</v>
      </c>
      <c r="F1414" s="3" t="str">
        <f>"812.946.1143"</f>
        <v>812.946.1143</v>
      </c>
      <c r="G1414" s="3">
        <v>23</v>
      </c>
      <c r="H1414" s="3" t="s">
        <v>133</v>
      </c>
    </row>
    <row r="1415" spans="1:8" ht="77.25" x14ac:dyDescent="0.25">
      <c r="A1415" s="3" t="s">
        <v>4484</v>
      </c>
      <c r="B1415" s="3"/>
      <c r="C1415" s="3" t="str">
        <f>"Saddle stitching, die cutting, folding, pocket folder gluing, pressure sensitive taping, fulfillment, eye letting, wafer sealing, perfect binding, collating, shrink wrapping, perfing, scoring, hand assembly, promotional products"</f>
        <v>Saddle stitching, die cutting, folding, pocket folder gluing, pressure sensitive taping, fulfillment, eye letting, wafer sealing, perfect binding, collating, shrink wrapping, perfing, scoring, hand assembly, promotional products</v>
      </c>
      <c r="D1415" s="3" t="s">
        <v>4485</v>
      </c>
      <c r="E1415" s="3" t="s">
        <v>4486</v>
      </c>
      <c r="F1415" s="3" t="str">
        <f>"317-352-1000"</f>
        <v>317-352-1000</v>
      </c>
      <c r="G1415" s="3">
        <v>323121</v>
      </c>
      <c r="H1415" s="3" t="s">
        <v>694</v>
      </c>
    </row>
    <row r="1416" spans="1:8" ht="39" x14ac:dyDescent="0.25">
      <c r="A1416" s="3" t="s">
        <v>4487</v>
      </c>
      <c r="B1416" s="3"/>
      <c r="C1416" s="3" t="str">
        <f>"Offering studio &amp; outdoor portraiture, commercial, location, event, and fine art photography."</f>
        <v>Offering studio &amp; outdoor portraiture, commercial, location, event, and fine art photography.</v>
      </c>
      <c r="D1416" s="3" t="s">
        <v>9</v>
      </c>
      <c r="E1416" s="3" t="s">
        <v>4488</v>
      </c>
      <c r="F1416" s="3" t="str">
        <f>"574-536-7013"</f>
        <v>574-536-7013</v>
      </c>
      <c r="G1416" s="3">
        <v>541922</v>
      </c>
      <c r="H1416" s="3" t="s">
        <v>1545</v>
      </c>
    </row>
    <row r="1417" spans="1:8" ht="26.25" x14ac:dyDescent="0.25">
      <c r="A1417" s="3" t="s">
        <v>4489</v>
      </c>
      <c r="B1417" s="3"/>
      <c r="C1417" s="3" t="str">
        <f>"Assurance, Accounting, Tax and Management Consulting"</f>
        <v>Assurance, Accounting, Tax and Management Consulting</v>
      </c>
      <c r="D1417" s="3" t="s">
        <v>9</v>
      </c>
      <c r="E1417" s="3" t="s">
        <v>4490</v>
      </c>
      <c r="F1417" s="3" t="str">
        <f>"219-880-0850"</f>
        <v>219-880-0850</v>
      </c>
      <c r="G1417" s="3">
        <v>541211</v>
      </c>
      <c r="H1417" s="3" t="s">
        <v>337</v>
      </c>
    </row>
    <row r="1418" spans="1:8" ht="26.25" x14ac:dyDescent="0.25">
      <c r="A1418" s="3" t="s">
        <v>4491</v>
      </c>
      <c r="B1418" s="3"/>
      <c r="C1418" s="3" t="str">
        <f>"Engraving trophies and plaques, screen printing textiles"</f>
        <v>Engraving trophies and plaques, screen printing textiles</v>
      </c>
      <c r="D1418" s="3" t="s">
        <v>9</v>
      </c>
      <c r="E1418" s="3" t="s">
        <v>4492</v>
      </c>
      <c r="F1418" s="3" t="str">
        <f>"1-765-569-0900"</f>
        <v>1-765-569-0900</v>
      </c>
      <c r="G1418" s="3">
        <v>44</v>
      </c>
      <c r="H1418" s="3" t="s">
        <v>574</v>
      </c>
    </row>
    <row r="1419" spans="1:8" ht="39" x14ac:dyDescent="0.25">
      <c r="A1419" s="3" t="s">
        <v>4493</v>
      </c>
      <c r="B1419" s="3"/>
      <c r="C1419" s="3" t="str">
        <f>"This company specialist in the installation and updating of low voltage electrical cabling and wiring."</f>
        <v>This company specialist in the installation and updating of low voltage electrical cabling and wiring.</v>
      </c>
      <c r="D1419" s="3" t="s">
        <v>4494</v>
      </c>
      <c r="E1419" s="3" t="s">
        <v>4495</v>
      </c>
      <c r="F1419" s="3" t="str">
        <f>"(317) 568-2899"</f>
        <v>(317) 568-2899</v>
      </c>
      <c r="G1419" s="3">
        <v>238210</v>
      </c>
      <c r="H1419" s="3" t="s">
        <v>306</v>
      </c>
    </row>
    <row r="1420" spans="1:8" ht="64.5" x14ac:dyDescent="0.25">
      <c r="A1420" s="3" t="s">
        <v>4496</v>
      </c>
      <c r="B1420" s="3"/>
      <c r="C1420" s="3" t="str">
        <f>"OFFERS KONICA MINOLTA BUSINESS SYSTEMS COPIERS PRINTERS FAX SCANNERS MFP'S MURATEC FAX/COPIERS SCANNERS KIP WIDE FORMAT COPIER/PRINTER/SCANNERS OFFICE SUPPLIES"</f>
        <v>OFFERS KONICA MINOLTA BUSINESS SYSTEMS COPIERS PRINTERS FAX SCANNERS MFP'S MURATEC FAX/COPIERS SCANNERS KIP WIDE FORMAT COPIER/PRINTER/SCANNERS OFFICE SUPPLIES</v>
      </c>
      <c r="D1420" s="3" t="s">
        <v>9</v>
      </c>
      <c r="E1420" s="3" t="s">
        <v>4497</v>
      </c>
      <c r="F1420" s="3" t="str">
        <f>"219-362-3624"</f>
        <v>219-362-3624</v>
      </c>
      <c r="G1420" s="3">
        <v>453210</v>
      </c>
      <c r="H1420" s="3" t="s">
        <v>431</v>
      </c>
    </row>
    <row r="1421" spans="1:8" ht="102.75" x14ac:dyDescent="0.25">
      <c r="A1421" s="3" t="s">
        <v>4498</v>
      </c>
      <c r="B1421" s="3"/>
      <c r="C1421" s="3" t="s">
        <v>4499</v>
      </c>
      <c r="D1421" s="3" t="s">
        <v>4500</v>
      </c>
      <c r="E1421" s="3" t="s">
        <v>4501</v>
      </c>
      <c r="F1421" s="2"/>
      <c r="G1421" s="3">
        <v>541430</v>
      </c>
      <c r="H1421" s="3" t="s">
        <v>78</v>
      </c>
    </row>
    <row r="1422" spans="1:8" ht="26.25" x14ac:dyDescent="0.25">
      <c r="A1422" s="3" t="s">
        <v>4502</v>
      </c>
      <c r="B1422" s="3"/>
      <c r="C1422" s="3" t="str">
        <f>"trash removal service/ Dump trucking"</f>
        <v>trash removal service/ Dump trucking</v>
      </c>
      <c r="D1422" s="3" t="s">
        <v>4503</v>
      </c>
      <c r="E1422" s="3" t="s">
        <v>46</v>
      </c>
      <c r="F1422" s="3" t="str">
        <f>"3177873456"</f>
        <v>3177873456</v>
      </c>
      <c r="G1422" s="3">
        <v>56211</v>
      </c>
      <c r="H1422" s="3" t="s">
        <v>501</v>
      </c>
    </row>
    <row r="1423" spans="1:8" ht="26.25" x14ac:dyDescent="0.25">
      <c r="A1423" s="3" t="s">
        <v>4504</v>
      </c>
      <c r="B1423" s="3"/>
      <c r="C1423" s="3" t="str">
        <f>"Quality Commercial Cleaning"</f>
        <v>Quality Commercial Cleaning</v>
      </c>
      <c r="D1423" s="3" t="s">
        <v>9</v>
      </c>
      <c r="E1423" s="3" t="s">
        <v>4505</v>
      </c>
      <c r="F1423" s="3" t="str">
        <f>"812-499-2658"</f>
        <v>812-499-2658</v>
      </c>
      <c r="G1423" s="3">
        <v>561720</v>
      </c>
      <c r="H1423" s="3" t="s">
        <v>222</v>
      </c>
    </row>
    <row r="1424" spans="1:8" ht="102.75" x14ac:dyDescent="0.25">
      <c r="A1424" s="3" t="s">
        <v>4506</v>
      </c>
      <c r="B1424" s="3"/>
      <c r="C1424" s="3" t="s">
        <v>4507</v>
      </c>
      <c r="D1424" s="3" t="s">
        <v>9</v>
      </c>
      <c r="E1424" s="3" t="s">
        <v>46</v>
      </c>
      <c r="F1424" s="3" t="str">
        <f>"317-783-1871"</f>
        <v>317-783-1871</v>
      </c>
      <c r="G1424" s="3">
        <v>238220</v>
      </c>
      <c r="H1424" s="3" t="s">
        <v>348</v>
      </c>
    </row>
    <row r="1425" spans="1:8" ht="26.25" x14ac:dyDescent="0.25">
      <c r="A1425" s="3" t="s">
        <v>4508</v>
      </c>
      <c r="B1425" s="3"/>
      <c r="C1425" s="3" t="str">
        <f>"We are involved with industrial water treatment products and services."</f>
        <v>We are involved with industrial water treatment products and services.</v>
      </c>
      <c r="D1425" s="3" t="s">
        <v>9</v>
      </c>
      <c r="E1425" s="3" t="s">
        <v>4509</v>
      </c>
      <c r="F1425" s="3" t="str">
        <f>"317-3466375"</f>
        <v>317-3466375</v>
      </c>
      <c r="G1425" s="3">
        <v>423850</v>
      </c>
      <c r="H1425" s="3" t="s">
        <v>419</v>
      </c>
    </row>
    <row r="1426" spans="1:8" x14ac:dyDescent="0.25">
      <c r="A1426" s="3" t="s">
        <v>4510</v>
      </c>
      <c r="B1426" s="3"/>
      <c r="C1426" s="2"/>
      <c r="D1426" s="3" t="s">
        <v>9</v>
      </c>
      <c r="E1426" s="3" t="s">
        <v>46</v>
      </c>
      <c r="F1426" s="2"/>
      <c r="G1426" s="3">
        <v>2389</v>
      </c>
      <c r="H1426" s="3" t="s">
        <v>1236</v>
      </c>
    </row>
    <row r="1427" spans="1:8" ht="268.5" x14ac:dyDescent="0.25">
      <c r="A1427" s="3" t="s">
        <v>4511</v>
      </c>
      <c r="B1427" s="3"/>
      <c r="C1427" s="3" t="s">
        <v>4512</v>
      </c>
      <c r="D1427" s="3" t="s">
        <v>4513</v>
      </c>
      <c r="E1427" s="3" t="s">
        <v>4514</v>
      </c>
      <c r="F1427" s="3" t="str">
        <f>"812-280-0048"</f>
        <v>812-280-0048</v>
      </c>
      <c r="G1427" s="3">
        <v>811219</v>
      </c>
      <c r="H1427" s="3" t="s">
        <v>1427</v>
      </c>
    </row>
    <row r="1428" spans="1:8" ht="39" x14ac:dyDescent="0.25">
      <c r="A1428" s="3" t="s">
        <v>4515</v>
      </c>
      <c r="B1428" s="3"/>
      <c r="C1428" s="3" t="str">
        <f>"Construction business specializing in interior finish work, including drywall, painting, wall covering, flooring, and trim."</f>
        <v>Construction business specializing in interior finish work, including drywall, painting, wall covering, flooring, and trim.</v>
      </c>
      <c r="D1428" s="3" t="s">
        <v>9</v>
      </c>
      <c r="E1428" s="3" t="s">
        <v>4516</v>
      </c>
      <c r="F1428" s="3" t="str">
        <f>"509-539-4727"</f>
        <v>509-539-4727</v>
      </c>
      <c r="G1428" s="3">
        <v>2383</v>
      </c>
      <c r="H1428" s="3" t="s">
        <v>3448</v>
      </c>
    </row>
    <row r="1429" spans="1:8" ht="51.75" x14ac:dyDescent="0.25">
      <c r="A1429" s="3" t="s">
        <v>4517</v>
      </c>
      <c r="B1429" s="3"/>
      <c r="C1429" s="3" t="str">
        <f>"C &amp; L focus mostly on commerical and residentail customers in Indiana. We offer a wide range of services. Our goal is to be the only contractor our customers used."</f>
        <v>C &amp; L focus mostly on commerical and residentail customers in Indiana. We offer a wide range of services. Our goal is to be the only contractor our customers used.</v>
      </c>
      <c r="D1429" s="3" t="s">
        <v>4518</v>
      </c>
      <c r="E1429" s="3" t="s">
        <v>4519</v>
      </c>
      <c r="F1429" s="3" t="str">
        <f>"3178583330"</f>
        <v>3178583330</v>
      </c>
      <c r="G1429" s="3">
        <v>238160</v>
      </c>
      <c r="H1429" s="3" t="s">
        <v>144</v>
      </c>
    </row>
    <row r="1430" spans="1:8" ht="26.25" x14ac:dyDescent="0.25">
      <c r="A1430" s="3" t="s">
        <v>4520</v>
      </c>
      <c r="B1430" s="3"/>
      <c r="C1430" s="3" t="str">
        <f>"Embroidery, Screenprinting and Promotional Products"</f>
        <v>Embroidery, Screenprinting and Promotional Products</v>
      </c>
      <c r="D1430" s="3" t="s">
        <v>4521</v>
      </c>
      <c r="E1430" s="3" t="s">
        <v>4522</v>
      </c>
      <c r="F1430" s="3" t="str">
        <f>"812-576-4916"</f>
        <v>812-576-4916</v>
      </c>
      <c r="G1430" s="3">
        <v>44</v>
      </c>
      <c r="H1430" s="3" t="s">
        <v>574</v>
      </c>
    </row>
    <row r="1431" spans="1:8" ht="51.75" x14ac:dyDescent="0.25">
      <c r="A1431" s="3" t="s">
        <v>4523</v>
      </c>
      <c r="B1431" s="3"/>
      <c r="C1431" s="3" t="str">
        <f>"We are a commercial and residential cleaning service. We offer everything from any inside detailed cleaning to carpet shampooing and many other services."</f>
        <v>We are a commercial and residential cleaning service. We offer everything from any inside detailed cleaning to carpet shampooing and many other services.</v>
      </c>
      <c r="D1431" s="3" t="s">
        <v>4524</v>
      </c>
      <c r="E1431" s="3" t="s">
        <v>4525</v>
      </c>
      <c r="F1431" s="3" t="str">
        <f>"765-414-5215"</f>
        <v>765-414-5215</v>
      </c>
      <c r="G1431" s="3">
        <v>561720</v>
      </c>
      <c r="H1431" s="3" t="s">
        <v>222</v>
      </c>
    </row>
    <row r="1432" spans="1:8" ht="115.5" x14ac:dyDescent="0.25">
      <c r="A1432" s="3" t="s">
        <v>4526</v>
      </c>
      <c r="B1432" s="3"/>
      <c r="C1432" s="3" t="s">
        <v>4527</v>
      </c>
      <c r="D1432" s="3" t="s">
        <v>4528</v>
      </c>
      <c r="E1432" s="3" t="s">
        <v>4529</v>
      </c>
      <c r="F1432" s="3" t="str">
        <f>"317-816-9774"</f>
        <v>317-816-9774</v>
      </c>
      <c r="G1432" s="3">
        <v>314121</v>
      </c>
      <c r="H1432" s="3" t="s">
        <v>4530</v>
      </c>
    </row>
    <row r="1433" spans="1:8" ht="77.25" x14ac:dyDescent="0.25">
      <c r="A1433" s="3" t="s">
        <v>4531</v>
      </c>
      <c r="B1433" s="3"/>
      <c r="C1433" s="3" t="str">
        <f>"Engineering Services for Systems Requirements Phase, Vendor Management and Quality Reviews/Audits. Systems Integration and Test, IV&amp;V, SEI Audits, Temp Employee Outsourcing, IT Equipment Supplier,"</f>
        <v>Engineering Services for Systems Requirements Phase, Vendor Management and Quality Reviews/Audits. Systems Integration and Test, IV&amp;V, SEI Audits, Temp Employee Outsourcing, IT Equipment Supplier,</v>
      </c>
      <c r="D1433" s="3" t="s">
        <v>9</v>
      </c>
      <c r="E1433" s="3" t="s">
        <v>4532</v>
      </c>
      <c r="F1433" s="3" t="str">
        <f>"317-507-8300"</f>
        <v>317-507-8300</v>
      </c>
      <c r="G1433" s="3">
        <v>54133</v>
      </c>
      <c r="H1433" s="3" t="s">
        <v>82</v>
      </c>
    </row>
    <row r="1434" spans="1:8" ht="26.25" x14ac:dyDescent="0.25">
      <c r="A1434" s="3" t="s">
        <v>4533</v>
      </c>
      <c r="B1434" s="3"/>
      <c r="C1434" s="2"/>
      <c r="D1434" s="3" t="s">
        <v>9</v>
      </c>
      <c r="E1434" s="3" t="s">
        <v>4534</v>
      </c>
      <c r="F1434" s="3" t="str">
        <f>"219-322-8091"</f>
        <v>219-322-8091</v>
      </c>
      <c r="G1434" s="3">
        <v>238990</v>
      </c>
      <c r="H1434" s="3" t="s">
        <v>481</v>
      </c>
    </row>
    <row r="1435" spans="1:8" ht="77.25" x14ac:dyDescent="0.25">
      <c r="A1435" s="3" t="s">
        <v>4535</v>
      </c>
      <c r="B1435" s="3"/>
      <c r="C1435" s="3" t="str">
        <f>"We provide Mechanical, Electrical, and Plumbing design work for many business types including, but not limited to: Hospitals, retirement facilities, universities, apartment buildings, car dealerships, and Churches..."</f>
        <v>We provide Mechanical, Electrical, and Plumbing design work for many business types including, but not limited to: Hospitals, retirement facilities, universities, apartment buildings, car dealerships, and Churches...</v>
      </c>
      <c r="D1435" s="3" t="s">
        <v>4536</v>
      </c>
      <c r="E1435" s="3" t="s">
        <v>4537</v>
      </c>
      <c r="F1435" s="3" t="str">
        <f>"317-634-3210"</f>
        <v>317-634-3210</v>
      </c>
      <c r="G1435" s="3">
        <v>237990</v>
      </c>
      <c r="H1435" s="3" t="s">
        <v>2631</v>
      </c>
    </row>
    <row r="1436" spans="1:8" ht="115.5" x14ac:dyDescent="0.25">
      <c r="A1436" s="3" t="s">
        <v>4538</v>
      </c>
      <c r="B1436" s="3"/>
      <c r="C1436" s="3" t="s">
        <v>4539</v>
      </c>
      <c r="D1436" s="3" t="s">
        <v>4494</v>
      </c>
      <c r="E1436" s="3" t="s">
        <v>4540</v>
      </c>
      <c r="F1436" s="3" t="str">
        <f>"317-568-2899"</f>
        <v>317-568-2899</v>
      </c>
      <c r="G1436" s="3">
        <v>238210</v>
      </c>
      <c r="H1436" s="3" t="s">
        <v>306</v>
      </c>
    </row>
    <row r="1437" spans="1:8" ht="26.25" x14ac:dyDescent="0.25">
      <c r="A1437" s="3" t="s">
        <v>4541</v>
      </c>
      <c r="B1437" s="3"/>
      <c r="C1437" s="2"/>
      <c r="D1437" s="3" t="s">
        <v>4542</v>
      </c>
      <c r="E1437" s="3" t="s">
        <v>4543</v>
      </c>
      <c r="F1437" s="3" t="str">
        <f>"8129411857"</f>
        <v>8129411857</v>
      </c>
      <c r="G1437" s="3">
        <v>23332</v>
      </c>
      <c r="H1437" s="3" t="s">
        <v>598</v>
      </c>
    </row>
    <row r="1438" spans="1:8" ht="90" x14ac:dyDescent="0.25">
      <c r="A1438" s="3" t="s">
        <v>4544</v>
      </c>
      <c r="B1438" s="3"/>
      <c r="C1438" s="3" t="str">
        <f>"My business services include the sale of residential real estate along with commercial real estate. My services also include residential appraisals, performing right of way eminent domain highway appraisal work, and buers's representative for INDOT"</f>
        <v>My business services include the sale of residential real estate along with commercial real estate. My services also include residential appraisals, performing right of way eminent domain highway appraisal work, and buers's representative for INDOT</v>
      </c>
      <c r="D1438" s="3" t="s">
        <v>4545</v>
      </c>
      <c r="E1438" s="3" t="s">
        <v>4546</v>
      </c>
      <c r="F1438" s="3" t="str">
        <f>"260.418.3650"</f>
        <v>260.418.3650</v>
      </c>
      <c r="G1438" s="3">
        <v>812990</v>
      </c>
      <c r="H1438" s="3" t="s">
        <v>294</v>
      </c>
    </row>
    <row r="1439" spans="1:8" ht="64.5" x14ac:dyDescent="0.25">
      <c r="A1439" s="3" t="s">
        <v>4547</v>
      </c>
      <c r="B1439" s="3"/>
      <c r="C1439" s="3" t="str">
        <f>"CC Boone &amp; co., Inc. in an Electrical contractor providing Electrical services for commerical and residential customers. CC Boone co., Inc is also a supplier of electrical supplies and accessories."</f>
        <v>CC Boone &amp; co., Inc. in an Electrical contractor providing Electrical services for commerical and residential customers. CC Boone co., Inc is also a supplier of electrical supplies and accessories.</v>
      </c>
      <c r="D1439" s="3" t="s">
        <v>4548</v>
      </c>
      <c r="E1439" s="3" t="s">
        <v>4549</v>
      </c>
      <c r="F1439" s="3" t="str">
        <f>"812 428 7177"</f>
        <v>812 428 7177</v>
      </c>
      <c r="G1439" s="3">
        <v>235310</v>
      </c>
      <c r="H1439" s="2"/>
    </row>
    <row r="1440" spans="1:8" ht="90" x14ac:dyDescent="0.25">
      <c r="A1440" s="3" t="s">
        <v>4550</v>
      </c>
      <c r="B1440" s="3"/>
      <c r="C1440" s="3" t="s">
        <v>4551</v>
      </c>
      <c r="D1440" s="3" t="s">
        <v>4552</v>
      </c>
      <c r="E1440" s="3" t="s">
        <v>4553</v>
      </c>
      <c r="F1440" s="3" t="str">
        <f>"812-945-8977"</f>
        <v>812-945-8977</v>
      </c>
      <c r="G1440" s="3">
        <v>423930</v>
      </c>
      <c r="H1440" s="3" t="s">
        <v>4554</v>
      </c>
    </row>
    <row r="1441" spans="1:8" ht="128.25" x14ac:dyDescent="0.25">
      <c r="A1441" s="3" t="s">
        <v>4555</v>
      </c>
      <c r="B1441" s="3"/>
      <c r="C1441" s="3" t="s">
        <v>4556</v>
      </c>
      <c r="D1441" s="3" t="s">
        <v>9</v>
      </c>
      <c r="E1441" s="3" t="s">
        <v>4557</v>
      </c>
      <c r="F1441" s="3" t="str">
        <f>"8126636543"</f>
        <v>8126636543</v>
      </c>
      <c r="G1441" s="3">
        <v>23561</v>
      </c>
      <c r="H1441" s="3" t="s">
        <v>365</v>
      </c>
    </row>
    <row r="1442" spans="1:8" ht="51.75" x14ac:dyDescent="0.25">
      <c r="A1442" s="3" t="s">
        <v>4558</v>
      </c>
      <c r="B1442" s="3"/>
      <c r="C1442" s="3" t="str">
        <f>"Auto body repair shop ( Insurance work and restoration). We also have a towing service. Towing for individuals and local police departments."</f>
        <v>Auto body repair shop ( Insurance work and restoration). We also have a towing service. Towing for individuals and local police departments.</v>
      </c>
      <c r="D1442" s="3" t="s">
        <v>4559</v>
      </c>
      <c r="E1442" s="3" t="s">
        <v>4560</v>
      </c>
      <c r="F1442" s="3" t="str">
        <f>"260-837-7100"</f>
        <v>260-837-7100</v>
      </c>
      <c r="G1442" s="3">
        <v>811121</v>
      </c>
      <c r="H1442" s="3" t="s">
        <v>1432</v>
      </c>
    </row>
    <row r="1443" spans="1:8" ht="90" x14ac:dyDescent="0.25">
      <c r="A1443" s="3" t="s">
        <v>4561</v>
      </c>
      <c r="B1443" s="3"/>
      <c r="C1443" s="3" t="s">
        <v>4562</v>
      </c>
      <c r="D1443" s="3" t="s">
        <v>4563</v>
      </c>
      <c r="E1443" s="3" t="s">
        <v>4564</v>
      </c>
      <c r="F1443" s="3" t="str">
        <f>"317-872-7022"</f>
        <v>317-872-7022</v>
      </c>
      <c r="G1443" s="3">
        <v>4239</v>
      </c>
      <c r="H1443" s="3" t="s">
        <v>4565</v>
      </c>
    </row>
    <row r="1444" spans="1:8" ht="51.75" x14ac:dyDescent="0.25">
      <c r="A1444" s="3" t="s">
        <v>4566</v>
      </c>
      <c r="B1444" s="3"/>
      <c r="C1444" s="3" t="str">
        <f>"Contract Janitorial Services. Providing full janitorial services to industrial environments, office complexes, hospitals, and schools."</f>
        <v>Contract Janitorial Services. Providing full janitorial services to industrial environments, office complexes, hospitals, and schools.</v>
      </c>
      <c r="D1444" s="3" t="s">
        <v>4567</v>
      </c>
      <c r="E1444" s="3" t="s">
        <v>46</v>
      </c>
      <c r="F1444" s="3" t="str">
        <f>"812-235-6117"</f>
        <v>812-235-6117</v>
      </c>
      <c r="G1444" s="3">
        <v>561720</v>
      </c>
      <c r="H1444" s="3" t="s">
        <v>222</v>
      </c>
    </row>
    <row r="1445" spans="1:8" ht="51.75" x14ac:dyDescent="0.25">
      <c r="A1445" s="3" t="s">
        <v>4568</v>
      </c>
      <c r="B1445" s="3"/>
      <c r="C1445" s="3" t="str">
        <f>"We are a custom furniture and architectural woodworking business. We also manufacturer amplifier cabinets for the music industry."</f>
        <v>We are a custom furniture and architectural woodworking business. We also manufacturer amplifier cabinets for the music industry.</v>
      </c>
      <c r="D1445" s="3" t="s">
        <v>4569</v>
      </c>
      <c r="E1445" s="3" t="s">
        <v>4570</v>
      </c>
      <c r="F1445" s="3" t="str">
        <f>"574-737-7714"</f>
        <v>574-737-7714</v>
      </c>
      <c r="G1445" s="3">
        <v>337122</v>
      </c>
      <c r="H1445" s="3" t="s">
        <v>4571</v>
      </c>
    </row>
    <row r="1446" spans="1:8" ht="26.25" x14ac:dyDescent="0.25">
      <c r="A1446" s="3" t="s">
        <v>4572</v>
      </c>
      <c r="B1446" s="3"/>
      <c r="C1446" s="3" t="str">
        <f>" "</f>
        <v xml:space="preserve"> </v>
      </c>
      <c r="D1446" s="3" t="s">
        <v>9</v>
      </c>
      <c r="E1446" s="3" t="s">
        <v>4573</v>
      </c>
      <c r="F1446" s="3" t="str">
        <f>"8126990743"</f>
        <v>8126990743</v>
      </c>
      <c r="G1446" s="3">
        <v>23499</v>
      </c>
      <c r="H1446" s="3" t="s">
        <v>4574</v>
      </c>
    </row>
    <row r="1447" spans="1:8" ht="39" x14ac:dyDescent="0.25">
      <c r="A1447" s="3" t="s">
        <v>4575</v>
      </c>
      <c r="B1447" s="3"/>
      <c r="C1447" s="3" t="str">
        <f>"Residential and commercial, new construction &amp; remodeling. Installation carpentry. Home staging and design."</f>
        <v>Residential and commercial, new construction &amp; remodeling. Installation carpentry. Home staging and design.</v>
      </c>
      <c r="D1447" s="3" t="s">
        <v>4576</v>
      </c>
      <c r="E1447" s="3" t="s">
        <v>4577</v>
      </c>
      <c r="F1447" s="3" t="str">
        <f>"219-308-1949"</f>
        <v>219-308-1949</v>
      </c>
      <c r="G1447" s="3">
        <v>23</v>
      </c>
      <c r="H1447" s="3" t="s">
        <v>133</v>
      </c>
    </row>
    <row r="1448" spans="1:8" ht="128.25" x14ac:dyDescent="0.25">
      <c r="A1448" s="3" t="s">
        <v>4578</v>
      </c>
      <c r="B1448" s="3"/>
      <c r="C1448" s="3" t="s">
        <v>4579</v>
      </c>
      <c r="D1448" s="3" t="s">
        <v>9</v>
      </c>
      <c r="E1448" s="3" t="s">
        <v>4580</v>
      </c>
      <c r="F1448" s="3" t="str">
        <f>"765-672-4235"</f>
        <v>765-672-4235</v>
      </c>
      <c r="G1448" s="3">
        <v>113</v>
      </c>
      <c r="H1448" s="3" t="s">
        <v>4581</v>
      </c>
    </row>
    <row r="1449" spans="1:8" ht="39" x14ac:dyDescent="0.25">
      <c r="A1449" s="3" t="s">
        <v>4582</v>
      </c>
      <c r="B1449" s="3"/>
      <c r="C1449" s="3" t="str">
        <f>"Complete electrical and HVAC service for residential, commercial, and industrial needs."</f>
        <v>Complete electrical and HVAC service for residential, commercial, and industrial needs.</v>
      </c>
      <c r="D1449" s="3" t="s">
        <v>4583</v>
      </c>
      <c r="E1449" s="3" t="s">
        <v>4584</v>
      </c>
      <c r="F1449" s="3" t="str">
        <f>"765-659-3343"</f>
        <v>765-659-3343</v>
      </c>
      <c r="G1449" s="3">
        <v>238210</v>
      </c>
      <c r="H1449" s="3" t="s">
        <v>306</v>
      </c>
    </row>
    <row r="1450" spans="1:8" ht="51.75" x14ac:dyDescent="0.25">
      <c r="A1450" s="3" t="s">
        <v>4585</v>
      </c>
      <c r="B1450" s="3"/>
      <c r="C1450" s="3" t="str">
        <f>"C.F. Jones Group provides General Contracting Services, Design/Build Services, Construction Management Services and Renovations for commercial projects."</f>
        <v>C.F. Jones Group provides General Contracting Services, Design/Build Services, Construction Management Services and Renovations for commercial projects.</v>
      </c>
      <c r="D1450" s="3" t="s">
        <v>4586</v>
      </c>
      <c r="E1450" s="3" t="s">
        <v>4587</v>
      </c>
      <c r="F1450" s="3" t="str">
        <f>"765-482-4117"</f>
        <v>765-482-4117</v>
      </c>
      <c r="G1450" s="3">
        <v>233</v>
      </c>
      <c r="H1450" s="3" t="s">
        <v>131</v>
      </c>
    </row>
    <row r="1451" spans="1:8" ht="141" x14ac:dyDescent="0.25">
      <c r="A1451" s="3" t="s">
        <v>4588</v>
      </c>
      <c r="B1451" s="3"/>
      <c r="C1451" s="3" t="s">
        <v>4589</v>
      </c>
      <c r="D1451" s="3" t="s">
        <v>4590</v>
      </c>
      <c r="E1451" s="3" t="s">
        <v>4591</v>
      </c>
      <c r="F1451" s="3" t="str">
        <f>"812-234-3714"</f>
        <v>812-234-3714</v>
      </c>
      <c r="G1451" s="3">
        <v>2362</v>
      </c>
      <c r="H1451" s="3" t="s">
        <v>423</v>
      </c>
    </row>
    <row r="1452" spans="1:8" ht="26.25" x14ac:dyDescent="0.25">
      <c r="A1452" s="3" t="s">
        <v>4592</v>
      </c>
      <c r="B1452" s="3"/>
      <c r="C1452" s="2"/>
      <c r="D1452" s="3" t="s">
        <v>4593</v>
      </c>
      <c r="E1452" s="3" t="s">
        <v>46</v>
      </c>
      <c r="F1452" s="3" t="str">
        <f>"765-483-3060"</f>
        <v>765-483-3060</v>
      </c>
      <c r="G1452" s="3">
        <v>611710</v>
      </c>
      <c r="H1452" s="3" t="s">
        <v>508</v>
      </c>
    </row>
    <row r="1453" spans="1:8" ht="39" x14ac:dyDescent="0.25">
      <c r="A1453" s="3" t="s">
        <v>4594</v>
      </c>
      <c r="B1453" s="3"/>
      <c r="C1453" s="3" t="str">
        <f>"Commercial General Contractor building Retail, Churches, Schools, Public Buildings, HUD projects"</f>
        <v>Commercial General Contractor building Retail, Churches, Schools, Public Buildings, HUD projects</v>
      </c>
      <c r="D1453" s="3" t="s">
        <v>4595</v>
      </c>
      <c r="E1453" s="3" t="s">
        <v>4596</v>
      </c>
      <c r="F1453" s="3" t="str">
        <f>"317-842-8040"</f>
        <v>317-842-8040</v>
      </c>
      <c r="G1453" s="3">
        <v>23</v>
      </c>
      <c r="H1453" s="3" t="s">
        <v>133</v>
      </c>
    </row>
    <row r="1454" spans="1:8" ht="77.25" x14ac:dyDescent="0.25">
      <c r="A1454" s="3" t="s">
        <v>4597</v>
      </c>
      <c r="B1454" s="3"/>
      <c r="C1454" s="3" t="str">
        <f>"We do sub contracting for INDOT projects. Our main items include, but not limited to: barrier wall, slotted drain, moment slab, curb and gutter, planter boxes, thrust blocks, footers, bridge rail, transitions, paved side ditch, sidewalk, D1 joints."</f>
        <v>We do sub contracting for INDOT projects. Our main items include, but not limited to: barrier wall, slotted drain, moment slab, curb and gutter, planter boxes, thrust blocks, footers, bridge rail, transitions, paved side ditch, sidewalk, D1 joints.</v>
      </c>
      <c r="D1454" s="3" t="s">
        <v>9</v>
      </c>
      <c r="E1454" s="3" t="s">
        <v>4598</v>
      </c>
      <c r="F1454" s="3" t="str">
        <f>"260-327-3300"</f>
        <v>260-327-3300</v>
      </c>
      <c r="G1454" s="3">
        <v>238110</v>
      </c>
      <c r="H1454" s="3" t="s">
        <v>156</v>
      </c>
    </row>
    <row r="1455" spans="1:8" ht="64.5" x14ac:dyDescent="0.25">
      <c r="A1455" s="3" t="s">
        <v>4599</v>
      </c>
      <c r="B1455" s="3"/>
      <c r="C1455" s="3" t="str">
        <f>"C.S.E.T. and Associates, INC. is a woman owned small Indiana business. Consultant, Services, Engineer Tooling, Special Industrial Tool Distributor, Manufacturer Representative"</f>
        <v>C.S.E.T. and Associates, INC. is a woman owned small Indiana business. Consultant, Services, Engineer Tooling, Special Industrial Tool Distributor, Manufacturer Representative</v>
      </c>
      <c r="D1455" s="3" t="s">
        <v>9</v>
      </c>
      <c r="E1455" s="3" t="s">
        <v>46</v>
      </c>
      <c r="F1455" s="3" t="str">
        <f>"765-778-7186"</f>
        <v>765-778-7186</v>
      </c>
      <c r="G1455" s="3">
        <v>425120</v>
      </c>
      <c r="H1455" s="3" t="s">
        <v>58</v>
      </c>
    </row>
    <row r="1456" spans="1:8" ht="26.25" x14ac:dyDescent="0.25">
      <c r="A1456" s="3" t="s">
        <v>4600</v>
      </c>
      <c r="B1456" s="3"/>
      <c r="C1456" s="3" t="str">
        <f>"Project management, consulting services, grant administration"</f>
        <v>Project management, consulting services, grant administration</v>
      </c>
      <c r="D1456" s="3" t="s">
        <v>9</v>
      </c>
      <c r="E1456" s="3" t="s">
        <v>4601</v>
      </c>
      <c r="F1456" s="2"/>
      <c r="G1456" s="3">
        <v>54161</v>
      </c>
      <c r="H1456" s="3" t="s">
        <v>1221</v>
      </c>
    </row>
    <row r="1457" spans="1:8" ht="90" x14ac:dyDescent="0.25">
      <c r="A1457" s="3" t="s">
        <v>4602</v>
      </c>
      <c r="B1457" s="3"/>
      <c r="C1457" s="3" t="str">
        <f>"C2 Marketing Communications offers marketing consultation to techology and related companies, specializing in message strategy, integrated marketing campaigns, online image management, social media marketing, sales tools and marketing materials."</f>
        <v>C2 Marketing Communications offers marketing consultation to techology and related companies, specializing in message strategy, integrated marketing campaigns, online image management, social media marketing, sales tools and marketing materials.</v>
      </c>
      <c r="D1457" s="3" t="s">
        <v>4603</v>
      </c>
      <c r="E1457" s="3" t="s">
        <v>4604</v>
      </c>
      <c r="F1457" s="3" t="str">
        <f>"3173723020"</f>
        <v>3173723020</v>
      </c>
      <c r="G1457" s="3">
        <v>541613</v>
      </c>
      <c r="H1457" s="3" t="s">
        <v>558</v>
      </c>
    </row>
    <row r="1458" spans="1:8" ht="39" x14ac:dyDescent="0.25">
      <c r="A1458" s="3" t="s">
        <v>4605</v>
      </c>
      <c r="B1458" s="3"/>
      <c r="C1458" s="3" t="str">
        <f>"CAD (Computer-Aided Design) Drafting Services. Provide on-site CAD Personnel temp to long-term."</f>
        <v>CAD (Computer-Aided Design) Drafting Services. Provide on-site CAD Personnel temp to long-term.</v>
      </c>
      <c r="D1458" s="3" t="s">
        <v>9</v>
      </c>
      <c r="E1458" s="3" t="s">
        <v>4606</v>
      </c>
      <c r="F1458" s="3" t="str">
        <f>"317-272-0254"</f>
        <v>317-272-0254</v>
      </c>
      <c r="G1458" s="3">
        <v>541340</v>
      </c>
      <c r="H1458" s="3" t="s">
        <v>4040</v>
      </c>
    </row>
    <row r="1459" spans="1:8" ht="26.25" x14ac:dyDescent="0.25">
      <c r="A1459" s="3" t="s">
        <v>4607</v>
      </c>
      <c r="B1459" s="3"/>
      <c r="C1459" s="3" t="str">
        <f>" "</f>
        <v xml:space="preserve"> </v>
      </c>
      <c r="D1459" s="3" t="s">
        <v>9</v>
      </c>
      <c r="E1459" s="3" t="s">
        <v>46</v>
      </c>
      <c r="F1459" s="2"/>
      <c r="G1459" s="3">
        <v>42145</v>
      </c>
      <c r="H1459" s="3" t="s">
        <v>4608</v>
      </c>
    </row>
    <row r="1460" spans="1:8" ht="141" x14ac:dyDescent="0.25">
      <c r="A1460" s="3" t="s">
        <v>4609</v>
      </c>
      <c r="B1460" s="3"/>
      <c r="C1460" s="3" t="s">
        <v>4610</v>
      </c>
      <c r="D1460" s="3" t="s">
        <v>4611</v>
      </c>
      <c r="E1460" s="3" t="s">
        <v>4612</v>
      </c>
      <c r="F1460" s="3" t="str">
        <f>"574-289-9279"</f>
        <v>574-289-9279</v>
      </c>
      <c r="G1460" s="3">
        <v>23</v>
      </c>
      <c r="H1460" s="3" t="s">
        <v>133</v>
      </c>
    </row>
    <row r="1461" spans="1:8" ht="26.25" x14ac:dyDescent="0.25">
      <c r="A1461" s="3" t="s">
        <v>4613</v>
      </c>
      <c r="B1461" s="3"/>
      <c r="C1461" s="3" t="str">
        <f>"Calcar operates a stone quarry and paving contracting business in Paoli, Indiana."</f>
        <v>Calcar operates a stone quarry and paving contracting business in Paoli, Indiana.</v>
      </c>
      <c r="D1461" s="3" t="s">
        <v>9</v>
      </c>
      <c r="E1461" s="3" t="s">
        <v>4614</v>
      </c>
      <c r="F1461" s="3" t="str">
        <f>"812-723-2109"</f>
        <v>812-723-2109</v>
      </c>
      <c r="G1461" s="3">
        <v>237310</v>
      </c>
      <c r="H1461" s="3" t="s">
        <v>768</v>
      </c>
    </row>
    <row r="1462" spans="1:8" ht="64.5" x14ac:dyDescent="0.25">
      <c r="A1462" s="3" t="s">
        <v>4615</v>
      </c>
      <c r="B1462" s="3"/>
      <c r="C1462" s="3" t="str">
        <f>"We are Distributor of Eqiupment &amp; Janitorial supplies, Janitorial Services, Floors and Carpet care, Janitorial Equipment repair. Construction clean up, Equipment rental"</f>
        <v>We are Distributor of Eqiupment &amp; Janitorial supplies, Janitorial Services, Floors and Carpet care, Janitorial Equipment repair. Construction clean up, Equipment rental</v>
      </c>
      <c r="D1462" s="3" t="s">
        <v>4616</v>
      </c>
      <c r="E1462" s="3" t="s">
        <v>4617</v>
      </c>
      <c r="F1462" s="3" t="str">
        <f>"317-891-1736"</f>
        <v>317-891-1736</v>
      </c>
      <c r="G1462" s="3">
        <v>561720</v>
      </c>
      <c r="H1462" s="3" t="s">
        <v>222</v>
      </c>
    </row>
    <row r="1463" spans="1:8" ht="115.5" x14ac:dyDescent="0.25">
      <c r="A1463" s="3" t="s">
        <v>4618</v>
      </c>
      <c r="B1463" s="3"/>
      <c r="C1463" s="3" t="s">
        <v>4619</v>
      </c>
      <c r="D1463" s="3" t="s">
        <v>4620</v>
      </c>
      <c r="E1463" s="3" t="s">
        <v>4621</v>
      </c>
      <c r="F1463" s="3" t="str">
        <f>"317-898-0379"</f>
        <v>317-898-0379</v>
      </c>
      <c r="G1463" s="3">
        <v>233</v>
      </c>
      <c r="H1463" s="3" t="s">
        <v>131</v>
      </c>
    </row>
    <row r="1464" spans="1:8" ht="51.75" x14ac:dyDescent="0.25">
      <c r="A1464" s="3" t="s">
        <v>4622</v>
      </c>
      <c r="B1464" s="3"/>
      <c r="C1464" s="3" t="str">
        <f>"Sales and service of outdoor power equipment, including Cub Cadet, Husqvarna, Hustler, Briggs &amp; Stratton, Honda, Kohler, Troybilt, and numerous other top brands."</f>
        <v>Sales and service of outdoor power equipment, including Cub Cadet, Husqvarna, Hustler, Briggs &amp; Stratton, Honda, Kohler, Troybilt, and numerous other top brands.</v>
      </c>
      <c r="D1464" s="3" t="s">
        <v>4623</v>
      </c>
      <c r="E1464" s="3" t="s">
        <v>4624</v>
      </c>
      <c r="F1464" s="3" t="str">
        <f>"812-547-6464"</f>
        <v>812-547-6464</v>
      </c>
      <c r="G1464" s="3">
        <v>441221</v>
      </c>
      <c r="H1464" s="3" t="s">
        <v>3299</v>
      </c>
    </row>
    <row r="1465" spans="1:8" ht="64.5" x14ac:dyDescent="0.25">
      <c r="A1465" s="3" t="s">
        <v>4625</v>
      </c>
      <c r="B1465" s="3"/>
      <c r="C1465" s="3" t="str">
        <f>"MUSIC PRODUCTION, RECORDING, CONSULTATION, DISTRIBUTION, PROMOTION &amp; ENTERTAINMENT. BURNING CANDLE ENTERTAINMENT, ""OUR FLAME NEVER GOES OUT"""</f>
        <v>MUSIC PRODUCTION, RECORDING, CONSULTATION, DISTRIBUTION, PROMOTION &amp; ENTERTAINMENT. BURNING CANDLE ENTERTAINMENT, "OUR FLAME NEVER GOES OUT"</v>
      </c>
      <c r="D1465" s="3" t="s">
        <v>9</v>
      </c>
      <c r="E1465" s="3" t="s">
        <v>4626</v>
      </c>
      <c r="F1465" s="2"/>
      <c r="G1465" s="3">
        <v>711130</v>
      </c>
      <c r="H1465" s="3" t="s">
        <v>4353</v>
      </c>
    </row>
    <row r="1466" spans="1:8" ht="26.25" x14ac:dyDescent="0.25">
      <c r="A1466" s="3" t="s">
        <v>4627</v>
      </c>
      <c r="B1466" s="3"/>
      <c r="C1466" s="3" t="str">
        <f>"8-bay automotive repair facility employing 10 people. In business since 1971."</f>
        <v>8-bay automotive repair facility employing 10 people. In business since 1971.</v>
      </c>
      <c r="D1466" s="3" t="s">
        <v>4628</v>
      </c>
      <c r="E1466" s="3" t="s">
        <v>4629</v>
      </c>
      <c r="F1466" s="3" t="str">
        <f>"219-362-4415"</f>
        <v>219-362-4415</v>
      </c>
      <c r="G1466" s="3">
        <v>8111</v>
      </c>
      <c r="H1466" s="3" t="s">
        <v>3587</v>
      </c>
    </row>
    <row r="1467" spans="1:8" ht="179.25" x14ac:dyDescent="0.25">
      <c r="A1467" s="3" t="s">
        <v>4630</v>
      </c>
      <c r="B1467" s="3"/>
      <c r="C1467" s="3" t="s">
        <v>4631</v>
      </c>
      <c r="D1467" s="3" t="s">
        <v>4632</v>
      </c>
      <c r="E1467" s="3" t="s">
        <v>4633</v>
      </c>
      <c r="F1467" s="3" t="str">
        <f>"317-813-5800"</f>
        <v>317-813-5800</v>
      </c>
      <c r="G1467" s="3">
        <v>4412</v>
      </c>
      <c r="H1467" s="3" t="s">
        <v>4634</v>
      </c>
    </row>
    <row r="1468" spans="1:8" ht="26.25" x14ac:dyDescent="0.25">
      <c r="A1468" s="3" t="s">
        <v>4635</v>
      </c>
      <c r="B1468" s="3"/>
      <c r="C1468" s="3" t="str">
        <f>"Commercial &amp; Industrial fence contractor - all types of fencing"</f>
        <v>Commercial &amp; Industrial fence contractor - all types of fencing</v>
      </c>
      <c r="D1468" s="3" t="s">
        <v>9</v>
      </c>
      <c r="E1468" s="3" t="s">
        <v>4636</v>
      </c>
      <c r="F1468" s="3" t="str">
        <f>"317-638-3381"</f>
        <v>317-638-3381</v>
      </c>
      <c r="G1468" s="3">
        <v>235</v>
      </c>
      <c r="H1468" s="3" t="s">
        <v>259</v>
      </c>
    </row>
    <row r="1469" spans="1:8" ht="26.25" x14ac:dyDescent="0.25">
      <c r="A1469" s="3" t="s">
        <v>4637</v>
      </c>
      <c r="B1469" s="3"/>
      <c r="C1469" s="3" t="str">
        <f>"FORD NEW CAR DEALER AND USED CAR DEALER"</f>
        <v>FORD NEW CAR DEALER AND USED CAR DEALER</v>
      </c>
      <c r="D1469" s="3" t="s">
        <v>4638</v>
      </c>
      <c r="E1469" s="3" t="s">
        <v>4639</v>
      </c>
      <c r="F1469" s="3" t="str">
        <f>"317-898-0700"</f>
        <v>317-898-0700</v>
      </c>
      <c r="G1469" s="3">
        <v>441110</v>
      </c>
      <c r="H1469" s="3" t="s">
        <v>2588</v>
      </c>
    </row>
    <row r="1470" spans="1:8" ht="64.5" x14ac:dyDescent="0.25">
      <c r="A1470" s="3" t="s">
        <v>4640</v>
      </c>
      <c r="B1470" s="3"/>
      <c r="C1470" s="3" t="str">
        <f>"General Contractor that specializes in commercial work including tenant improvements, remodel, renovations, ground up and works all over the United States."</f>
        <v>General Contractor that specializes in commercial work including tenant improvements, remodel, renovations, ground up and works all over the United States.</v>
      </c>
      <c r="D1470" s="3" t="s">
        <v>4641</v>
      </c>
      <c r="E1470" s="3" t="s">
        <v>46</v>
      </c>
      <c r="F1470" s="3" t="str">
        <f>"317-574-5488"</f>
        <v>317-574-5488</v>
      </c>
      <c r="G1470" s="3">
        <v>2333</v>
      </c>
      <c r="H1470" s="3" t="s">
        <v>423</v>
      </c>
    </row>
    <row r="1471" spans="1:8" ht="64.5" x14ac:dyDescent="0.25">
      <c r="A1471" s="3" t="s">
        <v>4642</v>
      </c>
      <c r="B1471" s="3"/>
      <c r="C1471" s="3" t="str">
        <f>"We are a manufacturer and distributor of water based cleaners and defoaming products for companies in manufacturing, distribution, food processing, and agribusiness."</f>
        <v>We are a manufacturer and distributor of water based cleaners and defoaming products for companies in manufacturing, distribution, food processing, and agribusiness.</v>
      </c>
      <c r="D1471" s="3" t="s">
        <v>9</v>
      </c>
      <c r="E1471" s="3" t="s">
        <v>46</v>
      </c>
      <c r="F1471" s="3" t="str">
        <f>"317-251-9219"</f>
        <v>317-251-9219</v>
      </c>
      <c r="G1471" s="3">
        <v>325</v>
      </c>
      <c r="H1471" s="3" t="s">
        <v>4643</v>
      </c>
    </row>
    <row r="1472" spans="1:8" ht="51.75" x14ac:dyDescent="0.25">
      <c r="A1472" s="3" t="s">
        <v>4644</v>
      </c>
      <c r="B1472" s="3"/>
      <c r="C1472" s="3" t="str">
        <f>"Skilled nursing; physical, occupation and speech therapies; home health aide; and medical social services provided in the home setting."</f>
        <v>Skilled nursing; physical, occupation and speech therapies; home health aide; and medical social services provided in the home setting.</v>
      </c>
      <c r="D1472" s="3" t="s">
        <v>4645</v>
      </c>
      <c r="E1472" s="3" t="s">
        <v>4646</v>
      </c>
      <c r="F1472" s="3" t="str">
        <f>"317 252-5958"</f>
        <v>317 252-5958</v>
      </c>
      <c r="G1472" s="3">
        <v>62161</v>
      </c>
      <c r="H1472" s="3" t="s">
        <v>328</v>
      </c>
    </row>
    <row r="1473" spans="1:8" ht="179.25" x14ac:dyDescent="0.25">
      <c r="A1473" s="3" t="s">
        <v>4647</v>
      </c>
      <c r="B1473" s="3"/>
      <c r="C1473" s="3" t="s">
        <v>4648</v>
      </c>
      <c r="D1473" s="3" t="s">
        <v>4649</v>
      </c>
      <c r="E1473" s="3" t="s">
        <v>4650</v>
      </c>
      <c r="F1473" s="3" t="str">
        <f>"(877) 743-2010"</f>
        <v>(877) 743-2010</v>
      </c>
      <c r="G1473" s="3">
        <v>561621</v>
      </c>
      <c r="H1473" s="3" t="s">
        <v>827</v>
      </c>
    </row>
    <row r="1474" spans="1:8" ht="192" x14ac:dyDescent="0.25">
      <c r="A1474" s="3" t="s">
        <v>4651</v>
      </c>
      <c r="B1474" s="3"/>
      <c r="C1474" s="3" t="s">
        <v>4652</v>
      </c>
      <c r="D1474" s="3" t="s">
        <v>4653</v>
      </c>
      <c r="E1474" s="3" t="s">
        <v>4654</v>
      </c>
      <c r="F1474" s="3" t="str">
        <f>"260-414-3692"</f>
        <v>260-414-3692</v>
      </c>
      <c r="G1474" s="3">
        <v>62</v>
      </c>
      <c r="H1474" s="3" t="s">
        <v>1168</v>
      </c>
    </row>
    <row r="1475" spans="1:8" ht="26.25" x14ac:dyDescent="0.25">
      <c r="A1475" s="3" t="s">
        <v>4655</v>
      </c>
      <c r="B1475" s="3"/>
      <c r="C1475" s="3" t="str">
        <f>"REAL ESTATE &amp; PROPERTY MANAGEMENT COMPANY"</f>
        <v>REAL ESTATE &amp; PROPERTY MANAGEMENT COMPANY</v>
      </c>
      <c r="D1475" s="3" t="s">
        <v>9</v>
      </c>
      <c r="E1475" s="3" t="s">
        <v>46</v>
      </c>
      <c r="F1475" s="2"/>
      <c r="G1475" s="3">
        <v>531120</v>
      </c>
      <c r="H1475" s="3" t="s">
        <v>2926</v>
      </c>
    </row>
    <row r="1476" spans="1:8" ht="26.25" x14ac:dyDescent="0.25">
      <c r="A1476" s="3" t="s">
        <v>4656</v>
      </c>
      <c r="B1476" s="3"/>
      <c r="C1476" s="3" t="str">
        <f>"LIMESTONE QUARRY LOCATED IN PAOLI, IN MANUFACTURER OF CRUSHED STONE"</f>
        <v>LIMESTONE QUARRY LOCATED IN PAOLI, IN MANUFACTURER OF CRUSHED STONE</v>
      </c>
      <c r="D1476" s="3" t="s">
        <v>9</v>
      </c>
      <c r="E1476" s="3" t="s">
        <v>4657</v>
      </c>
      <c r="F1476" s="3" t="str">
        <f>"812-634-7115"</f>
        <v>812-634-7115</v>
      </c>
      <c r="G1476" s="3">
        <v>212312</v>
      </c>
      <c r="H1476" s="3" t="s">
        <v>3264</v>
      </c>
    </row>
    <row r="1477" spans="1:8" ht="51.75" x14ac:dyDescent="0.25">
      <c r="A1477" s="3" t="s">
        <v>4658</v>
      </c>
      <c r="B1477" s="3"/>
      <c r="C1477" s="3" t="str">
        <f>"I am a commercial real estate broker. I represent clients in the negotiation of their real estate leases, acquisitions and dispositions."</f>
        <v>I am a commercial real estate broker. I represent clients in the negotiation of their real estate leases, acquisitions and dispositions.</v>
      </c>
      <c r="D1477" s="3" t="s">
        <v>9</v>
      </c>
      <c r="E1477" s="3" t="s">
        <v>4659</v>
      </c>
      <c r="F1477" s="3" t="str">
        <f>"317.201.4022"</f>
        <v>317.201.4022</v>
      </c>
      <c r="G1477" s="3">
        <v>531210</v>
      </c>
      <c r="H1477" s="3" t="s">
        <v>1101</v>
      </c>
    </row>
    <row r="1478" spans="1:8" ht="39" x14ac:dyDescent="0.25">
      <c r="A1478" s="3" t="s">
        <v>4660</v>
      </c>
      <c r="B1478" s="3"/>
      <c r="C1478" s="3" t="str">
        <f>"Located in downtown South Bend, in the Key Bank Building. We are a group of brokers and property managers."</f>
        <v>Located in downtown South Bend, in the Key Bank Building. We are a group of brokers and property managers.</v>
      </c>
      <c r="D1478" s="3" t="s">
        <v>9</v>
      </c>
      <c r="E1478" s="3" t="s">
        <v>46</v>
      </c>
      <c r="F1478" s="3" t="str">
        <f>"574-237-6000"</f>
        <v>574-237-6000</v>
      </c>
      <c r="G1478" s="3">
        <v>233</v>
      </c>
      <c r="H1478" s="3" t="s">
        <v>131</v>
      </c>
    </row>
    <row r="1479" spans="1:8" ht="26.25" x14ac:dyDescent="0.25">
      <c r="A1479" s="3" t="s">
        <v>4661</v>
      </c>
      <c r="B1479" s="3"/>
      <c r="C1479" s="3" t="str">
        <f>"Trucking/Hauling of Aggregates and Truck Rental"</f>
        <v>Trucking/Hauling of Aggregates and Truck Rental</v>
      </c>
      <c r="D1479" s="3" t="s">
        <v>9</v>
      </c>
      <c r="E1479" s="3" t="s">
        <v>4662</v>
      </c>
      <c r="F1479" s="3" t="str">
        <f>"(260) 312-3397"</f>
        <v>(260) 312-3397</v>
      </c>
      <c r="G1479" s="3">
        <v>484220</v>
      </c>
      <c r="H1479" s="3" t="s">
        <v>11</v>
      </c>
    </row>
    <row r="1480" spans="1:8" ht="26.25" x14ac:dyDescent="0.25">
      <c r="A1480" s="3" t="s">
        <v>4663</v>
      </c>
      <c r="B1480" s="3"/>
      <c r="C1480" s="3" t="str">
        <f>"Expedited and truckload transportation solutions provider and consulting."</f>
        <v>Expedited and truckload transportation solutions provider and consulting.</v>
      </c>
      <c r="D1480" s="3" t="s">
        <v>4664</v>
      </c>
      <c r="E1480" s="3" t="s">
        <v>4665</v>
      </c>
      <c r="F1480" s="3" t="str">
        <f>"502-413-6381"</f>
        <v>502-413-6381</v>
      </c>
      <c r="G1480" s="3">
        <v>484230</v>
      </c>
      <c r="H1480" s="3" t="s">
        <v>4666</v>
      </c>
    </row>
    <row r="1481" spans="1:8" ht="26.25" x14ac:dyDescent="0.25">
      <c r="A1481" s="3" t="s">
        <v>4667</v>
      </c>
      <c r="B1481" s="3"/>
      <c r="C1481" s="3" t="str">
        <f>" "</f>
        <v xml:space="preserve"> </v>
      </c>
      <c r="D1481" s="3" t="s">
        <v>4668</v>
      </c>
      <c r="E1481" s="3" t="s">
        <v>4669</v>
      </c>
      <c r="F1481" s="3" t="str">
        <f>"574-343-1047"</f>
        <v>574-343-1047</v>
      </c>
      <c r="G1481" s="3">
        <v>238210</v>
      </c>
      <c r="H1481" s="3" t="s">
        <v>306</v>
      </c>
    </row>
    <row r="1482" spans="1:8" ht="64.5" x14ac:dyDescent="0.25">
      <c r="A1482" s="3" t="s">
        <v>4670</v>
      </c>
      <c r="B1482" s="3"/>
      <c r="C1482" s="3" t="str">
        <f>"Food &amp; beverage retailer with 11 locations around Indianapolis. Offering catering from several of our locations to include: soups, salads, sandwiches, coffee, bakery items, fresh fruit &amp; juices"</f>
        <v>Food &amp; beverage retailer with 11 locations around Indianapolis. Offering catering from several of our locations to include: soups, salads, sandwiches, coffee, bakery items, fresh fruit &amp; juices</v>
      </c>
      <c r="D1482" s="3" t="s">
        <v>9</v>
      </c>
      <c r="E1482" s="3" t="s">
        <v>46</v>
      </c>
      <c r="F1482" s="3" t="str">
        <f>"317.624.9126"</f>
        <v>317.624.9126</v>
      </c>
      <c r="G1482" s="3">
        <v>722310</v>
      </c>
      <c r="H1482" s="3" t="s">
        <v>3051</v>
      </c>
    </row>
    <row r="1483" spans="1:8" ht="115.5" x14ac:dyDescent="0.25">
      <c r="A1483" s="3" t="s">
        <v>4671</v>
      </c>
      <c r="B1483" s="3"/>
      <c r="C1483" s="3" t="s">
        <v>4672</v>
      </c>
      <c r="D1483" s="3" t="s">
        <v>9</v>
      </c>
      <c r="E1483" s="3" t="s">
        <v>4673</v>
      </c>
      <c r="F1483" s="3" t="str">
        <f>"812-849-4100"</f>
        <v>812-849-4100</v>
      </c>
      <c r="G1483" s="3">
        <v>2371</v>
      </c>
      <c r="H1483" s="3" t="s">
        <v>4674</v>
      </c>
    </row>
    <row r="1484" spans="1:8" ht="51.75" x14ac:dyDescent="0.25">
      <c r="A1484" s="3" t="s">
        <v>4675</v>
      </c>
      <c r="B1484" s="3"/>
      <c r="C1484" s="3" t="str">
        <f>"Established 1980, specializing in small bridges, miscellaneous concrete, drainage structures, pile driving, and precast concrete structures."</f>
        <v>Established 1980, specializing in small bridges, miscellaneous concrete, drainage structures, pile driving, and precast concrete structures.</v>
      </c>
      <c r="D1484" s="3" t="s">
        <v>9</v>
      </c>
      <c r="E1484" s="3" t="s">
        <v>46</v>
      </c>
      <c r="F1484" s="3" t="str">
        <f>"812-423-4352"</f>
        <v>812-423-4352</v>
      </c>
      <c r="G1484" s="3">
        <v>238910</v>
      </c>
      <c r="H1484" s="3" t="s">
        <v>886</v>
      </c>
    </row>
    <row r="1485" spans="1:8" ht="39" x14ac:dyDescent="0.25">
      <c r="A1485" s="3" t="s">
        <v>4676</v>
      </c>
      <c r="B1485" s="3"/>
      <c r="C1485" s="3" t="str">
        <f>"Columbus Indiana family owned and operated roofing, guttering, low slope, and sheet metal roofing company."</f>
        <v>Columbus Indiana family owned and operated roofing, guttering, low slope, and sheet metal roofing company.</v>
      </c>
      <c r="D1485" s="3" t="s">
        <v>4677</v>
      </c>
      <c r="E1485" s="3" t="s">
        <v>4678</v>
      </c>
      <c r="F1485" s="3" t="str">
        <f>"8123759726"</f>
        <v>8123759726</v>
      </c>
      <c r="G1485" s="3">
        <v>23816</v>
      </c>
      <c r="H1485" s="3" t="s">
        <v>144</v>
      </c>
    </row>
    <row r="1486" spans="1:8" ht="90" x14ac:dyDescent="0.25">
      <c r="A1486" s="3" t="s">
        <v>4679</v>
      </c>
      <c r="B1486" s="3"/>
      <c r="C1486" s="3" t="str">
        <f>"CCI, LLC is a Commercial Floorcovering Company. CCI, LLC bids floorcovering packages for commercial projects. Bids include labor and materials for all floorcovering needs. CCI, LLC also provides floorcovering materials to contractors and the public."</f>
        <v>CCI, LLC is a Commercial Floorcovering Company. CCI, LLC bids floorcovering packages for commercial projects. Bids include labor and materials for all floorcovering needs. CCI, LLC also provides floorcovering materials to contractors and the public.</v>
      </c>
      <c r="D1486" s="3" t="s">
        <v>9</v>
      </c>
      <c r="E1486" s="3" t="s">
        <v>4680</v>
      </c>
      <c r="F1486" s="3" t="str">
        <f>"317-299-0541"</f>
        <v>317-299-0541</v>
      </c>
      <c r="G1486" s="3">
        <v>442210</v>
      </c>
      <c r="H1486" s="3" t="s">
        <v>2301</v>
      </c>
    </row>
    <row r="1487" spans="1:8" ht="51.75" x14ac:dyDescent="0.25">
      <c r="A1487" s="3" t="s">
        <v>4681</v>
      </c>
      <c r="B1487" s="3"/>
      <c r="C1487" s="3" t="str">
        <f>"Minority-owned commercial and residential cleaning business. Looking to bid on contracts to clean foreclosed and newly constructed buildings as well."</f>
        <v>Minority-owned commercial and residential cleaning business. Looking to bid on contracts to clean foreclosed and newly constructed buildings as well.</v>
      </c>
      <c r="D1487" s="3" t="s">
        <v>9</v>
      </c>
      <c r="E1487" s="3" t="s">
        <v>4682</v>
      </c>
      <c r="F1487" s="3" t="str">
        <f>"3178377455"</f>
        <v>3178377455</v>
      </c>
      <c r="G1487" s="3">
        <v>233</v>
      </c>
      <c r="H1487" s="3" t="s">
        <v>131</v>
      </c>
    </row>
    <row r="1488" spans="1:8" ht="217.5" x14ac:dyDescent="0.25">
      <c r="A1488" s="3" t="s">
        <v>4683</v>
      </c>
      <c r="B1488" s="3"/>
      <c r="C1488" s="3" t="s">
        <v>4684</v>
      </c>
      <c r="D1488" s="3" t="s">
        <v>4685</v>
      </c>
      <c r="E1488" s="3" t="s">
        <v>4686</v>
      </c>
      <c r="F1488" s="3" t="str">
        <f>"812-232-3327"</f>
        <v>812-232-3327</v>
      </c>
      <c r="G1488" s="3">
        <v>236220</v>
      </c>
      <c r="H1488" s="3" t="s">
        <v>598</v>
      </c>
    </row>
    <row r="1489" spans="1:8" ht="102.75" x14ac:dyDescent="0.25">
      <c r="A1489" s="3" t="s">
        <v>4687</v>
      </c>
      <c r="B1489" s="3"/>
      <c r="C1489" s="3" t="s">
        <v>4688</v>
      </c>
      <c r="D1489" s="3" t="s">
        <v>4689</v>
      </c>
      <c r="E1489" s="3" t="s">
        <v>4690</v>
      </c>
      <c r="F1489" s="3" t="str">
        <f>"317-578-2356"</f>
        <v>317-578-2356</v>
      </c>
      <c r="G1489" s="3">
        <v>541350</v>
      </c>
      <c r="H1489" s="3" t="s">
        <v>1784</v>
      </c>
    </row>
    <row r="1490" spans="1:8" ht="26.25" x14ac:dyDescent="0.25">
      <c r="A1490" s="3" t="s">
        <v>4691</v>
      </c>
      <c r="B1490" s="3"/>
      <c r="C1490" s="3" t="str">
        <f>"Commercial Driver License (CDL) Testing and Training - individual or customized."</f>
        <v>Commercial Driver License (CDL) Testing and Training - individual or customized.</v>
      </c>
      <c r="D1490" s="3" t="s">
        <v>4692</v>
      </c>
      <c r="E1490" s="3" t="s">
        <v>4693</v>
      </c>
      <c r="F1490" s="3" t="str">
        <f>"317-783-7483"</f>
        <v>317-783-7483</v>
      </c>
      <c r="G1490" s="3">
        <v>611710</v>
      </c>
      <c r="H1490" s="3" t="s">
        <v>508</v>
      </c>
    </row>
    <row r="1491" spans="1:8" ht="64.5" x14ac:dyDescent="0.25">
      <c r="A1491" s="3" t="s">
        <v>4694</v>
      </c>
      <c r="B1491" s="3"/>
      <c r="C1491" s="3" t="str">
        <f>"Construction and Demolition Management: Interior / Selective Demolition, Complete Wrecking, Concrete &amp; Asphalt Removal, Site Preparation, General Construction, Remodeling, Project Management Services."</f>
        <v>Construction and Demolition Management: Interior / Selective Demolition, Complete Wrecking, Concrete &amp; Asphalt Removal, Site Preparation, General Construction, Remodeling, Project Management Services.</v>
      </c>
      <c r="D1491" s="3" t="s">
        <v>9</v>
      </c>
      <c r="E1491" s="3" t="s">
        <v>4695</v>
      </c>
      <c r="F1491" s="3" t="str">
        <f>"(317) 306-6806"</f>
        <v>(317) 306-6806</v>
      </c>
      <c r="G1491" s="3">
        <v>238910</v>
      </c>
      <c r="H1491" s="3" t="s">
        <v>886</v>
      </c>
    </row>
    <row r="1492" spans="1:8" ht="166.5" x14ac:dyDescent="0.25">
      <c r="A1492" s="3" t="s">
        <v>4696</v>
      </c>
      <c r="B1492" s="3"/>
      <c r="C1492" s="3" t="s">
        <v>4697</v>
      </c>
      <c r="D1492" s="3" t="s">
        <v>9</v>
      </c>
      <c r="E1492" s="3" t="s">
        <v>4698</v>
      </c>
      <c r="F1492" s="3" t="str">
        <f>"317-847-0034"</f>
        <v>317-847-0034</v>
      </c>
      <c r="G1492" s="3">
        <v>23599</v>
      </c>
      <c r="H1492" s="3" t="s">
        <v>248</v>
      </c>
    </row>
    <row r="1493" spans="1:8" ht="26.25" x14ac:dyDescent="0.25">
      <c r="A1493" s="3" t="s">
        <v>4699</v>
      </c>
      <c r="B1493" s="3"/>
      <c r="C1493" s="3" t="str">
        <f>"CE Hughes Milling, Inc. provide asphalt and concrete milling services."</f>
        <v>CE Hughes Milling, Inc. provide asphalt and concrete milling services.</v>
      </c>
      <c r="D1493" s="3" t="s">
        <v>4700</v>
      </c>
      <c r="E1493" s="3" t="s">
        <v>4701</v>
      </c>
      <c r="F1493" s="3" t="str">
        <f>"812-725-8665"</f>
        <v>812-725-8665</v>
      </c>
      <c r="G1493" s="3">
        <v>237310</v>
      </c>
      <c r="H1493" s="3" t="s">
        <v>768</v>
      </c>
    </row>
    <row r="1494" spans="1:8" ht="141" x14ac:dyDescent="0.25">
      <c r="A1494" s="3" t="s">
        <v>4702</v>
      </c>
      <c r="B1494" s="3"/>
      <c r="C1494" s="3" t="s">
        <v>4703</v>
      </c>
      <c r="D1494" s="3" t="s">
        <v>9</v>
      </c>
      <c r="E1494" s="3" t="s">
        <v>4704</v>
      </c>
      <c r="F1494" s="3" t="str">
        <f>"317-924-2518"</f>
        <v>317-924-2518</v>
      </c>
      <c r="G1494" s="3">
        <v>48</v>
      </c>
      <c r="H1494" s="3" t="s">
        <v>104</v>
      </c>
    </row>
    <row r="1495" spans="1:8" ht="77.25" x14ac:dyDescent="0.25">
      <c r="A1495" s="3" t="s">
        <v>4705</v>
      </c>
      <c r="B1495" s="3"/>
      <c r="C1495" s="3" t="str">
        <f>"CEDISUS provides logistic information services to support community needs throughout the United States. It makes business techniques accessible to millions of business users while enhancing or refining existing solutions."</f>
        <v>CEDISUS provides logistic information services to support community needs throughout the United States. It makes business techniques accessible to millions of business users while enhancing or refining existing solutions.</v>
      </c>
      <c r="D1495" s="3" t="s">
        <v>4706</v>
      </c>
      <c r="E1495" s="3" t="s">
        <v>4707</v>
      </c>
      <c r="F1495" s="3" t="str">
        <f>"812-455-7185"</f>
        <v>812-455-7185</v>
      </c>
      <c r="G1495" s="3">
        <v>541614</v>
      </c>
      <c r="H1495" s="3" t="s">
        <v>107</v>
      </c>
    </row>
    <row r="1496" spans="1:8" ht="217.5" x14ac:dyDescent="0.25">
      <c r="A1496" s="3" t="s">
        <v>4708</v>
      </c>
      <c r="B1496" s="3"/>
      <c r="C1496" s="3" t="s">
        <v>4709</v>
      </c>
      <c r="D1496" s="3" t="s">
        <v>4710</v>
      </c>
      <c r="E1496" s="3" t="s">
        <v>4711</v>
      </c>
      <c r="F1496" s="3" t="str">
        <f>"219-861-0955"</f>
        <v>219-861-0955</v>
      </c>
      <c r="G1496" s="3">
        <v>611430</v>
      </c>
      <c r="H1496" s="3" t="s">
        <v>1224</v>
      </c>
    </row>
    <row r="1497" spans="1:8" ht="26.25" x14ac:dyDescent="0.25">
      <c r="A1497" s="3" t="s">
        <v>4712</v>
      </c>
      <c r="B1497" s="3"/>
      <c r="C1497" s="3" t="str">
        <f>"FIRE EXTINGUISHER SERVICE AND REPAIR SIGN"</f>
        <v>FIRE EXTINGUISHER SERVICE AND REPAIR SIGN</v>
      </c>
      <c r="D1497" s="3" t="s">
        <v>9</v>
      </c>
      <c r="E1497" s="3" t="s">
        <v>4713</v>
      </c>
      <c r="F1497" s="3" t="str">
        <f>"765-453-7908"</f>
        <v>765-453-7908</v>
      </c>
      <c r="G1497" s="3">
        <v>423990</v>
      </c>
      <c r="H1497" s="3" t="s">
        <v>983</v>
      </c>
    </row>
    <row r="1498" spans="1:8" ht="64.5" x14ac:dyDescent="0.25">
      <c r="A1498" s="3" t="s">
        <v>4714</v>
      </c>
      <c r="B1498" s="3"/>
      <c r="C1498" s="3" t="str">
        <f>"Dealer for new Mack - Volvo - Hino trucks Supply parts and service to all makes Body shop - Alignment and frame straightening Towing and recovery with seven units based in Indy Used trucks Leasing"</f>
        <v>Dealer for new Mack - Volvo - Hino trucks Supply parts and service to all makes Body shop - Alignment and frame straightening Towing and recovery with seven units based in Indy Used trucks Leasing</v>
      </c>
      <c r="D1498" s="3" t="s">
        <v>4715</v>
      </c>
      <c r="E1498" s="3" t="s">
        <v>4716</v>
      </c>
      <c r="F1498" s="3" t="str">
        <f>"317-787-0200"</f>
        <v>317-787-0200</v>
      </c>
      <c r="G1498" s="3">
        <v>4231</v>
      </c>
      <c r="H1498" s="3" t="s">
        <v>4717</v>
      </c>
    </row>
    <row r="1499" spans="1:8" ht="26.25" x14ac:dyDescent="0.25">
      <c r="A1499" s="3" t="s">
        <v>4718</v>
      </c>
      <c r="B1499" s="3"/>
      <c r="C1499" s="2"/>
      <c r="D1499" s="3" t="s">
        <v>9</v>
      </c>
      <c r="E1499" s="3" t="s">
        <v>46</v>
      </c>
      <c r="F1499" s="3" t="str">
        <f>"317-898-2411"</f>
        <v>317-898-2411</v>
      </c>
      <c r="G1499" s="3">
        <v>423720</v>
      </c>
      <c r="H1499" s="3" t="s">
        <v>2695</v>
      </c>
    </row>
    <row r="1500" spans="1:8" ht="26.25" x14ac:dyDescent="0.25">
      <c r="A1500" s="3" t="s">
        <v>4719</v>
      </c>
      <c r="B1500" s="3"/>
      <c r="C1500" s="3" t="str">
        <f>"Commercial and Industrial Construction and Manufacturing."</f>
        <v>Commercial and Industrial Construction and Manufacturing.</v>
      </c>
      <c r="D1500" s="3" t="s">
        <v>4720</v>
      </c>
      <c r="E1500" s="3" t="s">
        <v>4721</v>
      </c>
      <c r="F1500" s="3" t="str">
        <f>"260-357-6665"</f>
        <v>260-357-6665</v>
      </c>
      <c r="G1500" s="3">
        <v>238160</v>
      </c>
      <c r="H1500" s="3" t="s">
        <v>144</v>
      </c>
    </row>
    <row r="1501" spans="1:8" ht="64.5" x14ac:dyDescent="0.25">
      <c r="A1501" s="3" t="s">
        <v>4722</v>
      </c>
      <c r="B1501" s="3"/>
      <c r="C1501" s="3" t="str">
        <f>"CEP Sales, Inc. is a manufacturer's representative firm specializing in selling all types of Metal Castings and Labels and Nameplates. We are based in Indiana and represent Metal Manufacturer's of all types."</f>
        <v>CEP Sales, Inc. is a manufacturer's representative firm specializing in selling all types of Metal Castings and Labels and Nameplates. We are based in Indiana and represent Metal Manufacturer's of all types.</v>
      </c>
      <c r="D1501" s="3" t="s">
        <v>9</v>
      </c>
      <c r="E1501" s="3" t="s">
        <v>46</v>
      </c>
      <c r="F1501" s="2"/>
      <c r="G1501" s="3">
        <v>3315</v>
      </c>
      <c r="H1501" s="3" t="s">
        <v>4723</v>
      </c>
    </row>
    <row r="1502" spans="1:8" ht="51.75" x14ac:dyDescent="0.25">
      <c r="A1502" s="3" t="s">
        <v>4724</v>
      </c>
      <c r="B1502" s="3"/>
      <c r="C1502" s="3" t="str">
        <f>"WE REBUILD AUTOMATIC AND STANDARD TRANSMISSIONS, SERVICE AND REPAIR CLUTCHES, TRANSFER CASES ETC ON TRANSMISSIONS"</f>
        <v>WE REBUILD AUTOMATIC AND STANDARD TRANSMISSIONS, SERVICE AND REPAIR CLUTCHES, TRANSFER CASES ETC ON TRANSMISSIONS</v>
      </c>
      <c r="D1502" s="3" t="s">
        <v>4725</v>
      </c>
      <c r="E1502" s="3" t="s">
        <v>4726</v>
      </c>
      <c r="F1502" s="3" t="str">
        <f>"574-256-5528"</f>
        <v>574-256-5528</v>
      </c>
      <c r="G1502" s="3">
        <v>811113</v>
      </c>
      <c r="H1502" s="3" t="s">
        <v>4727</v>
      </c>
    </row>
    <row r="1503" spans="1:8" ht="64.5" x14ac:dyDescent="0.25">
      <c r="A1503" s="3" t="s">
        <v>4728</v>
      </c>
      <c r="B1503" s="3"/>
      <c r="C1503" s="3" t="str">
        <f>"CET Incorporated provides civil, structural, mechanical, and electrical engineering and design services. CET Incorporated also provides construction management services."</f>
        <v>CET Incorporated provides civil, structural, mechanical, and electrical engineering and design services. CET Incorporated also provides construction management services.</v>
      </c>
      <c r="D1503" s="3" t="s">
        <v>4729</v>
      </c>
      <c r="E1503" s="3" t="s">
        <v>46</v>
      </c>
      <c r="F1503" s="3" t="str">
        <f>"219-762-1431"</f>
        <v>219-762-1431</v>
      </c>
      <c r="G1503" s="3">
        <v>541330</v>
      </c>
      <c r="H1503" s="3" t="s">
        <v>82</v>
      </c>
    </row>
    <row r="1504" spans="1:8" ht="77.25" x14ac:dyDescent="0.25">
      <c r="A1504" s="3" t="s">
        <v>4730</v>
      </c>
      <c r="B1504" s="3"/>
      <c r="C1504" s="3" t="str">
        <f>"CFA STAFFING IS A FULL SERVICE STAFFING COMPANY THAT PROVIDES EMPLOYEES TO CUSTOMERS FOR TEMPORARY, PROJECT BASED AND TEMP- TO -HIRE POSITIONS IN LIGHT INDUSTRIAL, CLERICAL, CALL CENTER AND TECHNICAL FIELD.."</f>
        <v>CFA STAFFING IS A FULL SERVICE STAFFING COMPANY THAT PROVIDES EMPLOYEES TO CUSTOMERS FOR TEMPORARY, PROJECT BASED AND TEMP- TO -HIRE POSITIONS IN LIGHT INDUSTRIAL, CLERICAL, CALL CENTER AND TECHNICAL FIELD..</v>
      </c>
      <c r="D1504" s="3" t="s">
        <v>9</v>
      </c>
      <c r="E1504" s="3" t="s">
        <v>46</v>
      </c>
      <c r="F1504" s="2"/>
      <c r="G1504" s="3">
        <v>561320</v>
      </c>
      <c r="H1504" s="3" t="s">
        <v>15</v>
      </c>
    </row>
    <row r="1505" spans="1:8" ht="26.25" x14ac:dyDescent="0.25">
      <c r="A1505" s="3" t="s">
        <v>4731</v>
      </c>
      <c r="B1505" s="3"/>
      <c r="C1505" s="3" t="str">
        <f>"Provide IT Consulting, Staffing, and HR related services"</f>
        <v>Provide IT Consulting, Staffing, and HR related services</v>
      </c>
      <c r="D1505" s="3" t="s">
        <v>4732</v>
      </c>
      <c r="E1505" s="3" t="s">
        <v>4733</v>
      </c>
      <c r="F1505" s="3" t="str">
        <f>"9723330041"</f>
        <v>9723330041</v>
      </c>
      <c r="G1505" s="3">
        <v>541511</v>
      </c>
      <c r="H1505" s="3" t="s">
        <v>122</v>
      </c>
    </row>
    <row r="1506" spans="1:8" ht="141" x14ac:dyDescent="0.25">
      <c r="A1506" s="3" t="s">
        <v>4734</v>
      </c>
      <c r="B1506" s="3"/>
      <c r="C1506" s="3" t="s">
        <v>4735</v>
      </c>
      <c r="D1506" s="3" t="s">
        <v>4736</v>
      </c>
      <c r="E1506" s="3" t="s">
        <v>4737</v>
      </c>
      <c r="F1506" s="3" t="str">
        <f>"317-706-2600"</f>
        <v>317-706-2600</v>
      </c>
      <c r="G1506" s="3">
        <v>56132</v>
      </c>
      <c r="H1506" s="3" t="s">
        <v>15</v>
      </c>
    </row>
    <row r="1507" spans="1:8" ht="115.5" x14ac:dyDescent="0.25">
      <c r="A1507" s="3" t="s">
        <v>4738</v>
      </c>
      <c r="B1507" s="3"/>
      <c r="C1507" s="3" t="s">
        <v>4739</v>
      </c>
      <c r="D1507" s="3" t="s">
        <v>4740</v>
      </c>
      <c r="E1507" s="3" t="s">
        <v>4741</v>
      </c>
      <c r="F1507" s="3" t="str">
        <f>"317-545-6557"</f>
        <v>317-545-6557</v>
      </c>
      <c r="G1507" s="3">
        <v>327390</v>
      </c>
      <c r="H1507" s="3" t="s">
        <v>2761</v>
      </c>
    </row>
    <row r="1508" spans="1:8" ht="64.5" x14ac:dyDescent="0.25">
      <c r="A1508" s="3" t="s">
        <v>4742</v>
      </c>
      <c r="B1508" s="3"/>
      <c r="C1508" s="3" t="str">
        <f>"state approved sanitary landfill, trucking, gravel pit (aggregates), asphalt plant. portable restrooms, curbside trash and recycle services, commercial and industrial waste removal"</f>
        <v>state approved sanitary landfill, trucking, gravel pit (aggregates), asphalt plant. portable restrooms, curbside trash and recycle services, commercial and industrial waste removal</v>
      </c>
      <c r="D1508" s="3" t="s">
        <v>4743</v>
      </c>
      <c r="E1508" s="3" t="s">
        <v>4744</v>
      </c>
      <c r="F1508" s="3" t="str">
        <f>"800-453-5575"</f>
        <v>800-453-5575</v>
      </c>
      <c r="G1508" s="3">
        <v>5621</v>
      </c>
      <c r="H1508" s="3" t="s">
        <v>501</v>
      </c>
    </row>
    <row r="1509" spans="1:8" ht="102.75" x14ac:dyDescent="0.25">
      <c r="A1509" s="3" t="s">
        <v>4745</v>
      </c>
      <c r="B1509" s="3"/>
      <c r="C1509" s="3" t="s">
        <v>4746</v>
      </c>
      <c r="D1509" s="3" t="s">
        <v>9</v>
      </c>
      <c r="E1509" s="3" t="s">
        <v>46</v>
      </c>
      <c r="F1509" s="2"/>
      <c r="G1509" s="3">
        <v>23511</v>
      </c>
      <c r="H1509" s="3" t="s">
        <v>892</v>
      </c>
    </row>
    <row r="1510" spans="1:8" ht="26.25" x14ac:dyDescent="0.25">
      <c r="A1510" s="3" t="s">
        <v>4747</v>
      </c>
      <c r="B1510" s="3"/>
      <c r="C1510" s="3" t="str">
        <f>"NAPA AUTO PARTS STORE WITH COMPLETE MACHINE SHOP SERVICE"</f>
        <v>NAPA AUTO PARTS STORE WITH COMPLETE MACHINE SHOP SERVICE</v>
      </c>
      <c r="D1510" s="3" t="s">
        <v>9</v>
      </c>
      <c r="E1510" s="3" t="s">
        <v>4748</v>
      </c>
      <c r="F1510" s="3" t="str">
        <f>"574-896-2100"</f>
        <v>574-896-2100</v>
      </c>
      <c r="G1510" s="3">
        <v>441310</v>
      </c>
      <c r="H1510" s="3" t="s">
        <v>1699</v>
      </c>
    </row>
    <row r="1511" spans="1:8" ht="64.5" x14ac:dyDescent="0.25">
      <c r="A1511" s="3" t="s">
        <v>4749</v>
      </c>
      <c r="B1511" s="3"/>
      <c r="C1511" s="3" t="str">
        <f>"Chascar is a minority and veteran owned Indiana small business that specializes in datacenter solutions integration, managed services and technology hardware and software sales."</f>
        <v>Chascar is a minority and veteran owned Indiana small business that specializes in datacenter solutions integration, managed services and technology hardware and software sales.</v>
      </c>
      <c r="D1511" s="3" t="s">
        <v>4750</v>
      </c>
      <c r="E1511" s="3" t="s">
        <v>4751</v>
      </c>
      <c r="F1511" s="3" t="str">
        <f>"3177218638"</f>
        <v>3177218638</v>
      </c>
      <c r="G1511" s="3">
        <v>541611</v>
      </c>
      <c r="H1511" s="3" t="s">
        <v>278</v>
      </c>
    </row>
    <row r="1512" spans="1:8" ht="26.25" x14ac:dyDescent="0.25">
      <c r="A1512" s="3" t="s">
        <v>4752</v>
      </c>
      <c r="B1512" s="3"/>
      <c r="C1512" s="3" t="str">
        <f>" "</f>
        <v xml:space="preserve"> </v>
      </c>
      <c r="D1512" s="3" t="s">
        <v>9</v>
      </c>
      <c r="E1512" s="3" t="s">
        <v>4753</v>
      </c>
      <c r="F1512" s="3" t="str">
        <f>"(812) 350-6252"</f>
        <v>(812) 350-6252</v>
      </c>
      <c r="G1512" s="3">
        <v>237310</v>
      </c>
      <c r="H1512" s="3" t="s">
        <v>768</v>
      </c>
    </row>
    <row r="1513" spans="1:8" ht="26.25" x14ac:dyDescent="0.25">
      <c r="A1513" s="3" t="s">
        <v>4754</v>
      </c>
      <c r="B1513" s="3"/>
      <c r="C1513" s="3" t="str">
        <f>"TEST REPAIR AND RECERTIFICATION OF BACK FLOW PREVENTION DEVICES"</f>
        <v>TEST REPAIR AND RECERTIFICATION OF BACK FLOW PREVENTION DEVICES</v>
      </c>
      <c r="D1513" s="3" t="s">
        <v>9</v>
      </c>
      <c r="E1513" s="3" t="s">
        <v>46</v>
      </c>
      <c r="F1513" s="3" t="str">
        <f>"765-296-2538"</f>
        <v>765-296-2538</v>
      </c>
      <c r="G1513" s="3">
        <v>332913</v>
      </c>
      <c r="H1513" s="3" t="s">
        <v>4755</v>
      </c>
    </row>
    <row r="1514" spans="1:8" ht="128.25" x14ac:dyDescent="0.25">
      <c r="A1514" s="3" t="s">
        <v>4756</v>
      </c>
      <c r="B1514" s="3"/>
      <c r="C1514" s="3" t="s">
        <v>4757</v>
      </c>
      <c r="D1514" s="3" t="s">
        <v>4758</v>
      </c>
      <c r="E1514" s="3" t="s">
        <v>4759</v>
      </c>
      <c r="F1514" s="3" t="str">
        <f>"765-569-2076"</f>
        <v>765-569-2076</v>
      </c>
      <c r="G1514" s="3">
        <v>624310</v>
      </c>
      <c r="H1514" s="3" t="s">
        <v>488</v>
      </c>
    </row>
    <row r="1515" spans="1:8" ht="26.25" x14ac:dyDescent="0.25">
      <c r="A1515" s="3" t="s">
        <v>4760</v>
      </c>
      <c r="B1515" s="3"/>
      <c r="C1515" s="3" t="str">
        <f>"Private child support collection services for parents who are unable to collect."</f>
        <v>Private child support collection services for parents who are unable to collect.</v>
      </c>
      <c r="D1515" s="3" t="s">
        <v>4761</v>
      </c>
      <c r="E1515" s="3" t="s">
        <v>4762</v>
      </c>
      <c r="F1515" s="3" t="str">
        <f>"574-296-1543"</f>
        <v>574-296-1543</v>
      </c>
      <c r="G1515" s="3">
        <v>561440</v>
      </c>
      <c r="H1515" s="3" t="s">
        <v>473</v>
      </c>
    </row>
    <row r="1516" spans="1:8" ht="64.5" x14ac:dyDescent="0.25">
      <c r="A1516" s="3" t="s">
        <v>4763</v>
      </c>
      <c r="B1516" s="3"/>
      <c r="C1516" s="3" t="str">
        <f>"Screenprinting, embroidery, digital printing on apparel. Build and service custom online stores primarily for raising funds for not-for-profit organizations. Do also build sites for for-profit individuals and businesses."</f>
        <v>Screenprinting, embroidery, digital printing on apparel. Build and service custom online stores primarily for raising funds for not-for-profit organizations. Do also build sites for for-profit individuals and businesses.</v>
      </c>
      <c r="D1516" s="3" t="s">
        <v>4764</v>
      </c>
      <c r="E1516" s="3" t="s">
        <v>4765</v>
      </c>
      <c r="F1516" s="3" t="str">
        <f>"812.753.4545"</f>
        <v>812.753.4545</v>
      </c>
      <c r="G1516" s="3">
        <v>313312</v>
      </c>
      <c r="H1516" s="3" t="s">
        <v>4766</v>
      </c>
    </row>
    <row r="1517" spans="1:8" ht="26.25" x14ac:dyDescent="0.25">
      <c r="A1517" s="3" t="s">
        <v>4767</v>
      </c>
      <c r="B1517" s="3"/>
      <c r="C1517" s="3" t="str">
        <f>"Commercial/Industrial HVAC, Refrigeration, Controls"</f>
        <v>Commercial/Industrial HVAC, Refrigeration, Controls</v>
      </c>
      <c r="D1517" s="3" t="s">
        <v>9</v>
      </c>
      <c r="E1517" s="3" t="s">
        <v>46</v>
      </c>
      <c r="F1517" s="2"/>
      <c r="G1517" s="3">
        <v>2351</v>
      </c>
      <c r="H1517" s="3" t="s">
        <v>892</v>
      </c>
    </row>
    <row r="1518" spans="1:8" ht="294" x14ac:dyDescent="0.25">
      <c r="A1518" s="3" t="s">
        <v>4768</v>
      </c>
      <c r="B1518" s="3"/>
      <c r="C1518" s="3" t="s">
        <v>4769</v>
      </c>
      <c r="D1518" s="3" t="s">
        <v>4770</v>
      </c>
      <c r="E1518" s="3" t="s">
        <v>4771</v>
      </c>
      <c r="F1518" s="3" t="str">
        <f>"574 287 2827"</f>
        <v>574 287 2827</v>
      </c>
      <c r="G1518" s="3">
        <v>233</v>
      </c>
      <c r="H1518" s="3" t="s">
        <v>131</v>
      </c>
    </row>
    <row r="1519" spans="1:8" ht="26.25" x14ac:dyDescent="0.25">
      <c r="A1519" s="3" t="s">
        <v>4772</v>
      </c>
      <c r="B1519" s="3"/>
      <c r="C1519" s="3" t="str">
        <f>"TRASH AND RECYCLING EQUIPMENT, SELL, INSTALL, AND SERVICE."</f>
        <v>TRASH AND RECYCLING EQUIPMENT, SELL, INSTALL, AND SERVICE.</v>
      </c>
      <c r="D1519" s="3" t="s">
        <v>9</v>
      </c>
      <c r="E1519" s="3" t="s">
        <v>4773</v>
      </c>
      <c r="F1519" s="3" t="str">
        <f>"317/852/1282"</f>
        <v>317/852/1282</v>
      </c>
      <c r="G1519" s="3">
        <v>333319</v>
      </c>
      <c r="H1519" s="3" t="s">
        <v>3288</v>
      </c>
    </row>
    <row r="1520" spans="1:8" ht="39" x14ac:dyDescent="0.25">
      <c r="A1520" s="3" t="s">
        <v>4774</v>
      </c>
      <c r="B1520" s="3"/>
      <c r="C1520" s="3" t="str">
        <f>"30 years in the rotating electrical field of rebuilding, selling new, &amp; remanufacturing of 12/24/36/48 volt DC products."</f>
        <v>30 years in the rotating electrical field of rebuilding, selling new, &amp; remanufacturing of 12/24/36/48 volt DC products.</v>
      </c>
      <c r="D1520" s="3" t="s">
        <v>9</v>
      </c>
      <c r="E1520" s="3" t="s">
        <v>4775</v>
      </c>
      <c r="F1520" s="3" t="str">
        <f>"260-693-2439"</f>
        <v>260-693-2439</v>
      </c>
      <c r="G1520" s="3">
        <v>811111</v>
      </c>
      <c r="H1520" s="3" t="s">
        <v>2383</v>
      </c>
    </row>
    <row r="1521" spans="1:8" ht="128.25" x14ac:dyDescent="0.25">
      <c r="A1521" s="3" t="s">
        <v>4776</v>
      </c>
      <c r="B1521" s="3"/>
      <c r="C1521" s="3" t="s">
        <v>4777</v>
      </c>
      <c r="D1521" s="3" t="s">
        <v>4778</v>
      </c>
      <c r="E1521" s="3" t="s">
        <v>4779</v>
      </c>
      <c r="F1521" s="3" t="str">
        <f>"317-686-0788"</f>
        <v>317-686-0788</v>
      </c>
      <c r="G1521" s="3">
        <v>541519</v>
      </c>
      <c r="H1521" s="3" t="s">
        <v>898</v>
      </c>
    </row>
    <row r="1522" spans="1:8" ht="294" x14ac:dyDescent="0.25">
      <c r="A1522" s="3" t="s">
        <v>4780</v>
      </c>
      <c r="B1522" s="3"/>
      <c r="C1522" s="3" t="s">
        <v>4781</v>
      </c>
      <c r="D1522" s="3" t="s">
        <v>4778</v>
      </c>
      <c r="E1522" s="3" t="s">
        <v>4782</v>
      </c>
      <c r="F1522" s="3" t="str">
        <f>"317-610-8600"</f>
        <v>317-610-8600</v>
      </c>
      <c r="G1522" s="3">
        <v>541512</v>
      </c>
      <c r="H1522" s="3" t="s">
        <v>19</v>
      </c>
    </row>
    <row r="1523" spans="1:8" ht="51.75" x14ac:dyDescent="0.25">
      <c r="A1523" s="3" t="s">
        <v>4783</v>
      </c>
      <c r="B1523" s="3"/>
      <c r="C1523" s="3" t="str">
        <f>"We are a distributor of janitorial and packaging supplies. We also have an interest in contract packaging opportunities."</f>
        <v>We are a distributor of janitorial and packaging supplies. We also have an interest in contract packaging opportunities.</v>
      </c>
      <c r="D1523" s="3" t="s">
        <v>4784</v>
      </c>
      <c r="E1523" s="3" t="s">
        <v>4785</v>
      </c>
      <c r="F1523" s="3" t="str">
        <f>"317-578-0506"</f>
        <v>317-578-0506</v>
      </c>
      <c r="G1523" s="3">
        <v>424130</v>
      </c>
      <c r="H1523" s="3" t="s">
        <v>602</v>
      </c>
    </row>
    <row r="1524" spans="1:8" ht="115.5" x14ac:dyDescent="0.25">
      <c r="A1524" s="3" t="s">
        <v>4786</v>
      </c>
      <c r="B1524" s="3"/>
      <c r="C1524" s="3" t="s">
        <v>4787</v>
      </c>
      <c r="D1524" s="3" t="s">
        <v>4788</v>
      </c>
      <c r="E1524" s="3" t="s">
        <v>4789</v>
      </c>
      <c r="F1524" s="3" t="str">
        <f>"317-254-5465"</f>
        <v>317-254-5465</v>
      </c>
      <c r="G1524" s="3">
        <v>62412</v>
      </c>
      <c r="H1524" s="3" t="s">
        <v>22</v>
      </c>
    </row>
    <row r="1525" spans="1:8" ht="217.5" x14ac:dyDescent="0.25">
      <c r="A1525" s="3" t="s">
        <v>4790</v>
      </c>
      <c r="B1525" s="3"/>
      <c r="C1525" s="3" t="s">
        <v>4791</v>
      </c>
      <c r="D1525" s="3" t="s">
        <v>4792</v>
      </c>
      <c r="E1525" s="3" t="s">
        <v>4793</v>
      </c>
      <c r="F1525" s="3" t="str">
        <f>"812 372 3693"</f>
        <v>812 372 3693</v>
      </c>
      <c r="G1525" s="3">
        <v>42169</v>
      </c>
      <c r="H1525" s="3" t="s">
        <v>4794</v>
      </c>
    </row>
    <row r="1526" spans="1:8" ht="102.75" x14ac:dyDescent="0.25">
      <c r="A1526" s="3" t="s">
        <v>4795</v>
      </c>
      <c r="B1526" s="3"/>
      <c r="C1526" s="3" t="s">
        <v>4796</v>
      </c>
      <c r="D1526" s="3" t="s">
        <v>4797</v>
      </c>
      <c r="E1526" s="3" t="s">
        <v>4798</v>
      </c>
      <c r="F1526" s="3" t="str">
        <f>"3173744068"</f>
        <v>3173744068</v>
      </c>
      <c r="G1526" s="3">
        <v>541990</v>
      </c>
      <c r="H1526" s="3" t="s">
        <v>378</v>
      </c>
    </row>
    <row r="1527" spans="1:8" ht="179.25" x14ac:dyDescent="0.25">
      <c r="A1527" s="3" t="s">
        <v>4799</v>
      </c>
      <c r="B1527" s="3"/>
      <c r="C1527" s="3" t="s">
        <v>4800</v>
      </c>
      <c r="D1527" s="3" t="s">
        <v>4801</v>
      </c>
      <c r="E1527" s="3" t="s">
        <v>4802</v>
      </c>
      <c r="F1527" s="3" t="str">
        <f>"219-787-5566"</f>
        <v>219-787-5566</v>
      </c>
      <c r="G1527" s="3">
        <v>23511</v>
      </c>
      <c r="H1527" s="3" t="s">
        <v>892</v>
      </c>
    </row>
    <row r="1528" spans="1:8" ht="39" x14ac:dyDescent="0.25">
      <c r="A1528" s="3" t="s">
        <v>4803</v>
      </c>
      <c r="B1528" s="3"/>
      <c r="C1528" s="3" t="str">
        <f>"WE PROVIDE AC DELCO AND MOTOORCRAFT ORIGINAL EQUIPMENT PARTS FOR AUTO AND TRUCK."</f>
        <v>WE PROVIDE AC DELCO AND MOTOORCRAFT ORIGINAL EQUIPMENT PARTS FOR AUTO AND TRUCK.</v>
      </c>
      <c r="D1528" s="3" t="s">
        <v>9</v>
      </c>
      <c r="E1528" s="3" t="s">
        <v>46</v>
      </c>
      <c r="F1528" s="3" t="str">
        <f>"317-241-6282"</f>
        <v>317-241-6282</v>
      </c>
      <c r="G1528" s="3">
        <v>423120</v>
      </c>
      <c r="H1528" s="3" t="s">
        <v>1033</v>
      </c>
    </row>
    <row r="1529" spans="1:8" ht="268.5" x14ac:dyDescent="0.25">
      <c r="A1529" s="3" t="s">
        <v>4804</v>
      </c>
      <c r="B1529" s="3"/>
      <c r="C1529" s="3" t="s">
        <v>4805</v>
      </c>
      <c r="D1529" s="3" t="s">
        <v>4806</v>
      </c>
      <c r="E1529" s="3" t="s">
        <v>4807</v>
      </c>
      <c r="F1529" s="3" t="str">
        <f>"800-691-5796/ 7653641633"</f>
        <v>800-691-5796/ 7653641633</v>
      </c>
      <c r="G1529" s="3">
        <v>518111</v>
      </c>
      <c r="H1529" s="3" t="s">
        <v>2656</v>
      </c>
    </row>
    <row r="1530" spans="1:8" x14ac:dyDescent="0.25">
      <c r="A1530" s="3" t="s">
        <v>4808</v>
      </c>
      <c r="B1530" s="3"/>
      <c r="C1530" s="3" t="str">
        <f>" "</f>
        <v xml:space="preserve"> </v>
      </c>
      <c r="D1530" s="3" t="s">
        <v>9</v>
      </c>
      <c r="E1530" s="3" t="s">
        <v>46</v>
      </c>
      <c r="F1530" s="2"/>
      <c r="G1530" s="3">
        <v>921190</v>
      </c>
      <c r="H1530" s="3" t="s">
        <v>4809</v>
      </c>
    </row>
    <row r="1531" spans="1:8" ht="26.25" x14ac:dyDescent="0.25">
      <c r="A1531" s="3" t="s">
        <v>4810</v>
      </c>
      <c r="B1531" s="3"/>
      <c r="C1531" s="3" t="str">
        <f>"Manufacture wood caskets"</f>
        <v>Manufacture wood caskets</v>
      </c>
      <c r="D1531" s="3" t="s">
        <v>9</v>
      </c>
      <c r="E1531" s="3" t="s">
        <v>46</v>
      </c>
      <c r="F1531" s="3" t="str">
        <f>"765-683-9760"</f>
        <v>765-683-9760</v>
      </c>
      <c r="G1531" s="3">
        <v>321</v>
      </c>
      <c r="H1531" s="3" t="s">
        <v>2367</v>
      </c>
    </row>
    <row r="1532" spans="1:8" ht="51.75" x14ac:dyDescent="0.25">
      <c r="A1532" s="3" t="s">
        <v>4811</v>
      </c>
      <c r="B1532" s="3"/>
      <c r="C1532" s="3" t="str">
        <f>"CJ's Sweet Creations and Catering is a catering company that specializes in soul food and homemade baked goods and specialty cakes."</f>
        <v>CJ's Sweet Creations and Catering is a catering company that specializes in soul food and homemade baked goods and specialty cakes.</v>
      </c>
      <c r="D1532" s="3" t="s">
        <v>9</v>
      </c>
      <c r="E1532" s="3" t="s">
        <v>4812</v>
      </c>
      <c r="F1532" s="3" t="str">
        <f>"317-345-3484"</f>
        <v>317-345-3484</v>
      </c>
      <c r="G1532" s="3">
        <v>722320</v>
      </c>
      <c r="H1532" s="3" t="s">
        <v>266</v>
      </c>
    </row>
    <row r="1533" spans="1:8" ht="51.75" x14ac:dyDescent="0.25">
      <c r="A1533" s="3" t="s">
        <v>4813</v>
      </c>
      <c r="B1533" s="3"/>
      <c r="C1533" s="3" t="str">
        <f>"CJI Restoration handles all of your company's landscaping needs to include concrete repair, general landscaping, and snow removal."</f>
        <v>CJI Restoration handles all of your company's landscaping needs to include concrete repair, general landscaping, and snow removal.</v>
      </c>
      <c r="D1533" s="3" t="s">
        <v>9</v>
      </c>
      <c r="E1533" s="3" t="s">
        <v>4814</v>
      </c>
      <c r="F1533" s="3" t="str">
        <f>"317-519-5907"</f>
        <v>317-519-5907</v>
      </c>
      <c r="G1533" s="3">
        <v>561730</v>
      </c>
      <c r="H1533" s="3" t="s">
        <v>65</v>
      </c>
    </row>
    <row r="1534" spans="1:8" ht="26.25" x14ac:dyDescent="0.25">
      <c r="A1534" s="3" t="s">
        <v>4815</v>
      </c>
      <c r="B1534" s="3"/>
      <c r="C1534" s="3" t="str">
        <f>"General contractor specializing in commercial remodel and tenant finish."</f>
        <v>General contractor specializing in commercial remodel and tenant finish.</v>
      </c>
      <c r="D1534" s="3" t="s">
        <v>4816</v>
      </c>
      <c r="E1534" s="3" t="s">
        <v>4817</v>
      </c>
      <c r="F1534" s="3" t="str">
        <f>"317-570-2750"</f>
        <v>317-570-2750</v>
      </c>
      <c r="G1534" s="3">
        <v>23</v>
      </c>
      <c r="H1534" s="3" t="s">
        <v>133</v>
      </c>
    </row>
    <row r="1535" spans="1:8" ht="39" x14ac:dyDescent="0.25">
      <c r="A1535" s="3" t="s">
        <v>4818</v>
      </c>
      <c r="B1535" s="3"/>
      <c r="C1535" s="3" t="str">
        <f>"conversion to digital video serveillance, networked across the DOC Network. Installation and service."</f>
        <v>conversion to digital video serveillance, networked across the DOC Network. Installation and service.</v>
      </c>
      <c r="D1535" s="3" t="s">
        <v>4819</v>
      </c>
      <c r="E1535" s="3" t="s">
        <v>4820</v>
      </c>
      <c r="F1535" s="3" t="str">
        <f>"219-781-1468"</f>
        <v>219-781-1468</v>
      </c>
      <c r="G1535" s="3">
        <v>561621</v>
      </c>
      <c r="H1535" s="3" t="s">
        <v>827</v>
      </c>
    </row>
    <row r="1536" spans="1:8" ht="39" x14ac:dyDescent="0.25">
      <c r="A1536" s="3" t="s">
        <v>4821</v>
      </c>
      <c r="B1536" s="3"/>
      <c r="C1536" s="3" t="str">
        <f>"Commercial and Industrial laundry equipment sales, service and parts, ironers, and laundry room accessories."</f>
        <v>Commercial and Industrial laundry equipment sales, service and parts, ironers, and laundry room accessories.</v>
      </c>
      <c r="D1536" s="3" t="s">
        <v>4822</v>
      </c>
      <c r="E1536" s="3" t="s">
        <v>4823</v>
      </c>
      <c r="F1536" s="3" t="str">
        <f>"317-831-7940"</f>
        <v>317-831-7940</v>
      </c>
      <c r="G1536" s="3">
        <v>42</v>
      </c>
      <c r="H1536" s="3" t="s">
        <v>674</v>
      </c>
    </row>
    <row r="1537" spans="1:8" ht="64.5" x14ac:dyDescent="0.25">
      <c r="A1537" s="3" t="s">
        <v>4824</v>
      </c>
      <c r="B1537" s="3"/>
      <c r="C1537" s="3" t="str">
        <f>"We provide accurate, cost effective land surveying, and construction staking services, throughout Indiana, using state of the art technology combined with good common sence."</f>
        <v>We provide accurate, cost effective land surveying, and construction staking services, throughout Indiana, using state of the art technology combined with good common sence.</v>
      </c>
      <c r="D1537" s="3" t="s">
        <v>4825</v>
      </c>
      <c r="E1537" s="3" t="s">
        <v>4826</v>
      </c>
      <c r="F1537" s="3" t="str">
        <f>"317-736-0781"</f>
        <v>317-736-0781</v>
      </c>
      <c r="G1537" s="3">
        <v>541370</v>
      </c>
      <c r="H1537" s="3" t="s">
        <v>160</v>
      </c>
    </row>
    <row r="1538" spans="1:8" ht="217.5" x14ac:dyDescent="0.25">
      <c r="A1538" s="3" t="s">
        <v>4827</v>
      </c>
      <c r="B1538" s="3"/>
      <c r="C1538" s="3" t="s">
        <v>4828</v>
      </c>
      <c r="D1538" s="3" t="s">
        <v>4829</v>
      </c>
      <c r="E1538" s="3" t="s">
        <v>4830</v>
      </c>
      <c r="F1538" s="3" t="str">
        <f>"800-875-5448"</f>
        <v>800-875-5448</v>
      </c>
      <c r="G1538" s="3">
        <v>31</v>
      </c>
      <c r="H1538" s="3" t="s">
        <v>999</v>
      </c>
    </row>
    <row r="1539" spans="1:8" ht="77.25" x14ac:dyDescent="0.25">
      <c r="A1539" s="3" t="s">
        <v>4831</v>
      </c>
      <c r="B1539" s="3"/>
      <c r="C1539" s="3" t="str">
        <f>"Doing all types of groundskeeping since July 11 of 2000 including mowing, installing landscaping, landscaping maintenance, leaf removal in the fall, snow removal on sidewalks in the winter, and installing, removing and storing seasonal decorations."</f>
        <v>Doing all types of groundskeeping since July 11 of 2000 including mowing, installing landscaping, landscaping maintenance, leaf removal in the fall, snow removal on sidewalks in the winter, and installing, removing and storing seasonal decorations.</v>
      </c>
      <c r="D1539" s="3" t="s">
        <v>9</v>
      </c>
      <c r="E1539" s="3" t="s">
        <v>4832</v>
      </c>
      <c r="F1539" s="3" t="str">
        <f>"812-402-4386"</f>
        <v>812-402-4386</v>
      </c>
      <c r="G1539" s="3">
        <v>112910</v>
      </c>
      <c r="H1539" s="3" t="s">
        <v>4833</v>
      </c>
    </row>
    <row r="1540" spans="1:8" ht="102.75" x14ac:dyDescent="0.25">
      <c r="A1540" s="3" t="s">
        <v>4834</v>
      </c>
      <c r="B1540" s="3"/>
      <c r="C1540" s="3" t="s">
        <v>4835</v>
      </c>
      <c r="D1540" s="3" t="s">
        <v>4836</v>
      </c>
      <c r="E1540" s="3" t="s">
        <v>4837</v>
      </c>
      <c r="F1540" s="3" t="str">
        <f>"812-934-3289"</f>
        <v>812-934-3289</v>
      </c>
      <c r="G1540" s="3">
        <v>32561</v>
      </c>
      <c r="H1540" s="3" t="s">
        <v>4838</v>
      </c>
    </row>
    <row r="1541" spans="1:8" ht="51.75" x14ac:dyDescent="0.25">
      <c r="A1541" s="3" t="s">
        <v>4839</v>
      </c>
      <c r="B1541" s="3"/>
      <c r="C1541" s="3" t="str">
        <f>"SALES AND INSTALLATION OF ALL TYPES OF FLOOR COVERINGS. CARPET, HARDWOOD, LAMINATE, VINYL, VCT TILE, AND CERAMIC TILE"</f>
        <v>SALES AND INSTALLATION OF ALL TYPES OF FLOOR COVERINGS. CARPET, HARDWOOD, LAMINATE, VINYL, VCT TILE, AND CERAMIC TILE</v>
      </c>
      <c r="D1541" s="3" t="s">
        <v>9</v>
      </c>
      <c r="E1541" s="3" t="s">
        <v>4840</v>
      </c>
      <c r="F1541" s="3" t="str">
        <f>"765-653-1963"</f>
        <v>765-653-1963</v>
      </c>
      <c r="G1541" s="3">
        <v>23833</v>
      </c>
      <c r="H1541" s="3" t="s">
        <v>2995</v>
      </c>
    </row>
    <row r="1542" spans="1:8" ht="141" x14ac:dyDescent="0.25">
      <c r="A1542" s="3" t="s">
        <v>4841</v>
      </c>
      <c r="B1542" s="3"/>
      <c r="C1542" s="3" t="s">
        <v>4842</v>
      </c>
      <c r="D1542" s="3" t="s">
        <v>4843</v>
      </c>
      <c r="E1542" s="3" t="s">
        <v>4844</v>
      </c>
      <c r="F1542" s="3" t="str">
        <f>"800-634-4091"</f>
        <v>800-634-4091</v>
      </c>
      <c r="G1542" s="3">
        <v>238210</v>
      </c>
      <c r="H1542" s="3" t="s">
        <v>306</v>
      </c>
    </row>
    <row r="1543" spans="1:8" ht="39" x14ac:dyDescent="0.25">
      <c r="A1543" s="3" t="s">
        <v>4845</v>
      </c>
      <c r="B1543" s="3"/>
      <c r="C1543" s="3" t="str">
        <f>"Retailer and distributor of Electrical Supplies, Electronics, and MRO."</f>
        <v>Retailer and distributor of Electrical Supplies, Electronics, and MRO.</v>
      </c>
      <c r="D1543" s="3" t="s">
        <v>4846</v>
      </c>
      <c r="E1543" s="3" t="s">
        <v>4847</v>
      </c>
      <c r="F1543" s="3" t="str">
        <f>"317-582-0410"</f>
        <v>317-582-0410</v>
      </c>
      <c r="G1543" s="3">
        <v>423610</v>
      </c>
      <c r="H1543" s="3" t="s">
        <v>2414</v>
      </c>
    </row>
    <row r="1544" spans="1:8" ht="39" x14ac:dyDescent="0.25">
      <c r="A1544" s="3" t="s">
        <v>4848</v>
      </c>
      <c r="B1544" s="3"/>
      <c r="C1544" s="3" t="str">
        <f>"CLG International is a supplier of Electrical Supplies and Equipment, Maintenance, and Industrial Supplies and Equipment."</f>
        <v>CLG International is a supplier of Electrical Supplies and Equipment, Maintenance, and Industrial Supplies and Equipment.</v>
      </c>
      <c r="D1544" s="3" t="s">
        <v>4849</v>
      </c>
      <c r="E1544" s="3" t="s">
        <v>4850</v>
      </c>
      <c r="F1544" s="3" t="str">
        <f>"(317)582-0410"</f>
        <v>(317)582-0410</v>
      </c>
      <c r="G1544" s="3">
        <v>423610</v>
      </c>
      <c r="H1544" s="3" t="s">
        <v>2414</v>
      </c>
    </row>
    <row r="1545" spans="1:8" ht="26.25" x14ac:dyDescent="0.25">
      <c r="A1545" s="3" t="s">
        <v>4851</v>
      </c>
      <c r="B1545" s="3"/>
      <c r="C1545" s="3" t="str">
        <f>"Pallet recycling and boiler fuel production from wood waste"</f>
        <v>Pallet recycling and boiler fuel production from wood waste</v>
      </c>
      <c r="D1545" s="3" t="s">
        <v>4852</v>
      </c>
      <c r="E1545" s="3" t="s">
        <v>4853</v>
      </c>
      <c r="F1545" s="3" t="str">
        <f>"3173538344"</f>
        <v>3173538344</v>
      </c>
      <c r="G1545" s="3">
        <v>321920</v>
      </c>
      <c r="H1545" s="3" t="s">
        <v>4854</v>
      </c>
    </row>
    <row r="1546" spans="1:8" ht="90" x14ac:dyDescent="0.25">
      <c r="A1546" s="3" t="s">
        <v>4855</v>
      </c>
      <c r="B1546" s="3"/>
      <c r="C1546" s="3" t="s">
        <v>4856</v>
      </c>
      <c r="D1546" s="3" t="s">
        <v>9</v>
      </c>
      <c r="E1546" s="3" t="s">
        <v>4857</v>
      </c>
      <c r="F1546" s="3" t="str">
        <f>"219-947-4704"</f>
        <v>219-947-4704</v>
      </c>
      <c r="G1546" s="3">
        <v>424430</v>
      </c>
      <c r="H1546" s="3" t="s">
        <v>4858</v>
      </c>
    </row>
    <row r="1547" spans="1:8" ht="90" x14ac:dyDescent="0.25">
      <c r="A1547" s="3" t="s">
        <v>4859</v>
      </c>
      <c r="B1547" s="3"/>
      <c r="C1547" s="3" t="str">
        <f>"CLR Auto Transport is a car, bus and truck delivery service. We operate nationwide utilizing professional drivers to deliver vehicles for fortune 500 companies, GSA, and other government entities. We also offer vehicle storage service around the country."</f>
        <v>CLR Auto Transport is a car, bus and truck delivery service. We operate nationwide utilizing professional drivers to deliver vehicles for fortune 500 companies, GSA, and other government entities. We also offer vehicle storage service around the country.</v>
      </c>
      <c r="D1547" s="3" t="s">
        <v>4860</v>
      </c>
      <c r="E1547" s="3" t="s">
        <v>4861</v>
      </c>
      <c r="F1547" s="3" t="str">
        <f>"219-795-1040"</f>
        <v>219-795-1040</v>
      </c>
      <c r="G1547" s="3">
        <v>488490</v>
      </c>
      <c r="H1547" s="3" t="s">
        <v>4862</v>
      </c>
    </row>
    <row r="1548" spans="1:8" ht="141" x14ac:dyDescent="0.25">
      <c r="A1548" s="3" t="s">
        <v>4863</v>
      </c>
      <c r="B1548" s="3"/>
      <c r="C1548" s="3" t="s">
        <v>4864</v>
      </c>
      <c r="D1548" s="3" t="s">
        <v>4865</v>
      </c>
      <c r="E1548" s="3" t="s">
        <v>4866</v>
      </c>
      <c r="F1548" s="3" t="str">
        <f>"812-336-3438"</f>
        <v>812-336-3438</v>
      </c>
      <c r="G1548" s="3">
        <v>2341</v>
      </c>
      <c r="H1548" s="3" t="s">
        <v>4867</v>
      </c>
    </row>
    <row r="1549" spans="1:8" ht="115.5" x14ac:dyDescent="0.25">
      <c r="A1549" s="3" t="s">
        <v>4868</v>
      </c>
      <c r="B1549" s="3"/>
      <c r="C1549" s="3" t="s">
        <v>4869</v>
      </c>
      <c r="D1549" s="3" t="s">
        <v>9</v>
      </c>
      <c r="E1549" s="3" t="s">
        <v>4870</v>
      </c>
      <c r="F1549" s="3" t="str">
        <f>"317-519-4983"</f>
        <v>317-519-4983</v>
      </c>
      <c r="G1549" s="3">
        <v>5416</v>
      </c>
      <c r="H1549" s="3" t="s">
        <v>194</v>
      </c>
    </row>
    <row r="1550" spans="1:8" ht="306.75" x14ac:dyDescent="0.25">
      <c r="A1550" s="3" t="s">
        <v>4871</v>
      </c>
      <c r="B1550" s="3"/>
      <c r="C1550" s="3" t="s">
        <v>4872</v>
      </c>
      <c r="D1550" s="3" t="s">
        <v>4873</v>
      </c>
      <c r="E1550" s="3" t="s">
        <v>4874</v>
      </c>
      <c r="F1550" s="3" t="str">
        <f>"317-566-9622"</f>
        <v>317-566-9622</v>
      </c>
      <c r="G1550" s="3">
        <v>54151</v>
      </c>
      <c r="H1550" s="3" t="s">
        <v>188</v>
      </c>
    </row>
    <row r="1551" spans="1:8" ht="90" x14ac:dyDescent="0.25">
      <c r="A1551" s="3" t="s">
        <v>4875</v>
      </c>
      <c r="B1551" s="3"/>
      <c r="C1551" s="3" t="s">
        <v>4876</v>
      </c>
      <c r="D1551" s="3" t="s">
        <v>4877</v>
      </c>
      <c r="E1551" s="3" t="s">
        <v>4878</v>
      </c>
      <c r="F1551" s="3" t="str">
        <f>"317-545-4446"</f>
        <v>317-545-4446</v>
      </c>
      <c r="G1551" s="3">
        <v>423390</v>
      </c>
      <c r="H1551" s="3" t="s">
        <v>1863</v>
      </c>
    </row>
    <row r="1552" spans="1:8" ht="26.25" x14ac:dyDescent="0.25">
      <c r="A1552" s="3" t="s">
        <v>4879</v>
      </c>
      <c r="B1552" s="3"/>
      <c r="C1552" s="3" t="str">
        <f>"Design-Build Construction General Contractor"</f>
        <v>Design-Build Construction General Contractor</v>
      </c>
      <c r="D1552" s="3" t="s">
        <v>4880</v>
      </c>
      <c r="E1552" s="3" t="s">
        <v>4881</v>
      </c>
      <c r="F1552" s="3" t="str">
        <f>"812-822-1994"</f>
        <v>812-822-1994</v>
      </c>
      <c r="G1552" s="3">
        <v>213113</v>
      </c>
      <c r="H1552" s="3" t="s">
        <v>4882</v>
      </c>
    </row>
    <row r="1553" spans="1:8" ht="77.25" x14ac:dyDescent="0.25">
      <c r="A1553" s="3" t="s">
        <v>4883</v>
      </c>
      <c r="B1553" s="3"/>
      <c r="C1553" s="3" t="str">
        <f>"Founded in 1982 by John and Norma Commorato, CMC Media Group has been producing national and international films, videos and marketing resources for the past 25 years, serving a vast arrays of industries and economic sectors."</f>
        <v>Founded in 1982 by John and Norma Commorato, CMC Media Group has been producing national and international films, videos and marketing resources for the past 25 years, serving a vast arrays of industries and economic sectors.</v>
      </c>
      <c r="D1553" s="3" t="s">
        <v>4884</v>
      </c>
      <c r="E1553" s="3" t="s">
        <v>4885</v>
      </c>
      <c r="F1553" s="3" t="str">
        <f>"317 466 0321"</f>
        <v>317 466 0321</v>
      </c>
      <c r="G1553" s="3">
        <v>541840</v>
      </c>
      <c r="H1553" s="3" t="s">
        <v>4886</v>
      </c>
    </row>
    <row r="1554" spans="1:8" ht="26.25" x14ac:dyDescent="0.25">
      <c r="A1554" s="3" t="s">
        <v>4887</v>
      </c>
      <c r="B1554" s="3"/>
      <c r="C1554" s="3" t="str">
        <f>"Engineering, Consuting, Applications, Assemblies for OEM's and others."</f>
        <v>Engineering, Consuting, Applications, Assemblies for OEM's and others.</v>
      </c>
      <c r="D1554" s="3" t="s">
        <v>4888</v>
      </c>
      <c r="E1554" s="3" t="s">
        <v>4889</v>
      </c>
      <c r="F1554" s="3" t="str">
        <f>"888 881 3112"</f>
        <v>888 881 3112</v>
      </c>
      <c r="G1554" s="3">
        <v>541330</v>
      </c>
      <c r="H1554" s="3" t="s">
        <v>82</v>
      </c>
    </row>
    <row r="1555" spans="1:8" ht="90" x14ac:dyDescent="0.25">
      <c r="A1555" s="3" t="s">
        <v>4890</v>
      </c>
      <c r="B1555" s="3"/>
      <c r="C1555" s="3" t="str">
        <f>"CMCS provides managed care support services needed to manage and pay for health services. CMCS administers HMO capitated contracted arrangements, Medicaid Risk based contracts, specialty carve out services, and traditional TPA services."</f>
        <v>CMCS provides managed care support services needed to manage and pay for health services. CMCS administers HMO capitated contracted arrangements, Medicaid Risk based contracts, specialty carve out services, and traditional TPA services.</v>
      </c>
      <c r="D1555" s="3" t="s">
        <v>4891</v>
      </c>
      <c r="E1555" s="3" t="s">
        <v>46</v>
      </c>
      <c r="F1555" s="3" t="str">
        <f>"317-578-4300"</f>
        <v>317-578-4300</v>
      </c>
      <c r="G1555" s="3">
        <v>524292</v>
      </c>
      <c r="H1555" s="3" t="s">
        <v>4892</v>
      </c>
    </row>
    <row r="1556" spans="1:8" ht="128.25" x14ac:dyDescent="0.25">
      <c r="A1556" s="3" t="s">
        <v>4893</v>
      </c>
      <c r="B1556" s="3"/>
      <c r="C1556" s="3" t="s">
        <v>4894</v>
      </c>
      <c r="D1556" s="3" t="s">
        <v>4895</v>
      </c>
      <c r="E1556" s="3" t="s">
        <v>4896</v>
      </c>
      <c r="F1556" s="3" t="str">
        <f>"317-670-0092"</f>
        <v>317-670-0092</v>
      </c>
      <c r="G1556" s="3">
        <v>541330</v>
      </c>
      <c r="H1556" s="3" t="s">
        <v>82</v>
      </c>
    </row>
    <row r="1557" spans="1:8" ht="102.75" x14ac:dyDescent="0.25">
      <c r="A1557" s="3" t="s">
        <v>4897</v>
      </c>
      <c r="B1557" s="3"/>
      <c r="C1557" s="3" t="s">
        <v>4898</v>
      </c>
      <c r="D1557" s="3" t="s">
        <v>9</v>
      </c>
      <c r="E1557" s="3" t="s">
        <v>4899</v>
      </c>
      <c r="F1557" s="3" t="str">
        <f>"1-800-896-5833"</f>
        <v>1-800-896-5833</v>
      </c>
      <c r="G1557" s="3">
        <v>48851</v>
      </c>
      <c r="H1557" s="3" t="s">
        <v>562</v>
      </c>
    </row>
    <row r="1558" spans="1:8" ht="26.25" x14ac:dyDescent="0.25">
      <c r="A1558" s="3" t="s">
        <v>4900</v>
      </c>
      <c r="B1558" s="3"/>
      <c r="C1558" s="3" t="str">
        <f>" "</f>
        <v xml:space="preserve"> </v>
      </c>
      <c r="D1558" s="3" t="s">
        <v>9</v>
      </c>
      <c r="E1558" s="3" t="s">
        <v>4901</v>
      </c>
      <c r="F1558" s="3" t="str">
        <f>"317-430-3106"</f>
        <v>317-430-3106</v>
      </c>
      <c r="G1558" s="3">
        <v>484220</v>
      </c>
      <c r="H1558" s="3" t="s">
        <v>11</v>
      </c>
    </row>
    <row r="1559" spans="1:8" ht="179.25" x14ac:dyDescent="0.25">
      <c r="A1559" s="3" t="s">
        <v>4902</v>
      </c>
      <c r="B1559" s="3"/>
      <c r="C1559" s="3" t="s">
        <v>4903</v>
      </c>
      <c r="D1559" s="3" t="s">
        <v>4904</v>
      </c>
      <c r="E1559" s="3" t="s">
        <v>4905</v>
      </c>
      <c r="F1559" s="3" t="str">
        <f>"812-944-9796"</f>
        <v>812-944-9796</v>
      </c>
      <c r="G1559" s="3">
        <v>611430</v>
      </c>
      <c r="H1559" s="3" t="s">
        <v>1224</v>
      </c>
    </row>
    <row r="1560" spans="1:8" ht="51.75" x14ac:dyDescent="0.25">
      <c r="A1560" s="3" t="s">
        <v>4906</v>
      </c>
      <c r="B1560" s="3"/>
      <c r="C1560" s="3" t="str">
        <f>"We provide interim and long-term qualified staffing, laborers, and skilled technicians. We supply delivery and facilities management."</f>
        <v>We provide interim and long-term qualified staffing, laborers, and skilled technicians. We supply delivery and facilities management.</v>
      </c>
      <c r="D1560" s="3" t="s">
        <v>9</v>
      </c>
      <c r="E1560" s="3" t="s">
        <v>4907</v>
      </c>
      <c r="F1560" s="2"/>
      <c r="G1560" s="3">
        <v>5613</v>
      </c>
      <c r="H1560" s="3" t="s">
        <v>1882</v>
      </c>
    </row>
    <row r="1561" spans="1:8" ht="64.5" x14ac:dyDescent="0.25">
      <c r="A1561" s="3" t="s">
        <v>4908</v>
      </c>
      <c r="B1561" s="3"/>
      <c r="C1561" s="3" t="str">
        <f>"Whether you need business cards, stationery, logo design, or a complete branding solution, our printing and design services make it easy and inexpensive to make your business look great!"</f>
        <v>Whether you need business cards, stationery, logo design, or a complete branding solution, our printing and design services make it easy and inexpensive to make your business look great!</v>
      </c>
      <c r="D1561" s="3" t="s">
        <v>4909</v>
      </c>
      <c r="E1561" s="3" t="s">
        <v>4910</v>
      </c>
      <c r="F1561" s="3" t="str">
        <f>"765-827-5441"</f>
        <v>765-827-5441</v>
      </c>
      <c r="G1561" s="3">
        <v>323111</v>
      </c>
      <c r="H1561" s="3" t="s">
        <v>4911</v>
      </c>
    </row>
    <row r="1562" spans="1:8" ht="26.25" x14ac:dyDescent="0.25">
      <c r="A1562" s="3" t="s">
        <v>4912</v>
      </c>
      <c r="B1562" s="3"/>
      <c r="C1562" s="3" t="str">
        <f>"WE repair concrete ,paint concrete,epoxy concrete,and WE POLISH CONCRETE"</f>
        <v>WE repair concrete ,paint concrete,epoxy concrete,and WE POLISH CONCRETE</v>
      </c>
      <c r="D1562" s="3" t="s">
        <v>9</v>
      </c>
      <c r="E1562" s="3" t="s">
        <v>4913</v>
      </c>
      <c r="F1562" s="3" t="str">
        <f>"317-773-113"</f>
        <v>317-773-113</v>
      </c>
      <c r="G1562" s="3">
        <v>238320</v>
      </c>
      <c r="H1562" s="3" t="s">
        <v>462</v>
      </c>
    </row>
    <row r="1563" spans="1:8" ht="179.25" x14ac:dyDescent="0.25">
      <c r="A1563" s="3" t="s">
        <v>4914</v>
      </c>
      <c r="B1563" s="3"/>
      <c r="C1563" s="3" t="s">
        <v>4915</v>
      </c>
      <c r="D1563" s="3" t="s">
        <v>4916</v>
      </c>
      <c r="E1563" s="3" t="s">
        <v>4917</v>
      </c>
      <c r="F1563" s="3" t="str">
        <f>"317-786-3496"</f>
        <v>317-786-3496</v>
      </c>
      <c r="G1563" s="3">
        <v>238210</v>
      </c>
      <c r="H1563" s="3" t="s">
        <v>306</v>
      </c>
    </row>
    <row r="1564" spans="1:8" ht="90" x14ac:dyDescent="0.25">
      <c r="A1564" s="3" t="s">
        <v>4918</v>
      </c>
      <c r="B1564" s="3"/>
      <c r="C1564" s="3" t="str">
        <f>"A Community Health Clinic with a mission to provide affordabe, accessible and apprpriate medical/dental care as well as nutritional education in Parke and surrounding counties to assist at-risk families/individuals in maintaining a healthy life."</f>
        <v>A Community Health Clinic with a mission to provide affordabe, accessible and apprpriate medical/dental care as well as nutritional education in Parke and surrounding counties to assist at-risk families/individuals in maintaining a healthy life.</v>
      </c>
      <c r="D1564" s="3" t="s">
        <v>4919</v>
      </c>
      <c r="E1564" s="3" t="s">
        <v>4920</v>
      </c>
      <c r="F1564" s="3" t="str">
        <f>"765-569-4008"</f>
        <v>765-569-4008</v>
      </c>
      <c r="G1564" s="3">
        <v>621498</v>
      </c>
      <c r="H1564" s="3" t="s">
        <v>937</v>
      </c>
    </row>
    <row r="1565" spans="1:8" ht="179.25" x14ac:dyDescent="0.25">
      <c r="A1565" s="3" t="s">
        <v>4921</v>
      </c>
      <c r="B1565" s="3"/>
      <c r="C1565" s="3" t="s">
        <v>4922</v>
      </c>
      <c r="D1565" s="3" t="s">
        <v>4923</v>
      </c>
      <c r="E1565" s="3" t="s">
        <v>4924</v>
      </c>
      <c r="F1565" s="3" t="str">
        <f>"317-888-1177"</f>
        <v>317-888-1177</v>
      </c>
      <c r="G1565" s="3">
        <v>2213</v>
      </c>
      <c r="H1565" s="3" t="s">
        <v>2486</v>
      </c>
    </row>
    <row r="1566" spans="1:8" ht="64.5" x14ac:dyDescent="0.25">
      <c r="A1566" s="3" t="s">
        <v>4925</v>
      </c>
      <c r="B1566" s="3"/>
      <c r="C1566" s="3" t="str">
        <f>"Telephone answering service and web interactive call center services. Basic messaging, lead capture, order entry, help desk, customer service, absentee management, and appointment scheduling."</f>
        <v>Telephone answering service and web interactive call center services. Basic messaging, lead capture, order entry, help desk, customer service, absentee management, and appointment scheduling.</v>
      </c>
      <c r="D1566" s="3" t="s">
        <v>4926</v>
      </c>
      <c r="E1566" s="3" t="s">
        <v>4927</v>
      </c>
      <c r="F1566" s="3" t="str">
        <f>"800-875-8118"</f>
        <v>800-875-8118</v>
      </c>
      <c r="G1566" s="3">
        <v>561421</v>
      </c>
      <c r="H1566" s="3" t="s">
        <v>4928</v>
      </c>
    </row>
    <row r="1567" spans="1:8" ht="153.75" x14ac:dyDescent="0.25">
      <c r="A1567" s="3" t="s">
        <v>4929</v>
      </c>
      <c r="B1567" s="3"/>
      <c r="C1567" s="3" t="s">
        <v>4930</v>
      </c>
      <c r="D1567" s="3" t="s">
        <v>4931</v>
      </c>
      <c r="E1567" s="3" t="s">
        <v>4932</v>
      </c>
      <c r="F1567" s="3" t="str">
        <f>"317-576-0332"</f>
        <v>317-576-0332</v>
      </c>
      <c r="G1567" s="3">
        <v>517</v>
      </c>
      <c r="H1567" s="3" t="s">
        <v>682</v>
      </c>
    </row>
    <row r="1568" spans="1:8" ht="39" x14ac:dyDescent="0.25">
      <c r="A1568" s="3" t="s">
        <v>4933</v>
      </c>
      <c r="B1568" s="3"/>
      <c r="C1568" s="3" t="str">
        <f>"A member of Parkview Health since 2000, PNH is a charitable not-for-profit community hospital."</f>
        <v>A member of Parkview Health since 2000, PNH is a charitable not-for-profit community hospital.</v>
      </c>
      <c r="D1568" s="3" t="s">
        <v>4934</v>
      </c>
      <c r="E1568" s="3" t="s">
        <v>46</v>
      </c>
      <c r="F1568" s="3" t="str">
        <f>"260-347-8700"</f>
        <v>260-347-8700</v>
      </c>
      <c r="G1568" s="3">
        <v>622110</v>
      </c>
      <c r="H1568" s="3" t="s">
        <v>3335</v>
      </c>
    </row>
    <row r="1569" spans="1:8" ht="64.5" x14ac:dyDescent="0.25">
      <c r="A1569" s="3" t="s">
        <v>4935</v>
      </c>
      <c r="B1569" s="3"/>
      <c r="C1569" s="3" t="str">
        <f>"Community Mental Health Center, Inc. is a provider of mental health and addiction treatment services and is accredited by the Joint Commission on Accreditation of Health Care Organizations and by CARF."</f>
        <v>Community Mental Health Center, Inc. is a provider of mental health and addiction treatment services and is accredited by the Joint Commission on Accreditation of Health Care Organizations and by CARF.</v>
      </c>
      <c r="D1569" s="3" t="s">
        <v>4936</v>
      </c>
      <c r="E1569" s="3" t="s">
        <v>4937</v>
      </c>
      <c r="F1569" s="3" t="str">
        <f>"812 537 1302"</f>
        <v>812 537 1302</v>
      </c>
      <c r="G1569" s="3">
        <v>62</v>
      </c>
      <c r="H1569" s="3" t="s">
        <v>1168</v>
      </c>
    </row>
    <row r="1570" spans="1:8" ht="39" x14ac:dyDescent="0.25">
      <c r="A1570" s="3" t="s">
        <v>4938</v>
      </c>
      <c r="B1570" s="3"/>
      <c r="C1570" s="3" t="str">
        <f>"WE ARE A MAJOR DRYWALL CONTRACTOR AND PROVIDE ALL TYPE OF SERVICES TO ALL PARTS OF THE STATE OF INDIANA."</f>
        <v>WE ARE A MAJOR DRYWALL CONTRACTOR AND PROVIDE ALL TYPE OF SERVICES TO ALL PARTS OF THE STATE OF INDIANA.</v>
      </c>
      <c r="D1570" s="3" t="s">
        <v>9</v>
      </c>
      <c r="E1570" s="3" t="s">
        <v>4939</v>
      </c>
      <c r="F1570" s="3" t="str">
        <f>"317-462-1567"</f>
        <v>317-462-1567</v>
      </c>
      <c r="G1570" s="3">
        <v>238310</v>
      </c>
      <c r="H1570" s="3" t="s">
        <v>2526</v>
      </c>
    </row>
    <row r="1571" spans="1:8" ht="64.5" x14ac:dyDescent="0.25">
      <c r="A1571" s="3" t="s">
        <v>4940</v>
      </c>
      <c r="B1571" s="3"/>
      <c r="C1571" s="3" t="str">
        <f>"Printing papers for office and printshop use, Packaging products, Custom &amp; printed forms, Printed &amp; unprinted envelopes, Office supplies, CD &amp; DVD duplication, Promotional products"</f>
        <v>Printing papers for office and printshop use, Packaging products, Custom &amp; printed forms, Printed &amp; unprinted envelopes, Office supplies, CD &amp; DVD duplication, Promotional products</v>
      </c>
      <c r="D1571" s="3" t="s">
        <v>9</v>
      </c>
      <c r="E1571" s="3" t="s">
        <v>4941</v>
      </c>
      <c r="F1571" s="3" t="str">
        <f>"800-249-2116"</f>
        <v>800-249-2116</v>
      </c>
      <c r="G1571" s="3">
        <v>453210</v>
      </c>
      <c r="H1571" s="3" t="s">
        <v>431</v>
      </c>
    </row>
    <row r="1572" spans="1:8" ht="102.75" x14ac:dyDescent="0.25">
      <c r="A1572" s="3" t="s">
        <v>4942</v>
      </c>
      <c r="B1572" s="3"/>
      <c r="C1572" s="3" t="s">
        <v>4943</v>
      </c>
      <c r="D1572" s="3" t="s">
        <v>4944</v>
      </c>
      <c r="E1572" s="3" t="s">
        <v>4945</v>
      </c>
      <c r="F1572" s="3" t="str">
        <f>"317-292-9343"</f>
        <v>317-292-9343</v>
      </c>
      <c r="G1572" s="3">
        <v>561320</v>
      </c>
      <c r="H1572" s="3" t="s">
        <v>15</v>
      </c>
    </row>
    <row r="1573" spans="1:8" ht="26.25" x14ac:dyDescent="0.25">
      <c r="A1573" s="3" t="s">
        <v>4946</v>
      </c>
      <c r="B1573" s="3"/>
      <c r="C1573" s="2"/>
      <c r="D1573" s="3" t="s">
        <v>4947</v>
      </c>
      <c r="E1573" s="3" t="s">
        <v>4948</v>
      </c>
      <c r="F1573" s="3" t="str">
        <f>"(219)926-5740"</f>
        <v>(219)926-5740</v>
      </c>
      <c r="G1573" s="3">
        <v>61142</v>
      </c>
      <c r="H1573" s="3" t="s">
        <v>39</v>
      </c>
    </row>
    <row r="1574" spans="1:8" ht="26.25" x14ac:dyDescent="0.25">
      <c r="A1574" s="3" t="s">
        <v>4949</v>
      </c>
      <c r="B1574" s="3"/>
      <c r="C1574" s="3" t="str">
        <f>"Microsoft Solution Provider for custom programming applications and software"</f>
        <v>Microsoft Solution Provider for custom programming applications and software</v>
      </c>
      <c r="D1574" s="3" t="s">
        <v>4950</v>
      </c>
      <c r="E1574" s="3" t="s">
        <v>4951</v>
      </c>
      <c r="F1574" s="3" t="str">
        <f>"317-843-5757"</f>
        <v>317-843-5757</v>
      </c>
      <c r="G1574" s="3">
        <v>541511</v>
      </c>
      <c r="H1574" s="3" t="s">
        <v>122</v>
      </c>
    </row>
    <row r="1575" spans="1:8" ht="141" x14ac:dyDescent="0.25">
      <c r="A1575" s="3" t="s">
        <v>4952</v>
      </c>
      <c r="B1575" s="3"/>
      <c r="C1575" s="3" t="s">
        <v>4953</v>
      </c>
      <c r="D1575" s="3" t="s">
        <v>4954</v>
      </c>
      <c r="E1575" s="3" t="s">
        <v>4955</v>
      </c>
      <c r="F1575" s="3" t="str">
        <f>"978-500-5936"</f>
        <v>978-500-5936</v>
      </c>
      <c r="G1575" s="3">
        <v>541512</v>
      </c>
      <c r="H1575" s="3" t="s">
        <v>19</v>
      </c>
    </row>
    <row r="1576" spans="1:8" ht="26.25" x14ac:dyDescent="0.25">
      <c r="A1576" s="3" t="s">
        <v>4956</v>
      </c>
      <c r="B1576" s="3"/>
      <c r="C1576" s="3" t="str">
        <f>"FIRE EXTINGUISHERS, FIRST AID SUPPLIES AND SAFETY EQUIPMENT SALES AND SERVICE"</f>
        <v>FIRE EXTINGUISHERS, FIRST AID SUPPLIES AND SAFETY EQUIPMENT SALES AND SERVICE</v>
      </c>
      <c r="D1576" s="3" t="s">
        <v>4957</v>
      </c>
      <c r="E1576" s="3" t="s">
        <v>4958</v>
      </c>
      <c r="F1576" s="3" t="str">
        <f>"317-787-0472"</f>
        <v>317-787-0472</v>
      </c>
      <c r="G1576" s="3">
        <v>23829</v>
      </c>
      <c r="H1576" s="3" t="s">
        <v>237</v>
      </c>
    </row>
    <row r="1577" spans="1:8" ht="115.5" x14ac:dyDescent="0.25">
      <c r="A1577" s="3" t="s">
        <v>4959</v>
      </c>
      <c r="B1577" s="3"/>
      <c r="C1577" s="3" t="s">
        <v>4960</v>
      </c>
      <c r="D1577" s="3" t="s">
        <v>4961</v>
      </c>
      <c r="E1577" s="3" t="s">
        <v>4962</v>
      </c>
      <c r="F1577" s="3" t="str">
        <f>"765-778-9999"</f>
        <v>765-778-9999</v>
      </c>
      <c r="G1577" s="3">
        <v>56133</v>
      </c>
      <c r="H1577" s="3" t="s">
        <v>4963</v>
      </c>
    </row>
    <row r="1578" spans="1:8" ht="204.75" x14ac:dyDescent="0.25">
      <c r="A1578" s="3" t="s">
        <v>4964</v>
      </c>
      <c r="B1578" s="3"/>
      <c r="C1578" s="3" t="s">
        <v>4965</v>
      </c>
      <c r="D1578" s="3" t="s">
        <v>4966</v>
      </c>
      <c r="E1578" s="3" t="s">
        <v>4967</v>
      </c>
      <c r="F1578" s="3" t="str">
        <f>"317-447-5531"</f>
        <v>317-447-5531</v>
      </c>
      <c r="G1578" s="3">
        <v>541310</v>
      </c>
      <c r="H1578" s="3" t="s">
        <v>446</v>
      </c>
    </row>
    <row r="1579" spans="1:8" ht="26.25" x14ac:dyDescent="0.25">
      <c r="A1579" s="3" t="s">
        <v>4968</v>
      </c>
      <c r="B1579" s="3"/>
      <c r="C1579" s="3" t="str">
        <f>"We bake bread and buns for restaurants, hotels and caterers."</f>
        <v>We bake bread and buns for restaurants, hotels and caterers.</v>
      </c>
      <c r="D1579" s="3" t="s">
        <v>9</v>
      </c>
      <c r="E1579" s="3" t="s">
        <v>4969</v>
      </c>
      <c r="F1579" s="3" t="str">
        <f>"317-897-9671"</f>
        <v>317-897-9671</v>
      </c>
      <c r="G1579" s="3">
        <v>311812</v>
      </c>
      <c r="H1579" s="3" t="s">
        <v>1752</v>
      </c>
    </row>
    <row r="1580" spans="1:8" ht="26.25" x14ac:dyDescent="0.25">
      <c r="A1580" s="3" t="s">
        <v>4970</v>
      </c>
      <c r="B1580" s="3"/>
      <c r="C1580" s="2"/>
      <c r="D1580" s="3" t="s">
        <v>4971</v>
      </c>
      <c r="E1580" s="3" t="s">
        <v>4972</v>
      </c>
      <c r="F1580" s="3" t="str">
        <f>"3175771717"</f>
        <v>3175771717</v>
      </c>
      <c r="G1580" s="3">
        <v>238</v>
      </c>
      <c r="H1580" s="3" t="s">
        <v>397</v>
      </c>
    </row>
    <row r="1581" spans="1:8" ht="77.25" x14ac:dyDescent="0.25">
      <c r="A1581" s="3" t="s">
        <v>4973</v>
      </c>
      <c r="B1581" s="3"/>
      <c r="C1581" s="3" t="str">
        <f>"Multifunction Printing equipment, Copiers, Printers, Fax Machines, Document Management Solutions, IT HelpDesk support, Digital Display Technology, Interactive White Boards, Mobile Printing Solutions, Managed Print Services."</f>
        <v>Multifunction Printing equipment, Copiers, Printers, Fax Machines, Document Management Solutions, IT HelpDesk support, Digital Display Technology, Interactive White Boards, Mobile Printing Solutions, Managed Print Services.</v>
      </c>
      <c r="D1581" s="3" t="s">
        <v>4974</v>
      </c>
      <c r="E1581" s="3" t="s">
        <v>4975</v>
      </c>
      <c r="F1581" s="3" t="str">
        <f>"317-241-5800"</f>
        <v>317-241-5800</v>
      </c>
      <c r="G1581" s="3">
        <v>2359</v>
      </c>
      <c r="H1581" s="3" t="s">
        <v>631</v>
      </c>
    </row>
    <row r="1582" spans="1:8" ht="26.25" x14ac:dyDescent="0.25">
      <c r="A1582" s="3" t="s">
        <v>4976</v>
      </c>
      <c r="B1582" s="3"/>
      <c r="C1582" s="3" t="str">
        <f>"Mining and selling of sand and gravel"</f>
        <v>Mining and selling of sand and gravel</v>
      </c>
      <c r="D1582" s="3" t="s">
        <v>4977</v>
      </c>
      <c r="E1582" s="3" t="s">
        <v>4978</v>
      </c>
      <c r="F1582" s="3" t="str">
        <f>"812-346-9767"</f>
        <v>812-346-9767</v>
      </c>
      <c r="G1582" s="3">
        <v>212321</v>
      </c>
      <c r="H1582" s="3" t="s">
        <v>4979</v>
      </c>
    </row>
    <row r="1583" spans="1:8" ht="141" x14ac:dyDescent="0.25">
      <c r="A1583" s="3" t="s">
        <v>4980</v>
      </c>
      <c r="B1583" s="3"/>
      <c r="C1583" s="3" t="s">
        <v>4981</v>
      </c>
      <c r="D1583" s="3" t="s">
        <v>9</v>
      </c>
      <c r="E1583" s="3" t="s">
        <v>4982</v>
      </c>
      <c r="F1583" s="3" t="str">
        <f>"219-718-6202"</f>
        <v>219-718-6202</v>
      </c>
      <c r="G1583" s="3">
        <v>541611</v>
      </c>
      <c r="H1583" s="3" t="s">
        <v>278</v>
      </c>
    </row>
    <row r="1584" spans="1:8" ht="51.75" x14ac:dyDescent="0.25">
      <c r="A1584" s="3" t="s">
        <v>4983</v>
      </c>
      <c r="B1584" s="3"/>
      <c r="C1584" s="3" t="str">
        <f>"Provide consulting , support and management services to assist individuals and families to enroll in appropriate public and private health coverage programs."</f>
        <v>Provide consulting , support and management services to assist individuals and families to enroll in appropriate public and private health coverage programs.</v>
      </c>
      <c r="D1584" s="3" t="s">
        <v>4984</v>
      </c>
      <c r="E1584" s="3" t="s">
        <v>4985</v>
      </c>
      <c r="F1584" s="3" t="str">
        <f>"3178227264"</f>
        <v>3178227264</v>
      </c>
      <c r="G1584" s="3">
        <v>541613</v>
      </c>
      <c r="H1584" s="3" t="s">
        <v>558</v>
      </c>
    </row>
    <row r="1585" spans="1:8" ht="115.5" x14ac:dyDescent="0.25">
      <c r="A1585" s="3" t="s">
        <v>4986</v>
      </c>
      <c r="B1585" s="3"/>
      <c r="C1585" s="3" t="s">
        <v>4987</v>
      </c>
      <c r="D1585" s="3" t="s">
        <v>4988</v>
      </c>
      <c r="E1585" s="3" t="s">
        <v>4989</v>
      </c>
      <c r="F1585" s="3" t="str">
        <f>"3175669544"</f>
        <v>3175669544</v>
      </c>
      <c r="G1585" s="3">
        <v>3391</v>
      </c>
      <c r="H1585" s="3" t="s">
        <v>2119</v>
      </c>
    </row>
    <row r="1586" spans="1:8" ht="51.75" x14ac:dyDescent="0.25">
      <c r="A1586" s="3" t="s">
        <v>4990</v>
      </c>
      <c r="B1586" s="3"/>
      <c r="C1586" s="3" t="str">
        <f>"Covert Secure Inc offers Security, personal protection, site security, loss prevention and security consulting. All Covert Secure employees are Law Enforcement Officers."</f>
        <v>Covert Secure Inc offers Security, personal protection, site security, loss prevention and security consulting. All Covert Secure employees are Law Enforcement Officers.</v>
      </c>
      <c r="D1586" s="3" t="s">
        <v>4991</v>
      </c>
      <c r="E1586" s="3" t="s">
        <v>4992</v>
      </c>
      <c r="F1586" s="3" t="str">
        <f>"317-331-3584"</f>
        <v>317-331-3584</v>
      </c>
      <c r="G1586" s="3">
        <v>561612</v>
      </c>
      <c r="H1586" s="3" t="s">
        <v>362</v>
      </c>
    </row>
    <row r="1587" spans="1:8" ht="39" x14ac:dyDescent="0.25">
      <c r="A1587" s="3" t="s">
        <v>4993</v>
      </c>
      <c r="B1587" s="3"/>
      <c r="C1587" s="3" t="str">
        <f>"Single Source Filtration Supplier. Filter types include HVAC, Water, Oil, Air, Dust, and many more."</f>
        <v>Single Source Filtration Supplier. Filter types include HVAC, Water, Oil, Air, Dust, and many more.</v>
      </c>
      <c r="D1587" s="3" t="s">
        <v>4994</v>
      </c>
      <c r="E1587" s="3" t="s">
        <v>4995</v>
      </c>
      <c r="F1587" s="3" t="str">
        <f>"765-446-8416"</f>
        <v>765-446-8416</v>
      </c>
      <c r="G1587" s="3">
        <v>423990</v>
      </c>
      <c r="H1587" s="3" t="s">
        <v>983</v>
      </c>
    </row>
    <row r="1588" spans="1:8" ht="26.25" x14ac:dyDescent="0.25">
      <c r="A1588" s="3" t="s">
        <v>4996</v>
      </c>
      <c r="B1588" s="3"/>
      <c r="C1588" s="3" t="str">
        <f>"commercial printing, mailing and fulfillment"</f>
        <v>commercial printing, mailing and fulfillment</v>
      </c>
      <c r="D1588" s="3" t="s">
        <v>4997</v>
      </c>
      <c r="E1588" s="3" t="s">
        <v>4998</v>
      </c>
      <c r="F1588" s="3" t="str">
        <f>"317-243-4300"</f>
        <v>317-243-4300</v>
      </c>
      <c r="G1588" s="3">
        <v>3231</v>
      </c>
      <c r="H1588" s="3" t="s">
        <v>302</v>
      </c>
    </row>
    <row r="1589" spans="1:8" ht="192" x14ac:dyDescent="0.25">
      <c r="A1589" s="3" t="s">
        <v>4999</v>
      </c>
      <c r="B1589" s="3"/>
      <c r="C1589" s="3" t="s">
        <v>5000</v>
      </c>
      <c r="D1589" s="3" t="s">
        <v>5001</v>
      </c>
      <c r="E1589" s="3" t="s">
        <v>5002</v>
      </c>
      <c r="F1589" s="3" t="str">
        <f>"317-694-5965"</f>
        <v>317-694-5965</v>
      </c>
      <c r="G1589" s="3">
        <v>611699</v>
      </c>
      <c r="H1589" s="3" t="s">
        <v>2136</v>
      </c>
    </row>
    <row r="1590" spans="1:8" ht="77.25" x14ac:dyDescent="0.25">
      <c r="A1590" s="3" t="s">
        <v>5003</v>
      </c>
      <c r="B1590" s="3"/>
      <c r="C1590" s="3" t="str">
        <f>"Architectural and engineering services for commercial buildings, factories, churches, residences. Engineering services for architectural firms. Finite element analysis of complex structures. Sustainable design (green architecture) of buildings."</f>
        <v>Architectural and engineering services for commercial buildings, factories, churches, residences. Engineering services for architectural firms. Finite element analysis of complex structures. Sustainable design (green architecture) of buildings.</v>
      </c>
      <c r="D1590" s="3" t="s">
        <v>5004</v>
      </c>
      <c r="E1590" s="3" t="s">
        <v>5005</v>
      </c>
      <c r="F1590" s="3" t="str">
        <f>"(765) 674-2191"</f>
        <v>(765) 674-2191</v>
      </c>
      <c r="G1590" s="3">
        <v>541330</v>
      </c>
      <c r="H1590" s="3" t="s">
        <v>82</v>
      </c>
    </row>
    <row r="1591" spans="1:8" ht="243" x14ac:dyDescent="0.25">
      <c r="A1591" s="3" t="s">
        <v>5006</v>
      </c>
      <c r="B1591" s="3"/>
      <c r="C1591" s="3" t="s">
        <v>5007</v>
      </c>
      <c r="D1591" s="3" t="s">
        <v>5008</v>
      </c>
      <c r="E1591" s="3" t="s">
        <v>5009</v>
      </c>
      <c r="F1591" s="3" t="str">
        <f>"765-361-6805"</f>
        <v>765-361-6805</v>
      </c>
      <c r="G1591" s="3">
        <v>453998</v>
      </c>
      <c r="H1591" s="3" t="s">
        <v>112</v>
      </c>
    </row>
    <row r="1592" spans="1:8" ht="192" x14ac:dyDescent="0.25">
      <c r="A1592" s="3" t="s">
        <v>5010</v>
      </c>
      <c r="B1592" s="3"/>
      <c r="C1592" s="3" t="s">
        <v>5011</v>
      </c>
      <c r="D1592" s="3" t="s">
        <v>5012</v>
      </c>
      <c r="E1592" s="3" t="s">
        <v>5013</v>
      </c>
      <c r="F1592" s="3" t="str">
        <f>"317-702-6134"</f>
        <v>317-702-6134</v>
      </c>
      <c r="G1592" s="3">
        <v>425110</v>
      </c>
      <c r="H1592" s="3" t="s">
        <v>5014</v>
      </c>
    </row>
    <row r="1593" spans="1:8" ht="102.75" x14ac:dyDescent="0.25">
      <c r="A1593" s="3" t="s">
        <v>5015</v>
      </c>
      <c r="B1593" s="3"/>
      <c r="C1593" s="3" t="s">
        <v>5016</v>
      </c>
      <c r="D1593" s="3" t="s">
        <v>5017</v>
      </c>
      <c r="E1593" s="3" t="s">
        <v>5018</v>
      </c>
      <c r="F1593" s="3" t="str">
        <f>"317-713-7777"</f>
        <v>317-713-7777</v>
      </c>
      <c r="G1593" s="3">
        <v>541519</v>
      </c>
      <c r="H1593" s="3" t="s">
        <v>898</v>
      </c>
    </row>
    <row r="1594" spans="1:8" ht="102.75" x14ac:dyDescent="0.25">
      <c r="A1594" s="3" t="s">
        <v>5019</v>
      </c>
      <c r="B1594" s="3"/>
      <c r="C1594" s="3" t="s">
        <v>5020</v>
      </c>
      <c r="D1594" s="3" t="s">
        <v>5021</v>
      </c>
      <c r="E1594" s="3" t="s">
        <v>5022</v>
      </c>
      <c r="F1594" s="3" t="str">
        <f>"317-459-9483"</f>
        <v>317-459-9483</v>
      </c>
      <c r="G1594" s="3">
        <v>541512</v>
      </c>
      <c r="H1594" s="3" t="s">
        <v>19</v>
      </c>
    </row>
    <row r="1595" spans="1:8" ht="39" x14ac:dyDescent="0.25">
      <c r="A1595" s="3" t="s">
        <v>5023</v>
      </c>
      <c r="B1595" s="3"/>
      <c r="C1595" s="3" t="str">
        <f>"Investment of bond proceeds Cash management Money Market Fund management"</f>
        <v>Investment of bond proceeds Cash management Money Market Fund management</v>
      </c>
      <c r="D1595" s="3" t="s">
        <v>9</v>
      </c>
      <c r="E1595" s="3" t="s">
        <v>5024</v>
      </c>
      <c r="F1595" s="3" t="str">
        <f>"317-844-8077"</f>
        <v>317-844-8077</v>
      </c>
      <c r="G1595" s="3">
        <v>52392</v>
      </c>
      <c r="H1595" s="3" t="s">
        <v>5025</v>
      </c>
    </row>
    <row r="1596" spans="1:8" ht="64.5" x14ac:dyDescent="0.25">
      <c r="A1596" s="3" t="s">
        <v>5026</v>
      </c>
      <c r="B1596" s="3"/>
      <c r="C1596" s="3" t="str">
        <f>"We specialize in product identification, labels, tags, decals, printed plastics and metals. We also supply many customers with all of their printed forms and literature."</f>
        <v>We specialize in product identification, labels, tags, decals, printed plastics and metals. We also supply many customers with all of their printed forms and literature.</v>
      </c>
      <c r="D1596" s="3" t="s">
        <v>5027</v>
      </c>
      <c r="E1596" s="3" t="s">
        <v>5028</v>
      </c>
      <c r="F1596" s="3" t="str">
        <f>"317-791-1956"</f>
        <v>317-791-1956</v>
      </c>
      <c r="G1596" s="3">
        <v>323</v>
      </c>
      <c r="H1596" s="3" t="s">
        <v>302</v>
      </c>
    </row>
    <row r="1597" spans="1:8" ht="141" x14ac:dyDescent="0.25">
      <c r="A1597" s="3" t="s">
        <v>5029</v>
      </c>
      <c r="B1597" s="3"/>
      <c r="C1597" s="3" t="s">
        <v>5030</v>
      </c>
      <c r="D1597" s="3" t="s">
        <v>5031</v>
      </c>
      <c r="E1597" s="3" t="s">
        <v>5032</v>
      </c>
      <c r="F1597" s="3" t="str">
        <f>"317-845-1111"</f>
        <v>317-845-1111</v>
      </c>
      <c r="G1597" s="3">
        <v>423490</v>
      </c>
      <c r="H1597" s="3" t="s">
        <v>1510</v>
      </c>
    </row>
    <row r="1598" spans="1:8" ht="39" x14ac:dyDescent="0.25">
      <c r="A1598" s="3" t="s">
        <v>5033</v>
      </c>
      <c r="B1598" s="3"/>
      <c r="C1598" s="3" t="str">
        <f>"A woman-owned commercial Architecture and Interior Design firm based in Terre Haute, IN."</f>
        <v>A woman-owned commercial Architecture and Interior Design firm based in Terre Haute, IN.</v>
      </c>
      <c r="D1598" s="3" t="s">
        <v>5034</v>
      </c>
      <c r="E1598" s="3" t="s">
        <v>5035</v>
      </c>
      <c r="F1598" s="3" t="str">
        <f>"812-878-0315"</f>
        <v>812-878-0315</v>
      </c>
      <c r="G1598" s="3">
        <v>541310</v>
      </c>
      <c r="H1598" s="3" t="s">
        <v>446</v>
      </c>
    </row>
    <row r="1599" spans="1:8" ht="39" x14ac:dyDescent="0.25">
      <c r="A1599" s="3" t="s">
        <v>5036</v>
      </c>
      <c r="B1599" s="3"/>
      <c r="C1599" s="3" t="str">
        <f>"BOTTLED WATER SALES AND SERVICE. WE ALSO OFFER A CUSTOMIZED LABEL FOR YOUR SPECIFIC EVENT IN AN ARRAY OF SIZES"</f>
        <v>BOTTLED WATER SALES AND SERVICE. WE ALSO OFFER A CUSTOMIZED LABEL FOR YOUR SPECIFIC EVENT IN AN ARRAY OF SIZES</v>
      </c>
      <c r="D1599" s="3" t="s">
        <v>5037</v>
      </c>
      <c r="E1599" s="3" t="s">
        <v>46</v>
      </c>
      <c r="F1599" s="3" t="str">
        <f>"574-272-0273"</f>
        <v>574-272-0273</v>
      </c>
      <c r="G1599" s="3">
        <v>454390</v>
      </c>
      <c r="H1599" s="3" t="s">
        <v>1348</v>
      </c>
    </row>
    <row r="1600" spans="1:8" ht="26.25" x14ac:dyDescent="0.25">
      <c r="A1600" s="3" t="s">
        <v>5038</v>
      </c>
      <c r="B1600" s="3"/>
      <c r="C1600" s="3" t="str">
        <f>"We provide Software Design and Programming services."</f>
        <v>We provide Software Design and Programming services.</v>
      </c>
      <c r="D1600" s="3" t="s">
        <v>5039</v>
      </c>
      <c r="E1600" s="3" t="s">
        <v>46</v>
      </c>
      <c r="F1600" s="3" t="str">
        <f>"919-719-7209"</f>
        <v>919-719-7209</v>
      </c>
      <c r="G1600" s="3">
        <v>5415</v>
      </c>
      <c r="H1600" s="3" t="s">
        <v>188</v>
      </c>
    </row>
    <row r="1601" spans="1:8" ht="51.75" x14ac:dyDescent="0.25">
      <c r="A1601" s="3" t="s">
        <v>5040</v>
      </c>
      <c r="B1601" s="3"/>
      <c r="C1601" s="3" t="str">
        <f>"General contracting: Medical offices, medical care facilities, hospitals, air port support facilities, warehousing and office buildings"</f>
        <v>General contracting: Medical offices, medical care facilities, hospitals, air port support facilities, warehousing and office buildings</v>
      </c>
      <c r="D1601" s="3" t="s">
        <v>5041</v>
      </c>
      <c r="E1601" s="3" t="s">
        <v>5042</v>
      </c>
      <c r="F1601" s="3" t="str">
        <f>"317-509-1542"</f>
        <v>317-509-1542</v>
      </c>
      <c r="G1601" s="3">
        <v>236220</v>
      </c>
      <c r="H1601" s="3" t="s">
        <v>598</v>
      </c>
    </row>
    <row r="1602" spans="1:8" ht="141" x14ac:dyDescent="0.25">
      <c r="A1602" s="3" t="s">
        <v>5043</v>
      </c>
      <c r="B1602" s="3"/>
      <c r="C1602" s="3" t="s">
        <v>5044</v>
      </c>
      <c r="D1602" s="3" t="s">
        <v>5045</v>
      </c>
      <c r="E1602" s="3" t="s">
        <v>5046</v>
      </c>
      <c r="F1602" s="3" t="str">
        <f>"(312) 444-2760"</f>
        <v>(312) 444-2760</v>
      </c>
      <c r="G1602" s="3">
        <v>5415</v>
      </c>
      <c r="H1602" s="3" t="s">
        <v>188</v>
      </c>
    </row>
    <row r="1603" spans="1:8" ht="39" x14ac:dyDescent="0.25">
      <c r="A1603" s="3" t="s">
        <v>5047</v>
      </c>
      <c r="B1603" s="3"/>
      <c r="C1603" s="3" t="str">
        <f>"Computer software for judicial case management, land records management and community corrections case management"</f>
        <v>Computer software for judicial case management, land records management and community corrections case management</v>
      </c>
      <c r="D1603" s="3" t="s">
        <v>5048</v>
      </c>
      <c r="E1603" s="3" t="s">
        <v>5049</v>
      </c>
      <c r="F1603" s="3" t="str">
        <f>"317 913 4160"</f>
        <v>317 913 4160</v>
      </c>
      <c r="G1603" s="3">
        <v>541512</v>
      </c>
      <c r="H1603" s="3" t="s">
        <v>19</v>
      </c>
    </row>
    <row r="1604" spans="1:8" ht="26.25" x14ac:dyDescent="0.25">
      <c r="A1604" s="3" t="s">
        <v>5050</v>
      </c>
      <c r="B1604" s="3"/>
      <c r="C1604" s="3" t="str">
        <f>"Directional Drilling placing underground utilities, services and pipes"</f>
        <v>Directional Drilling placing underground utilities, services and pipes</v>
      </c>
      <c r="D1604" s="3" t="s">
        <v>9</v>
      </c>
      <c r="E1604" s="3" t="s">
        <v>46</v>
      </c>
      <c r="F1604" s="3" t="str">
        <f>"317/972-0802"</f>
        <v>317/972-0802</v>
      </c>
      <c r="G1604" s="3">
        <v>238910</v>
      </c>
      <c r="H1604" s="3" t="s">
        <v>886</v>
      </c>
    </row>
    <row r="1605" spans="1:8" x14ac:dyDescent="0.25">
      <c r="A1605" s="3" t="s">
        <v>5051</v>
      </c>
      <c r="B1605" s="3"/>
      <c r="C1605" s="3" t="str">
        <f>" "</f>
        <v xml:space="preserve"> </v>
      </c>
      <c r="D1605" s="3" t="s">
        <v>9</v>
      </c>
      <c r="E1605" s="3" t="s">
        <v>46</v>
      </c>
      <c r="F1605" s="2"/>
      <c r="G1605" s="3">
        <v>611110</v>
      </c>
      <c r="H1605" s="3" t="s">
        <v>3876</v>
      </c>
    </row>
    <row r="1606" spans="1:8" x14ac:dyDescent="0.25">
      <c r="A1606" s="3" t="s">
        <v>5052</v>
      </c>
      <c r="B1606" s="3"/>
      <c r="C1606" s="3" t="str">
        <f>" "</f>
        <v xml:space="preserve"> </v>
      </c>
      <c r="D1606" s="3" t="s">
        <v>9</v>
      </c>
      <c r="E1606" s="3" t="s">
        <v>46</v>
      </c>
      <c r="F1606" s="2"/>
      <c r="G1606" s="3">
        <v>611110</v>
      </c>
      <c r="H1606" s="3" t="s">
        <v>3876</v>
      </c>
    </row>
    <row r="1607" spans="1:8" x14ac:dyDescent="0.25">
      <c r="A1607" s="3" t="s">
        <v>5053</v>
      </c>
      <c r="B1607" s="3"/>
      <c r="C1607" s="3" t="str">
        <f>" "</f>
        <v xml:space="preserve"> </v>
      </c>
      <c r="D1607" s="3" t="s">
        <v>9</v>
      </c>
      <c r="E1607" s="3" t="s">
        <v>46</v>
      </c>
      <c r="F1607" s="2"/>
      <c r="G1607" s="3">
        <v>611110</v>
      </c>
      <c r="H1607" s="3" t="s">
        <v>3876</v>
      </c>
    </row>
    <row r="1608" spans="1:8" ht="64.5" x14ac:dyDescent="0.25">
      <c r="A1608" s="3" t="s">
        <v>5054</v>
      </c>
      <c r="B1608" s="3"/>
      <c r="C1608" s="3" t="str">
        <f>"We developed Proteus which offers converged voice and data analysis and reporting in a single web browser interface, integrating wireline, cellular , internet and email management."</f>
        <v>We developed Proteus which offers converged voice and data analysis and reporting in a single web browser interface, integrating wireline, cellular , internet and email management.</v>
      </c>
      <c r="D1608" s="3" t="s">
        <v>5055</v>
      </c>
      <c r="E1608" s="3" t="s">
        <v>5056</v>
      </c>
      <c r="F1608" s="3" t="str">
        <f>"317-262-4503"</f>
        <v>317-262-4503</v>
      </c>
      <c r="G1608" s="3">
        <v>5112</v>
      </c>
      <c r="H1608" s="3" t="s">
        <v>315</v>
      </c>
    </row>
    <row r="1609" spans="1:8" ht="115.5" x14ac:dyDescent="0.25">
      <c r="A1609" s="3" t="s">
        <v>5057</v>
      </c>
      <c r="B1609" s="3"/>
      <c r="C1609" s="3" t="s">
        <v>5058</v>
      </c>
      <c r="D1609" s="3" t="s">
        <v>5059</v>
      </c>
      <c r="E1609" s="3" t="s">
        <v>5060</v>
      </c>
      <c r="F1609" s="3" t="str">
        <f>"800-428-3004"</f>
        <v>800-428-3004</v>
      </c>
      <c r="G1609" s="3">
        <v>423610</v>
      </c>
      <c r="H1609" s="3" t="s">
        <v>2414</v>
      </c>
    </row>
    <row r="1610" spans="1:8" ht="39" x14ac:dyDescent="0.25">
      <c r="A1610" s="3" t="s">
        <v>5061</v>
      </c>
      <c r="B1610" s="3"/>
      <c r="C1610" s="3" t="str">
        <f>"Full line lighting distributor selling lamps(bulbs), ballasts, fixtures, lenses, exit signs, etc."</f>
        <v>Full line lighting distributor selling lamps(bulbs), ballasts, fixtures, lenses, exit signs, etc.</v>
      </c>
      <c r="D1610" s="3" t="s">
        <v>5062</v>
      </c>
      <c r="E1610" s="3" t="s">
        <v>5063</v>
      </c>
      <c r="F1610" s="3" t="str">
        <f>"(317)471-1129"</f>
        <v>(317)471-1129</v>
      </c>
      <c r="G1610" s="3">
        <v>423610</v>
      </c>
      <c r="H1610" s="3" t="s">
        <v>2414</v>
      </c>
    </row>
    <row r="1611" spans="1:8" ht="39" x14ac:dyDescent="0.25">
      <c r="A1611" s="3" t="s">
        <v>5064</v>
      </c>
      <c r="B1611" s="3"/>
      <c r="C1611" s="3" t="str">
        <f>"community mental health center providing behavioral health services to central and west central Indiana"</f>
        <v>community mental health center providing behavioral health services to central and west central Indiana</v>
      </c>
      <c r="D1611" s="3" t="s">
        <v>5065</v>
      </c>
      <c r="E1611" s="3" t="s">
        <v>46</v>
      </c>
      <c r="F1611" s="3" t="str">
        <f>"317-745-9555"</f>
        <v>317-745-9555</v>
      </c>
      <c r="G1611" s="3">
        <v>62133</v>
      </c>
      <c r="H1611" s="3" t="s">
        <v>2643</v>
      </c>
    </row>
    <row r="1612" spans="1:8" ht="26.25" x14ac:dyDescent="0.25">
      <c r="A1612" s="3" t="s">
        <v>5066</v>
      </c>
      <c r="B1612" s="3"/>
      <c r="C1612" s="3" t="str">
        <f>"ELECTRICAL REBUILDER OF STARTERS &amp; ALTERNATORS"</f>
        <v>ELECTRICAL REBUILDER OF STARTERS &amp; ALTERNATORS</v>
      </c>
      <c r="D1612" s="3" t="s">
        <v>9</v>
      </c>
      <c r="E1612" s="3" t="s">
        <v>5067</v>
      </c>
      <c r="F1612" s="3" t="str">
        <f>"812 422-6715"</f>
        <v>812 422-6715</v>
      </c>
      <c r="G1612" s="3">
        <v>81111</v>
      </c>
      <c r="H1612" s="3" t="s">
        <v>96</v>
      </c>
    </row>
    <row r="1613" spans="1:8" ht="64.5" x14ac:dyDescent="0.25">
      <c r="A1613" s="3" t="s">
        <v>5068</v>
      </c>
      <c r="B1613" s="3"/>
      <c r="C1613" s="3" t="str">
        <f>"WE CURENTLY DO TREE WORK RIGHTofWAY CLEARING etc.WILL MANAGE TREES IN PARKS ROADSIDE etc.ALSO DO UTILITY LINE TRIMMING &amp; MANAGEING. ALL CERTIFICATIONS ARE IN TACT."</f>
        <v>WE CURENTLY DO TREE WORK RIGHTofWAY CLEARING etc.WILL MANAGE TREES IN PARKS ROADSIDE etc.ALSO DO UTILITY LINE TRIMMING &amp; MANAGEING. ALL CERTIFICATIONS ARE IN TACT.</v>
      </c>
      <c r="D1613" s="3" t="s">
        <v>9</v>
      </c>
      <c r="E1613" s="3" t="s">
        <v>46</v>
      </c>
      <c r="F1613" s="3" t="str">
        <f>"574=536-0297"</f>
        <v>574=536-0297</v>
      </c>
      <c r="G1613" s="3">
        <v>113</v>
      </c>
      <c r="H1613" s="3" t="s">
        <v>4581</v>
      </c>
    </row>
    <row r="1614" spans="1:8" ht="39" x14ac:dyDescent="0.25">
      <c r="A1614" s="3" t="s">
        <v>5069</v>
      </c>
      <c r="B1614" s="3"/>
      <c r="C1614" s="3" t="str">
        <f>"CaShunda Distributors LLC, distributes food products to major grocery store chains and small grocery store chains."</f>
        <v>CaShunda Distributors LLC, distributes food products to major grocery store chains and small grocery store chains.</v>
      </c>
      <c r="D1614" s="3" t="s">
        <v>9</v>
      </c>
      <c r="E1614" s="3" t="s">
        <v>5070</v>
      </c>
      <c r="F1614" s="3" t="str">
        <f>"219-365-1919"</f>
        <v>219-365-1919</v>
      </c>
      <c r="G1614" s="3">
        <v>454390</v>
      </c>
      <c r="H1614" s="3" t="s">
        <v>1348</v>
      </c>
    </row>
    <row r="1615" spans="1:8" ht="306.75" x14ac:dyDescent="0.25">
      <c r="A1615" s="3" t="s">
        <v>5071</v>
      </c>
      <c r="B1615" s="3"/>
      <c r="C1615" s="3" t="s">
        <v>5072</v>
      </c>
      <c r="D1615" s="3" t="s">
        <v>5073</v>
      </c>
      <c r="E1615" s="3" t="s">
        <v>46</v>
      </c>
      <c r="F1615" s="3" t="str">
        <f>"317-209-9991"</f>
        <v>317-209-9991</v>
      </c>
      <c r="G1615" s="3">
        <v>5418</v>
      </c>
      <c r="H1615" s="3" t="s">
        <v>1337</v>
      </c>
    </row>
    <row r="1616" spans="1:8" ht="39" x14ac:dyDescent="0.25">
      <c r="A1616" s="3" t="s">
        <v>5074</v>
      </c>
      <c r="B1616" s="3"/>
      <c r="C1616" s="3" t="str">
        <f>"We offer quality cables, hardware and more, for less! Consider us for all of your cabling needs."</f>
        <v>We offer quality cables, hardware and more, for less! Consider us for all of your cabling needs.</v>
      </c>
      <c r="D1616" s="3" t="s">
        <v>5075</v>
      </c>
      <c r="E1616" s="3" t="s">
        <v>5076</v>
      </c>
      <c r="F1616" s="3" t="str">
        <f>"8002739556"</f>
        <v>8002739556</v>
      </c>
      <c r="G1616" s="3">
        <v>454111</v>
      </c>
      <c r="H1616" s="3" t="s">
        <v>492</v>
      </c>
    </row>
    <row r="1617" spans="1:8" ht="64.5" x14ac:dyDescent="0.25">
      <c r="A1617" s="3" t="s">
        <v>5077</v>
      </c>
      <c r="B1617" s="3"/>
      <c r="C1617" s="3" t="str">
        <f>"Audio and video production services, web site design, marketing consultation, duplication, radio and television commercials, training and elearning production and design services."</f>
        <v>Audio and video production services, web site design, marketing consultation, duplication, radio and television commercials, training and elearning production and design services.</v>
      </c>
      <c r="D1617" s="3" t="s">
        <v>5078</v>
      </c>
      <c r="E1617" s="3" t="s">
        <v>5079</v>
      </c>
      <c r="F1617" s="3" t="str">
        <f>"317-545-5165"</f>
        <v>317-545-5165</v>
      </c>
      <c r="G1617" s="3">
        <v>5418</v>
      </c>
      <c r="H1617" s="3" t="s">
        <v>1337</v>
      </c>
    </row>
    <row r="1618" spans="1:8" ht="268.5" x14ac:dyDescent="0.25">
      <c r="A1618" s="3" t="s">
        <v>5080</v>
      </c>
      <c r="B1618" s="3"/>
      <c r="C1618" s="3" t="s">
        <v>5081</v>
      </c>
      <c r="D1618" s="3" t="s">
        <v>5082</v>
      </c>
      <c r="E1618" s="3" t="s">
        <v>5083</v>
      </c>
      <c r="F1618" s="3" t="str">
        <f>"317-663-3043"</f>
        <v>317-663-3043</v>
      </c>
      <c r="G1618" s="3">
        <v>541511</v>
      </c>
      <c r="H1618" s="3" t="s">
        <v>122</v>
      </c>
    </row>
    <row r="1619" spans="1:8" x14ac:dyDescent="0.25">
      <c r="A1619" s="3" t="s">
        <v>5084</v>
      </c>
      <c r="B1619" s="3"/>
      <c r="C1619" s="3" t="str">
        <f>" "</f>
        <v xml:space="preserve"> </v>
      </c>
      <c r="D1619" s="3" t="s">
        <v>9</v>
      </c>
      <c r="E1619" s="3" t="s">
        <v>5085</v>
      </c>
      <c r="F1619" s="2"/>
      <c r="G1619" s="3">
        <v>541340</v>
      </c>
      <c r="H1619" s="3" t="s">
        <v>4040</v>
      </c>
    </row>
    <row r="1620" spans="1:8" ht="51.75" x14ac:dyDescent="0.25">
      <c r="A1620" s="3" t="s">
        <v>5086</v>
      </c>
      <c r="B1620" s="3"/>
      <c r="C1620" s="3" t="str">
        <f>"Painting and wall covering contractor. Additionally offering maintenance and residential and commercial contracting services"</f>
        <v>Painting and wall covering contractor. Additionally offering maintenance and residential and commercial contracting services</v>
      </c>
      <c r="D1620" s="3" t="s">
        <v>9</v>
      </c>
      <c r="E1620" s="3" t="s">
        <v>5087</v>
      </c>
      <c r="F1620" s="3" t="str">
        <f>"317-782-1800"</f>
        <v>317-782-1800</v>
      </c>
      <c r="G1620" s="3">
        <v>238320</v>
      </c>
      <c r="H1620" s="3" t="s">
        <v>462</v>
      </c>
    </row>
    <row r="1621" spans="1:8" ht="51.75" x14ac:dyDescent="0.25">
      <c r="A1621" s="3" t="s">
        <v>5088</v>
      </c>
      <c r="B1621" s="3"/>
      <c r="C1621" s="3" t="str">
        <f>"Cafe offering food &amp; beverage. Gourmet coffee, cappuccino, &amp; other specialty beverages. Sandwiches, pastries, bagels, muffins &amp; salads."</f>
        <v>Cafe offering food &amp; beverage. Gourmet coffee, cappuccino, &amp; other specialty beverages. Sandwiches, pastries, bagels, muffins &amp; salads.</v>
      </c>
      <c r="D1621" s="3" t="s">
        <v>9</v>
      </c>
      <c r="E1621" s="3" t="s">
        <v>46</v>
      </c>
      <c r="F1621" s="2"/>
      <c r="G1621" s="3">
        <v>722213</v>
      </c>
      <c r="H1621" s="3" t="s">
        <v>3399</v>
      </c>
    </row>
    <row r="1622" spans="1:8" ht="51.75" x14ac:dyDescent="0.25">
      <c r="A1622" s="3" t="s">
        <v>5089</v>
      </c>
      <c r="B1622" s="3"/>
      <c r="C1622" s="3" t="str">
        <f>"Cafe offering food &amp; beverage. Gourmet coffee, cappuccino, &amp; other specialty beverages. Sandwiches, pastries, bagels, muffins &amp; salads."</f>
        <v>Cafe offering food &amp; beverage. Gourmet coffee, cappuccino, &amp; other specialty beverages. Sandwiches, pastries, bagels, muffins &amp; salads.</v>
      </c>
      <c r="D1622" s="3" t="s">
        <v>9</v>
      </c>
      <c r="E1622" s="3" t="s">
        <v>46</v>
      </c>
      <c r="F1622" s="2"/>
      <c r="G1622" s="3">
        <v>722213</v>
      </c>
      <c r="H1622" s="3" t="s">
        <v>3399</v>
      </c>
    </row>
    <row r="1623" spans="1:8" ht="26.25" x14ac:dyDescent="0.25">
      <c r="A1623" s="3" t="s">
        <v>5090</v>
      </c>
      <c r="B1623" s="3"/>
      <c r="C1623" s="3" t="str">
        <f>"Complete sign shop"</f>
        <v>Complete sign shop</v>
      </c>
      <c r="D1623" s="3" t="s">
        <v>5091</v>
      </c>
      <c r="E1623" s="3" t="s">
        <v>5092</v>
      </c>
      <c r="F1623" s="3" t="str">
        <f>"765-679-5448"</f>
        <v>765-679-5448</v>
      </c>
      <c r="G1623" s="3">
        <v>339950</v>
      </c>
      <c r="H1623" s="3" t="s">
        <v>68</v>
      </c>
    </row>
    <row r="1624" spans="1:8" ht="115.5" x14ac:dyDescent="0.25">
      <c r="A1624" s="3" t="s">
        <v>5093</v>
      </c>
      <c r="B1624" s="3"/>
      <c r="C1624" s="3" t="s">
        <v>5094</v>
      </c>
      <c r="D1624" s="3" t="s">
        <v>5095</v>
      </c>
      <c r="E1624" s="3" t="s">
        <v>5096</v>
      </c>
      <c r="F1624" s="3" t="str">
        <f>"812.331.1045"</f>
        <v>812.331.1045</v>
      </c>
      <c r="G1624" s="3">
        <v>54143</v>
      </c>
      <c r="H1624" s="3" t="s">
        <v>78</v>
      </c>
    </row>
    <row r="1625" spans="1:8" ht="26.25" x14ac:dyDescent="0.25">
      <c r="A1625" s="3" t="s">
        <v>5097</v>
      </c>
      <c r="B1625" s="3"/>
      <c r="C1625" s="3" t="str">
        <f>"Industrial/commercial general contractor"</f>
        <v>Industrial/commercial general contractor</v>
      </c>
      <c r="D1625" s="3" t="s">
        <v>5098</v>
      </c>
      <c r="E1625" s="3" t="s">
        <v>5099</v>
      </c>
      <c r="F1625" s="3" t="str">
        <f>"317-422-8662"</f>
        <v>317-422-8662</v>
      </c>
      <c r="G1625" s="3">
        <v>236220</v>
      </c>
      <c r="H1625" s="3" t="s">
        <v>598</v>
      </c>
    </row>
    <row r="1626" spans="1:8" x14ac:dyDescent="0.25">
      <c r="A1626" s="3" t="s">
        <v>5100</v>
      </c>
      <c r="B1626" s="3"/>
      <c r="C1626" s="3" t="str">
        <f>" "</f>
        <v xml:space="preserve"> </v>
      </c>
      <c r="D1626" s="3" t="s">
        <v>9</v>
      </c>
      <c r="E1626" s="3" t="s">
        <v>46</v>
      </c>
      <c r="F1626" s="2"/>
      <c r="G1626" s="3">
        <v>522291</v>
      </c>
      <c r="H1626" s="3" t="s">
        <v>1966</v>
      </c>
    </row>
    <row r="1627" spans="1:8" ht="243" x14ac:dyDescent="0.25">
      <c r="A1627" s="3" t="s">
        <v>5101</v>
      </c>
      <c r="B1627" s="3"/>
      <c r="C1627" s="3" t="s">
        <v>5102</v>
      </c>
      <c r="D1627" s="3" t="s">
        <v>5103</v>
      </c>
      <c r="E1627" s="3" t="s">
        <v>5104</v>
      </c>
      <c r="F1627" s="3" t="str">
        <f>"317-632-6501"</f>
        <v>317-632-6501</v>
      </c>
      <c r="G1627" s="3">
        <v>5418</v>
      </c>
      <c r="H1627" s="3" t="s">
        <v>1337</v>
      </c>
    </row>
    <row r="1628" spans="1:8" ht="153.75" x14ac:dyDescent="0.25">
      <c r="A1628" s="3" t="s">
        <v>5105</v>
      </c>
      <c r="B1628" s="3"/>
      <c r="C1628" s="3" t="s">
        <v>5106</v>
      </c>
      <c r="D1628" s="3" t="s">
        <v>5107</v>
      </c>
      <c r="E1628" s="3" t="s">
        <v>5108</v>
      </c>
      <c r="F1628" s="3" t="str">
        <f>"260-484-4500"</f>
        <v>260-484-4500</v>
      </c>
      <c r="G1628" s="3">
        <v>326</v>
      </c>
      <c r="H1628" s="3" t="s">
        <v>3608</v>
      </c>
    </row>
    <row r="1629" spans="1:8" ht="51.75" x14ac:dyDescent="0.25">
      <c r="A1629" s="3" t="s">
        <v>5109</v>
      </c>
      <c r="B1629" s="3"/>
      <c r="C1629" s="3" t="str">
        <f>"CDG is a wholesale distributor of general industrial supplies such as abrasives, hand tools, ladders, shovels, fasteners, power and air tools, etc."</f>
        <v>CDG is a wholesale distributor of general industrial supplies such as abrasives, hand tools, ladders, shovels, fasteners, power and air tools, etc.</v>
      </c>
      <c r="D1629" s="3" t="s">
        <v>5110</v>
      </c>
      <c r="E1629" s="3" t="s">
        <v>46</v>
      </c>
      <c r="F1629" s="3" t="str">
        <f>"219-787-9101"</f>
        <v>219-787-9101</v>
      </c>
      <c r="G1629" s="3">
        <v>425120</v>
      </c>
      <c r="H1629" s="3" t="s">
        <v>58</v>
      </c>
    </row>
    <row r="1630" spans="1:8" ht="102.75" x14ac:dyDescent="0.25">
      <c r="A1630" s="3" t="s">
        <v>5111</v>
      </c>
      <c r="B1630" s="3"/>
      <c r="C1630" s="3" t="s">
        <v>5112</v>
      </c>
      <c r="D1630" s="3" t="s">
        <v>5113</v>
      </c>
      <c r="E1630" s="3" t="s">
        <v>5114</v>
      </c>
      <c r="F1630" s="3" t="str">
        <f>"219 934-6366"</f>
        <v>219 934-6366</v>
      </c>
      <c r="G1630" s="3">
        <v>441221</v>
      </c>
      <c r="H1630" s="3" t="s">
        <v>3299</v>
      </c>
    </row>
    <row r="1631" spans="1:8" ht="64.5" x14ac:dyDescent="0.25">
      <c r="A1631" s="3" t="s">
        <v>5115</v>
      </c>
      <c r="B1631" s="3"/>
      <c r="C1631" s="3" t="str">
        <f>"Calumet Waste &amp; Recycling's primarily hauls waste and supplies dumpsters to job sites. Calumet also, hauls and recycles scrap metal. In the winter months calumet also plow snow."</f>
        <v>Calumet Waste &amp; Recycling's primarily hauls waste and supplies dumpsters to job sites. Calumet also, hauls and recycles scrap metal. In the winter months calumet also plow snow.</v>
      </c>
      <c r="D1631" s="3" t="s">
        <v>9</v>
      </c>
      <c r="E1631" s="3" t="s">
        <v>5116</v>
      </c>
      <c r="F1631" s="3" t="str">
        <f>"219-392-0345"</f>
        <v>219-392-0345</v>
      </c>
      <c r="G1631" s="3">
        <v>562111</v>
      </c>
      <c r="H1631" s="3" t="s">
        <v>1818</v>
      </c>
    </row>
    <row r="1632" spans="1:8" ht="26.25" x14ac:dyDescent="0.25">
      <c r="A1632" s="3" t="s">
        <v>5117</v>
      </c>
      <c r="B1632" s="3"/>
      <c r="C1632" s="3" t="str">
        <f>" "</f>
        <v xml:space="preserve"> </v>
      </c>
      <c r="D1632" s="3" t="s">
        <v>5118</v>
      </c>
      <c r="E1632" s="3" t="s">
        <v>5119</v>
      </c>
      <c r="F1632" s="3" t="str">
        <f>"219-923-9353"</f>
        <v>219-923-9353</v>
      </c>
      <c r="G1632" s="3">
        <v>611</v>
      </c>
      <c r="H1632" s="3" t="s">
        <v>140</v>
      </c>
    </row>
    <row r="1633" spans="1:8" ht="51.75" x14ac:dyDescent="0.25">
      <c r="A1633" s="3" t="s">
        <v>5120</v>
      </c>
      <c r="B1633" s="3"/>
      <c r="C1633" s="3" t="str">
        <f>"We provide residential real estate appraisals in the State of Indiana. We have been in business since 1987. We currently have six fully licensed appraisers."</f>
        <v>We provide residential real estate appraisals in the State of Indiana. We have been in business since 1987. We currently have six fully licensed appraisers.</v>
      </c>
      <c r="D1633" s="3" t="s">
        <v>5121</v>
      </c>
      <c r="E1633" s="3" t="s">
        <v>5122</v>
      </c>
      <c r="F1633" s="3" t="str">
        <f>"317-819-5085"</f>
        <v>317-819-5085</v>
      </c>
      <c r="G1633" s="3">
        <v>53132</v>
      </c>
      <c r="H1633" s="3" t="s">
        <v>34</v>
      </c>
    </row>
    <row r="1634" spans="1:8" ht="268.5" x14ac:dyDescent="0.25">
      <c r="A1634" s="3" t="s">
        <v>5123</v>
      </c>
      <c r="B1634" s="3"/>
      <c r="C1634" s="3" t="s">
        <v>5124</v>
      </c>
      <c r="D1634" s="3" t="s">
        <v>5125</v>
      </c>
      <c r="E1634" s="3" t="s">
        <v>5126</v>
      </c>
      <c r="F1634" s="3" t="str">
        <f>"219-972-1155"</f>
        <v>219-972-1155</v>
      </c>
      <c r="G1634" s="3">
        <v>236220</v>
      </c>
      <c r="H1634" s="3" t="s">
        <v>598</v>
      </c>
    </row>
    <row r="1635" spans="1:8" ht="77.25" x14ac:dyDescent="0.25">
      <c r="A1635" s="3" t="s">
        <v>5127</v>
      </c>
      <c r="B1635" s="3"/>
      <c r="C1635" s="3" t="s">
        <v>5128</v>
      </c>
      <c r="D1635" s="3" t="s">
        <v>9</v>
      </c>
      <c r="E1635" s="3" t="s">
        <v>5129</v>
      </c>
      <c r="F1635" s="3" t="str">
        <f>"317-632-4561"</f>
        <v>317-632-4561</v>
      </c>
      <c r="G1635" s="3">
        <v>811113</v>
      </c>
      <c r="H1635" s="3" t="s">
        <v>4727</v>
      </c>
    </row>
    <row r="1636" spans="1:8" ht="90" x14ac:dyDescent="0.25">
      <c r="A1636" s="3" t="s">
        <v>5130</v>
      </c>
      <c r="B1636" s="3"/>
      <c r="C1636" s="3" t="s">
        <v>5131</v>
      </c>
      <c r="D1636" s="3" t="s">
        <v>5132</v>
      </c>
      <c r="E1636" s="3" t="s">
        <v>5133</v>
      </c>
      <c r="F1636" s="3" t="str">
        <f>"219-736-1666"</f>
        <v>219-736-1666</v>
      </c>
      <c r="G1636" s="3">
        <v>624110</v>
      </c>
      <c r="H1636" s="3" t="s">
        <v>628</v>
      </c>
    </row>
    <row r="1637" spans="1:8" ht="192" x14ac:dyDescent="0.25">
      <c r="A1637" s="3" t="s">
        <v>5134</v>
      </c>
      <c r="B1637" s="3"/>
      <c r="C1637" s="3" t="s">
        <v>5135</v>
      </c>
      <c r="D1637" s="3" t="s">
        <v>5136</v>
      </c>
      <c r="E1637" s="3" t="s">
        <v>5137</v>
      </c>
      <c r="F1637" s="3" t="str">
        <f>"765 622 4920"</f>
        <v>765 622 4920</v>
      </c>
      <c r="G1637" s="3">
        <v>54143</v>
      </c>
      <c r="H1637" s="3" t="s">
        <v>78</v>
      </c>
    </row>
    <row r="1638" spans="1:8" ht="192" x14ac:dyDescent="0.25">
      <c r="A1638" s="3" t="s">
        <v>5138</v>
      </c>
      <c r="B1638" s="3"/>
      <c r="C1638" s="3" t="s">
        <v>5139</v>
      </c>
      <c r="D1638" s="3" t="s">
        <v>5140</v>
      </c>
      <c r="E1638" s="3" t="s">
        <v>5141</v>
      </c>
      <c r="F1638" s="3" t="str">
        <f>"317-815-0705"</f>
        <v>317-815-0705</v>
      </c>
      <c r="G1638" s="3">
        <v>238210</v>
      </c>
      <c r="H1638" s="3" t="s">
        <v>306</v>
      </c>
    </row>
    <row r="1639" spans="1:8" ht="26.25" x14ac:dyDescent="0.25">
      <c r="A1639" s="3" t="s">
        <v>5142</v>
      </c>
      <c r="B1639" s="3"/>
      <c r="C1639" s="3" t="str">
        <f>"healthcare"</f>
        <v>healthcare</v>
      </c>
      <c r="D1639" s="3" t="s">
        <v>5143</v>
      </c>
      <c r="E1639" s="3" t="s">
        <v>5144</v>
      </c>
      <c r="F1639" s="3" t="str">
        <f>"260-665-2141"</f>
        <v>260-665-2141</v>
      </c>
      <c r="G1639" s="3">
        <v>622</v>
      </c>
      <c r="H1639" s="3" t="s">
        <v>5145</v>
      </c>
    </row>
    <row r="1640" spans="1:8" ht="255.75" x14ac:dyDescent="0.25">
      <c r="A1640" s="3" t="s">
        <v>5146</v>
      </c>
      <c r="B1640" s="3"/>
      <c r="C1640" s="3" t="s">
        <v>5147</v>
      </c>
      <c r="D1640" s="3" t="s">
        <v>5148</v>
      </c>
      <c r="E1640" s="3" t="s">
        <v>46</v>
      </c>
      <c r="F1640" s="3" t="str">
        <f>"219-322-8614"</f>
        <v>219-322-8614</v>
      </c>
      <c r="G1640" s="3">
        <v>624190</v>
      </c>
      <c r="H1640" s="3" t="s">
        <v>54</v>
      </c>
    </row>
    <row r="1641" spans="1:8" ht="39" x14ac:dyDescent="0.25">
      <c r="A1641" s="3" t="s">
        <v>5149</v>
      </c>
      <c r="B1641" s="3"/>
      <c r="C1641" s="3" t="str">
        <f>"Company sales petroleum products including gasoline, diesel fuel, heating oil, and complete line of industrial fluids."</f>
        <v>Company sales petroleum products including gasoline, diesel fuel, heating oil, and complete line of industrial fluids.</v>
      </c>
      <c r="D1641" s="3" t="s">
        <v>9</v>
      </c>
      <c r="E1641" s="3" t="s">
        <v>46</v>
      </c>
      <c r="F1641" s="3" t="str">
        <f>"812-346-2316"</f>
        <v>812-346-2316</v>
      </c>
      <c r="G1641" s="3">
        <v>454311</v>
      </c>
      <c r="H1641" s="3" t="s">
        <v>5150</v>
      </c>
    </row>
    <row r="1642" spans="1:8" ht="26.25" x14ac:dyDescent="0.25">
      <c r="A1642" s="3" t="s">
        <v>5151</v>
      </c>
      <c r="B1642" s="3"/>
      <c r="C1642" s="3" t="str">
        <f>"Psychological services- psychological testing, and out-patient counseling."</f>
        <v>Psychological services- psychological testing, and out-patient counseling.</v>
      </c>
      <c r="D1642" s="3" t="s">
        <v>9</v>
      </c>
      <c r="E1642" s="3" t="s">
        <v>5152</v>
      </c>
      <c r="F1642" s="3" t="str">
        <f>"317-888-0581"</f>
        <v>317-888-0581</v>
      </c>
      <c r="G1642" s="3">
        <v>621330</v>
      </c>
      <c r="H1642" s="3" t="s">
        <v>2643</v>
      </c>
    </row>
    <row r="1643" spans="1:8" ht="204.75" x14ac:dyDescent="0.25">
      <c r="A1643" s="3" t="s">
        <v>5153</v>
      </c>
      <c r="B1643" s="3"/>
      <c r="C1643" s="3" t="s">
        <v>5154</v>
      </c>
      <c r="D1643" s="3" t="s">
        <v>5155</v>
      </c>
      <c r="E1643" s="3" t="s">
        <v>5156</v>
      </c>
      <c r="F1643" s="3" t="str">
        <f>"317-471-8277"</f>
        <v>317-471-8277</v>
      </c>
      <c r="G1643" s="3">
        <v>624110</v>
      </c>
      <c r="H1643" s="3" t="s">
        <v>628</v>
      </c>
    </row>
    <row r="1644" spans="1:8" ht="26.25" x14ac:dyDescent="0.25">
      <c r="A1644" s="3" t="s">
        <v>5157</v>
      </c>
      <c r="B1644" s="3"/>
      <c r="C1644" s="3" t="str">
        <f>"Information Technology and Enterprise Consulting"</f>
        <v>Information Technology and Enterprise Consulting</v>
      </c>
      <c r="D1644" s="3" t="s">
        <v>5158</v>
      </c>
      <c r="E1644" s="3" t="s">
        <v>5159</v>
      </c>
      <c r="F1644" s="3" t="str">
        <f>"3175788740"</f>
        <v>3175788740</v>
      </c>
      <c r="G1644" s="3">
        <v>5141</v>
      </c>
      <c r="H1644" s="3" t="s">
        <v>1097</v>
      </c>
    </row>
    <row r="1645" spans="1:8" ht="51.75" x14ac:dyDescent="0.25">
      <c r="A1645" s="3" t="s">
        <v>5160</v>
      </c>
      <c r="B1645" s="3"/>
      <c r="C1645" s="3" t="str">
        <f>"KC Enterprises provides promotional products that can be imprinted or embroidered with a slogan or logo to be used as incentives or give-aways"</f>
        <v>KC Enterprises provides promotional products that can be imprinted or embroidered with a slogan or logo to be used as incentives or give-aways</v>
      </c>
      <c r="D1645" s="3" t="s">
        <v>9</v>
      </c>
      <c r="E1645" s="3" t="s">
        <v>5161</v>
      </c>
      <c r="F1645" s="3" t="str">
        <f>"812-477-5982"</f>
        <v>812-477-5982</v>
      </c>
      <c r="G1645" s="3">
        <v>541890</v>
      </c>
      <c r="H1645" s="3" t="s">
        <v>401</v>
      </c>
    </row>
    <row r="1646" spans="1:8" ht="141" x14ac:dyDescent="0.25">
      <c r="A1646" s="3" t="s">
        <v>5162</v>
      </c>
      <c r="B1646" s="3"/>
      <c r="C1646" s="3" t="s">
        <v>5163</v>
      </c>
      <c r="D1646" s="3" t="s">
        <v>5164</v>
      </c>
      <c r="E1646" s="3" t="s">
        <v>5165</v>
      </c>
      <c r="F1646" s="3" t="str">
        <f>"317-951-0500"</f>
        <v>317-951-0500</v>
      </c>
      <c r="G1646" s="3">
        <v>532420</v>
      </c>
      <c r="H1646" s="3" t="s">
        <v>5166</v>
      </c>
    </row>
    <row r="1647" spans="1:8" ht="51.75" x14ac:dyDescent="0.25">
      <c r="A1647" s="3" t="s">
        <v>5167</v>
      </c>
      <c r="B1647" s="3"/>
      <c r="C1647" s="3" t="str">
        <f>"Private for-profit minority-owned woman business enterprise specializing in community development planning, program design and project development."</f>
        <v>Private for-profit minority-owned woman business enterprise specializing in community development planning, program design and project development.</v>
      </c>
      <c r="D1647" s="3" t="s">
        <v>9</v>
      </c>
      <c r="E1647" s="3" t="s">
        <v>5168</v>
      </c>
      <c r="F1647" s="3" t="str">
        <f>"260.580.4343"</f>
        <v>260.580.4343</v>
      </c>
      <c r="G1647" s="3">
        <v>54</v>
      </c>
      <c r="H1647" s="3" t="s">
        <v>179</v>
      </c>
    </row>
    <row r="1648" spans="1:8" ht="153.75" x14ac:dyDescent="0.25">
      <c r="A1648" s="3" t="s">
        <v>5169</v>
      </c>
      <c r="B1648" s="3"/>
      <c r="C1648" s="3" t="s">
        <v>5170</v>
      </c>
      <c r="D1648" s="3" t="s">
        <v>5171</v>
      </c>
      <c r="E1648" s="3" t="s">
        <v>5172</v>
      </c>
      <c r="F1648" s="3" t="str">
        <f>"317.475.4500"</f>
        <v>317.475.4500</v>
      </c>
      <c r="G1648" s="3">
        <v>523120</v>
      </c>
      <c r="H1648" s="3" t="s">
        <v>5173</v>
      </c>
    </row>
    <row r="1649" spans="1:8" ht="217.5" x14ac:dyDescent="0.25">
      <c r="A1649" s="3" t="s">
        <v>5174</v>
      </c>
      <c r="B1649" s="3"/>
      <c r="C1649" s="3" t="s">
        <v>5175</v>
      </c>
      <c r="D1649" s="3" t="s">
        <v>5171</v>
      </c>
      <c r="E1649" s="3" t="s">
        <v>5172</v>
      </c>
      <c r="F1649" s="3" t="str">
        <f>"317-475-4500"</f>
        <v>317-475-4500</v>
      </c>
      <c r="G1649" s="3">
        <v>523120</v>
      </c>
      <c r="H1649" s="3" t="s">
        <v>5173</v>
      </c>
    </row>
    <row r="1650" spans="1:8" ht="153.75" x14ac:dyDescent="0.25">
      <c r="A1650" s="3" t="s">
        <v>5176</v>
      </c>
      <c r="B1650" s="3"/>
      <c r="C1650" s="3" t="s">
        <v>5177</v>
      </c>
      <c r="D1650" s="3" t="s">
        <v>5178</v>
      </c>
      <c r="E1650" s="3" t="s">
        <v>5179</v>
      </c>
      <c r="F1650" s="3" t="str">
        <f>"317-813-5800"</f>
        <v>317-813-5800</v>
      </c>
      <c r="G1650" s="3">
        <v>48</v>
      </c>
      <c r="H1650" s="3" t="s">
        <v>104</v>
      </c>
    </row>
    <row r="1651" spans="1:8" ht="39" x14ac:dyDescent="0.25">
      <c r="A1651" s="3" t="s">
        <v>5180</v>
      </c>
      <c r="B1651" s="3"/>
      <c r="C1651" s="3" t="str">
        <f>"Residential/Cormercial Construction incuding but not limited to Buildings, Side Walks, and Road ways."</f>
        <v>Residential/Cormercial Construction incuding but not limited to Buildings, Side Walks, and Road ways.</v>
      </c>
      <c r="D1651" s="3" t="s">
        <v>9</v>
      </c>
      <c r="E1651" s="3" t="s">
        <v>5181</v>
      </c>
      <c r="F1651" s="3" t="str">
        <f>"317/923/2007"</f>
        <v>317/923/2007</v>
      </c>
      <c r="G1651" s="3">
        <v>23</v>
      </c>
      <c r="H1651" s="3" t="s">
        <v>133</v>
      </c>
    </row>
    <row r="1652" spans="1:8" ht="64.5" x14ac:dyDescent="0.25">
      <c r="A1652" s="3" t="s">
        <v>5182</v>
      </c>
      <c r="B1652" s="3"/>
      <c r="C1652" s="3" t="str">
        <f>"Capital Electric Inc. provides total electrical contracting for new building construction, remodel and design build, budget forecast, and maintenance support for commercial and industrial facilities."</f>
        <v>Capital Electric Inc. provides total electrical contracting for new building construction, remodel and design build, budget forecast, and maintenance support for commercial and industrial facilities.</v>
      </c>
      <c r="D1652" s="3" t="s">
        <v>9</v>
      </c>
      <c r="E1652" s="3" t="s">
        <v>46</v>
      </c>
      <c r="F1652" s="3" t="str">
        <f>"812-985-7700"</f>
        <v>812-985-7700</v>
      </c>
      <c r="G1652" s="3">
        <v>238210</v>
      </c>
      <c r="H1652" s="3" t="s">
        <v>306</v>
      </c>
    </row>
    <row r="1653" spans="1:8" ht="115.5" x14ac:dyDescent="0.25">
      <c r="A1653" s="3" t="s">
        <v>5183</v>
      </c>
      <c r="B1653" s="3"/>
      <c r="C1653" s="3" t="s">
        <v>5184</v>
      </c>
      <c r="D1653" s="3" t="s">
        <v>5185</v>
      </c>
      <c r="E1653" s="3" t="s">
        <v>5186</v>
      </c>
      <c r="F1653" s="3" t="str">
        <f>"317/240-8085"</f>
        <v>317/240-8085</v>
      </c>
      <c r="G1653" s="3">
        <v>54</v>
      </c>
      <c r="H1653" s="3" t="s">
        <v>179</v>
      </c>
    </row>
    <row r="1654" spans="1:8" ht="64.5" x14ac:dyDescent="0.25">
      <c r="A1654" s="3" t="s">
        <v>5187</v>
      </c>
      <c r="B1654" s="3"/>
      <c r="C1654" s="3" t="str">
        <f>"Sale, service and rental of contractor supplies, tools, equipment (generators, power tools, saws, core drilling equipment, trimmers, blowers, diamond and abrasive cutting materials and related equipment"</f>
        <v>Sale, service and rental of contractor supplies, tools, equipment (generators, power tools, saws, core drilling equipment, trimmers, blowers, diamond and abrasive cutting materials and related equipment</v>
      </c>
      <c r="D1654" s="3" t="s">
        <v>5188</v>
      </c>
      <c r="E1654" s="3" t="s">
        <v>5189</v>
      </c>
      <c r="F1654" s="3" t="str">
        <f>"317-876-8800"</f>
        <v>317-876-8800</v>
      </c>
      <c r="G1654" s="3">
        <v>444130</v>
      </c>
      <c r="H1654" s="3" t="s">
        <v>2597</v>
      </c>
    </row>
    <row r="1655" spans="1:8" ht="39" x14ac:dyDescent="0.25">
      <c r="A1655" s="3" t="s">
        <v>5190</v>
      </c>
      <c r="B1655" s="3"/>
      <c r="C1655" s="3" t="str">
        <f>"Manufacturing Representative. The company reps Public Safety Euipment primarily within the public sector"</f>
        <v>Manufacturing Representative. The company reps Public Safety Euipment primarily within the public sector</v>
      </c>
      <c r="D1655" s="3" t="s">
        <v>5191</v>
      </c>
      <c r="E1655" s="3" t="s">
        <v>5192</v>
      </c>
      <c r="F1655" s="3" t="str">
        <f>"317/839-50233"</f>
        <v>317/839-50233</v>
      </c>
      <c r="G1655" s="3">
        <v>3342</v>
      </c>
      <c r="H1655" s="3" t="s">
        <v>4205</v>
      </c>
    </row>
    <row r="1656" spans="1:8" ht="179.25" x14ac:dyDescent="0.25">
      <c r="A1656" s="3" t="s">
        <v>5193</v>
      </c>
      <c r="B1656" s="3"/>
      <c r="C1656" s="3" t="s">
        <v>5194</v>
      </c>
      <c r="D1656" s="3" t="s">
        <v>9</v>
      </c>
      <c r="E1656" s="3" t="s">
        <v>5195</v>
      </c>
      <c r="F1656" s="3" t="str">
        <f>"765-524-7371"</f>
        <v>765-524-7371</v>
      </c>
      <c r="G1656" s="3">
        <v>812990</v>
      </c>
      <c r="H1656" s="3" t="s">
        <v>294</v>
      </c>
    </row>
    <row r="1657" spans="1:8" ht="26.25" x14ac:dyDescent="0.25">
      <c r="A1657" s="3" t="s">
        <v>5196</v>
      </c>
      <c r="B1657" s="3"/>
      <c r="C1657" s="3" t="str">
        <f>"Heating and Air Conditioning Distributor"</f>
        <v>Heating and Air Conditioning Distributor</v>
      </c>
      <c r="D1657" s="3" t="s">
        <v>5197</v>
      </c>
      <c r="E1657" s="3" t="s">
        <v>46</v>
      </c>
      <c r="F1657" s="3" t="str">
        <f>"317-926-6061"</f>
        <v>317-926-6061</v>
      </c>
      <c r="G1657" s="3">
        <v>221330</v>
      </c>
      <c r="H1657" s="3" t="s">
        <v>5198</v>
      </c>
    </row>
    <row r="1658" spans="1:8" ht="115.5" x14ac:dyDescent="0.25">
      <c r="A1658" s="3" t="s">
        <v>5199</v>
      </c>
      <c r="B1658" s="3"/>
      <c r="C1658" s="3" t="s">
        <v>5200</v>
      </c>
      <c r="D1658" s="3" t="s">
        <v>5201</v>
      </c>
      <c r="E1658" s="3" t="s">
        <v>5202</v>
      </c>
      <c r="F1658" s="3" t="str">
        <f>"219-588-0878"</f>
        <v>219-588-0878</v>
      </c>
      <c r="G1658" s="3">
        <v>541990</v>
      </c>
      <c r="H1658" s="3" t="s">
        <v>378</v>
      </c>
    </row>
    <row r="1659" spans="1:8" ht="51.75" x14ac:dyDescent="0.25">
      <c r="A1659" s="3" t="s">
        <v>5203</v>
      </c>
      <c r="B1659" s="3"/>
      <c r="C1659" s="3" t="str">
        <f>"Cedar post manufacturing and installation; including but not limited to mailbox posts, barrier posts, fencing, bird feeders, bird feeder posts, misc. wood manufacturing."</f>
        <v>Cedar post manufacturing and installation; including but not limited to mailbox posts, barrier posts, fencing, bird feeders, bird feeder posts, misc. wood manufacturing.</v>
      </c>
      <c r="D1659" s="3" t="s">
        <v>5204</v>
      </c>
      <c r="E1659" s="3" t="s">
        <v>5205</v>
      </c>
      <c r="F1659" s="3" t="str">
        <f>"3178833725"</f>
        <v>3178833725</v>
      </c>
      <c r="G1659" s="3">
        <v>32199</v>
      </c>
      <c r="H1659" s="3" t="s">
        <v>5206</v>
      </c>
    </row>
    <row r="1660" spans="1:8" x14ac:dyDescent="0.25">
      <c r="A1660" s="3" t="s">
        <v>5207</v>
      </c>
      <c r="B1660" s="3"/>
      <c r="C1660" s="3" t="str">
        <f>"Community Restoration &amp; Family Services"</f>
        <v>Community Restoration &amp; Family Services</v>
      </c>
      <c r="D1660" s="3" t="s">
        <v>9</v>
      </c>
      <c r="E1660" s="3" t="s">
        <v>46</v>
      </c>
      <c r="F1660" s="2"/>
      <c r="G1660" s="3">
        <v>6241</v>
      </c>
      <c r="H1660" s="3" t="s">
        <v>2210</v>
      </c>
    </row>
    <row r="1661" spans="1:8" ht="153.75" x14ac:dyDescent="0.25">
      <c r="A1661" s="3" t="s">
        <v>5208</v>
      </c>
      <c r="B1661" s="3"/>
      <c r="C1661" s="3" t="s">
        <v>5209</v>
      </c>
      <c r="D1661" s="3" t="s">
        <v>5210</v>
      </c>
      <c r="E1661" s="3" t="s">
        <v>5211</v>
      </c>
      <c r="F1661" s="3" t="str">
        <f>"317-489-2000"</f>
        <v>317-489-2000</v>
      </c>
      <c r="G1661" s="3">
        <v>541611</v>
      </c>
      <c r="H1661" s="3" t="s">
        <v>278</v>
      </c>
    </row>
    <row r="1662" spans="1:8" ht="128.25" x14ac:dyDescent="0.25">
      <c r="A1662" s="3" t="s">
        <v>5212</v>
      </c>
      <c r="B1662" s="3"/>
      <c r="C1662" s="3" t="s">
        <v>5213</v>
      </c>
      <c r="D1662" s="3" t="s">
        <v>5214</v>
      </c>
      <c r="E1662" s="3" t="s">
        <v>5215</v>
      </c>
      <c r="F1662" s="3" t="str">
        <f>"219-690-1180"</f>
        <v>219-690-1180</v>
      </c>
      <c r="G1662" s="3">
        <v>541890</v>
      </c>
      <c r="H1662" s="3" t="s">
        <v>401</v>
      </c>
    </row>
    <row r="1663" spans="1:8" ht="64.5" x14ac:dyDescent="0.25">
      <c r="A1663" s="3" t="s">
        <v>5216</v>
      </c>
      <c r="B1663" s="3"/>
      <c r="C1663" s="3" t="str">
        <f>"Car Brite, Inc. is a manufacturer of reconditioning and cleaning products for the automobile, RV, and trucking industry. Many of the products we produce and sell can be used in other industries."</f>
        <v>Car Brite, Inc. is a manufacturer of reconditioning and cleaning products for the automobile, RV, and trucking industry. Many of the products we produce and sell can be used in other industries.</v>
      </c>
      <c r="D1663" s="3" t="s">
        <v>5217</v>
      </c>
      <c r="E1663" s="3" t="s">
        <v>5218</v>
      </c>
      <c r="F1663" s="3" t="str">
        <f>"317-788-9925"</f>
        <v>317-788-9925</v>
      </c>
      <c r="G1663" s="3">
        <v>325612</v>
      </c>
      <c r="H1663" s="3" t="s">
        <v>4258</v>
      </c>
    </row>
    <row r="1664" spans="1:8" ht="39" x14ac:dyDescent="0.25">
      <c r="A1664" s="3" t="s">
        <v>5219</v>
      </c>
      <c r="B1664" s="3"/>
      <c r="C1664" s="3" t="str">
        <f>"Provide solutions for office products and furniture to businesses with local support and customer service."</f>
        <v>Provide solutions for office products and furniture to businesses with local support and customer service.</v>
      </c>
      <c r="D1664" s="3" t="s">
        <v>5220</v>
      </c>
      <c r="E1664" s="3" t="s">
        <v>5221</v>
      </c>
      <c r="F1664" s="3" t="str">
        <f>"765-449-9049"</f>
        <v>765-449-9049</v>
      </c>
      <c r="G1664" s="3">
        <v>442110</v>
      </c>
      <c r="H1664" s="3" t="s">
        <v>117</v>
      </c>
    </row>
    <row r="1665" spans="1:8" ht="39" x14ac:dyDescent="0.25">
      <c r="A1665" s="3" t="s">
        <v>5222</v>
      </c>
      <c r="B1665" s="3"/>
      <c r="C1665" s="3" t="str">
        <f>"Cardinal Manufacturing Co., Inc. is Indiana's premier manufacturer of custom Architectural, Interior Signs."</f>
        <v>Cardinal Manufacturing Co., Inc. is Indiana's premier manufacturer of custom Architectural, Interior Signs.</v>
      </c>
      <c r="D1665" s="3" t="s">
        <v>5223</v>
      </c>
      <c r="E1665" s="3" t="s">
        <v>5224</v>
      </c>
      <c r="F1665" s="3" t="str">
        <f>"(317)283-4175"</f>
        <v>(317)283-4175</v>
      </c>
      <c r="G1665" s="3">
        <v>339950</v>
      </c>
      <c r="H1665" s="3" t="s">
        <v>68</v>
      </c>
    </row>
    <row r="1666" spans="1:8" ht="115.5" x14ac:dyDescent="0.25">
      <c r="A1666" s="3" t="s">
        <v>5225</v>
      </c>
      <c r="B1666" s="3"/>
      <c r="C1666" s="3" t="s">
        <v>5226</v>
      </c>
      <c r="D1666" s="3" t="s">
        <v>5220</v>
      </c>
      <c r="E1666" s="3" t="s">
        <v>5227</v>
      </c>
      <c r="F1666" s="3" t="str">
        <f>"1-888-449-9049"</f>
        <v>1-888-449-9049</v>
      </c>
      <c r="G1666" s="3">
        <v>453210</v>
      </c>
      <c r="H1666" s="3" t="s">
        <v>431</v>
      </c>
    </row>
    <row r="1667" spans="1:8" ht="179.25" x14ac:dyDescent="0.25">
      <c r="A1667" s="3" t="s">
        <v>5228</v>
      </c>
      <c r="B1667" s="3"/>
      <c r="C1667" s="3" t="s">
        <v>5229</v>
      </c>
      <c r="D1667" s="3" t="s">
        <v>5230</v>
      </c>
      <c r="E1667" s="3" t="s">
        <v>5231</v>
      </c>
      <c r="F1667" s="3" t="str">
        <f>"765-529-5808"</f>
        <v>765-529-5808</v>
      </c>
      <c r="G1667" s="3">
        <v>446110</v>
      </c>
      <c r="H1667" s="3" t="s">
        <v>3738</v>
      </c>
    </row>
    <row r="1668" spans="1:8" ht="179.25" x14ac:dyDescent="0.25">
      <c r="A1668" s="3" t="s">
        <v>5232</v>
      </c>
      <c r="B1668" s="3"/>
      <c r="C1668" s="3" t="s">
        <v>5233</v>
      </c>
      <c r="D1668" s="3" t="s">
        <v>5234</v>
      </c>
      <c r="E1668" s="3" t="s">
        <v>5235</v>
      </c>
      <c r="F1668" s="3" t="str">
        <f>"574-267-3823"</f>
        <v>574-267-3823</v>
      </c>
      <c r="G1668" s="3">
        <v>623210</v>
      </c>
      <c r="H1668" s="3" t="s">
        <v>5236</v>
      </c>
    </row>
    <row r="1669" spans="1:8" ht="51.75" x14ac:dyDescent="0.25">
      <c r="A1669" s="3" t="s">
        <v>5237</v>
      </c>
      <c r="B1669" s="3"/>
      <c r="C1669" s="3" t="str">
        <f>"Two way radio sales and service. Radio accessory sales including batteries, headsets and speaker mics. GPS tracking for truck and automobile fleets."</f>
        <v>Two way radio sales and service. Radio accessory sales including batteries, headsets and speaker mics. GPS tracking for truck and automobile fleets.</v>
      </c>
      <c r="D1669" s="3" t="s">
        <v>5238</v>
      </c>
      <c r="E1669" s="3" t="s">
        <v>5239</v>
      </c>
      <c r="F1669" s="3" t="str">
        <f>"317 577 9944"</f>
        <v>317 577 9944</v>
      </c>
      <c r="G1669" s="3">
        <v>454390</v>
      </c>
      <c r="H1669" s="3" t="s">
        <v>1348</v>
      </c>
    </row>
    <row r="1670" spans="1:8" ht="166.5" x14ac:dyDescent="0.25">
      <c r="A1670" s="3" t="s">
        <v>5240</v>
      </c>
      <c r="B1670" s="3"/>
      <c r="C1670" s="3" t="s">
        <v>5241</v>
      </c>
      <c r="D1670" s="3" t="s">
        <v>5242</v>
      </c>
      <c r="E1670" s="3" t="s">
        <v>5243</v>
      </c>
      <c r="F1670" s="2"/>
      <c r="G1670" s="3">
        <v>561210</v>
      </c>
      <c r="H1670" s="3" t="s">
        <v>1697</v>
      </c>
    </row>
    <row r="1671" spans="1:8" ht="26.25" x14ac:dyDescent="0.25">
      <c r="A1671" s="3" t="s">
        <v>5244</v>
      </c>
      <c r="B1671" s="3"/>
      <c r="C1671" s="3" t="str">
        <f>"Provide per diem and travel nurses to hospitals and state facilities."</f>
        <v>Provide per diem and travel nurses to hospitals and state facilities.</v>
      </c>
      <c r="D1671" s="3" t="s">
        <v>5245</v>
      </c>
      <c r="E1671" s="3" t="s">
        <v>5246</v>
      </c>
      <c r="F1671" s="3" t="str">
        <f>"203-782-0055"</f>
        <v>203-782-0055</v>
      </c>
      <c r="G1671" s="3">
        <v>561310</v>
      </c>
      <c r="H1671" s="3" t="s">
        <v>1720</v>
      </c>
    </row>
    <row r="1672" spans="1:8" ht="51.75" x14ac:dyDescent="0.25">
      <c r="A1672" s="3" t="s">
        <v>5247</v>
      </c>
      <c r="B1672" s="3"/>
      <c r="C1672" s="3" t="str">
        <f>"Long-Term Care and Specialty Pharmacy serving Nursing Homes, Correctional Facilities, Home Health, and Assisted Living Facilities."</f>
        <v>Long-Term Care and Specialty Pharmacy serving Nursing Homes, Correctional Facilities, Home Health, and Assisted Living Facilities.</v>
      </c>
      <c r="D1672" s="3" t="s">
        <v>9</v>
      </c>
      <c r="E1672" s="3" t="s">
        <v>46</v>
      </c>
      <c r="F1672" s="3" t="str">
        <f>"(219) 924-6671"</f>
        <v>(219) 924-6671</v>
      </c>
      <c r="G1672" s="3">
        <v>446110</v>
      </c>
      <c r="H1672" s="3" t="s">
        <v>3738</v>
      </c>
    </row>
    <row r="1673" spans="1:8" ht="64.5" x14ac:dyDescent="0.25">
      <c r="A1673" s="3" t="s">
        <v>5248</v>
      </c>
      <c r="B1673" s="3"/>
      <c r="C1673" s="3" t="str">
        <f>"Provide Temporary Staffing services to healthcare facilities around the state including, hospitals, ambulatory centers, physician offices, state agencies and long term facilities."</f>
        <v>Provide Temporary Staffing services to healthcare facilities around the state including, hospitals, ambulatory centers, physician offices, state agencies and long term facilities.</v>
      </c>
      <c r="D1673" s="3" t="s">
        <v>5249</v>
      </c>
      <c r="E1673" s="3" t="s">
        <v>5250</v>
      </c>
      <c r="F1673" s="3" t="str">
        <f>"317-334-0655"</f>
        <v>317-334-0655</v>
      </c>
      <c r="G1673" s="3">
        <v>621999</v>
      </c>
      <c r="H1673" s="3" t="s">
        <v>3480</v>
      </c>
    </row>
    <row r="1674" spans="1:8" ht="166.5" x14ac:dyDescent="0.25">
      <c r="A1674" s="3" t="s">
        <v>5251</v>
      </c>
      <c r="B1674" s="3"/>
      <c r="C1674" s="3" t="s">
        <v>5252</v>
      </c>
      <c r="D1674" s="3" t="s">
        <v>5253</v>
      </c>
      <c r="E1674" s="3" t="s">
        <v>5254</v>
      </c>
      <c r="F1674" s="3" t="str">
        <f>"317-454-7001"</f>
        <v>317-454-7001</v>
      </c>
      <c r="G1674" s="3">
        <v>621610</v>
      </c>
      <c r="H1674" s="3" t="s">
        <v>328</v>
      </c>
    </row>
    <row r="1675" spans="1:8" ht="102.75" x14ac:dyDescent="0.25">
      <c r="A1675" s="3" t="s">
        <v>5255</v>
      </c>
      <c r="B1675" s="3"/>
      <c r="C1675" s="3" t="s">
        <v>5256</v>
      </c>
      <c r="D1675" s="3" t="s">
        <v>9</v>
      </c>
      <c r="E1675" s="3" t="s">
        <v>5257</v>
      </c>
      <c r="F1675" s="3" t="str">
        <f>"502-448-4600"</f>
        <v>502-448-4600</v>
      </c>
      <c r="G1675" s="3">
        <v>624310</v>
      </c>
      <c r="H1675" s="3" t="s">
        <v>488</v>
      </c>
    </row>
    <row r="1676" spans="1:8" ht="306.75" x14ac:dyDescent="0.25">
      <c r="A1676" s="3" t="s">
        <v>5258</v>
      </c>
      <c r="B1676" s="3"/>
      <c r="C1676" s="3" t="s">
        <v>5259</v>
      </c>
      <c r="D1676" s="3" t="s">
        <v>5260</v>
      </c>
      <c r="E1676" s="3" t="s">
        <v>5261</v>
      </c>
      <c r="F1676" s="3" t="str">
        <f>"800-222-1782"</f>
        <v>800-222-1782</v>
      </c>
      <c r="G1676" s="3">
        <v>611519</v>
      </c>
      <c r="H1676" s="3" t="s">
        <v>5262</v>
      </c>
    </row>
    <row r="1677" spans="1:8" ht="128.25" x14ac:dyDescent="0.25">
      <c r="A1677" s="3" t="s">
        <v>5263</v>
      </c>
      <c r="B1677" s="3"/>
      <c r="C1677" s="3" t="s">
        <v>5264</v>
      </c>
      <c r="D1677" s="3" t="s">
        <v>5265</v>
      </c>
      <c r="E1677" s="3" t="s">
        <v>5266</v>
      </c>
      <c r="F1677" s="3" t="str">
        <f>"317-815-0778"</f>
        <v>317-815-0778</v>
      </c>
      <c r="G1677" s="3">
        <v>561320</v>
      </c>
      <c r="H1677" s="3" t="s">
        <v>15</v>
      </c>
    </row>
    <row r="1678" spans="1:8" ht="141" x14ac:dyDescent="0.25">
      <c r="A1678" s="3" t="s">
        <v>5267</v>
      </c>
      <c r="B1678" s="3"/>
      <c r="C1678" s="3" t="s">
        <v>5268</v>
      </c>
      <c r="D1678" s="3" t="s">
        <v>5269</v>
      </c>
      <c r="E1678" s="3" t="s">
        <v>5270</v>
      </c>
      <c r="F1678" s="3" t="str">
        <f>"2603731600"</f>
        <v>2603731600</v>
      </c>
      <c r="G1678" s="3">
        <v>6216</v>
      </c>
      <c r="H1678" s="3" t="s">
        <v>328</v>
      </c>
    </row>
    <row r="1679" spans="1:8" ht="26.25" x14ac:dyDescent="0.25">
      <c r="A1679" s="3" t="s">
        <v>5271</v>
      </c>
      <c r="B1679" s="3"/>
      <c r="C1679" s="3" t="str">
        <f>"Healthcare Case Management"</f>
        <v>Healthcare Case Management</v>
      </c>
      <c r="D1679" s="3" t="s">
        <v>5272</v>
      </c>
      <c r="E1679" s="3" t="s">
        <v>5273</v>
      </c>
      <c r="F1679" s="3" t="str">
        <f>"317-454-7001"</f>
        <v>317-454-7001</v>
      </c>
      <c r="G1679" s="3">
        <v>621610</v>
      </c>
      <c r="H1679" s="3" t="s">
        <v>328</v>
      </c>
    </row>
    <row r="1680" spans="1:8" ht="102.75" x14ac:dyDescent="0.25">
      <c r="A1680" s="3" t="s">
        <v>5274</v>
      </c>
      <c r="B1680" s="3"/>
      <c r="C1680" s="3" t="s">
        <v>5275</v>
      </c>
      <c r="D1680" s="3" t="s">
        <v>5276</v>
      </c>
      <c r="E1680" s="3" t="s">
        <v>5277</v>
      </c>
      <c r="F1680" s="3" t="str">
        <f>"2198985292"</f>
        <v>2198985292</v>
      </c>
      <c r="G1680" s="3">
        <v>561730</v>
      </c>
      <c r="H1680" s="3" t="s">
        <v>65</v>
      </c>
    </row>
    <row r="1681" spans="1:8" ht="77.25" x14ac:dyDescent="0.25">
      <c r="A1681" s="3" t="s">
        <v>5278</v>
      </c>
      <c r="B1681" s="3"/>
      <c r="C1681" s="3" t="str">
        <f>"Carey Digital is a digital printing company based in Indianapolis and has been serving Indiana for over 25 years. We provide a wide variety of digital printing services. We operate 4 - 12"" x 18"" 4/c presses and 3 - 60"" inkjet printers."</f>
        <v>Carey Digital is a digital printing company based in Indianapolis and has been serving Indiana for over 25 years. We provide a wide variety of digital printing services. We operate 4 - 12" x 18" 4/c presses and 3 - 60" inkjet printers.</v>
      </c>
      <c r="D1681" s="3" t="s">
        <v>5279</v>
      </c>
      <c r="E1681" s="3" t="s">
        <v>5280</v>
      </c>
      <c r="F1681" s="3" t="str">
        <f>"317-227-0220"</f>
        <v>317-227-0220</v>
      </c>
      <c r="G1681" s="3">
        <v>323115</v>
      </c>
      <c r="H1681" s="3" t="s">
        <v>5281</v>
      </c>
    </row>
    <row r="1682" spans="1:8" ht="77.25" x14ac:dyDescent="0.25">
      <c r="A1682" s="3" t="s">
        <v>5282</v>
      </c>
      <c r="B1682" s="3"/>
      <c r="C1682" s="3" t="str">
        <f>"Carey Road Marketing provides outsourced Director of Marketing Services. Carey Road provides strategic and tactical marketing consulting that helps organizations connect the dots between Business Plans and results."</f>
        <v>Carey Road Marketing provides outsourced Director of Marketing Services. Carey Road provides strategic and tactical marketing consulting that helps organizations connect the dots between Business Plans and results.</v>
      </c>
      <c r="D1682" s="3" t="s">
        <v>5283</v>
      </c>
      <c r="E1682" s="3" t="s">
        <v>5284</v>
      </c>
      <c r="F1682" s="3" t="str">
        <f>"317 580-9700"</f>
        <v>317 580-9700</v>
      </c>
      <c r="G1682" s="3">
        <v>541613</v>
      </c>
      <c r="H1682" s="3" t="s">
        <v>558</v>
      </c>
    </row>
    <row r="1683" spans="1:8" ht="39" x14ac:dyDescent="0.25">
      <c r="A1683" s="3" t="s">
        <v>5285</v>
      </c>
      <c r="B1683" s="3"/>
      <c r="C1683" s="3" t="str">
        <f>"The mission of Carey Services is to create pathways toward self-sufficiency with personal satisfaction."</f>
        <v>The mission of Carey Services is to create pathways toward self-sufficiency with personal satisfaction.</v>
      </c>
      <c r="D1683" s="3" t="s">
        <v>5286</v>
      </c>
      <c r="E1683" s="3" t="s">
        <v>5287</v>
      </c>
      <c r="F1683" s="3" t="str">
        <f>"765-668-8961"</f>
        <v>765-668-8961</v>
      </c>
      <c r="G1683" s="3">
        <v>623210</v>
      </c>
      <c r="H1683" s="3" t="s">
        <v>5236</v>
      </c>
    </row>
    <row r="1684" spans="1:8" ht="64.5" x14ac:dyDescent="0.25">
      <c r="A1684" s="3" t="s">
        <v>5288</v>
      </c>
      <c r="B1684" s="3"/>
      <c r="C1684" s="3" t="str">
        <f>"Cargill Inc.-Deicing Technology Business Unit is involoved in providing customers with deicing solutions that save lives, enhance commerce and reduce enviornmental impacts."</f>
        <v>Cargill Inc.-Deicing Technology Business Unit is involoved in providing customers with deicing solutions that save lives, enhance commerce and reduce enviornmental impacts.</v>
      </c>
      <c r="D1684" s="3" t="s">
        <v>5289</v>
      </c>
      <c r="E1684" s="3" t="s">
        <v>5290</v>
      </c>
      <c r="F1684" s="3" t="str">
        <f>"800-600-7258"</f>
        <v>800-600-7258</v>
      </c>
      <c r="G1684" s="3">
        <v>212399</v>
      </c>
      <c r="H1684" s="3" t="s">
        <v>5291</v>
      </c>
    </row>
    <row r="1685" spans="1:8" x14ac:dyDescent="0.25">
      <c r="A1685" s="3" t="s">
        <v>5292</v>
      </c>
      <c r="B1685" s="3"/>
      <c r="C1685" s="2"/>
      <c r="D1685" s="3" t="s">
        <v>9</v>
      </c>
      <c r="E1685" s="3" t="s">
        <v>46</v>
      </c>
      <c r="F1685" s="2"/>
      <c r="G1685" s="3">
        <v>212321</v>
      </c>
      <c r="H1685" s="3" t="s">
        <v>4979</v>
      </c>
    </row>
    <row r="1686" spans="1:8" ht="26.25" x14ac:dyDescent="0.25">
      <c r="A1686" s="3" t="s">
        <v>5293</v>
      </c>
      <c r="B1686" s="3"/>
      <c r="C1686" s="3" t="str">
        <f>"Caulking, Waterproofing, brick restoration."</f>
        <v>Caulking, Waterproofing, brick restoration.</v>
      </c>
      <c r="D1686" s="3" t="s">
        <v>9</v>
      </c>
      <c r="E1686" s="3" t="s">
        <v>5294</v>
      </c>
      <c r="F1686" s="3" t="str">
        <f>"317-529-4468"</f>
        <v>317-529-4468</v>
      </c>
      <c r="G1686" s="3">
        <v>238390</v>
      </c>
      <c r="H1686" s="3" t="s">
        <v>2109</v>
      </c>
    </row>
    <row r="1687" spans="1:8" ht="26.25" x14ac:dyDescent="0.25">
      <c r="A1687" s="3" t="s">
        <v>5295</v>
      </c>
      <c r="B1687" s="3"/>
      <c r="C1687" s="2"/>
      <c r="D1687" s="3" t="s">
        <v>5296</v>
      </c>
      <c r="E1687" s="3" t="s">
        <v>46</v>
      </c>
      <c r="F1687" s="3" t="str">
        <f>"317-872-6200"</f>
        <v>317-872-6200</v>
      </c>
      <c r="G1687" s="3">
        <v>441110</v>
      </c>
      <c r="H1687" s="3" t="s">
        <v>2588</v>
      </c>
    </row>
    <row r="1688" spans="1:8" ht="39" x14ac:dyDescent="0.25">
      <c r="A1688" s="3" t="s">
        <v>5297</v>
      </c>
      <c r="B1688" s="3"/>
      <c r="C1688" s="3" t="str">
        <f>"I sell Ink cartridges and Toners-OEM and Remanufactured-----Great Prices!!! I also REFILL Ink cartridges!!!----Great Prices!!!"</f>
        <v>I sell Ink cartridges and Toners-OEM and Remanufactured-----Great Prices!!! I also REFILL Ink cartridges!!!----Great Prices!!!</v>
      </c>
      <c r="D1688" s="3" t="s">
        <v>5298</v>
      </c>
      <c r="E1688" s="3" t="s">
        <v>5299</v>
      </c>
      <c r="F1688" s="3" t="str">
        <f>"317-818-1818"</f>
        <v>317-818-1818</v>
      </c>
      <c r="G1688" s="3">
        <v>453210</v>
      </c>
      <c r="H1688" s="3" t="s">
        <v>431</v>
      </c>
    </row>
    <row r="1689" spans="1:8" ht="26.25" x14ac:dyDescent="0.25">
      <c r="A1689" s="3" t="s">
        <v>5300</v>
      </c>
      <c r="B1689" s="3"/>
      <c r="C1689" s="3" t="str">
        <f>"Full service travel agency."</f>
        <v>Full service travel agency.</v>
      </c>
      <c r="D1689" s="3" t="s">
        <v>5301</v>
      </c>
      <c r="E1689" s="3" t="s">
        <v>5302</v>
      </c>
      <c r="F1689" s="3" t="str">
        <f>"3178482990"</f>
        <v>3178482990</v>
      </c>
      <c r="G1689" s="3">
        <v>561510</v>
      </c>
      <c r="H1689" s="3" t="s">
        <v>288</v>
      </c>
    </row>
    <row r="1690" spans="1:8" ht="26.25" x14ac:dyDescent="0.25">
      <c r="A1690" s="3" t="s">
        <v>5303</v>
      </c>
      <c r="B1690" s="3"/>
      <c r="C1690" s="3" t="str">
        <f>"In house and mobil welding service. Lawn and garden sales and service"</f>
        <v>In house and mobil welding service. Lawn and garden sales and service</v>
      </c>
      <c r="D1690" s="3" t="s">
        <v>5304</v>
      </c>
      <c r="E1690" s="3" t="s">
        <v>5305</v>
      </c>
      <c r="F1690" s="3" t="str">
        <f>"3178463493"</f>
        <v>3178463493</v>
      </c>
      <c r="G1690" s="3">
        <v>4442</v>
      </c>
      <c r="H1690" s="3" t="s">
        <v>852</v>
      </c>
    </row>
    <row r="1691" spans="1:8" ht="26.25" x14ac:dyDescent="0.25">
      <c r="A1691" s="3" t="s">
        <v>5306</v>
      </c>
      <c r="B1691" s="3"/>
      <c r="C1691" s="3" t="str">
        <f>"Father and son local plumbing and plumbing supply business"</f>
        <v>Father and son local plumbing and plumbing supply business</v>
      </c>
      <c r="D1691" s="3" t="s">
        <v>9</v>
      </c>
      <c r="E1691" s="3" t="s">
        <v>5307</v>
      </c>
      <c r="F1691" s="3" t="str">
        <f>"7653457700"</f>
        <v>7653457700</v>
      </c>
      <c r="G1691" s="3">
        <v>238220</v>
      </c>
      <c r="H1691" s="3" t="s">
        <v>348</v>
      </c>
    </row>
    <row r="1692" spans="1:8" ht="90" x14ac:dyDescent="0.25">
      <c r="A1692" s="3" t="s">
        <v>5308</v>
      </c>
      <c r="B1692" s="3"/>
      <c r="C1692" s="3" t="s">
        <v>5309</v>
      </c>
      <c r="D1692" s="3" t="s">
        <v>9</v>
      </c>
      <c r="E1692" s="3" t="s">
        <v>5310</v>
      </c>
      <c r="F1692" s="2"/>
      <c r="G1692" s="3">
        <v>561740</v>
      </c>
      <c r="H1692" s="3" t="s">
        <v>241</v>
      </c>
    </row>
    <row r="1693" spans="1:8" ht="77.25" x14ac:dyDescent="0.25">
      <c r="A1693" s="3" t="s">
        <v>5311</v>
      </c>
      <c r="B1693" s="3"/>
      <c r="C1693" s="3" t="str">
        <f>"small construction...residential and light commercial repair work, renovations, additions. conventional and metal framing, drywall, interior and exterior trim, siding, doors, windows. estimating and material take-off services,"</f>
        <v>small construction...residential and light commercial repair work, renovations, additions. conventional and metal framing, drywall, interior and exterior trim, siding, doors, windows. estimating and material take-off services,</v>
      </c>
      <c r="D1693" s="3" t="s">
        <v>9</v>
      </c>
      <c r="E1693" s="3" t="s">
        <v>5312</v>
      </c>
      <c r="F1693" s="2"/>
      <c r="G1693" s="3">
        <v>23</v>
      </c>
      <c r="H1693" s="3" t="s">
        <v>133</v>
      </c>
    </row>
    <row r="1694" spans="1:8" ht="26.25" x14ac:dyDescent="0.25">
      <c r="A1694" s="3" t="s">
        <v>5313</v>
      </c>
      <c r="B1694" s="3"/>
      <c r="C1694" s="3" t="str">
        <f>"Food Production and Clinical Nutrition Services"</f>
        <v>Food Production and Clinical Nutrition Services</v>
      </c>
      <c r="D1694" s="3" t="s">
        <v>9</v>
      </c>
      <c r="E1694" s="3" t="s">
        <v>5314</v>
      </c>
      <c r="F1694" s="3" t="str">
        <f>"812-268-6982"</f>
        <v>812-268-6982</v>
      </c>
      <c r="G1694" s="3">
        <v>621399</v>
      </c>
      <c r="H1694" s="3" t="s">
        <v>2306</v>
      </c>
    </row>
    <row r="1695" spans="1:8" ht="51.75" x14ac:dyDescent="0.25">
      <c r="A1695" s="3" t="s">
        <v>5315</v>
      </c>
      <c r="B1695" s="3"/>
      <c r="C1695" s="3" t="str">
        <f>"Landscape architectural firm based in Indiana specializing in commercial, residential, subdivision and greenspace design."</f>
        <v>Landscape architectural firm based in Indiana specializing in commercial, residential, subdivision and greenspace design.</v>
      </c>
      <c r="D1695" s="3" t="s">
        <v>5316</v>
      </c>
      <c r="E1695" s="3" t="s">
        <v>5317</v>
      </c>
      <c r="F1695" s="3" t="str">
        <f>"317-873-3474"</f>
        <v>317-873-3474</v>
      </c>
      <c r="G1695" s="3">
        <v>541320</v>
      </c>
      <c r="H1695" s="3" t="s">
        <v>2241</v>
      </c>
    </row>
    <row r="1696" spans="1:8" ht="64.5" x14ac:dyDescent="0.25">
      <c r="A1696" s="3" t="s">
        <v>5318</v>
      </c>
      <c r="B1696" s="3"/>
      <c r="C1696" s="3" t="str">
        <f>"Residential, Commercial and Subdivision design Established in 1980, specializing in residential, commercial design and landscape renovations and landscape plans."</f>
        <v>Residential, Commercial and Subdivision design Established in 1980, specializing in residential, commercial design and landscape renovations and landscape plans.</v>
      </c>
      <c r="D1696" s="3" t="s">
        <v>5319</v>
      </c>
      <c r="E1696" s="3" t="s">
        <v>5320</v>
      </c>
      <c r="F1696" s="3" t="str">
        <f>"317-873-3474"</f>
        <v>317-873-3474</v>
      </c>
      <c r="G1696" s="3">
        <v>541320</v>
      </c>
      <c r="H1696" s="3" t="s">
        <v>2241</v>
      </c>
    </row>
    <row r="1697" spans="1:8" ht="26.25" x14ac:dyDescent="0.25">
      <c r="A1697" s="3" t="s">
        <v>5321</v>
      </c>
      <c r="B1697" s="3"/>
      <c r="C1697" s="3" t="str">
        <f>"commercial screenprinting &amp; embroidery of clothing apparel"</f>
        <v>commercial screenprinting &amp; embroidery of clothing apparel</v>
      </c>
      <c r="D1697" s="3" t="s">
        <v>9</v>
      </c>
      <c r="E1697" s="3" t="s">
        <v>5322</v>
      </c>
      <c r="F1697" s="3" t="str">
        <f>"812 865 3680"</f>
        <v>812 865 3680</v>
      </c>
      <c r="G1697" s="3">
        <v>323113</v>
      </c>
      <c r="H1697" s="3" t="s">
        <v>1606</v>
      </c>
    </row>
    <row r="1698" spans="1:8" ht="39" x14ac:dyDescent="0.25">
      <c r="A1698" s="3" t="s">
        <v>5323</v>
      </c>
      <c r="B1698" s="3"/>
      <c r="C1698" s="2"/>
      <c r="D1698" s="3" t="s">
        <v>5324</v>
      </c>
      <c r="E1698" s="3" t="s">
        <v>5325</v>
      </c>
      <c r="F1698" s="3" t="str">
        <f>"219 805-5107 886-0161"</f>
        <v>219 805-5107 886-0161</v>
      </c>
      <c r="G1698" s="3">
        <v>561720</v>
      </c>
      <c r="H1698" s="3" t="s">
        <v>222</v>
      </c>
    </row>
    <row r="1699" spans="1:8" ht="64.5" x14ac:dyDescent="0.25">
      <c r="A1699" s="3" t="s">
        <v>5326</v>
      </c>
      <c r="B1699" s="3"/>
      <c r="C1699" s="3" t="str">
        <f>"Automotive parts and accessories for cars and trucks, including special order parts with next day delivery available for many items. Some heavy duty truck and diesel parts are also available."</f>
        <v>Automotive parts and accessories for cars and trucks, including special order parts with next day delivery available for many items. Some heavy duty truck and diesel parts are also available.</v>
      </c>
      <c r="D1699" s="3" t="s">
        <v>9</v>
      </c>
      <c r="E1699" s="3" t="s">
        <v>5327</v>
      </c>
      <c r="F1699" s="3" t="str">
        <f>"219-392-1338"</f>
        <v>219-392-1338</v>
      </c>
      <c r="G1699" s="3">
        <v>441310</v>
      </c>
      <c r="H1699" s="3" t="s">
        <v>1699</v>
      </c>
    </row>
    <row r="1700" spans="1:8" ht="39" x14ac:dyDescent="0.25">
      <c r="A1700" s="3" t="s">
        <v>5328</v>
      </c>
      <c r="B1700" s="3"/>
      <c r="C1700" s="3" t="str">
        <f>"Selling and installation of all types of flooring for residential and commercial property."</f>
        <v>Selling and installation of all types of flooring for residential and commercial property.</v>
      </c>
      <c r="D1700" s="3" t="s">
        <v>9</v>
      </c>
      <c r="E1700" s="3" t="s">
        <v>46</v>
      </c>
      <c r="F1700" s="3" t="str">
        <f>"219-962-5550"</f>
        <v>219-962-5550</v>
      </c>
      <c r="G1700" s="3">
        <v>442210</v>
      </c>
      <c r="H1700" s="3" t="s">
        <v>2301</v>
      </c>
    </row>
    <row r="1701" spans="1:8" ht="51.75" x14ac:dyDescent="0.25">
      <c r="A1701" s="3" t="s">
        <v>5329</v>
      </c>
      <c r="B1701" s="3"/>
      <c r="C1701" s="3" t="str">
        <f>"Family owned and operated business that supplies and professionally installs flooring materials for residential and commercial applications."</f>
        <v>Family owned and operated business that supplies and professionally installs flooring materials for residential and commercial applications.</v>
      </c>
      <c r="D1701" s="3" t="s">
        <v>9</v>
      </c>
      <c r="E1701" s="3" t="s">
        <v>5330</v>
      </c>
      <c r="F1701" s="3" t="str">
        <f>"219-992-9207"</f>
        <v>219-992-9207</v>
      </c>
      <c r="G1701" s="3">
        <v>442210</v>
      </c>
      <c r="H1701" s="3" t="s">
        <v>2301</v>
      </c>
    </row>
    <row r="1702" spans="1:8" ht="128.25" x14ac:dyDescent="0.25">
      <c r="A1702" s="3" t="s">
        <v>5331</v>
      </c>
      <c r="B1702" s="3"/>
      <c r="C1702" s="3" t="s">
        <v>5332</v>
      </c>
      <c r="D1702" s="3" t="s">
        <v>5333</v>
      </c>
      <c r="E1702" s="3" t="s">
        <v>5334</v>
      </c>
      <c r="F1702" s="3" t="str">
        <f>"812-471-0400"</f>
        <v>812-471-0400</v>
      </c>
      <c r="G1702" s="3">
        <v>23552</v>
      </c>
      <c r="H1702" s="3" t="s">
        <v>955</v>
      </c>
    </row>
    <row r="1703" spans="1:8" ht="26.25" x14ac:dyDescent="0.25">
      <c r="A1703" s="3" t="s">
        <v>5335</v>
      </c>
      <c r="B1703" s="3"/>
      <c r="C1703" s="3" t="str">
        <f>"automotive supplies and equipment"</f>
        <v>automotive supplies and equipment</v>
      </c>
      <c r="D1703" s="3" t="s">
        <v>5336</v>
      </c>
      <c r="E1703" s="3" t="s">
        <v>5337</v>
      </c>
      <c r="F1703" s="3" t="str">
        <f>"765--447-9426"</f>
        <v>765--447-9426</v>
      </c>
      <c r="G1703" s="3">
        <v>441310</v>
      </c>
      <c r="H1703" s="3" t="s">
        <v>1699</v>
      </c>
    </row>
    <row r="1704" spans="1:8" ht="26.25" x14ac:dyDescent="0.25">
      <c r="A1704" s="3" t="s">
        <v>5338</v>
      </c>
      <c r="B1704" s="3"/>
      <c r="C1704" s="3" t="str">
        <f>"Automobile and truck sales and service"</f>
        <v>Automobile and truck sales and service</v>
      </c>
      <c r="D1704" s="3" t="s">
        <v>5339</v>
      </c>
      <c r="E1704" s="3" t="s">
        <v>5340</v>
      </c>
      <c r="F1704" s="3" t="str">
        <f>"812-284-4444"</f>
        <v>812-284-4444</v>
      </c>
      <c r="G1704" s="3">
        <v>441110</v>
      </c>
      <c r="H1704" s="3" t="s">
        <v>2588</v>
      </c>
    </row>
    <row r="1705" spans="1:8" ht="39" x14ac:dyDescent="0.25">
      <c r="A1705" s="3" t="s">
        <v>5341</v>
      </c>
      <c r="B1705" s="3"/>
      <c r="C1705" s="3" t="str">
        <f>"National Wholesale Distributor of rolled receipt paper, toners &amp; drums, continuous feed paper and office supplies."</f>
        <v>National Wholesale Distributor of rolled receipt paper, toners &amp; drums, continuous feed paper and office supplies.</v>
      </c>
      <c r="D1705" s="3" t="s">
        <v>5342</v>
      </c>
      <c r="E1705" s="3" t="s">
        <v>5343</v>
      </c>
      <c r="F1705" s="3" t="str">
        <f>"260-471-0191"</f>
        <v>260-471-0191</v>
      </c>
      <c r="G1705" s="3">
        <v>424130</v>
      </c>
      <c r="H1705" s="3" t="s">
        <v>602</v>
      </c>
    </row>
    <row r="1706" spans="1:8" ht="102.75" x14ac:dyDescent="0.25">
      <c r="A1706" s="3" t="s">
        <v>5344</v>
      </c>
      <c r="B1706" s="3"/>
      <c r="C1706" s="3" t="s">
        <v>5345</v>
      </c>
      <c r="D1706" s="3" t="s">
        <v>9</v>
      </c>
      <c r="E1706" s="3" t="s">
        <v>5346</v>
      </c>
      <c r="F1706" s="3" t="str">
        <f>"260-615-0310"</f>
        <v>260-615-0310</v>
      </c>
      <c r="G1706" s="3">
        <v>5416</v>
      </c>
      <c r="H1706" s="3" t="s">
        <v>194</v>
      </c>
    </row>
    <row r="1707" spans="1:8" ht="51.75" x14ac:dyDescent="0.25">
      <c r="A1707" s="3" t="s">
        <v>5347</v>
      </c>
      <c r="B1707" s="3"/>
      <c r="C1707" s="3" t="str">
        <f>"Manufacture office furniture including desks, credenzas, bookcases ,conference toales as well as custom pieces of office furniture to customer specifications"</f>
        <v>Manufacture office furniture including desks, credenzas, bookcases ,conference toales as well as custom pieces of office furniture to customer specifications</v>
      </c>
      <c r="D1707" s="3" t="s">
        <v>5348</v>
      </c>
      <c r="E1707" s="3" t="s">
        <v>46</v>
      </c>
      <c r="F1707" s="3" t="str">
        <f>"812-683-8585"</f>
        <v>812-683-8585</v>
      </c>
      <c r="G1707" s="3">
        <v>3212</v>
      </c>
      <c r="H1707" s="3" t="s">
        <v>5349</v>
      </c>
    </row>
    <row r="1708" spans="1:8" ht="102.75" x14ac:dyDescent="0.25">
      <c r="A1708" s="3" t="s">
        <v>5350</v>
      </c>
      <c r="B1708" s="3"/>
      <c r="C1708" s="3" t="s">
        <v>5351</v>
      </c>
      <c r="D1708" s="3" t="s">
        <v>9</v>
      </c>
      <c r="E1708" s="3" t="s">
        <v>5352</v>
      </c>
      <c r="F1708" s="3" t="str">
        <f>"765-463-0505"</f>
        <v>765-463-0505</v>
      </c>
      <c r="G1708" s="3">
        <v>23</v>
      </c>
      <c r="H1708" s="3" t="s">
        <v>133</v>
      </c>
    </row>
    <row r="1709" spans="1:8" ht="64.5" x14ac:dyDescent="0.25">
      <c r="A1709" s="3" t="s">
        <v>5353</v>
      </c>
      <c r="B1709" s="3"/>
      <c r="C1709" s="3" t="str">
        <f>"Electronics manufacturing company that mfgs. siren amplifiers for emergency industry, contract mfg., electronic voting computers, rotary switches for HVAC industry and warehouse space."</f>
        <v>Electronics manufacturing company that mfgs. siren amplifiers for emergency industry, contract mfg., electronic voting computers, rotary switches for HVAC industry and warehouse space.</v>
      </c>
      <c r="D1709" s="3" t="s">
        <v>5354</v>
      </c>
      <c r="E1709" s="3" t="s">
        <v>5355</v>
      </c>
      <c r="F1709" s="3" t="str">
        <f>"317-257-3191"</f>
        <v>317-257-3191</v>
      </c>
      <c r="G1709" s="3">
        <v>334290</v>
      </c>
      <c r="H1709" s="3" t="s">
        <v>3119</v>
      </c>
    </row>
    <row r="1710" spans="1:8" ht="51.75" x14ac:dyDescent="0.25">
      <c r="A1710" s="3" t="s">
        <v>5356</v>
      </c>
      <c r="B1710" s="3"/>
      <c r="C1710" s="3" t="str">
        <f>"Manufacturer of concrete and haydite (lightweight) block and lintels and Brick dealer. Retail, contractor, commercial and wholesale."</f>
        <v>Manufacturer of concrete and haydite (lightweight) block and lintels and Brick dealer. Retail, contractor, commercial and wholesale.</v>
      </c>
      <c r="D1710" s="3" t="s">
        <v>9</v>
      </c>
      <c r="E1710" s="3" t="s">
        <v>46</v>
      </c>
      <c r="F1710" s="3" t="str">
        <f>"574-722-2644"</f>
        <v>574-722-2644</v>
      </c>
      <c r="G1710" s="3">
        <v>327331</v>
      </c>
      <c r="H1710" s="3" t="s">
        <v>5357</v>
      </c>
    </row>
    <row r="1711" spans="1:8" ht="204.75" x14ac:dyDescent="0.25">
      <c r="A1711" s="3" t="s">
        <v>5358</v>
      </c>
      <c r="B1711" s="3"/>
      <c r="C1711" s="3" t="s">
        <v>5359</v>
      </c>
      <c r="D1711" s="3" t="s">
        <v>5360</v>
      </c>
      <c r="E1711" s="3" t="s">
        <v>5361</v>
      </c>
      <c r="F1711" s="3" t="str">
        <f>"317-257-4465"</f>
        <v>317-257-4465</v>
      </c>
      <c r="G1711" s="3">
        <v>45399</v>
      </c>
      <c r="H1711" s="3" t="s">
        <v>3215</v>
      </c>
    </row>
    <row r="1712" spans="1:8" ht="51.75" x14ac:dyDescent="0.25">
      <c r="A1712" s="3" t="s">
        <v>5362</v>
      </c>
      <c r="B1712" s="3"/>
      <c r="C1712" s="3" t="str">
        <f>"Golf cart and low speed vehicle sales - new and used, golf cart accessory sales, Trojan batteries, golf cart maintenance. Club Car, Yamaha, Star EV and Trojan battery dealer."</f>
        <v>Golf cart and low speed vehicle sales - new and used, golf cart accessory sales, Trojan batteries, golf cart maintenance. Club Car, Yamaha, Star EV and Trojan battery dealer.</v>
      </c>
      <c r="D1712" s="3" t="s">
        <v>5363</v>
      </c>
      <c r="E1712" s="3" t="s">
        <v>5364</v>
      </c>
      <c r="F1712" s="3" t="str">
        <f>"812-867-2297"</f>
        <v>812-867-2297</v>
      </c>
      <c r="G1712" s="3">
        <v>336999</v>
      </c>
      <c r="H1712" s="3" t="s">
        <v>5365</v>
      </c>
    </row>
    <row r="1713" spans="1:8" ht="90" x14ac:dyDescent="0.25">
      <c r="A1713" s="3" t="s">
        <v>5366</v>
      </c>
      <c r="B1713" s="3"/>
      <c r="C1713" s="3" t="s">
        <v>5367</v>
      </c>
      <c r="D1713" s="3" t="s">
        <v>9</v>
      </c>
      <c r="E1713" s="3" t="s">
        <v>46</v>
      </c>
      <c r="F1713" s="3" t="str">
        <f>"317-388-1817"</f>
        <v>317-388-1817</v>
      </c>
      <c r="G1713" s="3">
        <v>523930</v>
      </c>
      <c r="H1713" s="3" t="s">
        <v>2936</v>
      </c>
    </row>
    <row r="1714" spans="1:8" ht="26.25" x14ac:dyDescent="0.25">
      <c r="A1714" s="3" t="s">
        <v>5368</v>
      </c>
      <c r="B1714" s="3"/>
      <c r="C1714" s="3" t="str">
        <f>"Landscape maintenance"</f>
        <v>Landscape maintenance</v>
      </c>
      <c r="D1714" s="3" t="s">
        <v>9</v>
      </c>
      <c r="E1714" s="3" t="s">
        <v>5369</v>
      </c>
      <c r="F1714" s="3" t="str">
        <f>"317-786-0850"</f>
        <v>317-786-0850</v>
      </c>
      <c r="G1714" s="3">
        <v>561730</v>
      </c>
      <c r="H1714" s="3" t="s">
        <v>65</v>
      </c>
    </row>
    <row r="1715" spans="1:8" ht="39" x14ac:dyDescent="0.25">
      <c r="A1715" s="3" t="s">
        <v>5370</v>
      </c>
      <c r="B1715" s="3"/>
      <c r="C1715" s="3" t="str">
        <f>"Casebolt Construction Corp. is a commercial, industrial, and residential construction company."</f>
        <v>Casebolt Construction Corp. is a commercial, industrial, and residential construction company.</v>
      </c>
      <c r="D1715" s="3" t="s">
        <v>5371</v>
      </c>
      <c r="E1715" s="3" t="s">
        <v>5372</v>
      </c>
      <c r="F1715" s="3" t="str">
        <f>"812-547-7077"</f>
        <v>812-547-7077</v>
      </c>
      <c r="G1715" s="3">
        <v>2362</v>
      </c>
      <c r="H1715" s="3" t="s">
        <v>423</v>
      </c>
    </row>
    <row r="1716" spans="1:8" ht="90" x14ac:dyDescent="0.25">
      <c r="A1716" s="3" t="s">
        <v>5373</v>
      </c>
      <c r="B1716" s="3"/>
      <c r="C1716" s="3" t="s">
        <v>5374</v>
      </c>
      <c r="D1716" s="3" t="s">
        <v>9</v>
      </c>
      <c r="E1716" s="3" t="s">
        <v>5375</v>
      </c>
      <c r="F1716" s="3" t="str">
        <f>"765-653-6533"</f>
        <v>765-653-6533</v>
      </c>
      <c r="G1716" s="3">
        <v>444190</v>
      </c>
      <c r="H1716" s="3" t="s">
        <v>1188</v>
      </c>
    </row>
    <row r="1717" spans="1:8" ht="26.25" x14ac:dyDescent="0.25">
      <c r="A1717" s="3" t="s">
        <v>5376</v>
      </c>
      <c r="B1717" s="3"/>
      <c r="C1717" s="3" t="str">
        <f>" "</f>
        <v xml:space="preserve"> </v>
      </c>
      <c r="D1717" s="3" t="s">
        <v>9</v>
      </c>
      <c r="E1717" s="3" t="s">
        <v>46</v>
      </c>
      <c r="F1717" s="3" t="str">
        <f>"219-733-2925"</f>
        <v>219-733-2925</v>
      </c>
      <c r="G1717" s="3">
        <v>922160</v>
      </c>
      <c r="H1717" s="3" t="s">
        <v>2246</v>
      </c>
    </row>
    <row r="1718" spans="1:8" ht="230.25" x14ac:dyDescent="0.25">
      <c r="A1718" s="3" t="s">
        <v>5377</v>
      </c>
      <c r="B1718" s="3"/>
      <c r="C1718" s="3" t="s">
        <v>5378</v>
      </c>
      <c r="D1718" s="3" t="s">
        <v>5379</v>
      </c>
      <c r="E1718" s="3" t="s">
        <v>46</v>
      </c>
      <c r="F1718" s="3" t="str">
        <f>"812-332-7361"</f>
        <v>812-332-7361</v>
      </c>
      <c r="G1718" s="3">
        <v>23531</v>
      </c>
      <c r="H1718" s="3" t="s">
        <v>306</v>
      </c>
    </row>
    <row r="1719" spans="1:8" ht="319.5" x14ac:dyDescent="0.25">
      <c r="A1719" s="3" t="s">
        <v>5380</v>
      </c>
      <c r="B1719" s="3"/>
      <c r="C1719" s="3" t="s">
        <v>5381</v>
      </c>
      <c r="D1719" s="3" t="s">
        <v>5382</v>
      </c>
      <c r="E1719" s="3" t="s">
        <v>5383</v>
      </c>
      <c r="F1719" s="3" t="str">
        <f>"8123317399"</f>
        <v>8123317399</v>
      </c>
      <c r="G1719" s="3">
        <v>621330</v>
      </c>
      <c r="H1719" s="3" t="s">
        <v>2643</v>
      </c>
    </row>
    <row r="1720" spans="1:8" ht="141" x14ac:dyDescent="0.25">
      <c r="A1720" s="3" t="s">
        <v>5384</v>
      </c>
      <c r="B1720" s="3"/>
      <c r="C1720" s="3" t="s">
        <v>5385</v>
      </c>
      <c r="D1720" s="3" t="s">
        <v>5386</v>
      </c>
      <c r="E1720" s="3" t="s">
        <v>5387</v>
      </c>
      <c r="F1720" s="3" t="str">
        <f>"317-706-6770"</f>
        <v>317-706-6770</v>
      </c>
      <c r="G1720" s="3">
        <v>236220</v>
      </c>
      <c r="H1720" s="3" t="s">
        <v>598</v>
      </c>
    </row>
    <row r="1721" spans="1:8" ht="166.5" x14ac:dyDescent="0.25">
      <c r="A1721" s="3" t="s">
        <v>5388</v>
      </c>
      <c r="B1721" s="3"/>
      <c r="C1721" s="3" t="s">
        <v>5389</v>
      </c>
      <c r="D1721" s="3" t="s">
        <v>5390</v>
      </c>
      <c r="E1721" s="3" t="s">
        <v>46</v>
      </c>
      <c r="F1721" s="3" t="str">
        <f>"317.985.6727"</f>
        <v>317.985.6727</v>
      </c>
      <c r="G1721" s="3">
        <v>541330</v>
      </c>
      <c r="H1721" s="3" t="s">
        <v>82</v>
      </c>
    </row>
    <row r="1722" spans="1:8" ht="102.75" x14ac:dyDescent="0.25">
      <c r="A1722" s="3" t="s">
        <v>5391</v>
      </c>
      <c r="B1722" s="3"/>
      <c r="C1722" s="3" t="s">
        <v>5392</v>
      </c>
      <c r="D1722" s="3" t="s">
        <v>5393</v>
      </c>
      <c r="E1722" s="3" t="s">
        <v>5394</v>
      </c>
      <c r="F1722" s="3" t="str">
        <f>"317-841-8181"</f>
        <v>317-841-8181</v>
      </c>
      <c r="G1722" s="3">
        <v>453998</v>
      </c>
      <c r="H1722" s="3" t="s">
        <v>112</v>
      </c>
    </row>
    <row r="1723" spans="1:8" ht="39" x14ac:dyDescent="0.25">
      <c r="A1723" s="3" t="s">
        <v>5395</v>
      </c>
      <c r="B1723" s="3"/>
      <c r="C1723" s="3" t="str">
        <f>"Commerical General Contractor and Construction Management - new construction and interior renovations"</f>
        <v>Commerical General Contractor and Construction Management - new construction and interior renovations</v>
      </c>
      <c r="D1723" s="3" t="s">
        <v>5396</v>
      </c>
      <c r="E1723" s="3" t="s">
        <v>5397</v>
      </c>
      <c r="F1723" s="3" t="str">
        <f>"317-579-1555"</f>
        <v>317-579-1555</v>
      </c>
      <c r="G1723" s="3">
        <v>236220</v>
      </c>
      <c r="H1723" s="3" t="s">
        <v>598</v>
      </c>
    </row>
    <row r="1724" spans="1:8" ht="64.5" x14ac:dyDescent="0.25">
      <c r="A1724" s="3" t="s">
        <v>5398</v>
      </c>
      <c r="B1724" s="3"/>
      <c r="C1724" s="3" t="str">
        <f>"We specalize in high-quality full-color digital reproduction, including report printing, business cards, and photo replication as well as graphic design services."</f>
        <v>We specalize in high-quality full-color digital reproduction, including report printing, business cards, and photo replication as well as graphic design services.</v>
      </c>
      <c r="D1724" s="3" t="s">
        <v>5399</v>
      </c>
      <c r="E1724" s="3" t="s">
        <v>5400</v>
      </c>
      <c r="F1724" s="3" t="str">
        <f>"317-722-0680"</f>
        <v>317-722-0680</v>
      </c>
      <c r="G1724" s="3">
        <v>323115</v>
      </c>
      <c r="H1724" s="3" t="s">
        <v>5281</v>
      </c>
    </row>
    <row r="1725" spans="1:8" ht="268.5" x14ac:dyDescent="0.25">
      <c r="A1725" s="3" t="s">
        <v>5401</v>
      </c>
      <c r="B1725" s="3"/>
      <c r="C1725" s="3" t="s">
        <v>5402</v>
      </c>
      <c r="D1725" s="3" t="s">
        <v>5403</v>
      </c>
      <c r="E1725" s="3" t="s">
        <v>46</v>
      </c>
      <c r="F1725" s="2"/>
      <c r="G1725" s="3">
        <v>524292</v>
      </c>
      <c r="H1725" s="3" t="s">
        <v>4892</v>
      </c>
    </row>
    <row r="1726" spans="1:8" ht="51.75" x14ac:dyDescent="0.25">
      <c r="A1726" s="3" t="s">
        <v>5404</v>
      </c>
      <c r="B1726" s="3"/>
      <c r="C1726" s="3" t="str">
        <f>"We provide commercial cleaning construction clleaning,Powerwashing,Window Cleaning and Residential"</f>
        <v>We provide commercial cleaning construction clleaning,Powerwashing,Window Cleaning and Residential</v>
      </c>
      <c r="D1726" s="3" t="s">
        <v>5405</v>
      </c>
      <c r="E1726" s="3" t="s">
        <v>5406</v>
      </c>
      <c r="F1726" s="3" t="str">
        <f>"5746583538"</f>
        <v>5746583538</v>
      </c>
      <c r="G1726" s="3">
        <v>561720</v>
      </c>
      <c r="H1726" s="3" t="s">
        <v>222</v>
      </c>
    </row>
    <row r="1727" spans="1:8" ht="51.75" x14ac:dyDescent="0.25">
      <c r="A1727" s="3" t="s">
        <v>5407</v>
      </c>
      <c r="B1727" s="3"/>
      <c r="C1727" s="3" t="str">
        <f>"Distribution of commercial construction specialty materials, ie. lockers, toilet compartments, louvers, washroom accessories, fire extinguishers"</f>
        <v>Distribution of commercial construction specialty materials, ie. lockers, toilet compartments, louvers, washroom accessories, fire extinguishers</v>
      </c>
      <c r="D1727" s="3" t="s">
        <v>9</v>
      </c>
      <c r="E1727" s="3" t="s">
        <v>46</v>
      </c>
      <c r="F1727" s="2"/>
      <c r="G1727" s="3">
        <v>23</v>
      </c>
      <c r="H1727" s="3" t="s">
        <v>133</v>
      </c>
    </row>
    <row r="1728" spans="1:8" ht="77.25" x14ac:dyDescent="0.25">
      <c r="A1728" s="3" t="s">
        <v>5408</v>
      </c>
      <c r="B1728" s="3"/>
      <c r="C1728" s="3" t="str">
        <f>"Catherine's Lawn and Landscape can provide businesses or private residents with lawn maintanance and landscaping. We can do anything as simple as lawn mowing to jobs as complex as full landscaping."</f>
        <v>Catherine's Lawn and Landscape can provide businesses or private residents with lawn maintanance and landscaping. We can do anything as simple as lawn mowing to jobs as complex as full landscaping.</v>
      </c>
      <c r="D1728" s="3" t="s">
        <v>9</v>
      </c>
      <c r="E1728" s="3" t="s">
        <v>5409</v>
      </c>
      <c r="F1728" s="3" t="str">
        <f>"317 446 0590"</f>
        <v>317 446 0590</v>
      </c>
      <c r="G1728" s="3">
        <v>561730</v>
      </c>
      <c r="H1728" s="3" t="s">
        <v>65</v>
      </c>
    </row>
    <row r="1729" spans="1:8" ht="128.25" x14ac:dyDescent="0.25">
      <c r="A1729" s="3" t="s">
        <v>5410</v>
      </c>
      <c r="B1729" s="3"/>
      <c r="C1729" s="3" t="s">
        <v>5411</v>
      </c>
      <c r="D1729" s="3" t="s">
        <v>5412</v>
      </c>
      <c r="E1729" s="3" t="s">
        <v>5413</v>
      </c>
      <c r="F1729" s="3" t="str">
        <f>"219-769-4300"</f>
        <v>219-769-4300</v>
      </c>
      <c r="G1729" s="3">
        <v>621330</v>
      </c>
      <c r="H1729" s="3" t="s">
        <v>2643</v>
      </c>
    </row>
    <row r="1730" spans="1:8" ht="51.75" x14ac:dyDescent="0.25">
      <c r="A1730" s="3" t="s">
        <v>5414</v>
      </c>
      <c r="B1730" s="3"/>
      <c r="C1730" s="3" t="str">
        <f>"Providing adoption, counseling, immigration, refugee resettlement, child care, senior employment training, and brief services."</f>
        <v>Providing adoption, counseling, immigration, refugee resettlement, child care, senior employment training, and brief services.</v>
      </c>
      <c r="D1730" s="3" t="s">
        <v>5415</v>
      </c>
      <c r="E1730" s="3" t="s">
        <v>5416</v>
      </c>
      <c r="F1730" s="3" t="str">
        <f>"260-422-5625"</f>
        <v>260-422-5625</v>
      </c>
      <c r="G1730" s="3">
        <v>6241</v>
      </c>
      <c r="H1730" s="3" t="s">
        <v>2210</v>
      </c>
    </row>
    <row r="1731" spans="1:8" ht="102.75" x14ac:dyDescent="0.25">
      <c r="A1731" s="3" t="s">
        <v>5417</v>
      </c>
      <c r="B1731" s="3"/>
      <c r="C1731" s="3" t="s">
        <v>5418</v>
      </c>
      <c r="D1731" s="3" t="s">
        <v>5419</v>
      </c>
      <c r="E1731" s="3" t="s">
        <v>5420</v>
      </c>
      <c r="F1731" s="3" t="str">
        <f>"765.427.4426"</f>
        <v>765.427.4426</v>
      </c>
      <c r="G1731" s="3">
        <v>11</v>
      </c>
      <c r="H1731" s="3" t="s">
        <v>175</v>
      </c>
    </row>
    <row r="1732" spans="1:8" ht="319.5" x14ac:dyDescent="0.25">
      <c r="A1732" s="3" t="s">
        <v>5421</v>
      </c>
      <c r="B1732" s="3"/>
      <c r="C1732" s="3" t="s">
        <v>5422</v>
      </c>
      <c r="D1732" s="3" t="s">
        <v>5423</v>
      </c>
      <c r="E1732" s="3" t="s">
        <v>5424</v>
      </c>
      <c r="F1732" s="3" t="str">
        <f>"3172018395"</f>
        <v>3172018395</v>
      </c>
      <c r="G1732" s="3">
        <v>541511</v>
      </c>
      <c r="H1732" s="3" t="s">
        <v>122</v>
      </c>
    </row>
    <row r="1733" spans="1:8" ht="90" x14ac:dyDescent="0.25">
      <c r="A1733" s="3" t="s">
        <v>5425</v>
      </c>
      <c r="B1733" s="3"/>
      <c r="C1733" s="3" t="str">
        <f>"Cavalry Transport is a Service Disabled Veteran Owned Small Business (SDVOSB) that delivers a broad range of transportation solutions. They strive to deliver superior logistic solutions to private sector businesses as well as government organizations."</f>
        <v>Cavalry Transport is a Service Disabled Veteran Owned Small Business (SDVOSB) that delivers a broad range of transportation solutions. They strive to deliver superior logistic solutions to private sector businesses as well as government organizations.</v>
      </c>
      <c r="D1733" s="3" t="s">
        <v>5426</v>
      </c>
      <c r="E1733" s="3" t="s">
        <v>5427</v>
      </c>
      <c r="F1733" s="3" t="str">
        <f>"727-491-0121"</f>
        <v>727-491-0121</v>
      </c>
      <c r="G1733" s="3">
        <v>484121</v>
      </c>
      <c r="H1733" s="3" t="s">
        <v>342</v>
      </c>
    </row>
    <row r="1734" spans="1:8" ht="90" x14ac:dyDescent="0.25">
      <c r="A1734" s="3" t="s">
        <v>5428</v>
      </c>
      <c r="B1734" s="3"/>
      <c r="C1734" s="3" t="s">
        <v>5429</v>
      </c>
      <c r="D1734" s="3" t="s">
        <v>9</v>
      </c>
      <c r="E1734" s="3" t="s">
        <v>5430</v>
      </c>
      <c r="F1734" s="3" t="str">
        <f>"260.424.3644"</f>
        <v>260.424.3644</v>
      </c>
      <c r="G1734" s="3">
        <v>54161</v>
      </c>
      <c r="H1734" s="3" t="s">
        <v>1221</v>
      </c>
    </row>
    <row r="1735" spans="1:8" ht="26.25" x14ac:dyDescent="0.25">
      <c r="A1735" s="3" t="s">
        <v>5431</v>
      </c>
      <c r="B1735" s="3"/>
      <c r="C1735" s="3" t="str">
        <f>"Offset Printing without publication (e.g., letterhead, envelopes, flyers, forms, etc.)"</f>
        <v>Offset Printing without publication (e.g., letterhead, envelopes, flyers, forms, etc.)</v>
      </c>
      <c r="D1735" s="3" t="s">
        <v>5432</v>
      </c>
      <c r="E1735" s="3" t="s">
        <v>5433</v>
      </c>
      <c r="F1735" s="3" t="str">
        <f>"317-896-5337"</f>
        <v>317-896-5337</v>
      </c>
      <c r="G1735" s="3">
        <v>323110</v>
      </c>
      <c r="H1735" s="3" t="s">
        <v>1900</v>
      </c>
    </row>
    <row r="1736" spans="1:8" ht="26.25" x14ac:dyDescent="0.25">
      <c r="A1736" s="3" t="s">
        <v>5431</v>
      </c>
      <c r="B1736" s="3"/>
      <c r="C1736" s="2"/>
      <c r="D1736" s="3" t="s">
        <v>5432</v>
      </c>
      <c r="E1736" s="3" t="s">
        <v>5434</v>
      </c>
      <c r="F1736" s="3" t="str">
        <f>"317-896-5337"</f>
        <v>317-896-5337</v>
      </c>
      <c r="G1736" s="3">
        <v>323</v>
      </c>
      <c r="H1736" s="3" t="s">
        <v>302</v>
      </c>
    </row>
    <row r="1737" spans="1:8" ht="26.25" x14ac:dyDescent="0.25">
      <c r="A1737" s="3" t="s">
        <v>5435</v>
      </c>
      <c r="B1737" s="3"/>
      <c r="C1737" s="3" t="str">
        <f>"Sales And Service to The graphic Arts Industry In Indiana or Printing Companies"</f>
        <v>Sales And Service to The graphic Arts Industry In Indiana or Printing Companies</v>
      </c>
      <c r="D1737" s="3" t="s">
        <v>9</v>
      </c>
      <c r="E1737" s="3" t="s">
        <v>46</v>
      </c>
      <c r="F1737" s="2"/>
      <c r="G1737" s="3">
        <v>5419</v>
      </c>
      <c r="H1737" s="3" t="s">
        <v>5436</v>
      </c>
    </row>
    <row r="1738" spans="1:8" ht="39" x14ac:dyDescent="0.25">
      <c r="A1738" s="3" t="s">
        <v>5437</v>
      </c>
      <c r="B1738" s="3"/>
      <c r="C1738" s="3" t="str">
        <f>"Caylor Communications, Inc. specializes in all aspects of Audio/Video sales service and installation."</f>
        <v>Caylor Communications, Inc. specializes in all aspects of Audio/Video sales service and installation.</v>
      </c>
      <c r="D1738" s="3" t="s">
        <v>9</v>
      </c>
      <c r="E1738" s="3" t="s">
        <v>5438</v>
      </c>
      <c r="F1738" s="2"/>
      <c r="G1738" s="3">
        <v>238210</v>
      </c>
      <c r="H1738" s="3" t="s">
        <v>306</v>
      </c>
    </row>
    <row r="1739" spans="1:8" ht="51.75" x14ac:dyDescent="0.25">
      <c r="A1739" s="3" t="s">
        <v>5439</v>
      </c>
      <c r="B1739" s="3"/>
      <c r="C1739" s="3" t="str">
        <f>"Commercial and Residential *slab*footing*curbs*driveways*sidewalks*patios*pole barns*Bobcat and Backhoe services"</f>
        <v>Commercial and Residential *slab*footing*curbs*driveways*sidewalks*patios*pole barns*Bobcat and Backhoe services</v>
      </c>
      <c r="D1739" s="3" t="s">
        <v>9</v>
      </c>
      <c r="E1739" s="3" t="s">
        <v>5440</v>
      </c>
      <c r="F1739" s="3" t="str">
        <f>"765-649-7159"</f>
        <v>765-649-7159</v>
      </c>
      <c r="G1739" s="3">
        <v>238110</v>
      </c>
      <c r="H1739" s="3" t="s">
        <v>156</v>
      </c>
    </row>
    <row r="1740" spans="1:8" ht="26.25" x14ac:dyDescent="0.25">
      <c r="A1740" s="3" t="s">
        <v>5441</v>
      </c>
      <c r="B1740" s="3"/>
      <c r="C1740" s="3" t="str">
        <f>"Ebay Trading Assistance Service Provider."</f>
        <v>Ebay Trading Assistance Service Provider.</v>
      </c>
      <c r="D1740" s="3" t="s">
        <v>5442</v>
      </c>
      <c r="E1740" s="3" t="s">
        <v>5443</v>
      </c>
      <c r="F1740" s="3" t="str">
        <f>"866-575-3723"</f>
        <v>866-575-3723</v>
      </c>
      <c r="G1740" s="3">
        <v>81</v>
      </c>
      <c r="H1740" s="3" t="s">
        <v>751</v>
      </c>
    </row>
    <row r="1741" spans="1:8" ht="26.25" x14ac:dyDescent="0.25">
      <c r="A1741" s="3" t="s">
        <v>5444</v>
      </c>
      <c r="B1741" s="3"/>
      <c r="C1741" s="3" t="str">
        <f>"Medical Supplies, and Medical Gases"</f>
        <v>Medical Supplies, and Medical Gases</v>
      </c>
      <c r="D1741" s="3" t="s">
        <v>5445</v>
      </c>
      <c r="E1741" s="3" t="s">
        <v>5446</v>
      </c>
      <c r="F1741" s="3" t="str">
        <f>"336-272-0166"</f>
        <v>336-272-0166</v>
      </c>
      <c r="G1741" s="3">
        <v>423450</v>
      </c>
      <c r="H1741" s="3" t="s">
        <v>1406</v>
      </c>
    </row>
    <row r="1742" spans="1:8" ht="51.75" x14ac:dyDescent="0.25">
      <c r="A1742" s="3" t="s">
        <v>5447</v>
      </c>
      <c r="B1742" s="3"/>
      <c r="C1742" s="3" t="str">
        <f>"Sales, service, support and consulting for business telephone systems(including VOIP systems), computer networking, and video surveillance systems."</f>
        <v>Sales, service, support and consulting for business telephone systems(including VOIP systems), computer networking, and video surveillance systems.</v>
      </c>
      <c r="D1742" s="3" t="s">
        <v>5448</v>
      </c>
      <c r="E1742" s="3" t="s">
        <v>5449</v>
      </c>
      <c r="F1742" s="3" t="str">
        <f>"888-4-CEDCOM"</f>
        <v>888-4-CEDCOM</v>
      </c>
      <c r="G1742" s="3">
        <v>2382</v>
      </c>
      <c r="H1742" s="3" t="s">
        <v>5450</v>
      </c>
    </row>
    <row r="1743" spans="1:8" ht="128.25" x14ac:dyDescent="0.25">
      <c r="A1743" s="3" t="s">
        <v>5451</v>
      </c>
      <c r="B1743" s="3"/>
      <c r="C1743" s="3" t="s">
        <v>5452</v>
      </c>
      <c r="D1743" s="3" t="s">
        <v>5453</v>
      </c>
      <c r="E1743" s="3" t="s">
        <v>5454</v>
      </c>
      <c r="F1743" s="3" t="str">
        <f>"812-455-7185"</f>
        <v>812-455-7185</v>
      </c>
      <c r="G1743" s="3">
        <v>454210</v>
      </c>
      <c r="H1743" s="3" t="s">
        <v>2889</v>
      </c>
    </row>
    <row r="1744" spans="1:8" ht="51.75" x14ac:dyDescent="0.25">
      <c r="A1744" s="3" t="s">
        <v>5455</v>
      </c>
      <c r="B1744" s="3"/>
      <c r="C1744" s="3" t="str">
        <f>"Retail Sale of Consumer (class C) fireworks in the State of INdiana. The company has some commercial accounts, but its primary focus is retail sales."</f>
        <v>Retail Sale of Consumer (class C) fireworks in the State of INdiana. The company has some commercial accounts, but its primary focus is retail sales.</v>
      </c>
      <c r="D1744" s="3" t="s">
        <v>5456</v>
      </c>
      <c r="E1744" s="3" t="s">
        <v>5457</v>
      </c>
      <c r="F1744" s="3" t="str">
        <f>"317-257-9446"</f>
        <v>317-257-9446</v>
      </c>
      <c r="G1744" s="3">
        <v>453998</v>
      </c>
      <c r="H1744" s="3" t="s">
        <v>112</v>
      </c>
    </row>
    <row r="1745" spans="1:8" ht="77.25" x14ac:dyDescent="0.25">
      <c r="A1745" s="3" t="s">
        <v>5458</v>
      </c>
      <c r="B1745" s="3"/>
      <c r="C1745" s="3" t="str">
        <f>"We manufacture and distribute small and large bags of Purified Packaged Ice for Retail, Wholesale, and other uses. We are located in Jasper, Indiana where all of our ice is made and we distrubte to the South Central Portion of Indiana."</f>
        <v>We manufacture and distribute small and large bags of Purified Packaged Ice for Retail, Wholesale, and other uses. We are located in Jasper, Indiana where all of our ice is made and we distrubte to the South Central Portion of Indiana.</v>
      </c>
      <c r="D1745" s="3" t="s">
        <v>5459</v>
      </c>
      <c r="E1745" s="3" t="s">
        <v>5460</v>
      </c>
      <c r="F1745" s="3" t="str">
        <f>"8126349801"</f>
        <v>8126349801</v>
      </c>
      <c r="G1745" s="3">
        <v>31211</v>
      </c>
      <c r="H1745" s="3" t="s">
        <v>5461</v>
      </c>
    </row>
    <row r="1746" spans="1:8" ht="51.75" x14ac:dyDescent="0.25">
      <c r="A1746" s="3" t="s">
        <v>5462</v>
      </c>
      <c r="B1746" s="3"/>
      <c r="C1746" s="3" t="str">
        <f>"CelerAscent provides economic development consultancy, strategic planning consultancy, market research, and marketing services."</f>
        <v>CelerAscent provides economic development consultancy, strategic planning consultancy, market research, and marketing services.</v>
      </c>
      <c r="D1746" s="3" t="s">
        <v>9</v>
      </c>
      <c r="E1746" s="3" t="s">
        <v>5463</v>
      </c>
      <c r="F1746" s="3" t="str">
        <f>"207-975-4685"</f>
        <v>207-975-4685</v>
      </c>
      <c r="G1746" s="3">
        <v>541611</v>
      </c>
      <c r="H1746" s="3" t="s">
        <v>278</v>
      </c>
    </row>
    <row r="1747" spans="1:8" ht="115.5" x14ac:dyDescent="0.25">
      <c r="A1747" s="3" t="s">
        <v>5464</v>
      </c>
      <c r="B1747" s="3"/>
      <c r="C1747" s="3" t="s">
        <v>5465</v>
      </c>
      <c r="D1747" s="3" t="s">
        <v>9</v>
      </c>
      <c r="E1747" s="3" t="s">
        <v>5466</v>
      </c>
      <c r="F1747" s="3" t="str">
        <f>"317-357-9110"</f>
        <v>317-357-9110</v>
      </c>
      <c r="G1747" s="3">
        <v>23</v>
      </c>
      <c r="H1747" s="3" t="s">
        <v>133</v>
      </c>
    </row>
    <row r="1748" spans="1:8" ht="26.25" x14ac:dyDescent="0.25">
      <c r="A1748" s="3" t="s">
        <v>5467</v>
      </c>
      <c r="B1748" s="3"/>
      <c r="C1748" s="3" t="str">
        <f>"Wireless telecommunications carrier"</f>
        <v>Wireless telecommunications carrier</v>
      </c>
      <c r="D1748" s="3" t="s">
        <v>5468</v>
      </c>
      <c r="E1748" s="3" t="s">
        <v>5469</v>
      </c>
      <c r="F1748" s="3" t="str">
        <f>"317-697-1423"</f>
        <v>317-697-1423</v>
      </c>
      <c r="G1748" s="3">
        <v>51332</v>
      </c>
      <c r="H1748" s="3" t="s">
        <v>5470</v>
      </c>
    </row>
    <row r="1749" spans="1:8" ht="115.5" x14ac:dyDescent="0.25">
      <c r="A1749" s="3" t="s">
        <v>5471</v>
      </c>
      <c r="B1749" s="3"/>
      <c r="C1749" s="3" t="s">
        <v>5472</v>
      </c>
      <c r="D1749" s="3" t="s">
        <v>5473</v>
      </c>
      <c r="E1749" s="3" t="s">
        <v>5474</v>
      </c>
      <c r="F1749" s="3" t="str">
        <f>"3147527770"</f>
        <v>3147527770</v>
      </c>
      <c r="G1749" s="3">
        <v>561720</v>
      </c>
      <c r="H1749" s="3" t="s">
        <v>222</v>
      </c>
    </row>
    <row r="1750" spans="1:8" ht="39" x14ac:dyDescent="0.25">
      <c r="A1750" s="3" t="s">
        <v>5475</v>
      </c>
      <c r="B1750" s="3"/>
      <c r="C1750" s="3" t="str">
        <f>"centelles llc is a minority owned company that provides landscaping needs along with demolition and general contracting"</f>
        <v>centelles llc is a minority owned company that provides landscaping needs along with demolition and general contracting</v>
      </c>
      <c r="D1750" s="3" t="s">
        <v>9</v>
      </c>
      <c r="E1750" s="3" t="s">
        <v>46</v>
      </c>
      <c r="F1750" s="3" t="str">
        <f>"3178974700"</f>
        <v>3178974700</v>
      </c>
      <c r="G1750" s="3">
        <v>561730</v>
      </c>
      <c r="H1750" s="3" t="s">
        <v>65</v>
      </c>
    </row>
    <row r="1751" spans="1:8" ht="26.25" x14ac:dyDescent="0.25">
      <c r="A1751" s="3" t="s">
        <v>5476</v>
      </c>
      <c r="B1751" s="3"/>
      <c r="C1751" s="3" t="str">
        <f>"Real estate title search and insurance business Real estate appraisal"</f>
        <v>Real estate title search and insurance business Real estate appraisal</v>
      </c>
      <c r="D1751" s="3" t="s">
        <v>5477</v>
      </c>
      <c r="E1751" s="3" t="s">
        <v>5478</v>
      </c>
      <c r="F1751" s="3" t="str">
        <f>"574.267.3757"</f>
        <v>574.267.3757</v>
      </c>
      <c r="G1751" s="3">
        <v>531390</v>
      </c>
      <c r="H1751" s="3" t="s">
        <v>623</v>
      </c>
    </row>
    <row r="1752" spans="1:8" ht="39" x14ac:dyDescent="0.25">
      <c r="A1752" s="3" t="s">
        <v>5479</v>
      </c>
      <c r="B1752" s="3"/>
      <c r="C1752" s="3" t="str">
        <f>"Mental health clinical practice. Also conduct and evaluation of mental health research efforts"</f>
        <v>Mental health clinical practice. Also conduct and evaluation of mental health research efforts</v>
      </c>
      <c r="D1752" s="3" t="s">
        <v>9</v>
      </c>
      <c r="E1752" s="3" t="s">
        <v>46</v>
      </c>
      <c r="F1752" s="2"/>
      <c r="G1752" s="3">
        <v>621330</v>
      </c>
      <c r="H1752" s="3" t="s">
        <v>2643</v>
      </c>
    </row>
    <row r="1753" spans="1:8" ht="64.5" x14ac:dyDescent="0.25">
      <c r="A1753" s="3" t="s">
        <v>5480</v>
      </c>
      <c r="B1753" s="3"/>
      <c r="C1753" s="3" t="str">
        <f>"Develop educational materials and videos for medical laboratories worldwide and train students in our Corydon, Indiana school to perform phlebotomy, awarding them a Phlebotomy Technician Certificate"</f>
        <v>Develop educational materials and videos for medical laboratories worldwide and train students in our Corydon, Indiana school to perform phlebotomy, awarding them a Phlebotomy Technician Certificate</v>
      </c>
      <c r="D1753" s="3" t="s">
        <v>5481</v>
      </c>
      <c r="E1753" s="3" t="s">
        <v>5482</v>
      </c>
      <c r="F1753" s="3" t="str">
        <f>"812-738-5700"</f>
        <v>812-738-5700</v>
      </c>
      <c r="G1753" s="3">
        <v>611710</v>
      </c>
      <c r="H1753" s="3" t="s">
        <v>508</v>
      </c>
    </row>
    <row r="1754" spans="1:8" ht="281.25" x14ac:dyDescent="0.25">
      <c r="A1754" s="3" t="s">
        <v>5483</v>
      </c>
      <c r="B1754" s="3"/>
      <c r="C1754" s="3" t="s">
        <v>5484</v>
      </c>
      <c r="D1754" s="3" t="s">
        <v>5485</v>
      </c>
      <c r="E1754" s="3" t="s">
        <v>5486</v>
      </c>
      <c r="F1754" s="3" t="str">
        <f>"219 462-2940"</f>
        <v>219 462-2940</v>
      </c>
      <c r="G1754" s="3">
        <v>8133</v>
      </c>
      <c r="H1754" s="3" t="s">
        <v>5487</v>
      </c>
    </row>
    <row r="1755" spans="1:8" ht="39" x14ac:dyDescent="0.25">
      <c r="A1755" s="3" t="s">
        <v>5488</v>
      </c>
      <c r="B1755" s="3"/>
      <c r="C1755" s="3" t="str">
        <f>"Provide natural gas options and savings to commercial/industrial customers throughout Indiana."</f>
        <v>Provide natural gas options and savings to commercial/industrial customers throughout Indiana.</v>
      </c>
      <c r="D1755" s="3" t="s">
        <v>5489</v>
      </c>
      <c r="E1755" s="3" t="s">
        <v>5490</v>
      </c>
      <c r="F1755" s="3" t="str">
        <f>"800-495-9880"</f>
        <v>800-495-9880</v>
      </c>
      <c r="G1755" s="3">
        <v>221210</v>
      </c>
      <c r="H1755" s="3" t="s">
        <v>5491</v>
      </c>
    </row>
    <row r="1756" spans="1:8" ht="26.25" x14ac:dyDescent="0.25">
      <c r="A1756" s="3" t="s">
        <v>5492</v>
      </c>
      <c r="B1756" s="3"/>
      <c r="C1756" s="3" t="str">
        <f>"Volunteer Fire Department"</f>
        <v>Volunteer Fire Department</v>
      </c>
      <c r="D1756" s="3" t="s">
        <v>9</v>
      </c>
      <c r="E1756" s="3" t="s">
        <v>5493</v>
      </c>
      <c r="F1756" s="3" t="str">
        <f>"812 835 3131"</f>
        <v>812 835 3131</v>
      </c>
      <c r="G1756" s="3">
        <v>22</v>
      </c>
      <c r="H1756" s="3" t="s">
        <v>1151</v>
      </c>
    </row>
    <row r="1757" spans="1:8" ht="128.25" x14ac:dyDescent="0.25">
      <c r="A1757" s="3" t="s">
        <v>5494</v>
      </c>
      <c r="B1757" s="3"/>
      <c r="C1757" s="3" t="s">
        <v>5495</v>
      </c>
      <c r="D1757" s="3" t="s">
        <v>5496</v>
      </c>
      <c r="E1757" s="3" t="s">
        <v>46</v>
      </c>
      <c r="F1757" s="3" t="str">
        <f>"800-344-8802"</f>
        <v>800-344-8802</v>
      </c>
      <c r="G1757" s="3">
        <v>62142</v>
      </c>
      <c r="H1757" s="3" t="s">
        <v>990</v>
      </c>
    </row>
    <row r="1758" spans="1:8" ht="26.25" x14ac:dyDescent="0.25">
      <c r="A1758" s="3" t="s">
        <v>5497</v>
      </c>
      <c r="B1758" s="3"/>
      <c r="C1758" s="3" t="str">
        <f>"Asbestos abatement, light demolition, mold remediation and lead abatement contractor."</f>
        <v>Asbestos abatement, light demolition, mold remediation and lead abatement contractor.</v>
      </c>
      <c r="D1758" s="3" t="s">
        <v>9</v>
      </c>
      <c r="E1758" s="3" t="s">
        <v>5498</v>
      </c>
      <c r="F1758" s="3" t="str">
        <f>"3177553417"</f>
        <v>3177553417</v>
      </c>
      <c r="G1758" s="3">
        <v>562910</v>
      </c>
      <c r="H1758" s="3" t="s">
        <v>2278</v>
      </c>
    </row>
    <row r="1759" spans="1:8" ht="26.25" x14ac:dyDescent="0.25">
      <c r="A1759" s="3" t="s">
        <v>5499</v>
      </c>
      <c r="B1759" s="3"/>
      <c r="C1759" s="3" t="str">
        <f>"Ready-mix concrete manufacturer."</f>
        <v>Ready-mix concrete manufacturer.</v>
      </c>
      <c r="D1759" s="3" t="s">
        <v>9</v>
      </c>
      <c r="E1759" s="3" t="s">
        <v>5500</v>
      </c>
      <c r="F1759" s="3" t="str">
        <f>"812-481-2331"</f>
        <v>812-481-2331</v>
      </c>
      <c r="G1759" s="3">
        <v>327320</v>
      </c>
      <c r="H1759" s="3" t="s">
        <v>5501</v>
      </c>
    </row>
    <row r="1760" spans="1:8" ht="39" x14ac:dyDescent="0.25">
      <c r="A1760" s="3" t="s">
        <v>5502</v>
      </c>
      <c r="B1760" s="3"/>
      <c r="C1760" s="3" t="str">
        <f>"Specializing in site preparation including earthmoving, sanitary sewer, storm drainage/sewer and waterline installation."</f>
        <v>Specializing in site preparation including earthmoving, sanitary sewer, storm drainage/sewer and waterline installation.</v>
      </c>
      <c r="D1760" s="3" t="s">
        <v>5503</v>
      </c>
      <c r="E1760" s="3" t="s">
        <v>5504</v>
      </c>
      <c r="F1760" s="3" t="str">
        <f>"317-894-1990"</f>
        <v>317-894-1990</v>
      </c>
      <c r="G1760" s="3">
        <v>237990</v>
      </c>
      <c r="H1760" s="3" t="s">
        <v>2631</v>
      </c>
    </row>
    <row r="1761" spans="1:8" ht="192" x14ac:dyDescent="0.25">
      <c r="A1761" s="3" t="s">
        <v>5505</v>
      </c>
      <c r="B1761" s="3"/>
      <c r="C1761" s="3" t="s">
        <v>5506</v>
      </c>
      <c r="D1761" s="3" t="s">
        <v>9</v>
      </c>
      <c r="E1761" s="3" t="s">
        <v>5507</v>
      </c>
      <c r="F1761" s="3" t="str">
        <f>"317 357-8396"</f>
        <v>317 357-8396</v>
      </c>
      <c r="G1761" s="3">
        <v>444130</v>
      </c>
      <c r="H1761" s="3" t="s">
        <v>2597</v>
      </c>
    </row>
    <row r="1762" spans="1:8" ht="51.75" x14ac:dyDescent="0.25">
      <c r="A1762" s="3" t="s">
        <v>5508</v>
      </c>
      <c r="B1762" s="3"/>
      <c r="C1762" s="3" t="str">
        <f>"The CIESC is an Indiana Educational Service Center that gives support to publice schools in the Marion and surrounding counties in Indiana."</f>
        <v>The CIESC is an Indiana Educational Service Center that gives support to publice schools in the Marion and surrounding counties in Indiana.</v>
      </c>
      <c r="D1762" s="3" t="s">
        <v>5509</v>
      </c>
      <c r="E1762" s="3" t="s">
        <v>46</v>
      </c>
      <c r="F1762" s="3" t="str">
        <f>"317-387-7100"</f>
        <v>317-387-7100</v>
      </c>
      <c r="G1762" s="3">
        <v>61171</v>
      </c>
      <c r="H1762" s="3" t="s">
        <v>508</v>
      </c>
    </row>
    <row r="1763" spans="1:8" ht="26.25" x14ac:dyDescent="0.25">
      <c r="A1763" s="3" t="s">
        <v>5510</v>
      </c>
      <c r="B1763" s="3"/>
      <c r="C1763" s="2"/>
      <c r="D1763" s="3" t="s">
        <v>5511</v>
      </c>
      <c r="E1763" s="3" t="s">
        <v>5512</v>
      </c>
      <c r="F1763" s="3" t="str">
        <f>"317-558-5700"</f>
        <v>317-558-5700</v>
      </c>
      <c r="G1763" s="3">
        <v>23599</v>
      </c>
      <c r="H1763" s="3" t="s">
        <v>248</v>
      </c>
    </row>
    <row r="1764" spans="1:8" ht="26.25" x14ac:dyDescent="0.25">
      <c r="A1764" s="3" t="s">
        <v>5513</v>
      </c>
      <c r="B1764" s="3"/>
      <c r="C1764" s="3" t="str">
        <f>"Electrical Apprenticeship - 4 year Commercial, USDOL B.A.T approved"</f>
        <v>Electrical Apprenticeship - 4 year Commercial, USDOL B.A.T approved</v>
      </c>
      <c r="D1764" s="3" t="s">
        <v>5514</v>
      </c>
      <c r="E1764" s="3" t="s">
        <v>5515</v>
      </c>
      <c r="F1764" s="3" t="str">
        <f>"317-562-1102"</f>
        <v>317-562-1102</v>
      </c>
      <c r="G1764" s="3">
        <v>611513</v>
      </c>
      <c r="H1764" s="3" t="s">
        <v>5516</v>
      </c>
    </row>
    <row r="1765" spans="1:8" ht="39" x14ac:dyDescent="0.25">
      <c r="A1765" s="3" t="s">
        <v>5517</v>
      </c>
      <c r="B1765" s="3"/>
      <c r="C1765" s="3" t="str">
        <f>"We provide interpreting, transliterating, translating, services in American Sign Language and other languages."</f>
        <v>We provide interpreting, transliterating, translating, services in American Sign Language and other languages.</v>
      </c>
      <c r="D1765" s="3" t="s">
        <v>5518</v>
      </c>
      <c r="E1765" s="3" t="s">
        <v>5519</v>
      </c>
      <c r="F1765" s="3" t="str">
        <f>"3178477598"</f>
        <v>3178477598</v>
      </c>
      <c r="G1765" s="3">
        <v>541930</v>
      </c>
      <c r="H1765" s="3" t="s">
        <v>971</v>
      </c>
    </row>
    <row r="1766" spans="1:8" ht="90" x14ac:dyDescent="0.25">
      <c r="A1766" s="3" t="s">
        <v>5520</v>
      </c>
      <c r="B1766" s="3"/>
      <c r="C1766" s="3" t="str">
        <f>"The mission of the organization is to provide business attire and career development for disadvantaged males ages 18-65. Disadvantaged males include those that have been discriminated against because of race, income, age, or health disorder."</f>
        <v>The mission of the organization is to provide business attire and career development for disadvantaged males ages 18-65. Disadvantaged males include those that have been discriminated against because of race, income, age, or health disorder.</v>
      </c>
      <c r="D1766" s="3" t="s">
        <v>5521</v>
      </c>
      <c r="E1766" s="3" t="s">
        <v>5522</v>
      </c>
      <c r="F1766" s="3" t="str">
        <f>"317-385-9469"</f>
        <v>317-385-9469</v>
      </c>
      <c r="G1766" s="3">
        <v>923130</v>
      </c>
      <c r="H1766" s="3" t="s">
        <v>724</v>
      </c>
    </row>
    <row r="1767" spans="1:8" ht="39" x14ac:dyDescent="0.25">
      <c r="A1767" s="3" t="s">
        <v>5523</v>
      </c>
      <c r="B1767" s="3"/>
      <c r="C1767" s="3" t="str">
        <f>"Central Indiana Ready Mix is a Woman owned Ready mix concrete company located in Terre Haute, Indiana."</f>
        <v>Central Indiana Ready Mix is a Woman owned Ready mix concrete company located in Terre Haute, Indiana.</v>
      </c>
      <c r="D1767" s="3" t="s">
        <v>9</v>
      </c>
      <c r="E1767" s="3" t="s">
        <v>5524</v>
      </c>
      <c r="F1767" s="3" t="str">
        <f>"812-234-5983"</f>
        <v>812-234-5983</v>
      </c>
      <c r="G1767" s="3">
        <v>327320</v>
      </c>
      <c r="H1767" s="3" t="s">
        <v>5501</v>
      </c>
    </row>
    <row r="1768" spans="1:8" ht="51.75" x14ac:dyDescent="0.25">
      <c r="A1768" s="3" t="s">
        <v>5525</v>
      </c>
      <c r="B1768" s="3"/>
      <c r="C1768" s="3" t="str">
        <f>"Sales and service of new and retread commercial, industrial and farm tires. State wide road service and on-site retread plant. Locally (Family) owned and operated."</f>
        <v>Sales and service of new and retread commercial, industrial and farm tires. State wide road service and on-site retread plant. Locally (Family) owned and operated.</v>
      </c>
      <c r="D1768" s="3" t="s">
        <v>9</v>
      </c>
      <c r="E1768" s="3" t="s">
        <v>5526</v>
      </c>
      <c r="F1768" s="3" t="str">
        <f>"317-487-5969"</f>
        <v>317-487-5969</v>
      </c>
      <c r="G1768" s="3">
        <v>326212</v>
      </c>
      <c r="H1768" s="3" t="s">
        <v>5527</v>
      </c>
    </row>
    <row r="1769" spans="1:8" ht="39" x14ac:dyDescent="0.25">
      <c r="A1769" s="3" t="s">
        <v>5528</v>
      </c>
      <c r="B1769" s="3"/>
      <c r="C1769" s="3" t="str">
        <f>"Asphalt paving contractor specializing in Commercial, Industrial, Residential, and State Highway work."</f>
        <v>Asphalt paving contractor specializing in Commercial, Industrial, Residential, and State Highway work.</v>
      </c>
      <c r="D1769" s="3" t="s">
        <v>5529</v>
      </c>
      <c r="E1769" s="3" t="s">
        <v>5530</v>
      </c>
      <c r="F1769" s="3" t="str">
        <f>"574-722-4727"</f>
        <v>574-722-4727</v>
      </c>
      <c r="G1769" s="3">
        <v>237310</v>
      </c>
      <c r="H1769" s="3" t="s">
        <v>768</v>
      </c>
    </row>
    <row r="1770" spans="1:8" ht="64.5" x14ac:dyDescent="0.25">
      <c r="A1770" s="3" t="s">
        <v>5531</v>
      </c>
      <c r="B1770" s="3"/>
      <c r="C1770" s="3" t="str">
        <f>"Sales, service &amp; installation of Fire &amp; Security Alarm, Access Control, CCTV and Video Intercom Systems. Locally owned &amp; operated UL &amp; FM listed Central Monitoring Station."</f>
        <v>Sales, service &amp; installation of Fire &amp; Security Alarm, Access Control, CCTV and Video Intercom Systems. Locally owned &amp; operated UL &amp; FM listed Central Monitoring Station.</v>
      </c>
      <c r="D1770" s="3" t="s">
        <v>5532</v>
      </c>
      <c r="E1770" s="3" t="s">
        <v>5533</v>
      </c>
      <c r="F1770" s="3" t="str">
        <f>"317-543-1300"</f>
        <v>317-543-1300</v>
      </c>
      <c r="G1770" s="3">
        <v>561621</v>
      </c>
      <c r="H1770" s="3" t="s">
        <v>827</v>
      </c>
    </row>
    <row r="1771" spans="1:8" ht="204.75" x14ac:dyDescent="0.25">
      <c r="A1771" s="3" t="s">
        <v>5534</v>
      </c>
      <c r="B1771" s="3"/>
      <c r="C1771" s="3" t="s">
        <v>5535</v>
      </c>
      <c r="D1771" s="3" t="s">
        <v>5536</v>
      </c>
      <c r="E1771" s="3" t="s">
        <v>5537</v>
      </c>
      <c r="F1771" s="3" t="str">
        <f>"812-376-8675"</f>
        <v>812-376-8675</v>
      </c>
      <c r="G1771" s="3">
        <v>541519</v>
      </c>
      <c r="H1771" s="3" t="s">
        <v>898</v>
      </c>
    </row>
    <row r="1772" spans="1:8" ht="166.5" x14ac:dyDescent="0.25">
      <c r="A1772" s="3" t="s">
        <v>5538</v>
      </c>
      <c r="B1772" s="3"/>
      <c r="C1772" s="3" t="s">
        <v>5539</v>
      </c>
      <c r="D1772" s="3" t="s">
        <v>5540</v>
      </c>
      <c r="E1772" s="3" t="s">
        <v>5541</v>
      </c>
      <c r="F1772" s="3" t="str">
        <f>"219-987-6192"</f>
        <v>219-987-6192</v>
      </c>
      <c r="G1772" s="3">
        <v>335314</v>
      </c>
      <c r="H1772" s="3" t="s">
        <v>5542</v>
      </c>
    </row>
    <row r="1773" spans="1:8" ht="39" x14ac:dyDescent="0.25">
      <c r="A1773" s="3" t="s">
        <v>5543</v>
      </c>
      <c r="B1773" s="3"/>
      <c r="C1773" s="3" t="str">
        <f>"Real Estate Sales, residential, commercial,relocation services and property management."</f>
        <v>Real Estate Sales, residential, commercial,relocation services and property management.</v>
      </c>
      <c r="D1773" s="3" t="s">
        <v>5544</v>
      </c>
      <c r="E1773" s="3" t="s">
        <v>5545</v>
      </c>
      <c r="F1773" s="3" t="str">
        <f>"219-462-2090"</f>
        <v>219-462-2090</v>
      </c>
      <c r="G1773" s="3">
        <v>531210</v>
      </c>
      <c r="H1773" s="3" t="s">
        <v>1101</v>
      </c>
    </row>
    <row r="1774" spans="1:8" ht="39" x14ac:dyDescent="0.25">
      <c r="A1774" s="3" t="s">
        <v>5546</v>
      </c>
      <c r="B1774" s="3"/>
      <c r="C1774" s="3" t="str">
        <f>"We are a full service real estate sales agency located in Jefferson County, also serving the surrounding counties."</f>
        <v>We are a full service real estate sales agency located in Jefferson County, also serving the surrounding counties.</v>
      </c>
      <c r="D1774" s="3" t="s">
        <v>5547</v>
      </c>
      <c r="E1774" s="3" t="s">
        <v>5548</v>
      </c>
      <c r="F1774" s="3" t="str">
        <f>"812-273-1234"</f>
        <v>812-273-1234</v>
      </c>
      <c r="G1774" s="3">
        <v>531210</v>
      </c>
      <c r="H1774" s="3" t="s">
        <v>1101</v>
      </c>
    </row>
    <row r="1775" spans="1:8" ht="64.5" x14ac:dyDescent="0.25">
      <c r="A1775" s="3" t="s">
        <v>5549</v>
      </c>
      <c r="B1775" s="3"/>
      <c r="C1775" s="3" t="str">
        <f>"Direct Hire Recruiting firm specializing in the placement of Manufacturing &amp; Technology, Health Care, Accounting &amp; Finance, and Professional Services employees."</f>
        <v>Direct Hire Recruiting firm specializing in the placement of Manufacturing &amp; Technology, Health Care, Accounting &amp; Finance, and Professional Services employees.</v>
      </c>
      <c r="D1775" s="3" t="s">
        <v>5550</v>
      </c>
      <c r="E1775" s="3" t="s">
        <v>5551</v>
      </c>
      <c r="F1775" s="3" t="str">
        <f>"317-580-8500"</f>
        <v>317-580-8500</v>
      </c>
      <c r="G1775" s="3">
        <v>56131</v>
      </c>
      <c r="H1775" s="3" t="s">
        <v>1720</v>
      </c>
    </row>
    <row r="1776" spans="1:8" ht="26.25" x14ac:dyDescent="0.25">
      <c r="A1776" s="3" t="s">
        <v>5552</v>
      </c>
      <c r="B1776" s="3"/>
      <c r="C1776" s="3" t="str">
        <f>"Provider of security guard services throughout the State of Indiana since 1971."</f>
        <v>Provider of security guard services throughout the State of Indiana since 1971.</v>
      </c>
      <c r="D1776" s="3" t="s">
        <v>9</v>
      </c>
      <c r="E1776" s="3" t="s">
        <v>46</v>
      </c>
      <c r="F1776" s="3" t="str">
        <f>"800-404-2463"</f>
        <v>800-404-2463</v>
      </c>
      <c r="G1776" s="3">
        <v>561612</v>
      </c>
      <c r="H1776" s="3" t="s">
        <v>362</v>
      </c>
    </row>
    <row r="1777" spans="1:8" ht="39" x14ac:dyDescent="0.25">
      <c r="A1777" s="3" t="s">
        <v>5553</v>
      </c>
      <c r="B1777" s="3"/>
      <c r="C1777" s="3" t="str">
        <f>"We provided customer printed products. From awards to labels, from business cards to bumper stickers."</f>
        <v>We provided customer printed products. From awards to labels, from business cards to bumper stickers.</v>
      </c>
      <c r="D1777" s="3" t="s">
        <v>5554</v>
      </c>
      <c r="E1777" s="3" t="s">
        <v>5555</v>
      </c>
      <c r="F1777" s="3" t="str">
        <f>"2604384222"</f>
        <v>2604384222</v>
      </c>
      <c r="G1777" s="3">
        <v>42411</v>
      </c>
      <c r="H1777" s="3" t="s">
        <v>355</v>
      </c>
    </row>
    <row r="1778" spans="1:8" ht="102.75" x14ac:dyDescent="0.25">
      <c r="A1778" s="3" t="s">
        <v>5556</v>
      </c>
      <c r="B1778" s="3"/>
      <c r="C1778" s="3" t="s">
        <v>5557</v>
      </c>
      <c r="D1778" s="3" t="s">
        <v>5558</v>
      </c>
      <c r="E1778" s="3" t="s">
        <v>5559</v>
      </c>
      <c r="F1778" s="3" t="str">
        <f>"(317) 835-2810"</f>
        <v>(317) 835-2810</v>
      </c>
      <c r="G1778" s="3">
        <v>541990</v>
      </c>
      <c r="H1778" s="3" t="s">
        <v>378</v>
      </c>
    </row>
    <row r="1779" spans="1:8" ht="153.75" x14ac:dyDescent="0.25">
      <c r="A1779" s="3" t="s">
        <v>5560</v>
      </c>
      <c r="B1779" s="3"/>
      <c r="C1779" s="3" t="s">
        <v>5561</v>
      </c>
      <c r="D1779" s="3" t="s">
        <v>5562</v>
      </c>
      <c r="E1779" s="3" t="s">
        <v>5563</v>
      </c>
      <c r="F1779" s="3" t="str">
        <f>"317-313-7948"</f>
        <v>317-313-7948</v>
      </c>
      <c r="G1779" s="3">
        <v>5616</v>
      </c>
      <c r="H1779" s="3" t="s">
        <v>415</v>
      </c>
    </row>
    <row r="1780" spans="1:8" ht="115.5" x14ac:dyDescent="0.25">
      <c r="A1780" s="3" t="s">
        <v>5564</v>
      </c>
      <c r="B1780" s="3"/>
      <c r="C1780" s="3" t="s">
        <v>5565</v>
      </c>
      <c r="D1780" s="3" t="s">
        <v>5566</v>
      </c>
      <c r="E1780" s="3" t="s">
        <v>5567</v>
      </c>
      <c r="F1780" s="3" t="str">
        <f>"260-494-7521"</f>
        <v>260-494-7521</v>
      </c>
      <c r="G1780" s="3">
        <v>561622</v>
      </c>
      <c r="H1780" s="3" t="s">
        <v>43</v>
      </c>
    </row>
    <row r="1781" spans="1:8" ht="102.75" x14ac:dyDescent="0.25">
      <c r="A1781" s="3" t="s">
        <v>5568</v>
      </c>
      <c r="B1781" s="3"/>
      <c r="C1781" s="3" t="s">
        <v>5569</v>
      </c>
      <c r="D1781" s="3" t="s">
        <v>9</v>
      </c>
      <c r="E1781" s="3" t="s">
        <v>5570</v>
      </c>
      <c r="F1781" s="3" t="str">
        <f>"(317) 331-3244"</f>
        <v>(317) 331-3244</v>
      </c>
      <c r="G1781" s="3">
        <v>5416</v>
      </c>
      <c r="H1781" s="3" t="s">
        <v>194</v>
      </c>
    </row>
    <row r="1782" spans="1:8" ht="39" x14ac:dyDescent="0.25">
      <c r="A1782" s="3" t="s">
        <v>5571</v>
      </c>
      <c r="B1782" s="3"/>
      <c r="C1782" s="3" t="str">
        <f>"We remove nuisance wildlife and repair damage done by said animal and try to evaluate potential other problem areas."</f>
        <v>We remove nuisance wildlife and repair damage done by said animal and try to evaluate potential other problem areas.</v>
      </c>
      <c r="D1782" s="3" t="s">
        <v>9</v>
      </c>
      <c r="E1782" s="3" t="s">
        <v>5572</v>
      </c>
      <c r="F1782" s="3" t="str">
        <f>"765-249-2929"</f>
        <v>765-249-2929</v>
      </c>
      <c r="G1782" s="3">
        <v>11</v>
      </c>
      <c r="H1782" s="3" t="s">
        <v>175</v>
      </c>
    </row>
    <row r="1783" spans="1:8" ht="90" x14ac:dyDescent="0.25">
      <c r="A1783" s="3" t="s">
        <v>5573</v>
      </c>
      <c r="B1783" s="3"/>
      <c r="C1783" s="3" t="s">
        <v>5574</v>
      </c>
      <c r="D1783" s="3" t="s">
        <v>9</v>
      </c>
      <c r="E1783" s="3" t="s">
        <v>5575</v>
      </c>
      <c r="F1783" s="3" t="str">
        <f>"765-938-1993"</f>
        <v>765-938-1993</v>
      </c>
      <c r="G1783" s="3">
        <v>44</v>
      </c>
      <c r="H1783" s="3" t="s">
        <v>574</v>
      </c>
    </row>
    <row r="1784" spans="1:8" ht="102.75" x14ac:dyDescent="0.25">
      <c r="A1784" s="3" t="s">
        <v>5576</v>
      </c>
      <c r="B1784" s="3"/>
      <c r="C1784" s="3" t="s">
        <v>5577</v>
      </c>
      <c r="D1784" s="3" t="s">
        <v>5578</v>
      </c>
      <c r="E1784" s="3" t="s">
        <v>5579</v>
      </c>
      <c r="F1784" s="3" t="str">
        <f>"800-517-6523"</f>
        <v>800-517-6523</v>
      </c>
      <c r="G1784" s="3">
        <v>5416</v>
      </c>
      <c r="H1784" s="3" t="s">
        <v>194</v>
      </c>
    </row>
    <row r="1785" spans="1:8" ht="115.5" x14ac:dyDescent="0.25">
      <c r="A1785" s="3" t="s">
        <v>5580</v>
      </c>
      <c r="B1785" s="3"/>
      <c r="C1785" s="3" t="s">
        <v>5581</v>
      </c>
      <c r="D1785" s="3" t="s">
        <v>5582</v>
      </c>
      <c r="E1785" s="3" t="s">
        <v>46</v>
      </c>
      <c r="F1785" s="3" t="str">
        <f>"219-989-3250"</f>
        <v>219-989-3250</v>
      </c>
      <c r="G1785" s="3">
        <v>61</v>
      </c>
      <c r="H1785" s="3" t="s">
        <v>140</v>
      </c>
    </row>
    <row r="1786" spans="1:8" ht="26.25" x14ac:dyDescent="0.25">
      <c r="A1786" s="3" t="s">
        <v>5583</v>
      </c>
      <c r="B1786" s="3"/>
      <c r="C1786" s="3" t="str">
        <f>"printing and paper products wholesaler"</f>
        <v>printing and paper products wholesaler</v>
      </c>
      <c r="D1786" s="3" t="s">
        <v>9</v>
      </c>
      <c r="E1786" s="3" t="s">
        <v>5584</v>
      </c>
      <c r="F1786" s="3" t="str">
        <f>"317-484-8998"</f>
        <v>317-484-8998</v>
      </c>
      <c r="G1786" s="3">
        <v>424110</v>
      </c>
      <c r="H1786" s="3" t="s">
        <v>355</v>
      </c>
    </row>
    <row r="1787" spans="1:8" ht="77.25" x14ac:dyDescent="0.25">
      <c r="A1787" s="3" t="s">
        <v>5585</v>
      </c>
      <c r="B1787" s="3"/>
      <c r="C1787" s="3" t="str">
        <f>"Professional mobile disc jockey service. Staffed sound/P.A. rentals. Wedding receptions, corporate functions, school dances. Full-time, fully insured, member of the American Disc Jockey Association, in business since 1974."</f>
        <v>Professional mobile disc jockey service. Staffed sound/P.A. rentals. Wedding receptions, corporate functions, school dances. Full-time, fully insured, member of the American Disc Jockey Association, in business since 1974.</v>
      </c>
      <c r="D1787" s="3" t="s">
        <v>5586</v>
      </c>
      <c r="E1787" s="3" t="s">
        <v>5587</v>
      </c>
      <c r="F1787" s="3" t="str">
        <f>"574-233-3100"</f>
        <v>574-233-3100</v>
      </c>
      <c r="G1787" s="3">
        <v>812990</v>
      </c>
      <c r="H1787" s="3" t="s">
        <v>294</v>
      </c>
    </row>
    <row r="1788" spans="1:8" ht="51.75" x14ac:dyDescent="0.25">
      <c r="A1788" s="3" t="s">
        <v>5588</v>
      </c>
      <c r="B1788" s="3"/>
      <c r="C1788" s="3" t="str">
        <f>"Complete automotive new and used sales, leasing, serivce, parts, fuel management and fleet services for federal, state, and local governmental departments."</f>
        <v>Complete automotive new and used sales, leasing, serivce, parts, fuel management and fleet services for federal, state, and local governmental departments.</v>
      </c>
      <c r="D1788" s="3" t="s">
        <v>5589</v>
      </c>
      <c r="E1788" s="3" t="s">
        <v>5590</v>
      </c>
      <c r="F1788" s="3" t="str">
        <f>"317-874-1935"</f>
        <v>317-874-1935</v>
      </c>
      <c r="G1788" s="3">
        <v>441110</v>
      </c>
      <c r="H1788" s="3" t="s">
        <v>2588</v>
      </c>
    </row>
    <row r="1789" spans="1:8" ht="51.75" x14ac:dyDescent="0.25">
      <c r="A1789" s="3" t="s">
        <v>5591</v>
      </c>
      <c r="B1789" s="3"/>
      <c r="C1789" s="3" t="str">
        <f>"Won Promotions is a supplier of promotional merchandise - logo, custom products, uniforms, embroidered goods, and other advertising related products."</f>
        <v>Won Promotions is a supplier of promotional merchandise - logo, custom products, uniforms, embroidered goods, and other advertising related products.</v>
      </c>
      <c r="D1789" s="3" t="s">
        <v>5592</v>
      </c>
      <c r="E1789" s="3" t="s">
        <v>5593</v>
      </c>
      <c r="F1789" s="3" t="str">
        <f>"317-908-6012"</f>
        <v>317-908-6012</v>
      </c>
      <c r="G1789" s="3">
        <v>541890</v>
      </c>
      <c r="H1789" s="3" t="s">
        <v>401</v>
      </c>
    </row>
    <row r="1790" spans="1:8" ht="26.25" x14ac:dyDescent="0.25">
      <c r="A1790" s="3" t="s">
        <v>5594</v>
      </c>
      <c r="B1790" s="3"/>
      <c r="C1790" s="3" t="str">
        <f>"We repair and sell general office equipment."</f>
        <v>We repair and sell general office equipment.</v>
      </c>
      <c r="D1790" s="3" t="s">
        <v>9</v>
      </c>
      <c r="E1790" s="3" t="s">
        <v>5595</v>
      </c>
      <c r="F1790" s="3" t="str">
        <f>"317-431-5840"</f>
        <v>317-431-5840</v>
      </c>
      <c r="G1790" s="3">
        <v>811212</v>
      </c>
      <c r="H1790" s="3" t="s">
        <v>1632</v>
      </c>
    </row>
    <row r="1791" spans="1:8" ht="51.75" x14ac:dyDescent="0.25">
      <c r="A1791" s="3" t="s">
        <v>5596</v>
      </c>
      <c r="B1791" s="3"/>
      <c r="C1791" s="3" t="str">
        <f>"Chanan Professional Services operates primarily as a virtual assistant. We offer a wide range of administrative services for all business and personal assistant needs."</f>
        <v>Chanan Professional Services operates primarily as a virtual assistant. We offer a wide range of administrative services for all business and personal assistant needs.</v>
      </c>
      <c r="D1791" s="3" t="s">
        <v>5597</v>
      </c>
      <c r="E1791" s="3" t="s">
        <v>5598</v>
      </c>
      <c r="F1791" s="3" t="str">
        <f>"317-985-2881"</f>
        <v>317-985-2881</v>
      </c>
      <c r="G1791" s="3">
        <v>561110</v>
      </c>
      <c r="H1791" s="3" t="s">
        <v>4383</v>
      </c>
    </row>
    <row r="1792" spans="1:8" ht="26.25" x14ac:dyDescent="0.25">
      <c r="A1792" s="3" t="s">
        <v>5599</v>
      </c>
      <c r="B1792" s="3"/>
      <c r="C1792" s="3" t="str">
        <f>"We supply and market natural gas."</f>
        <v>We supply and market natural gas.</v>
      </c>
      <c r="D1792" s="3" t="s">
        <v>9</v>
      </c>
      <c r="E1792" s="3" t="s">
        <v>5600</v>
      </c>
      <c r="F1792" s="3" t="str">
        <f>"317-339-9087"</f>
        <v>317-339-9087</v>
      </c>
      <c r="G1792" s="3">
        <v>221210</v>
      </c>
      <c r="H1792" s="3" t="s">
        <v>5491</v>
      </c>
    </row>
    <row r="1793" spans="1:8" ht="77.25" x14ac:dyDescent="0.25">
      <c r="A1793" s="3" t="s">
        <v>5601</v>
      </c>
      <c r="B1793" s="3"/>
      <c r="C1793" s="3" t="str">
        <f>"Chaney Financial Group has the tools,services and expertise to partner effectively with you and your business.We offer the expertise and advice to help you raise capital or handle all of your employee benefit needs."</f>
        <v>Chaney Financial Group has the tools,services and expertise to partner effectively with you and your business.We offer the expertise and advice to help you raise capital or handle all of your employee benefit needs.</v>
      </c>
      <c r="D1793" s="3" t="s">
        <v>5602</v>
      </c>
      <c r="E1793" s="3" t="s">
        <v>5603</v>
      </c>
      <c r="F1793" s="3" t="str">
        <f>"317-280-0324"</f>
        <v>317-280-0324</v>
      </c>
      <c r="G1793" s="3">
        <v>52</v>
      </c>
      <c r="H1793" s="3" t="s">
        <v>50</v>
      </c>
    </row>
    <row r="1794" spans="1:8" ht="153.75" x14ac:dyDescent="0.25">
      <c r="A1794" s="3" t="s">
        <v>5604</v>
      </c>
      <c r="B1794" s="3"/>
      <c r="C1794" s="3" t="s">
        <v>5605</v>
      </c>
      <c r="D1794" s="3" t="s">
        <v>5606</v>
      </c>
      <c r="E1794" s="3" t="s">
        <v>5607</v>
      </c>
      <c r="F1794" s="3" t="str">
        <f>"2198037222"</f>
        <v>2198037222</v>
      </c>
      <c r="G1794" s="3">
        <v>624120</v>
      </c>
      <c r="H1794" s="3" t="s">
        <v>22</v>
      </c>
    </row>
    <row r="1795" spans="1:8" ht="39" x14ac:dyDescent="0.25">
      <c r="A1795" s="3" t="s">
        <v>5608</v>
      </c>
      <c r="B1795" s="3"/>
      <c r="C1795" s="3" t="str">
        <f>"Tile and trim installation, material and labor included, USG brand products through local distributors."</f>
        <v>Tile and trim installation, material and labor included, USG brand products through local distributors.</v>
      </c>
      <c r="D1795" s="3" t="s">
        <v>9</v>
      </c>
      <c r="E1795" s="3" t="s">
        <v>5609</v>
      </c>
      <c r="F1795" s="3" t="str">
        <f>"317 7103707"</f>
        <v>317 7103707</v>
      </c>
      <c r="G1795" s="3">
        <v>238310</v>
      </c>
      <c r="H1795" s="3" t="s">
        <v>2526</v>
      </c>
    </row>
    <row r="1796" spans="1:8" ht="166.5" x14ac:dyDescent="0.25">
      <c r="A1796" s="3" t="s">
        <v>5610</v>
      </c>
      <c r="B1796" s="3"/>
      <c r="C1796" s="3" t="s">
        <v>5611</v>
      </c>
      <c r="D1796" s="3" t="s">
        <v>5612</v>
      </c>
      <c r="E1796" s="3" t="s">
        <v>5613</v>
      </c>
      <c r="F1796" s="3" t="str">
        <f>"812-285-8960"</f>
        <v>812-285-8960</v>
      </c>
      <c r="G1796" s="3">
        <v>524</v>
      </c>
      <c r="H1796" s="3" t="s">
        <v>5614</v>
      </c>
    </row>
    <row r="1797" spans="1:8" x14ac:dyDescent="0.25">
      <c r="A1797" s="3" t="s">
        <v>5615</v>
      </c>
      <c r="B1797" s="3"/>
      <c r="C1797" s="3" t="str">
        <f>" "</f>
        <v xml:space="preserve"> </v>
      </c>
      <c r="D1797" s="3" t="s">
        <v>9</v>
      </c>
      <c r="E1797" s="3" t="s">
        <v>46</v>
      </c>
      <c r="F1797" s="2"/>
      <c r="G1797" s="3">
        <v>611110</v>
      </c>
      <c r="H1797" s="3" t="s">
        <v>3876</v>
      </c>
    </row>
    <row r="1798" spans="1:8" ht="64.5" x14ac:dyDescent="0.25">
      <c r="A1798" s="3" t="s">
        <v>5616</v>
      </c>
      <c r="B1798" s="3"/>
      <c r="C1798" s="3" t="str">
        <f>"I sell Fax machines, copiers, printers, remanufactured and new printer cartridges, and I also sell supplies for most faxes and copiers. I service most fax machines, copiers, and printers also."</f>
        <v>I sell Fax machines, copiers, printers, remanufactured and new printer cartridges, and I also sell supplies for most faxes and copiers. I service most fax machines, copiers, and printers also.</v>
      </c>
      <c r="D1798" s="3" t="s">
        <v>9</v>
      </c>
      <c r="E1798" s="3" t="s">
        <v>5617</v>
      </c>
      <c r="F1798" s="3" t="str">
        <f>"219-325-8818"</f>
        <v>219-325-8818</v>
      </c>
      <c r="G1798" s="3">
        <v>812990</v>
      </c>
      <c r="H1798" s="3" t="s">
        <v>294</v>
      </c>
    </row>
    <row r="1799" spans="1:8" ht="26.25" x14ac:dyDescent="0.25">
      <c r="A1799" s="3" t="s">
        <v>5618</v>
      </c>
      <c r="B1799" s="3"/>
      <c r="C1799" s="3" t="str">
        <f>"Commercial General Construction and Construction Management"</f>
        <v>Commercial General Construction and Construction Management</v>
      </c>
      <c r="D1799" s="3" t="s">
        <v>5619</v>
      </c>
      <c r="E1799" s="3" t="s">
        <v>5620</v>
      </c>
      <c r="F1799" s="3" t="str">
        <f>"317-375-1111"</f>
        <v>317-375-1111</v>
      </c>
      <c r="G1799" s="3">
        <v>236</v>
      </c>
      <c r="H1799" s="3" t="s">
        <v>291</v>
      </c>
    </row>
    <row r="1800" spans="1:8" ht="64.5" x14ac:dyDescent="0.25">
      <c r="A1800" s="3" t="s">
        <v>5621</v>
      </c>
      <c r="B1800" s="3"/>
      <c r="C1800" s="3" t="str">
        <f>"We are a General Contractor company with over 40 years of construction experience. We handle anything from sticks to bricks.We have experience with every level/area of Construction."</f>
        <v>We are a General Contractor company with over 40 years of construction experience. We handle anything from sticks to bricks.We have experience with every level/area of Construction.</v>
      </c>
      <c r="D1800" s="3" t="s">
        <v>9</v>
      </c>
      <c r="E1800" s="3" t="s">
        <v>5622</v>
      </c>
      <c r="F1800" s="3" t="str">
        <f>"317-925-5569\525-7333"</f>
        <v>317-925-5569\525-7333</v>
      </c>
      <c r="G1800" s="3">
        <v>23</v>
      </c>
      <c r="H1800" s="3" t="s">
        <v>133</v>
      </c>
    </row>
    <row r="1801" spans="1:8" ht="77.25" x14ac:dyDescent="0.25">
      <c r="A1801" s="3" t="s">
        <v>5623</v>
      </c>
      <c r="B1801" s="3"/>
      <c r="C1801" s="3" t="str">
        <f>"Contract manufacturor of precision machined products. Capabilities include: screw machine products, CNC machining, drilling, tapping, turning, grinding, broaching, light assembly, and EDM machining."</f>
        <v>Contract manufacturor of precision machined products. Capabilities include: screw machine products, CNC machining, drilling, tapping, turning, grinding, broaching, light assembly, and EDM machining.</v>
      </c>
      <c r="D1801" s="3" t="s">
        <v>5624</v>
      </c>
      <c r="E1801" s="3" t="s">
        <v>5625</v>
      </c>
      <c r="F1801" s="3" t="str">
        <f>"260-837-8211"</f>
        <v>260-837-8211</v>
      </c>
      <c r="G1801" s="3">
        <v>332721</v>
      </c>
      <c r="H1801" s="3" t="s">
        <v>5626</v>
      </c>
    </row>
    <row r="1802" spans="1:8" ht="90" x14ac:dyDescent="0.25">
      <c r="A1802" s="3" t="s">
        <v>5627</v>
      </c>
      <c r="B1802" s="3"/>
      <c r="C1802" s="3" t="s">
        <v>5628</v>
      </c>
      <c r="D1802" s="3" t="s">
        <v>5629</v>
      </c>
      <c r="E1802" s="3" t="s">
        <v>5630</v>
      </c>
      <c r="F1802" s="3" t="str">
        <f>"260-602-2490"</f>
        <v>260-602-2490</v>
      </c>
      <c r="G1802" s="3">
        <v>445120</v>
      </c>
      <c r="H1802" s="3" t="s">
        <v>5631</v>
      </c>
    </row>
    <row r="1803" spans="1:8" ht="90" x14ac:dyDescent="0.25">
      <c r="A1803" s="3" t="s">
        <v>5632</v>
      </c>
      <c r="B1803" s="3"/>
      <c r="C1803" s="3" t="s">
        <v>5633</v>
      </c>
      <c r="D1803" s="3" t="s">
        <v>5634</v>
      </c>
      <c r="E1803" s="3" t="s">
        <v>5635</v>
      </c>
      <c r="F1803" s="3" t="str">
        <f>"317.697.9650"</f>
        <v>317.697.9650</v>
      </c>
      <c r="G1803" s="3">
        <v>111421</v>
      </c>
      <c r="H1803" s="3" t="s">
        <v>4222</v>
      </c>
    </row>
    <row r="1804" spans="1:8" ht="102.75" x14ac:dyDescent="0.25">
      <c r="A1804" s="3" t="s">
        <v>5636</v>
      </c>
      <c r="B1804" s="3"/>
      <c r="C1804" s="3" t="s">
        <v>5637</v>
      </c>
      <c r="D1804" s="3" t="s">
        <v>5638</v>
      </c>
      <c r="E1804" s="3" t="s">
        <v>5639</v>
      </c>
      <c r="F1804" s="3" t="str">
        <f>"317-705-1315"</f>
        <v>317-705-1315</v>
      </c>
      <c r="G1804" s="3">
        <v>522110</v>
      </c>
      <c r="H1804" s="3" t="s">
        <v>61</v>
      </c>
    </row>
    <row r="1805" spans="1:8" ht="26.25" x14ac:dyDescent="0.25">
      <c r="A1805" s="3" t="s">
        <v>5640</v>
      </c>
      <c r="B1805" s="3"/>
      <c r="C1805" s="3" t="str">
        <f>"Passenger road transportation"</f>
        <v>Passenger road transportation</v>
      </c>
      <c r="D1805" s="3" t="s">
        <v>5641</v>
      </c>
      <c r="E1805" s="3" t="s">
        <v>5642</v>
      </c>
      <c r="F1805" s="3" t="str">
        <f>"317-497-0030"</f>
        <v>317-497-0030</v>
      </c>
      <c r="G1805" s="3">
        <v>485999</v>
      </c>
      <c r="H1805" s="3" t="s">
        <v>5643</v>
      </c>
    </row>
    <row r="1806" spans="1:8" ht="115.5" x14ac:dyDescent="0.25">
      <c r="A1806" s="3" t="s">
        <v>5644</v>
      </c>
      <c r="B1806" s="3"/>
      <c r="C1806" s="3" t="s">
        <v>5645</v>
      </c>
      <c r="D1806" s="3" t="s">
        <v>5646</v>
      </c>
      <c r="E1806" s="3" t="s">
        <v>5647</v>
      </c>
      <c r="F1806" s="3" t="str">
        <f>"3178700178"</f>
        <v>3178700178</v>
      </c>
      <c r="G1806" s="3">
        <v>221310</v>
      </c>
      <c r="H1806" s="3" t="s">
        <v>1833</v>
      </c>
    </row>
    <row r="1807" spans="1:8" ht="128.25" x14ac:dyDescent="0.25">
      <c r="A1807" s="3" t="s">
        <v>5648</v>
      </c>
      <c r="B1807" s="3"/>
      <c r="C1807" s="3" t="s">
        <v>5649</v>
      </c>
      <c r="D1807" s="3" t="s">
        <v>9</v>
      </c>
      <c r="E1807" s="3" t="s">
        <v>5650</v>
      </c>
      <c r="F1807" s="3" t="str">
        <f>"812-936-9149"</f>
        <v>812-936-9149</v>
      </c>
      <c r="G1807" s="3">
        <v>424990</v>
      </c>
      <c r="H1807" s="3" t="s">
        <v>1019</v>
      </c>
    </row>
    <row r="1808" spans="1:8" ht="102.75" x14ac:dyDescent="0.25">
      <c r="A1808" s="3" t="s">
        <v>5651</v>
      </c>
      <c r="B1808" s="3"/>
      <c r="C1808" s="3" t="s">
        <v>5652</v>
      </c>
      <c r="D1808" s="3" t="s">
        <v>9</v>
      </c>
      <c r="E1808" s="3" t="s">
        <v>5653</v>
      </c>
      <c r="F1808" s="3" t="str">
        <f>"260-488-3976"</f>
        <v>260-488-3976</v>
      </c>
      <c r="G1808" s="3">
        <v>238</v>
      </c>
      <c r="H1808" s="3" t="s">
        <v>397</v>
      </c>
    </row>
    <row r="1809" spans="1:8" ht="77.25" x14ac:dyDescent="0.25">
      <c r="A1809" s="3" t="s">
        <v>5654</v>
      </c>
      <c r="B1809" s="3"/>
      <c r="C1809" s="3" t="str">
        <f>"Cheryl's Discount Carpet, locate in Indianapolis, sells and installs carpet and vinyl products. We represent Mohawk, Shaw, and Beaulieu Mills as well as other specialty mills. We do residential and commercial projects."</f>
        <v>Cheryl's Discount Carpet, locate in Indianapolis, sells and installs carpet and vinyl products. We represent Mohawk, Shaw, and Beaulieu Mills as well as other specialty mills. We do residential and commercial projects.</v>
      </c>
      <c r="D1809" s="3" t="s">
        <v>9</v>
      </c>
      <c r="E1809" s="3" t="s">
        <v>46</v>
      </c>
      <c r="F1809" s="3" t="str">
        <f>"317-549-1000"</f>
        <v>317-549-1000</v>
      </c>
      <c r="G1809" s="3">
        <v>44221</v>
      </c>
      <c r="H1809" s="3" t="s">
        <v>2301</v>
      </c>
    </row>
    <row r="1810" spans="1:8" ht="64.5" x14ac:dyDescent="0.25">
      <c r="A1810" s="3" t="s">
        <v>5655</v>
      </c>
      <c r="B1810" s="3"/>
      <c r="C1810" s="3" t="str">
        <f>"Secure document paper and materials destruction/ shredding. Recycling of electronics, computers, paper, plastic, cardboard, etc. NAID certified CCR registered IDEM certified."</f>
        <v>Secure document paper and materials destruction/ shredding. Recycling of electronics, computers, paper, plastic, cardboard, etc. NAID certified CCR registered IDEM certified.</v>
      </c>
      <c r="D1810" s="3" t="s">
        <v>5656</v>
      </c>
      <c r="E1810" s="3" t="s">
        <v>5657</v>
      </c>
      <c r="F1810" s="3" t="str">
        <f>"574-946-6602"</f>
        <v>574-946-6602</v>
      </c>
      <c r="G1810" s="3">
        <v>423930</v>
      </c>
      <c r="H1810" s="3" t="s">
        <v>4554</v>
      </c>
    </row>
    <row r="1811" spans="1:8" x14ac:dyDescent="0.25">
      <c r="A1811" s="3" t="s">
        <v>5658</v>
      </c>
      <c r="B1811" s="3"/>
      <c r="C1811" s="3" t="str">
        <f>" "</f>
        <v xml:space="preserve"> </v>
      </c>
      <c r="D1811" s="3" t="s">
        <v>9</v>
      </c>
      <c r="E1811" s="3" t="s">
        <v>46</v>
      </c>
      <c r="F1811" s="2"/>
      <c r="G1811" s="3">
        <v>23552</v>
      </c>
      <c r="H1811" s="3" t="s">
        <v>955</v>
      </c>
    </row>
    <row r="1812" spans="1:8" ht="192" x14ac:dyDescent="0.25">
      <c r="A1812" s="3" t="s">
        <v>5659</v>
      </c>
      <c r="B1812" s="3"/>
      <c r="C1812" s="3" t="s">
        <v>5660</v>
      </c>
      <c r="D1812" s="3" t="s">
        <v>5661</v>
      </c>
      <c r="E1812" s="3" t="s">
        <v>5662</v>
      </c>
      <c r="F1812" s="3" t="str">
        <f>"219-464-9999"</f>
        <v>219-464-9999</v>
      </c>
      <c r="G1812" s="3">
        <v>541519</v>
      </c>
      <c r="H1812" s="3" t="s">
        <v>898</v>
      </c>
    </row>
    <row r="1813" spans="1:8" ht="51.75" x14ac:dyDescent="0.25">
      <c r="A1813" s="3" t="s">
        <v>5663</v>
      </c>
      <c r="B1813" s="3"/>
      <c r="C1813" s="3" t="str">
        <f>"Garden Center and nursery, Dog &amp; Cat Food, Pet Supplies, Wild Bird Seed &amp; Feeders, Large Animal Feeds, Lawn &amp; Garden Products, Gift Area."</f>
        <v>Garden Center and nursery, Dog &amp; Cat Food, Pet Supplies, Wild Bird Seed &amp; Feeders, Large Animal Feeds, Lawn &amp; Garden Products, Gift Area.</v>
      </c>
      <c r="D1813" s="3" t="s">
        <v>9</v>
      </c>
      <c r="E1813" s="3" t="s">
        <v>46</v>
      </c>
      <c r="F1813" s="3" t="str">
        <f>"219-926-2790"</f>
        <v>219-926-2790</v>
      </c>
      <c r="G1813" s="3">
        <v>44422</v>
      </c>
      <c r="H1813" s="3" t="s">
        <v>5664</v>
      </c>
    </row>
    <row r="1814" spans="1:8" ht="26.25" x14ac:dyDescent="0.25">
      <c r="A1814" s="3" t="s">
        <v>5665</v>
      </c>
      <c r="B1814" s="3"/>
      <c r="C1814" s="3" t="str">
        <f>"Full service travel agency"</f>
        <v>Full service travel agency</v>
      </c>
      <c r="D1814" s="3" t="s">
        <v>9</v>
      </c>
      <c r="E1814" s="3" t="s">
        <v>5666</v>
      </c>
      <c r="F1814" s="3" t="str">
        <f>"2199264020"</f>
        <v>2199264020</v>
      </c>
      <c r="G1814" s="3">
        <v>561510</v>
      </c>
      <c r="H1814" s="3" t="s">
        <v>288</v>
      </c>
    </row>
    <row r="1815" spans="1:8" ht="39" x14ac:dyDescent="0.25">
      <c r="A1815" s="3" t="s">
        <v>5667</v>
      </c>
      <c r="B1815" s="3"/>
      <c r="C1815" s="3" t="str">
        <f>"We hire ironworkers to install metal decking and its associated accessories, and structural steel"</f>
        <v>We hire ironworkers to install metal decking and its associated accessories, and structural steel</v>
      </c>
      <c r="D1815" s="3" t="s">
        <v>9</v>
      </c>
      <c r="E1815" s="3" t="s">
        <v>46</v>
      </c>
      <c r="F1815" s="2"/>
      <c r="G1815" s="3">
        <v>238120</v>
      </c>
      <c r="H1815" s="3" t="s">
        <v>5668</v>
      </c>
    </row>
    <row r="1816" spans="1:8" ht="153.75" x14ac:dyDescent="0.25">
      <c r="A1816" s="3" t="s">
        <v>5669</v>
      </c>
      <c r="B1816" s="3"/>
      <c r="C1816" s="3" t="s">
        <v>5670</v>
      </c>
      <c r="D1816" s="3" t="s">
        <v>9</v>
      </c>
      <c r="E1816" s="3" t="s">
        <v>46</v>
      </c>
      <c r="F1816" s="3" t="str">
        <f>"812-402-3404"</f>
        <v>812-402-3404</v>
      </c>
      <c r="G1816" s="3">
        <v>11232</v>
      </c>
      <c r="H1816" s="3" t="s">
        <v>5671</v>
      </c>
    </row>
    <row r="1817" spans="1:8" ht="128.25" x14ac:dyDescent="0.25">
      <c r="A1817" s="3" t="s">
        <v>5669</v>
      </c>
      <c r="B1817" s="3"/>
      <c r="C1817" s="3" t="s">
        <v>5672</v>
      </c>
      <c r="D1817" s="3" t="s">
        <v>9</v>
      </c>
      <c r="E1817" s="3" t="s">
        <v>5673</v>
      </c>
      <c r="F1817" s="3" t="str">
        <f>"812-402-3404"</f>
        <v>812-402-3404</v>
      </c>
      <c r="G1817" s="3">
        <v>722211</v>
      </c>
      <c r="H1817" s="3" t="s">
        <v>527</v>
      </c>
    </row>
    <row r="1818" spans="1:8" ht="39" x14ac:dyDescent="0.25">
      <c r="A1818" s="3" t="s">
        <v>5674</v>
      </c>
      <c r="B1818" s="3"/>
      <c r="C1818" s="3" t="str">
        <f>"Non-profit agency that provides bilingual social, mental health, and education services."</f>
        <v>Non-profit agency that provides bilingual social, mental health, and education services.</v>
      </c>
      <c r="D1818" s="3" t="s">
        <v>5675</v>
      </c>
      <c r="E1818" s="3" t="s">
        <v>5676</v>
      </c>
      <c r="F1818" s="3" t="str">
        <f>"765-427-67567"</f>
        <v>765-427-67567</v>
      </c>
      <c r="G1818" s="3">
        <v>6241</v>
      </c>
      <c r="H1818" s="3" t="s">
        <v>2210</v>
      </c>
    </row>
    <row r="1819" spans="1:8" ht="77.25" x14ac:dyDescent="0.25">
      <c r="A1819" s="3" t="s">
        <v>5677</v>
      </c>
      <c r="B1819" s="3"/>
      <c r="C1819" s="3" t="str">
        <f>"Offer a non-threatening, child-friendly location where forensic interviews take place in cases where child sexual abuse has been alledged. A forensic interview's purpose is to obtain the child's account of what alledgedly happened."</f>
        <v>Offer a non-threatening, child-friendly location where forensic interviews take place in cases where child sexual abuse has been alledged. A forensic interview's purpose is to obtain the child's account of what alledgedly happened.</v>
      </c>
      <c r="D1819" s="3" t="s">
        <v>9</v>
      </c>
      <c r="E1819" s="3" t="s">
        <v>46</v>
      </c>
      <c r="F1819" s="3" t="str">
        <f>"260-407-5437"</f>
        <v>260-407-5437</v>
      </c>
      <c r="G1819" s="3">
        <v>624190</v>
      </c>
      <c r="H1819" s="3" t="s">
        <v>54</v>
      </c>
    </row>
    <row r="1820" spans="1:8" ht="192" x14ac:dyDescent="0.25">
      <c r="A1820" s="3" t="s">
        <v>5678</v>
      </c>
      <c r="B1820" s="3"/>
      <c r="C1820" s="3" t="s">
        <v>5679</v>
      </c>
      <c r="D1820" s="3" t="s">
        <v>5680</v>
      </c>
      <c r="E1820" s="3" t="s">
        <v>5681</v>
      </c>
      <c r="F1820" s="3" t="str">
        <f>"574-295-2277"</f>
        <v>574-295-2277</v>
      </c>
      <c r="G1820" s="3">
        <v>624110</v>
      </c>
      <c r="H1820" s="3" t="s">
        <v>628</v>
      </c>
    </row>
    <row r="1821" spans="1:8" ht="90" x14ac:dyDescent="0.25">
      <c r="A1821" s="3" t="s">
        <v>5682</v>
      </c>
      <c r="B1821" s="3"/>
      <c r="C1821" s="3" t="str">
        <f>"Supervised Visitation Services when ordered by court or through a mediation agreement to keep children safe in situations of domestic violence, family drugs, alcohol abuse, or imprisonment as well as divorce. Coaching and parenting services also provided"</f>
        <v>Supervised Visitation Services when ordered by court or through a mediation agreement to keep children safe in situations of domestic violence, family drugs, alcohol abuse, or imprisonment as well as divorce. Coaching and parenting services also provided</v>
      </c>
      <c r="D1821" s="3" t="s">
        <v>5683</v>
      </c>
      <c r="E1821" s="3" t="s">
        <v>5684</v>
      </c>
      <c r="F1821" s="3" t="str">
        <f>"317-731-2387"</f>
        <v>317-731-2387</v>
      </c>
      <c r="G1821" s="3">
        <v>541990</v>
      </c>
      <c r="H1821" s="3" t="s">
        <v>378</v>
      </c>
    </row>
    <row r="1822" spans="1:8" ht="39" x14ac:dyDescent="0.25">
      <c r="A1822" s="3" t="s">
        <v>5685</v>
      </c>
      <c r="B1822" s="3"/>
      <c r="C1822" s="3" t="str">
        <f>"Not for profit treatment services for abused and neglected children. Foster Care, Adoption, Counseling Center"</f>
        <v>Not for profit treatment services for abused and neglected children. Foster Care, Adoption, Counseling Center</v>
      </c>
      <c r="D1822" s="3" t="s">
        <v>5686</v>
      </c>
      <c r="E1822" s="3" t="s">
        <v>5687</v>
      </c>
      <c r="F1822" s="3" t="str">
        <f>"812-282-8248"</f>
        <v>812-282-8248</v>
      </c>
      <c r="G1822" s="3">
        <v>624110</v>
      </c>
      <c r="H1822" s="3" t="s">
        <v>628</v>
      </c>
    </row>
    <row r="1823" spans="1:8" ht="90" x14ac:dyDescent="0.25">
      <c r="A1823" s="3" t="s">
        <v>5688</v>
      </c>
      <c r="B1823" s="3"/>
      <c r="C1823" s="3" t="s">
        <v>5689</v>
      </c>
      <c r="D1823" s="3" t="s">
        <v>5690</v>
      </c>
      <c r="E1823" s="3" t="s">
        <v>5691</v>
      </c>
      <c r="F1823" s="3" t="str">
        <f>"317-264-2700"</f>
        <v>317-264-2700</v>
      </c>
      <c r="G1823" s="3">
        <v>624110</v>
      </c>
      <c r="H1823" s="3" t="s">
        <v>628</v>
      </c>
    </row>
    <row r="1824" spans="1:8" ht="51.75" x14ac:dyDescent="0.25">
      <c r="A1824" s="3" t="s">
        <v>5692</v>
      </c>
      <c r="B1824" s="3"/>
      <c r="C1824" s="3" t="str">
        <f>"Private non-profit agency working with government agencies to provide safe, child-friendly and neutral space to conduct forensic interviews for children."</f>
        <v>Private non-profit agency working with government agencies to provide safe, child-friendly and neutral space to conduct forensic interviews for children.</v>
      </c>
      <c r="D1824" s="3" t="s">
        <v>9</v>
      </c>
      <c r="E1824" s="3" t="s">
        <v>5693</v>
      </c>
      <c r="F1824" s="3" t="str">
        <f>"765-962-9043"</f>
        <v>765-962-9043</v>
      </c>
      <c r="G1824" s="3">
        <v>81299</v>
      </c>
      <c r="H1824" s="3" t="s">
        <v>294</v>
      </c>
    </row>
    <row r="1825" spans="1:8" ht="179.25" x14ac:dyDescent="0.25">
      <c r="A1825" s="3" t="s">
        <v>5694</v>
      </c>
      <c r="B1825" s="3"/>
      <c r="C1825" s="3" t="s">
        <v>5695</v>
      </c>
      <c r="D1825" s="3" t="s">
        <v>5696</v>
      </c>
      <c r="E1825" s="3" t="s">
        <v>5697</v>
      </c>
      <c r="F1825" s="3" t="str">
        <f>"317-708-6200"</f>
        <v>317-708-6200</v>
      </c>
      <c r="G1825" s="3">
        <v>541511</v>
      </c>
      <c r="H1825" s="3" t="s">
        <v>122</v>
      </c>
    </row>
    <row r="1826" spans="1:8" ht="39" x14ac:dyDescent="0.25">
      <c r="A1826" s="3" t="s">
        <v>5698</v>
      </c>
      <c r="B1826" s="3"/>
      <c r="C1826" s="3" t="str">
        <f>"signs, graphics and custom architectural fabrication provider, online sign store with thousands of standard sign items"</f>
        <v>signs, graphics and custom architectural fabrication provider, online sign store with thousands of standard sign items</v>
      </c>
      <c r="D1826" s="3" t="s">
        <v>5699</v>
      </c>
      <c r="E1826" s="3" t="s">
        <v>5700</v>
      </c>
      <c r="F1826" s="3" t="str">
        <f>"800-659-6319"</f>
        <v>800-659-6319</v>
      </c>
      <c r="G1826" s="3">
        <v>339950</v>
      </c>
      <c r="H1826" s="3" t="s">
        <v>68</v>
      </c>
    </row>
    <row r="1827" spans="1:8" ht="90" x14ac:dyDescent="0.25">
      <c r="A1827" s="3" t="s">
        <v>5701</v>
      </c>
      <c r="B1827" s="3"/>
      <c r="C1827" s="3" t="s">
        <v>5702</v>
      </c>
      <c r="D1827" s="3" t="s">
        <v>5703</v>
      </c>
      <c r="E1827" s="3" t="s">
        <v>5704</v>
      </c>
      <c r="F1827" s="3" t="str">
        <f>"260.490.6393"</f>
        <v>260.490.6393</v>
      </c>
      <c r="G1827" s="3">
        <v>54141</v>
      </c>
      <c r="H1827" s="3" t="s">
        <v>687</v>
      </c>
    </row>
    <row r="1828" spans="1:8" ht="26.25" x14ac:dyDescent="0.25">
      <c r="A1828" s="3" t="s">
        <v>5705</v>
      </c>
      <c r="B1828" s="3"/>
      <c r="C1828" s="3" t="str">
        <f>"Real Estate Searches, Real Estate Closings"</f>
        <v>Real Estate Searches, Real Estate Closings</v>
      </c>
      <c r="D1828" s="3" t="s">
        <v>9</v>
      </c>
      <c r="E1828" s="3" t="s">
        <v>5706</v>
      </c>
      <c r="F1828" s="3" t="str">
        <f>"260-484-3060"</f>
        <v>260-484-3060</v>
      </c>
      <c r="G1828" s="3">
        <v>531</v>
      </c>
      <c r="H1828" s="3" t="s">
        <v>74</v>
      </c>
    </row>
    <row r="1829" spans="1:8" ht="26.25" x14ac:dyDescent="0.25">
      <c r="A1829" s="3" t="s">
        <v>5707</v>
      </c>
      <c r="B1829" s="3"/>
      <c r="C1829" s="2"/>
      <c r="D1829" s="3" t="s">
        <v>5708</v>
      </c>
      <c r="E1829" s="3" t="s">
        <v>5709</v>
      </c>
      <c r="F1829" s="3" t="str">
        <f>"317-726-2121"</f>
        <v>317-726-2121</v>
      </c>
      <c r="G1829" s="3">
        <v>624110</v>
      </c>
      <c r="H1829" s="3" t="s">
        <v>628</v>
      </c>
    </row>
    <row r="1830" spans="1:8" ht="64.5" x14ac:dyDescent="0.25">
      <c r="A1830" s="3" t="s">
        <v>5710</v>
      </c>
      <c r="B1830" s="3"/>
      <c r="C1830" s="3" t="str">
        <f>"Upscale affordable dining. Full bar. Extensive wine list. Non-smoking dining. Smoke friendly bar. Private room available for rehearsal dinners and business meetings."</f>
        <v>Upscale affordable dining. Full bar. Extensive wine list. Non-smoking dining. Smoke friendly bar. Private room available for rehearsal dinners and business meetings.</v>
      </c>
      <c r="D1830" s="3" t="s">
        <v>9</v>
      </c>
      <c r="E1830" s="3" t="s">
        <v>46</v>
      </c>
      <c r="F1830" s="3" t="str">
        <f>"260-436-9115"</f>
        <v>260-436-9115</v>
      </c>
      <c r="G1830" s="3">
        <v>722</v>
      </c>
      <c r="H1830" s="3" t="s">
        <v>5711</v>
      </c>
    </row>
    <row r="1831" spans="1:8" ht="39" x14ac:dyDescent="0.25">
      <c r="A1831" s="3" t="s">
        <v>5712</v>
      </c>
      <c r="B1831" s="3"/>
      <c r="C1831" s="3" t="str">
        <f>"Chosen Generation LLC is a girls home located in Fort Wayne, IN. We serve girls 12-19 years of age."</f>
        <v>Chosen Generation LLC is a girls home located in Fort Wayne, IN. We serve girls 12-19 years of age.</v>
      </c>
      <c r="D1831" s="3" t="s">
        <v>9</v>
      </c>
      <c r="E1831" s="3" t="s">
        <v>5713</v>
      </c>
      <c r="F1831" s="3" t="str">
        <f>"260-7550788"</f>
        <v>260-7550788</v>
      </c>
      <c r="G1831" s="3">
        <v>624110</v>
      </c>
      <c r="H1831" s="3" t="s">
        <v>628</v>
      </c>
    </row>
    <row r="1832" spans="1:8" ht="102.75" x14ac:dyDescent="0.25">
      <c r="A1832" s="3" t="s">
        <v>5714</v>
      </c>
      <c r="B1832" s="3"/>
      <c r="C1832" s="3" t="s">
        <v>5715</v>
      </c>
      <c r="D1832" s="3" t="s">
        <v>5716</v>
      </c>
      <c r="E1832" s="3" t="s">
        <v>5717</v>
      </c>
      <c r="F1832" s="3" t="str">
        <f>"1-812-528-2596"</f>
        <v>1-812-528-2596</v>
      </c>
      <c r="G1832" s="3">
        <v>54151</v>
      </c>
      <c r="H1832" s="3" t="s">
        <v>188</v>
      </c>
    </row>
    <row r="1833" spans="1:8" ht="77.25" x14ac:dyDescent="0.25">
      <c r="A1833" s="3" t="s">
        <v>5718</v>
      </c>
      <c r="B1833" s="3"/>
      <c r="C1833" s="3" t="str">
        <f>"I place Snack and Beverage Vending Machines at qualified locations. I am able to put virtually any product into these machines as long as the suggested item fits inside. My prices are fair and I restock my machines on a regular basics."</f>
        <v>I place Snack and Beverage Vending Machines at qualified locations. I am able to put virtually any product into these machines as long as the suggested item fits inside. My prices are fair and I restock my machines on a regular basics.</v>
      </c>
      <c r="D1833" s="3" t="s">
        <v>9</v>
      </c>
      <c r="E1833" s="3" t="s">
        <v>5719</v>
      </c>
      <c r="F1833" s="3" t="str">
        <f>"773-747-8514"</f>
        <v>773-747-8514</v>
      </c>
      <c r="G1833" s="3">
        <v>454210</v>
      </c>
      <c r="H1833" s="3" t="s">
        <v>2889</v>
      </c>
    </row>
    <row r="1834" spans="1:8" ht="141" x14ac:dyDescent="0.25">
      <c r="A1834" s="3" t="s">
        <v>5720</v>
      </c>
      <c r="B1834" s="3"/>
      <c r="C1834" s="3" t="s">
        <v>5721</v>
      </c>
      <c r="D1834" s="3" t="s">
        <v>9</v>
      </c>
      <c r="E1834" s="3" t="s">
        <v>5722</v>
      </c>
      <c r="F1834" s="3" t="str">
        <f>"317-578-2725"</f>
        <v>317-578-2725</v>
      </c>
      <c r="G1834" s="3">
        <v>5141</v>
      </c>
      <c r="H1834" s="3" t="s">
        <v>1097</v>
      </c>
    </row>
    <row r="1835" spans="1:8" ht="26.25" x14ac:dyDescent="0.25">
      <c r="A1835" s="3" t="s">
        <v>5723</v>
      </c>
      <c r="B1835" s="3"/>
      <c r="C1835" s="3" t="str">
        <f>"Fire Service Training &amp; Education."</f>
        <v>Fire Service Training &amp; Education.</v>
      </c>
      <c r="D1835" s="3" t="s">
        <v>9</v>
      </c>
      <c r="E1835" s="3" t="s">
        <v>5724</v>
      </c>
      <c r="F1835" s="3" t="str">
        <f>"260-348-1287"</f>
        <v>260-348-1287</v>
      </c>
      <c r="G1835" s="3">
        <v>23599</v>
      </c>
      <c r="H1835" s="3" t="s">
        <v>248</v>
      </c>
    </row>
    <row r="1836" spans="1:8" ht="179.25" x14ac:dyDescent="0.25">
      <c r="A1836" s="3" t="s">
        <v>5725</v>
      </c>
      <c r="B1836" s="3"/>
      <c r="C1836" s="3" t="s">
        <v>5726</v>
      </c>
      <c r="D1836" s="3" t="s">
        <v>5727</v>
      </c>
      <c r="E1836" s="3" t="s">
        <v>5728</v>
      </c>
      <c r="F1836" s="3" t="str">
        <f>"317-398-7203"</f>
        <v>317-398-7203</v>
      </c>
      <c r="G1836" s="3">
        <v>238210</v>
      </c>
      <c r="H1836" s="3" t="s">
        <v>306</v>
      </c>
    </row>
    <row r="1837" spans="1:8" ht="26.25" x14ac:dyDescent="0.25">
      <c r="A1837" s="3" t="s">
        <v>5729</v>
      </c>
      <c r="B1837" s="3"/>
      <c r="C1837" s="3" t="str">
        <f>"Embroidered or screen printed apparel and promotional products."</f>
        <v>Embroidered or screen printed apparel and promotional products.</v>
      </c>
      <c r="D1837" s="3" t="s">
        <v>9</v>
      </c>
      <c r="E1837" s="3" t="s">
        <v>5730</v>
      </c>
      <c r="F1837" s="3" t="str">
        <f>"317-697-6311"</f>
        <v>317-697-6311</v>
      </c>
      <c r="G1837" s="3">
        <v>4223</v>
      </c>
      <c r="H1837" s="3" t="s">
        <v>5731</v>
      </c>
    </row>
    <row r="1838" spans="1:8" ht="64.5" x14ac:dyDescent="0.25">
      <c r="A1838" s="3" t="s">
        <v>5732</v>
      </c>
      <c r="B1838" s="3"/>
      <c r="C1838" s="3" t="str">
        <f>"We are a consulting firm that specialized in sales, training and installation of Cisco, Citrix, Novell and QuickBooks. We are registered to provide E-rate services throught the Federal FCC."</f>
        <v>We are a consulting firm that specialized in sales, training and installation of Cisco, Citrix, Novell and QuickBooks. We are registered to provide E-rate services throught the Federal FCC.</v>
      </c>
      <c r="D1838" s="3" t="s">
        <v>9</v>
      </c>
      <c r="E1838" s="3" t="s">
        <v>5733</v>
      </c>
      <c r="F1838" s="3" t="str">
        <f>"765-714-2242"</f>
        <v>765-714-2242</v>
      </c>
      <c r="G1838" s="3">
        <v>54</v>
      </c>
      <c r="H1838" s="3" t="s">
        <v>179</v>
      </c>
    </row>
    <row r="1839" spans="1:8" ht="26.25" x14ac:dyDescent="0.25">
      <c r="A1839" s="3" t="s">
        <v>5734</v>
      </c>
      <c r="B1839" s="3"/>
      <c r="C1839" s="3" t="str">
        <f>"Attorney at Law"</f>
        <v>Attorney at Law</v>
      </c>
      <c r="D1839" s="3" t="s">
        <v>9</v>
      </c>
      <c r="E1839" s="3" t="s">
        <v>5735</v>
      </c>
      <c r="F1839" s="3" t="str">
        <f>"574 340-0333"</f>
        <v>574 340-0333</v>
      </c>
      <c r="G1839" s="3">
        <v>5411</v>
      </c>
      <c r="H1839" s="3" t="s">
        <v>87</v>
      </c>
    </row>
    <row r="1840" spans="1:8" ht="230.25" x14ac:dyDescent="0.25">
      <c r="A1840" s="3" t="s">
        <v>5736</v>
      </c>
      <c r="B1840" s="3"/>
      <c r="C1840" s="3" t="s">
        <v>5737</v>
      </c>
      <c r="D1840" s="3" t="s">
        <v>5738</v>
      </c>
      <c r="E1840" s="3" t="s">
        <v>5739</v>
      </c>
      <c r="F1840" s="3" t="str">
        <f>"812-339-1235"</f>
        <v>812-339-1235</v>
      </c>
      <c r="G1840" s="3">
        <v>541310</v>
      </c>
      <c r="H1840" s="3" t="s">
        <v>446</v>
      </c>
    </row>
    <row r="1841" spans="1:8" ht="51.75" x14ac:dyDescent="0.25">
      <c r="A1841" s="3" t="s">
        <v>5740</v>
      </c>
      <c r="B1841" s="3"/>
      <c r="C1841" s="3" t="str">
        <f>"We provide commercial cleaning services to include: Janitorial, housekeeping, carpet &amp; floorcare, windows and construction cleaning."</f>
        <v>We provide commercial cleaning services to include: Janitorial, housekeeping, carpet &amp; floorcare, windows and construction cleaning.</v>
      </c>
      <c r="D1841" s="3" t="s">
        <v>9</v>
      </c>
      <c r="E1841" s="3" t="s">
        <v>5741</v>
      </c>
      <c r="F1841" s="3" t="str">
        <f>"317-254-5899"</f>
        <v>317-254-5899</v>
      </c>
      <c r="G1841" s="3">
        <v>561720</v>
      </c>
      <c r="H1841" s="3" t="s">
        <v>222</v>
      </c>
    </row>
    <row r="1842" spans="1:8" ht="255.75" x14ac:dyDescent="0.25">
      <c r="A1842" s="3" t="s">
        <v>5742</v>
      </c>
      <c r="B1842" s="3"/>
      <c r="C1842" s="3" t="s">
        <v>5743</v>
      </c>
      <c r="D1842" s="3" t="s">
        <v>5744</v>
      </c>
      <c r="E1842" s="3" t="s">
        <v>5745</v>
      </c>
      <c r="F1842" s="3" t="str">
        <f>"317-266-8000"</f>
        <v>317-266-8000</v>
      </c>
      <c r="G1842" s="3">
        <v>541330</v>
      </c>
      <c r="H1842" s="3" t="s">
        <v>82</v>
      </c>
    </row>
    <row r="1843" spans="1:8" ht="102.75" x14ac:dyDescent="0.25">
      <c r="A1843" s="3" t="s">
        <v>5746</v>
      </c>
      <c r="B1843" s="3"/>
      <c r="C1843" s="3" t="s">
        <v>5747</v>
      </c>
      <c r="D1843" s="3" t="s">
        <v>5748</v>
      </c>
      <c r="E1843" s="3" t="s">
        <v>5749</v>
      </c>
      <c r="F1843" s="3" t="str">
        <f>"(260) 636-2247"</f>
        <v>(260) 636-2247</v>
      </c>
      <c r="G1843" s="3">
        <v>238220</v>
      </c>
      <c r="H1843" s="3" t="s">
        <v>348</v>
      </c>
    </row>
    <row r="1844" spans="1:8" ht="102.75" x14ac:dyDescent="0.25">
      <c r="A1844" s="3" t="s">
        <v>5750</v>
      </c>
      <c r="B1844" s="3"/>
      <c r="C1844" s="3" t="s">
        <v>5751</v>
      </c>
      <c r="D1844" s="3" t="s">
        <v>9</v>
      </c>
      <c r="E1844" s="3" t="s">
        <v>46</v>
      </c>
      <c r="F1844" s="3" t="str">
        <f>"8126948465"</f>
        <v>8126948465</v>
      </c>
      <c r="G1844" s="3">
        <v>238910</v>
      </c>
      <c r="H1844" s="3" t="s">
        <v>886</v>
      </c>
    </row>
    <row r="1845" spans="1:8" ht="64.5" x14ac:dyDescent="0.25">
      <c r="A1845" s="3" t="s">
        <v>5752</v>
      </c>
      <c r="B1845" s="3"/>
      <c r="C1845" s="3" t="str">
        <f>"Communication Services through portals of Computers, Electronics, Telecommunications, Surveillance systems. Our business is to help you control your business through communication portals."</f>
        <v>Communication Services through portals of Computers, Electronics, Telecommunications, Surveillance systems. Our business is to help you control your business through communication portals.</v>
      </c>
      <c r="D1845" s="3" t="s">
        <v>9</v>
      </c>
      <c r="E1845" s="3" t="s">
        <v>46</v>
      </c>
      <c r="F1845" s="3" t="str">
        <f>"3172136055"</f>
        <v>3172136055</v>
      </c>
      <c r="G1845" s="3">
        <v>541519</v>
      </c>
      <c r="H1845" s="3" t="s">
        <v>898</v>
      </c>
    </row>
    <row r="1846" spans="1:8" ht="90" x14ac:dyDescent="0.25">
      <c r="A1846" s="3" t="s">
        <v>5753</v>
      </c>
      <c r="B1846" s="3"/>
      <c r="C1846" s="3" t="s">
        <v>5754</v>
      </c>
      <c r="D1846" s="3" t="s">
        <v>5755</v>
      </c>
      <c r="E1846" s="3" t="s">
        <v>5756</v>
      </c>
      <c r="F1846" s="3" t="str">
        <f>"812-273-3072"</f>
        <v>812-273-3072</v>
      </c>
      <c r="G1846" s="3">
        <v>453220</v>
      </c>
      <c r="H1846" s="3" t="s">
        <v>274</v>
      </c>
    </row>
    <row r="1847" spans="1:8" ht="64.5" x14ac:dyDescent="0.25">
      <c r="A1847" s="3" t="s">
        <v>5757</v>
      </c>
      <c r="B1847" s="3"/>
      <c r="C1847" s="3" t="str">
        <f>"Certified WBE providing management consulting services, including IT strategy, custom training, business process redesign, organizational change management, and system implementation."</f>
        <v>Certified WBE providing management consulting services, including IT strategy, custom training, business process redesign, organizational change management, and system implementation.</v>
      </c>
      <c r="D1847" s="3" t="s">
        <v>5758</v>
      </c>
      <c r="E1847" s="3" t="s">
        <v>5759</v>
      </c>
      <c r="F1847" s="3" t="str">
        <f>"317-506-4545"</f>
        <v>317-506-4545</v>
      </c>
      <c r="G1847" s="3">
        <v>541</v>
      </c>
      <c r="H1847" s="3" t="s">
        <v>179</v>
      </c>
    </row>
    <row r="1848" spans="1:8" ht="255.75" x14ac:dyDescent="0.25">
      <c r="A1848" s="3" t="s">
        <v>5760</v>
      </c>
      <c r="B1848" s="3"/>
      <c r="C1848" s="3" t="s">
        <v>5761</v>
      </c>
      <c r="D1848" s="3" t="s">
        <v>9</v>
      </c>
      <c r="E1848" s="3" t="s">
        <v>5762</v>
      </c>
      <c r="F1848" s="3" t="str">
        <f>"317-488-9150"</f>
        <v>317-488-9150</v>
      </c>
      <c r="G1848" s="3">
        <v>611519</v>
      </c>
      <c r="H1848" s="3" t="s">
        <v>5262</v>
      </c>
    </row>
    <row r="1849" spans="1:8" ht="26.25" x14ac:dyDescent="0.25">
      <c r="A1849" s="3" t="s">
        <v>5763</v>
      </c>
      <c r="B1849" s="3"/>
      <c r="C1849" s="3" t="str">
        <f>"Automobile repair machine shop"</f>
        <v>Automobile repair machine shop</v>
      </c>
      <c r="D1849" s="3" t="s">
        <v>5764</v>
      </c>
      <c r="E1849" s="3" t="s">
        <v>5765</v>
      </c>
      <c r="F1849" s="3" t="str">
        <f>"5749464070"</f>
        <v>5749464070</v>
      </c>
      <c r="G1849" s="3">
        <v>811111</v>
      </c>
      <c r="H1849" s="3" t="s">
        <v>2383</v>
      </c>
    </row>
    <row r="1850" spans="1:8" x14ac:dyDescent="0.25">
      <c r="A1850" s="3" t="s">
        <v>5766</v>
      </c>
      <c r="B1850" s="3"/>
      <c r="C1850" s="3" t="str">
        <f>" "</f>
        <v xml:space="preserve"> </v>
      </c>
      <c r="D1850" s="3" t="s">
        <v>9</v>
      </c>
      <c r="E1850" s="3" t="s">
        <v>46</v>
      </c>
      <c r="F1850" s="2"/>
      <c r="G1850" s="3">
        <v>611710</v>
      </c>
      <c r="H1850" s="3" t="s">
        <v>508</v>
      </c>
    </row>
    <row r="1851" spans="1:8" ht="51.75" x14ac:dyDescent="0.25">
      <c r="A1851" s="3" t="s">
        <v>5767</v>
      </c>
      <c r="B1851" s="3"/>
      <c r="C1851" s="3" t="str">
        <f>"I am an Accredited Executive Associate from The Insititute for Independent Business. I provide general consultancy to small and medium sized business owners"</f>
        <v>I am an Accredited Executive Associate from The Insititute for Independent Business. I provide general consultancy to small and medium sized business owners</v>
      </c>
      <c r="D1851" s="3" t="s">
        <v>5768</v>
      </c>
      <c r="E1851" s="3" t="s">
        <v>5769</v>
      </c>
      <c r="F1851" s="3" t="str">
        <f>"317-774-1648"</f>
        <v>317-774-1648</v>
      </c>
      <c r="G1851" s="3">
        <v>5614</v>
      </c>
      <c r="H1851" s="3" t="s">
        <v>847</v>
      </c>
    </row>
    <row r="1852" spans="1:8" ht="141" x14ac:dyDescent="0.25">
      <c r="A1852" s="3" t="s">
        <v>5770</v>
      </c>
      <c r="B1852" s="3"/>
      <c r="C1852" s="3" t="s">
        <v>5771</v>
      </c>
      <c r="D1852" s="3" t="s">
        <v>5772</v>
      </c>
      <c r="E1852" s="3" t="s">
        <v>5773</v>
      </c>
      <c r="F1852" s="3" t="str">
        <f>"317-429-9273"</f>
        <v>317-429-9273</v>
      </c>
      <c r="G1852" s="3">
        <v>722320</v>
      </c>
      <c r="H1852" s="3" t="s">
        <v>266</v>
      </c>
    </row>
    <row r="1853" spans="1:8" ht="51.75" x14ac:dyDescent="0.25">
      <c r="A1853" s="3" t="s">
        <v>5774</v>
      </c>
      <c r="B1853" s="3"/>
      <c r="C1853" s="3" t="str">
        <f>"Boiler room equipment sales, service and replacement parts for all types of commercial and light industrial applications of hot water or steam needs."</f>
        <v>Boiler room equipment sales, service and replacement parts for all types of commercial and light industrial applications of hot water or steam needs.</v>
      </c>
      <c r="D1853" s="3" t="s">
        <v>5775</v>
      </c>
      <c r="E1853" s="3" t="s">
        <v>5776</v>
      </c>
      <c r="F1853" s="3" t="str">
        <f>"812-867-0810"</f>
        <v>812-867-0810</v>
      </c>
      <c r="G1853" s="3">
        <v>238220</v>
      </c>
      <c r="H1853" s="3" t="s">
        <v>348</v>
      </c>
    </row>
    <row r="1854" spans="1:8" ht="332.25" x14ac:dyDescent="0.25">
      <c r="A1854" s="3" t="s">
        <v>5777</v>
      </c>
      <c r="B1854" s="3"/>
      <c r="C1854" s="3" t="s">
        <v>5778</v>
      </c>
      <c r="D1854" s="3" t="s">
        <v>5779</v>
      </c>
      <c r="E1854" s="3" t="s">
        <v>5780</v>
      </c>
      <c r="F1854" s="3" t="str">
        <f>"(317) 809-8040"</f>
        <v>(317) 809-8040</v>
      </c>
      <c r="G1854" s="3">
        <v>561990</v>
      </c>
      <c r="H1854" s="3" t="s">
        <v>219</v>
      </c>
    </row>
    <row r="1855" spans="1:8" ht="26.25" x14ac:dyDescent="0.25">
      <c r="A1855" s="3" t="s">
        <v>5781</v>
      </c>
      <c r="B1855" s="3"/>
      <c r="C1855" s="3" t="str">
        <f>"Regional Dental Sales Manager Cigna Dental"</f>
        <v>Regional Dental Sales Manager Cigna Dental</v>
      </c>
      <c r="D1855" s="3" t="s">
        <v>5782</v>
      </c>
      <c r="E1855" s="3" t="s">
        <v>5783</v>
      </c>
      <c r="F1855" s="3" t="str">
        <f>"317-587-1832"</f>
        <v>317-587-1832</v>
      </c>
      <c r="G1855" s="3">
        <v>524113</v>
      </c>
      <c r="H1855" s="3" t="s">
        <v>5784</v>
      </c>
    </row>
    <row r="1856" spans="1:8" ht="102.75" x14ac:dyDescent="0.25">
      <c r="A1856" s="3" t="s">
        <v>5785</v>
      </c>
      <c r="B1856" s="3"/>
      <c r="C1856" s="3" t="s">
        <v>5786</v>
      </c>
      <c r="D1856" s="3" t="s">
        <v>5787</v>
      </c>
      <c r="E1856" s="3" t="s">
        <v>5788</v>
      </c>
      <c r="F1856" s="3" t="str">
        <f>"8125893391"</f>
        <v>8125893391</v>
      </c>
      <c r="G1856" s="3">
        <v>541611</v>
      </c>
      <c r="H1856" s="3" t="s">
        <v>278</v>
      </c>
    </row>
    <row r="1857" spans="1:8" ht="64.5" x14ac:dyDescent="0.25">
      <c r="A1857" s="3" t="s">
        <v>5789</v>
      </c>
      <c r="B1857" s="3"/>
      <c r="C1857" s="3" t="str">
        <f>"CimexHeat concentrates on bed bug extermination through heat remediation. Our hub is out of Indianapolis, IN and we handle extermination cases throughout the whole state of Indiana."</f>
        <v>CimexHeat concentrates on bed bug extermination through heat remediation. Our hub is out of Indianapolis, IN and we handle extermination cases throughout the whole state of Indiana.</v>
      </c>
      <c r="D1857" s="3" t="s">
        <v>5790</v>
      </c>
      <c r="E1857" s="3" t="s">
        <v>5791</v>
      </c>
      <c r="F1857" s="3" t="str">
        <f>"317-286-4282"</f>
        <v>317-286-4282</v>
      </c>
      <c r="G1857" s="3">
        <v>32532</v>
      </c>
      <c r="H1857" s="3" t="s">
        <v>1439</v>
      </c>
    </row>
    <row r="1858" spans="1:8" ht="26.25" x14ac:dyDescent="0.25">
      <c r="A1858" s="3" t="s">
        <v>5792</v>
      </c>
      <c r="B1858" s="3"/>
      <c r="C1858" s="3" t="str">
        <f>"We are a machine/fabrication shop."</f>
        <v>We are a machine/fabrication shop.</v>
      </c>
      <c r="D1858" s="3" t="s">
        <v>9</v>
      </c>
      <c r="E1858" s="3" t="s">
        <v>5793</v>
      </c>
      <c r="F1858" s="3" t="str">
        <f>"812-948-1422"</f>
        <v>812-948-1422</v>
      </c>
      <c r="G1858" s="3">
        <v>33271</v>
      </c>
      <c r="H1858" s="3" t="s">
        <v>387</v>
      </c>
    </row>
    <row r="1859" spans="1:8" ht="281.25" x14ac:dyDescent="0.25">
      <c r="A1859" s="3" t="s">
        <v>5794</v>
      </c>
      <c r="B1859" s="3"/>
      <c r="C1859" s="3" t="s">
        <v>5795</v>
      </c>
      <c r="D1859" s="3" t="s">
        <v>5796</v>
      </c>
      <c r="E1859" s="3" t="s">
        <v>5797</v>
      </c>
      <c r="F1859" s="3" t="str">
        <f>"317-660-7371"</f>
        <v>317-660-7371</v>
      </c>
      <c r="G1859" s="3">
        <v>517</v>
      </c>
      <c r="H1859" s="3" t="s">
        <v>682</v>
      </c>
    </row>
    <row r="1860" spans="1:8" ht="90" x14ac:dyDescent="0.25">
      <c r="A1860" s="3" t="s">
        <v>5798</v>
      </c>
      <c r="B1860" s="3"/>
      <c r="C1860" s="3" t="s">
        <v>5799</v>
      </c>
      <c r="D1860" s="3" t="s">
        <v>5800</v>
      </c>
      <c r="E1860" s="3" t="s">
        <v>5801</v>
      </c>
      <c r="F1860" s="3" t="str">
        <f>"317-462-5631"</f>
        <v>317-462-5631</v>
      </c>
      <c r="G1860" s="3">
        <v>711510</v>
      </c>
      <c r="H1860" s="3" t="s">
        <v>1980</v>
      </c>
    </row>
    <row r="1861" spans="1:8" ht="26.25" x14ac:dyDescent="0.25">
      <c r="A1861" s="3" t="s">
        <v>5802</v>
      </c>
      <c r="B1861" s="3"/>
      <c r="C1861" s="3" t="str">
        <f>"Landscape design &amp; installation including lawns, dirt restoration, etc."</f>
        <v>Landscape design &amp; installation including lawns, dirt restoration, etc.</v>
      </c>
      <c r="D1861" s="3" t="s">
        <v>9</v>
      </c>
      <c r="E1861" s="3" t="s">
        <v>5803</v>
      </c>
      <c r="F1861" s="3" t="str">
        <f>"317-442-6339"</f>
        <v>317-442-6339</v>
      </c>
      <c r="G1861" s="3">
        <v>238910</v>
      </c>
      <c r="H1861" s="3" t="s">
        <v>886</v>
      </c>
    </row>
    <row r="1862" spans="1:8" ht="51.75" x14ac:dyDescent="0.25">
      <c r="A1862" s="3" t="s">
        <v>5804</v>
      </c>
      <c r="B1862" s="3"/>
      <c r="C1862" s="3" t="str">
        <f>"Landscape design, installation. Excavation, erosion control, drainage services, lawn installation, etc. Commercial and residential for all above services."</f>
        <v>Landscape design, installation. Excavation, erosion control, drainage services, lawn installation, etc. Commercial and residential for all above services.</v>
      </c>
      <c r="D1862" s="3" t="s">
        <v>9</v>
      </c>
      <c r="E1862" s="3" t="s">
        <v>5803</v>
      </c>
      <c r="F1862" s="3" t="str">
        <f>"317-442-6339"</f>
        <v>317-442-6339</v>
      </c>
      <c r="G1862" s="3">
        <v>561730</v>
      </c>
      <c r="H1862" s="3" t="s">
        <v>65</v>
      </c>
    </row>
    <row r="1863" spans="1:8" ht="64.5" x14ac:dyDescent="0.25">
      <c r="A1863" s="3" t="s">
        <v>5805</v>
      </c>
      <c r="B1863" s="3"/>
      <c r="C1863" s="3" t="str">
        <f>"Cindys' in Stitches is your partner for name recognition through embroidered apparel and promotional products. All embroidery work is done in house. Identify yourself and your employees with embroidered apparel."</f>
        <v>Cindys' in Stitches is your partner for name recognition through embroidered apparel and promotional products. All embroidery work is done in house. Identify yourself and your employees with embroidered apparel.</v>
      </c>
      <c r="D1863" s="3" t="s">
        <v>5806</v>
      </c>
      <c r="E1863" s="3" t="s">
        <v>5807</v>
      </c>
      <c r="F1863" s="3" t="str">
        <f>"317-841-1408"</f>
        <v>317-841-1408</v>
      </c>
      <c r="G1863" s="3">
        <v>44</v>
      </c>
      <c r="H1863" s="3" t="s">
        <v>574</v>
      </c>
    </row>
    <row r="1864" spans="1:8" ht="64.5" x14ac:dyDescent="0.25">
      <c r="A1864" s="3" t="s">
        <v>5808</v>
      </c>
      <c r="B1864" s="3"/>
      <c r="C1864" s="3" t="str">
        <f>"Audio Visual systems installation, integration, and design. -Projectors, Plasma Display Units, LCD monitors -Boardroom audio video installations -Conference room / Classroom LCD projectors."</f>
        <v>Audio Visual systems installation, integration, and design. -Projectors, Plasma Display Units, LCD monitors -Boardroom audio video installations -Conference room / Classroom LCD projectors.</v>
      </c>
      <c r="D1864" s="3" t="s">
        <v>9</v>
      </c>
      <c r="E1864" s="3" t="s">
        <v>5809</v>
      </c>
      <c r="F1864" s="3" t="str">
        <f>"317-291-4686"</f>
        <v>317-291-4686</v>
      </c>
      <c r="G1864" s="3">
        <v>238210</v>
      </c>
      <c r="H1864" s="3" t="s">
        <v>306</v>
      </c>
    </row>
    <row r="1865" spans="1:8" ht="51.75" x14ac:dyDescent="0.25">
      <c r="A1865" s="3" t="s">
        <v>5810</v>
      </c>
      <c r="B1865" s="3"/>
      <c r="C1865" s="3" t="str">
        <f>"Specialty trade wall and ceiling subcontractor, providing solutions for drywall, insulation, plaster, EIFS, fireproofing, and firestopping needs."</f>
        <v>Specialty trade wall and ceiling subcontractor, providing solutions for drywall, insulation, plaster, EIFS, fireproofing, and firestopping needs.</v>
      </c>
      <c r="D1865" s="3" t="s">
        <v>9</v>
      </c>
      <c r="E1865" s="3" t="s">
        <v>46</v>
      </c>
      <c r="F1865" s="3" t="str">
        <f>"317-787-5746"</f>
        <v>317-787-5746</v>
      </c>
      <c r="G1865" s="3">
        <v>2383</v>
      </c>
      <c r="H1865" s="3" t="s">
        <v>3448</v>
      </c>
    </row>
    <row r="1866" spans="1:8" ht="26.25" x14ac:dyDescent="0.25">
      <c r="A1866" s="3" t="s">
        <v>5811</v>
      </c>
      <c r="B1866" s="3"/>
      <c r="C1866" s="2"/>
      <c r="D1866" s="3" t="s">
        <v>5812</v>
      </c>
      <c r="E1866" s="3" t="s">
        <v>5813</v>
      </c>
      <c r="F1866" s="3" t="str">
        <f>"1-877-607-1368"</f>
        <v>1-877-607-1368</v>
      </c>
      <c r="G1866" s="3">
        <v>56162</v>
      </c>
      <c r="H1866" s="3" t="s">
        <v>1276</v>
      </c>
    </row>
    <row r="1867" spans="1:8" ht="26.25" x14ac:dyDescent="0.25">
      <c r="A1867" s="3" t="s">
        <v>5814</v>
      </c>
      <c r="B1867" s="3"/>
      <c r="C1867" s="3" t="str">
        <f>"Auto Parts Wholesaler"</f>
        <v>Auto Parts Wholesaler</v>
      </c>
      <c r="D1867" s="3" t="s">
        <v>5815</v>
      </c>
      <c r="E1867" s="3" t="s">
        <v>5816</v>
      </c>
      <c r="F1867" s="3" t="str">
        <f>"317-815-1900"</f>
        <v>317-815-1900</v>
      </c>
      <c r="G1867" s="3">
        <v>42312</v>
      </c>
      <c r="H1867" s="3" t="s">
        <v>1033</v>
      </c>
    </row>
    <row r="1868" spans="1:8" ht="115.5" x14ac:dyDescent="0.25">
      <c r="A1868" s="3" t="s">
        <v>5817</v>
      </c>
      <c r="B1868" s="3"/>
      <c r="C1868" s="3" t="s">
        <v>5818</v>
      </c>
      <c r="D1868" s="3" t="s">
        <v>5819</v>
      </c>
      <c r="E1868" s="3" t="s">
        <v>5820</v>
      </c>
      <c r="F1868" s="3" t="str">
        <f>"317-399-5707"</f>
        <v>317-399-5707</v>
      </c>
      <c r="G1868" s="3">
        <v>541618</v>
      </c>
      <c r="H1868" s="3" t="s">
        <v>3527</v>
      </c>
    </row>
    <row r="1869" spans="1:8" ht="64.5" x14ac:dyDescent="0.25">
      <c r="A1869" s="3" t="s">
        <v>5821</v>
      </c>
      <c r="B1869" s="3"/>
      <c r="C1869" s="3" t="str">
        <f>"Commercial and residential lighting services such as lamp and ballast replacement, lot lighting repair, sign and neon repair, lamp and fixture repair and installation of fixtures, poles and signs."</f>
        <v>Commercial and residential lighting services such as lamp and ballast replacement, lot lighting repair, sign and neon repair, lamp and fixture repair and installation of fixtures, poles and signs.</v>
      </c>
      <c r="D1869" s="3" t="s">
        <v>9</v>
      </c>
      <c r="E1869" s="3" t="s">
        <v>5822</v>
      </c>
      <c r="F1869" s="3" t="str">
        <f>"317-209-1177"</f>
        <v>317-209-1177</v>
      </c>
      <c r="G1869" s="3">
        <v>812990</v>
      </c>
      <c r="H1869" s="3" t="s">
        <v>294</v>
      </c>
    </row>
    <row r="1870" spans="1:8" x14ac:dyDescent="0.25">
      <c r="A1870" s="3" t="s">
        <v>5823</v>
      </c>
      <c r="B1870" s="3"/>
      <c r="C1870" s="3" t="str">
        <f>" "</f>
        <v xml:space="preserve"> </v>
      </c>
      <c r="D1870" s="3" t="s">
        <v>9</v>
      </c>
      <c r="E1870" s="3" t="s">
        <v>46</v>
      </c>
      <c r="F1870" s="2"/>
      <c r="G1870" s="3">
        <v>561790</v>
      </c>
      <c r="H1870" s="3" t="s">
        <v>2113</v>
      </c>
    </row>
    <row r="1871" spans="1:8" ht="51.75" x14ac:dyDescent="0.25">
      <c r="A1871" s="3" t="s">
        <v>5824</v>
      </c>
      <c r="B1871" s="3"/>
      <c r="C1871" s="3" t="str">
        <f>"We do mostly one and two color printing. We specialize in raised business cards. We also do black &amp; white and color copies. We do some signs and banners."</f>
        <v>We do mostly one and two color printing. We specialize in raised business cards. We also do black &amp; white and color copies. We do some signs and banners.</v>
      </c>
      <c r="D1871" s="3" t="s">
        <v>9</v>
      </c>
      <c r="E1871" s="3" t="s">
        <v>5825</v>
      </c>
      <c r="F1871" s="3" t="str">
        <f>"317-955-0500"</f>
        <v>317-955-0500</v>
      </c>
      <c r="G1871" s="3">
        <v>323110</v>
      </c>
      <c r="H1871" s="3" t="s">
        <v>1900</v>
      </c>
    </row>
    <row r="1872" spans="1:8" ht="51.75" x14ac:dyDescent="0.25">
      <c r="A1872" s="3" t="s">
        <v>5826</v>
      </c>
      <c r="B1872" s="3"/>
      <c r="C1872" s="3" t="str">
        <f>"Full service Concrete reinforcing steel (Rebar) fabricator, providing estimating, detailing, placement drawings and on time delivery services."</f>
        <v>Full service Concrete reinforcing steel (Rebar) fabricator, providing estimating, detailing, placement drawings and on time delivery services.</v>
      </c>
      <c r="D1872" s="3" t="s">
        <v>9</v>
      </c>
      <c r="E1872" s="3" t="s">
        <v>5827</v>
      </c>
      <c r="F1872" s="3" t="str">
        <f>"317-917-8566"</f>
        <v>317-917-8566</v>
      </c>
      <c r="G1872" s="3">
        <v>23331</v>
      </c>
      <c r="H1872" s="3" t="s">
        <v>5828</v>
      </c>
    </row>
    <row r="1873" spans="1:8" ht="64.5" x14ac:dyDescent="0.25">
      <c r="A1873" s="3" t="s">
        <v>5829</v>
      </c>
      <c r="B1873" s="3"/>
      <c r="C1873" s="3" t="str">
        <f>"I provide construction procurement and logistics mainly in the field of masonry repair. It is my goal to provide customers with one contact, ensuring consistancy and timely responsiveness to their needs."</f>
        <v>I provide construction procurement and logistics mainly in the field of masonry repair. It is my goal to provide customers with one contact, ensuring consistancy and timely responsiveness to their needs.</v>
      </c>
      <c r="D1873" s="3" t="s">
        <v>9</v>
      </c>
      <c r="E1873" s="3" t="s">
        <v>5830</v>
      </c>
      <c r="F1873" s="3" t="str">
        <f>"317-843-9773"</f>
        <v>317-843-9773</v>
      </c>
      <c r="G1873" s="3">
        <v>238140</v>
      </c>
      <c r="H1873" s="3" t="s">
        <v>1830</v>
      </c>
    </row>
    <row r="1874" spans="1:8" ht="90" x14ac:dyDescent="0.25">
      <c r="A1874" s="3" t="s">
        <v>5831</v>
      </c>
      <c r="B1874" s="3"/>
      <c r="C1874" s="3" t="s">
        <v>5832</v>
      </c>
      <c r="D1874" s="3" t="s">
        <v>5833</v>
      </c>
      <c r="E1874" s="3" t="s">
        <v>5834</v>
      </c>
      <c r="F1874" s="3" t="str">
        <f>"317-757-9069"</f>
        <v>317-757-9069</v>
      </c>
      <c r="G1874" s="3">
        <v>541511</v>
      </c>
      <c r="H1874" s="3" t="s">
        <v>122</v>
      </c>
    </row>
    <row r="1875" spans="1:8" ht="115.5" x14ac:dyDescent="0.25">
      <c r="A1875" s="3" t="s">
        <v>5835</v>
      </c>
      <c r="B1875" s="3"/>
      <c r="C1875" s="3" t="s">
        <v>5836</v>
      </c>
      <c r="D1875" s="3" t="s">
        <v>5837</v>
      </c>
      <c r="E1875" s="3" t="s">
        <v>5838</v>
      </c>
      <c r="F1875" s="3" t="str">
        <f>"3177888468"</f>
        <v>3177888468</v>
      </c>
      <c r="G1875" s="3">
        <v>238150</v>
      </c>
      <c r="H1875" s="3" t="s">
        <v>2530</v>
      </c>
    </row>
    <row r="1876" spans="1:8" ht="51.75" x14ac:dyDescent="0.25">
      <c r="A1876" s="3" t="s">
        <v>5839</v>
      </c>
      <c r="B1876" s="3"/>
      <c r="C1876" s="3" t="str">
        <f>"We provide exterior cleaning of our clients building, lot and grassy areas. We will also provide trash removal and landscaping services as needed."</f>
        <v>We provide exterior cleaning of our clients building, lot and grassy areas. We will also provide trash removal and landscaping services as needed.</v>
      </c>
      <c r="D1876" s="3" t="s">
        <v>9</v>
      </c>
      <c r="E1876" s="3" t="s">
        <v>5840</v>
      </c>
      <c r="F1876" s="3" t="str">
        <f>"317-225-2799"</f>
        <v>317-225-2799</v>
      </c>
      <c r="G1876" s="3">
        <v>561720</v>
      </c>
      <c r="H1876" s="3" t="s">
        <v>222</v>
      </c>
    </row>
    <row r="1877" spans="1:8" ht="51.75" x14ac:dyDescent="0.25">
      <c r="A1877" s="3" t="s">
        <v>5841</v>
      </c>
      <c r="B1877" s="3"/>
      <c r="C1877" s="3" t="str">
        <f>"Circle Design Group, Inc. is a consulting engineering firm specializing in the design of mechanical, plumbing, fire protection and electrical systems for buildings."</f>
        <v>Circle Design Group, Inc. is a consulting engineering firm specializing in the design of mechanical, plumbing, fire protection and electrical systems for buildings.</v>
      </c>
      <c r="D1877" s="3" t="s">
        <v>9</v>
      </c>
      <c r="E1877" s="3" t="s">
        <v>5842</v>
      </c>
      <c r="F1877" s="3" t="str">
        <f>"317-781-6200"</f>
        <v>317-781-6200</v>
      </c>
      <c r="G1877" s="3">
        <v>541330</v>
      </c>
      <c r="H1877" s="3" t="s">
        <v>82</v>
      </c>
    </row>
    <row r="1878" spans="1:8" ht="64.5" x14ac:dyDescent="0.25">
      <c r="A1878" s="3" t="s">
        <v>5843</v>
      </c>
      <c r="B1878" s="3"/>
      <c r="C1878" s="3" t="str">
        <f>"Office supplies, equipment, printing, promotional products all available at competitive pricing with exceptional service. Serving Inidana businesses since 1951."</f>
        <v>Office supplies, equipment, printing, promotional products all available at competitive pricing with exceptional service. Serving Inidana businesses since 1951.</v>
      </c>
      <c r="D1878" s="3" t="s">
        <v>5844</v>
      </c>
      <c r="E1878" s="3" t="s">
        <v>5845</v>
      </c>
      <c r="F1878" s="3" t="str">
        <f>"317.248.7900"</f>
        <v>317.248.7900</v>
      </c>
      <c r="G1878" s="3">
        <v>45321</v>
      </c>
      <c r="H1878" s="3" t="s">
        <v>431</v>
      </c>
    </row>
    <row r="1879" spans="1:8" ht="281.25" x14ac:dyDescent="0.25">
      <c r="A1879" s="3" t="s">
        <v>5846</v>
      </c>
      <c r="B1879" s="3"/>
      <c r="C1879" s="3" t="s">
        <v>5847</v>
      </c>
      <c r="D1879" s="3" t="s">
        <v>5848</v>
      </c>
      <c r="E1879" s="3" t="s">
        <v>5849</v>
      </c>
      <c r="F1879" s="3" t="str">
        <f>"317-536-8211"</f>
        <v>317-536-8211</v>
      </c>
      <c r="G1879" s="3">
        <v>56131</v>
      </c>
      <c r="H1879" s="3" t="s">
        <v>1720</v>
      </c>
    </row>
    <row r="1880" spans="1:8" ht="268.5" x14ac:dyDescent="0.25">
      <c r="A1880" s="3" t="s">
        <v>5850</v>
      </c>
      <c r="B1880" s="3"/>
      <c r="C1880" s="3" t="s">
        <v>5851</v>
      </c>
      <c r="D1880" s="3" t="s">
        <v>9</v>
      </c>
      <c r="E1880" s="3" t="s">
        <v>5852</v>
      </c>
      <c r="F1880" s="3" t="str">
        <f>"317-690-8600"</f>
        <v>317-690-8600</v>
      </c>
      <c r="G1880" s="3">
        <v>541614</v>
      </c>
      <c r="H1880" s="3" t="s">
        <v>107</v>
      </c>
    </row>
    <row r="1881" spans="1:8" ht="39" x14ac:dyDescent="0.25">
      <c r="A1881" s="3" t="s">
        <v>5853</v>
      </c>
      <c r="B1881" s="3"/>
      <c r="C1881" s="3" t="str">
        <f>"Armed &amp; Unarmed Guards Plain Clothes Officers, Construction, Traffic and Events. 24hr Security and Property Protection."</f>
        <v>Armed &amp; Unarmed Guards Plain Clothes Officers, Construction, Traffic and Events. 24hr Security and Property Protection.</v>
      </c>
      <c r="D1881" s="3" t="s">
        <v>9</v>
      </c>
      <c r="E1881" s="3" t="s">
        <v>5854</v>
      </c>
      <c r="F1881" s="3" t="str">
        <f>"317-372-2632"</f>
        <v>317-372-2632</v>
      </c>
      <c r="G1881" s="3">
        <v>561612</v>
      </c>
      <c r="H1881" s="3" t="s">
        <v>362</v>
      </c>
    </row>
    <row r="1882" spans="1:8" ht="153.75" x14ac:dyDescent="0.25">
      <c r="A1882" s="3" t="s">
        <v>5855</v>
      </c>
      <c r="B1882" s="3"/>
      <c r="C1882" s="3" t="s">
        <v>5856</v>
      </c>
      <c r="D1882" s="3" t="s">
        <v>5857</v>
      </c>
      <c r="E1882" s="3" t="s">
        <v>5858</v>
      </c>
      <c r="F1882" s="3" t="str">
        <f>"812-752-7204"</f>
        <v>812-752-7204</v>
      </c>
      <c r="G1882" s="3">
        <v>518111</v>
      </c>
      <c r="H1882" s="3" t="s">
        <v>2656</v>
      </c>
    </row>
    <row r="1883" spans="1:8" ht="39" x14ac:dyDescent="0.25">
      <c r="A1883" s="3" t="s">
        <v>5859</v>
      </c>
      <c r="B1883" s="3"/>
      <c r="C1883" s="3" t="str">
        <f>"Citizens Transportation LLC is a Non Emergency Medical Transportation Company"</f>
        <v>Citizens Transportation LLC is a Non Emergency Medical Transportation Company</v>
      </c>
      <c r="D1883" s="3" t="s">
        <v>9</v>
      </c>
      <c r="E1883" s="3" t="s">
        <v>46</v>
      </c>
      <c r="F1883" s="3" t="str">
        <f>"317 626-3113"</f>
        <v>317 626-3113</v>
      </c>
      <c r="G1883" s="3">
        <v>48</v>
      </c>
      <c r="H1883" s="3" t="s">
        <v>104</v>
      </c>
    </row>
    <row r="1884" spans="1:8" ht="77.25" x14ac:dyDescent="0.25">
      <c r="A1884" s="3" t="s">
        <v>5860</v>
      </c>
      <c r="B1884" s="3"/>
      <c r="C1884" s="3" t="str">
        <f>"City Consultants &amp; Research, LLC assists small governments and non-profit organizations with affordable housing and community development planning. We also provide grant writing and grant management services."</f>
        <v>City Consultants &amp; Research, LLC assists small governments and non-profit organizations with affordable housing and community development planning. We also provide grant writing and grant management services.</v>
      </c>
      <c r="D1884" s="3" t="s">
        <v>9</v>
      </c>
      <c r="E1884" s="3" t="s">
        <v>5861</v>
      </c>
      <c r="F1884" s="3" t="str">
        <f>"317-372-8775"</f>
        <v>317-372-8775</v>
      </c>
      <c r="G1884" s="3">
        <v>541990</v>
      </c>
      <c r="H1884" s="3" t="s">
        <v>378</v>
      </c>
    </row>
    <row r="1885" spans="1:8" ht="26.25" x14ac:dyDescent="0.25">
      <c r="A1885" s="3" t="s">
        <v>5862</v>
      </c>
      <c r="B1885" s="3"/>
      <c r="C1885" s="3" t="str">
        <f>"We are a unionized fencing company."</f>
        <v>We are a unionized fencing company.</v>
      </c>
      <c r="D1885" s="3" t="s">
        <v>9</v>
      </c>
      <c r="E1885" s="3" t="s">
        <v>5863</v>
      </c>
      <c r="F1885" s="3" t="str">
        <f>"219-313-4782"</f>
        <v>219-313-4782</v>
      </c>
      <c r="G1885" s="3">
        <v>23599</v>
      </c>
      <c r="H1885" s="3" t="s">
        <v>248</v>
      </c>
    </row>
    <row r="1886" spans="1:8" ht="64.5" x14ac:dyDescent="0.25">
      <c r="A1886" s="3" t="s">
        <v>5864</v>
      </c>
      <c r="B1886" s="3"/>
      <c r="C1886" s="3" t="str">
        <f>"General Construction, providing services in these NAICS Codes: 237110 – Water &amp; Sewer Construction 238110 – Concrete 221310 – Water Supply &amp; Irrigation Systems 221320 – Sewage Treatment Facilities"</f>
        <v>General Construction, providing services in these NAICS Codes: 237110 – Water &amp; Sewer Construction 238110 – Concrete 221310 – Water Supply &amp; Irrigation Systems 221320 – Sewage Treatment Facilities</v>
      </c>
      <c r="D1886" s="3" t="s">
        <v>9</v>
      </c>
      <c r="E1886" s="3" t="s">
        <v>5865</v>
      </c>
      <c r="F1886" s="3" t="str">
        <f>"812-834-5201"</f>
        <v>812-834-5201</v>
      </c>
      <c r="G1886" s="3">
        <v>237110</v>
      </c>
      <c r="H1886" s="3" t="s">
        <v>901</v>
      </c>
    </row>
    <row r="1887" spans="1:8" ht="26.25" x14ac:dyDescent="0.25">
      <c r="A1887" s="3" t="s">
        <v>5866</v>
      </c>
      <c r="B1887" s="3"/>
      <c r="C1887" s="3" t="str">
        <f>"Plumbing and piping wholesaler."</f>
        <v>Plumbing and piping wholesaler.</v>
      </c>
      <c r="D1887" s="3" t="s">
        <v>5867</v>
      </c>
      <c r="E1887" s="3" t="s">
        <v>5868</v>
      </c>
      <c r="F1887" s="3" t="str">
        <f>"2198798304"</f>
        <v>2198798304</v>
      </c>
      <c r="G1887" s="3">
        <v>42</v>
      </c>
      <c r="H1887" s="3" t="s">
        <v>674</v>
      </c>
    </row>
    <row r="1888" spans="1:8" ht="26.25" x14ac:dyDescent="0.25">
      <c r="A1888" s="3" t="s">
        <v>5869</v>
      </c>
      <c r="B1888" s="3"/>
      <c r="C1888" s="2"/>
      <c r="D1888" s="3" t="s">
        <v>5870</v>
      </c>
      <c r="E1888" s="3" t="s">
        <v>5871</v>
      </c>
      <c r="F1888" s="3" t="str">
        <f>"3172442000"</f>
        <v>3172442000</v>
      </c>
      <c r="G1888" s="3">
        <v>237310</v>
      </c>
      <c r="H1888" s="3" t="s">
        <v>768</v>
      </c>
    </row>
    <row r="1889" spans="1:8" x14ac:dyDescent="0.25">
      <c r="A1889" s="3" t="s">
        <v>5872</v>
      </c>
      <c r="B1889" s="3"/>
      <c r="C1889" s="3" t="str">
        <f>" "</f>
        <v xml:space="preserve"> </v>
      </c>
      <c r="D1889" s="3" t="s">
        <v>9</v>
      </c>
      <c r="E1889" s="3" t="s">
        <v>46</v>
      </c>
      <c r="F1889" s="2"/>
      <c r="G1889" s="3">
        <v>921110</v>
      </c>
      <c r="H1889" s="3" t="s">
        <v>5873</v>
      </c>
    </row>
    <row r="1890" spans="1:8" x14ac:dyDescent="0.25">
      <c r="A1890" s="3" t="s">
        <v>5874</v>
      </c>
      <c r="B1890" s="3"/>
      <c r="C1890" s="3" t="str">
        <f>" "</f>
        <v xml:space="preserve"> </v>
      </c>
      <c r="D1890" s="3" t="s">
        <v>9</v>
      </c>
      <c r="E1890" s="3" t="s">
        <v>46</v>
      </c>
      <c r="F1890" s="2"/>
      <c r="G1890" s="3">
        <v>921110</v>
      </c>
      <c r="H1890" s="3" t="s">
        <v>5873</v>
      </c>
    </row>
    <row r="1891" spans="1:8" x14ac:dyDescent="0.25">
      <c r="A1891" s="3" t="s">
        <v>5875</v>
      </c>
      <c r="B1891" s="3"/>
      <c r="C1891" s="2"/>
      <c r="D1891" s="3" t="s">
        <v>9</v>
      </c>
      <c r="E1891" s="3" t="s">
        <v>46</v>
      </c>
      <c r="F1891" s="2"/>
      <c r="G1891" s="3">
        <v>2213</v>
      </c>
      <c r="H1891" s="3" t="s">
        <v>2486</v>
      </c>
    </row>
    <row r="1892" spans="1:8" x14ac:dyDescent="0.25">
      <c r="A1892" s="3" t="s">
        <v>5876</v>
      </c>
      <c r="B1892" s="3"/>
      <c r="C1892" s="3" t="str">
        <f>" "</f>
        <v xml:space="preserve"> </v>
      </c>
      <c r="D1892" s="3" t="s">
        <v>9</v>
      </c>
      <c r="E1892" s="3" t="s">
        <v>46</v>
      </c>
      <c r="F1892" s="2"/>
      <c r="G1892" s="3">
        <v>921190</v>
      </c>
      <c r="H1892" s="3" t="s">
        <v>4809</v>
      </c>
    </row>
    <row r="1893" spans="1:8" x14ac:dyDescent="0.25">
      <c r="A1893" s="3" t="s">
        <v>5877</v>
      </c>
      <c r="B1893" s="3"/>
      <c r="C1893" s="2"/>
      <c r="D1893" s="3" t="s">
        <v>9</v>
      </c>
      <c r="E1893" s="3" t="s">
        <v>46</v>
      </c>
      <c r="F1893" s="2"/>
      <c r="G1893" s="3">
        <v>921190</v>
      </c>
      <c r="H1893" s="3" t="s">
        <v>4809</v>
      </c>
    </row>
    <row r="1894" spans="1:8" x14ac:dyDescent="0.25">
      <c r="A1894" s="3" t="s">
        <v>5878</v>
      </c>
      <c r="B1894" s="3"/>
      <c r="C1894" s="3" t="str">
        <f t="shared" ref="C1894:C1902" si="0">" "</f>
        <v xml:space="preserve"> </v>
      </c>
      <c r="D1894" s="3" t="s">
        <v>9</v>
      </c>
      <c r="E1894" s="3" t="s">
        <v>46</v>
      </c>
      <c r="F1894" s="2"/>
      <c r="G1894" s="3">
        <v>921110</v>
      </c>
      <c r="H1894" s="3" t="s">
        <v>5873</v>
      </c>
    </row>
    <row r="1895" spans="1:8" x14ac:dyDescent="0.25">
      <c r="A1895" s="3" t="s">
        <v>5879</v>
      </c>
      <c r="B1895" s="3"/>
      <c r="C1895" s="3" t="str">
        <f t="shared" si="0"/>
        <v xml:space="preserve"> </v>
      </c>
      <c r="D1895" s="3" t="s">
        <v>9</v>
      </c>
      <c r="E1895" s="3" t="s">
        <v>46</v>
      </c>
      <c r="F1895" s="2"/>
      <c r="G1895" s="3">
        <v>921110</v>
      </c>
      <c r="H1895" s="3" t="s">
        <v>5873</v>
      </c>
    </row>
    <row r="1896" spans="1:8" x14ac:dyDescent="0.25">
      <c r="A1896" s="3" t="s">
        <v>5880</v>
      </c>
      <c r="B1896" s="3"/>
      <c r="C1896" s="3" t="str">
        <f t="shared" si="0"/>
        <v xml:space="preserve"> </v>
      </c>
      <c r="D1896" s="3" t="s">
        <v>9</v>
      </c>
      <c r="E1896" s="3" t="s">
        <v>46</v>
      </c>
      <c r="F1896" s="2"/>
      <c r="G1896" s="3">
        <v>921110</v>
      </c>
      <c r="H1896" s="3" t="s">
        <v>5873</v>
      </c>
    </row>
    <row r="1897" spans="1:8" x14ac:dyDescent="0.25">
      <c r="A1897" s="3" t="s">
        <v>5881</v>
      </c>
      <c r="B1897" s="3"/>
      <c r="C1897" s="3" t="str">
        <f t="shared" si="0"/>
        <v xml:space="preserve"> </v>
      </c>
      <c r="D1897" s="3" t="s">
        <v>9</v>
      </c>
      <c r="E1897" s="3" t="s">
        <v>46</v>
      </c>
      <c r="F1897" s="2"/>
      <c r="G1897" s="3">
        <v>921190</v>
      </c>
      <c r="H1897" s="3" t="s">
        <v>4809</v>
      </c>
    </row>
    <row r="1898" spans="1:8" x14ac:dyDescent="0.25">
      <c r="A1898" s="3" t="s">
        <v>5882</v>
      </c>
      <c r="B1898" s="3"/>
      <c r="C1898" s="3" t="str">
        <f t="shared" si="0"/>
        <v xml:space="preserve"> </v>
      </c>
      <c r="D1898" s="3" t="s">
        <v>9</v>
      </c>
      <c r="E1898" s="3" t="s">
        <v>46</v>
      </c>
      <c r="F1898" s="2"/>
      <c r="G1898" s="3">
        <v>921110</v>
      </c>
      <c r="H1898" s="3" t="s">
        <v>5873</v>
      </c>
    </row>
    <row r="1899" spans="1:8" x14ac:dyDescent="0.25">
      <c r="A1899" s="3" t="s">
        <v>5883</v>
      </c>
      <c r="B1899" s="3"/>
      <c r="C1899" s="3" t="str">
        <f t="shared" si="0"/>
        <v xml:space="preserve"> </v>
      </c>
      <c r="D1899" s="3" t="s">
        <v>9</v>
      </c>
      <c r="E1899" s="3" t="s">
        <v>46</v>
      </c>
      <c r="F1899" s="2"/>
      <c r="G1899" s="3">
        <v>921190</v>
      </c>
      <c r="H1899" s="3" t="s">
        <v>4809</v>
      </c>
    </row>
    <row r="1900" spans="1:8" x14ac:dyDescent="0.25">
      <c r="A1900" s="3" t="s">
        <v>5884</v>
      </c>
      <c r="B1900" s="3"/>
      <c r="C1900" s="3" t="str">
        <f t="shared" si="0"/>
        <v xml:space="preserve"> </v>
      </c>
      <c r="D1900" s="3" t="s">
        <v>9</v>
      </c>
      <c r="E1900" s="3" t="s">
        <v>46</v>
      </c>
      <c r="F1900" s="2"/>
      <c r="G1900" s="3">
        <v>921190</v>
      </c>
      <c r="H1900" s="3" t="s">
        <v>4809</v>
      </c>
    </row>
    <row r="1901" spans="1:8" x14ac:dyDescent="0.25">
      <c r="A1901" s="3" t="s">
        <v>5885</v>
      </c>
      <c r="B1901" s="3"/>
      <c r="C1901" s="3" t="str">
        <f t="shared" si="0"/>
        <v xml:space="preserve"> </v>
      </c>
      <c r="D1901" s="3" t="s">
        <v>9</v>
      </c>
      <c r="E1901" s="3" t="s">
        <v>46</v>
      </c>
      <c r="F1901" s="2"/>
      <c r="G1901" s="3">
        <v>921190</v>
      </c>
      <c r="H1901" s="3" t="s">
        <v>4809</v>
      </c>
    </row>
    <row r="1902" spans="1:8" x14ac:dyDescent="0.25">
      <c r="A1902" s="3" t="s">
        <v>5886</v>
      </c>
      <c r="B1902" s="3"/>
      <c r="C1902" s="3" t="str">
        <f t="shared" si="0"/>
        <v xml:space="preserve"> </v>
      </c>
      <c r="D1902" s="3" t="s">
        <v>9</v>
      </c>
      <c r="E1902" s="3" t="s">
        <v>46</v>
      </c>
      <c r="F1902" s="2"/>
      <c r="G1902" s="3">
        <v>921110</v>
      </c>
      <c r="H1902" s="3" t="s">
        <v>5873</v>
      </c>
    </row>
    <row r="1903" spans="1:8" ht="128.25" x14ac:dyDescent="0.25">
      <c r="A1903" s="3" t="s">
        <v>5887</v>
      </c>
      <c r="B1903" s="3"/>
      <c r="C1903" s="3" t="s">
        <v>5888</v>
      </c>
      <c r="D1903" s="3" t="s">
        <v>5889</v>
      </c>
      <c r="E1903" s="3" t="s">
        <v>5890</v>
      </c>
      <c r="F1903" s="3" t="str">
        <f>"765-282-9477"</f>
        <v>765-282-9477</v>
      </c>
      <c r="G1903" s="3">
        <v>541810</v>
      </c>
      <c r="H1903" s="3" t="s">
        <v>976</v>
      </c>
    </row>
    <row r="1904" spans="1:8" ht="153.75" x14ac:dyDescent="0.25">
      <c r="A1904" s="3" t="s">
        <v>5891</v>
      </c>
      <c r="B1904" s="3"/>
      <c r="C1904" s="3" t="s">
        <v>5892</v>
      </c>
      <c r="D1904" s="3" t="s">
        <v>5893</v>
      </c>
      <c r="E1904" s="3" t="s">
        <v>5894</v>
      </c>
      <c r="F1904" s="3" t="str">
        <f>"770-993-4424"</f>
        <v>770-993-4424</v>
      </c>
      <c r="G1904" s="3">
        <v>332312</v>
      </c>
      <c r="H1904" s="3" t="s">
        <v>2180</v>
      </c>
    </row>
    <row r="1905" spans="1:8" ht="26.25" x14ac:dyDescent="0.25">
      <c r="A1905" s="3" t="s">
        <v>5895</v>
      </c>
      <c r="B1905" s="3"/>
      <c r="C1905" s="3" t="str">
        <f>"CONCEIVING, PLANNING, &amp; MANAGING PUBLIC DEVELOPMENT PROJECTS"</f>
        <v>CONCEIVING, PLANNING, &amp; MANAGING PUBLIC DEVELOPMENT PROJECTS</v>
      </c>
      <c r="D1905" s="3" t="s">
        <v>5896</v>
      </c>
      <c r="E1905" s="3" t="s">
        <v>5897</v>
      </c>
      <c r="F1905" s="3" t="str">
        <f>"812-786-0457"</f>
        <v>812-786-0457</v>
      </c>
      <c r="G1905" s="3">
        <v>925120</v>
      </c>
      <c r="H1905" s="3" t="s">
        <v>5898</v>
      </c>
    </row>
    <row r="1906" spans="1:8" ht="26.25" x14ac:dyDescent="0.25">
      <c r="A1906" s="3" t="s">
        <v>5899</v>
      </c>
      <c r="B1906" s="3"/>
      <c r="C1906" s="3" t="str">
        <f>"Consulting services for planning and managing public development projects."</f>
        <v>Consulting services for planning and managing public development projects.</v>
      </c>
      <c r="D1906" s="3" t="s">
        <v>5900</v>
      </c>
      <c r="E1906" s="3" t="s">
        <v>5901</v>
      </c>
      <c r="F1906" s="3" t="str">
        <f>"812-704-9130"</f>
        <v>812-704-9130</v>
      </c>
      <c r="G1906" s="3">
        <v>925120</v>
      </c>
      <c r="H1906" s="3" t="s">
        <v>5898</v>
      </c>
    </row>
    <row r="1907" spans="1:8" ht="306.75" x14ac:dyDescent="0.25">
      <c r="A1907" s="3" t="s">
        <v>5902</v>
      </c>
      <c r="B1907" s="3"/>
      <c r="C1907" s="3" t="s">
        <v>5903</v>
      </c>
      <c r="D1907" s="3" t="s">
        <v>5904</v>
      </c>
      <c r="E1907" s="3" t="s">
        <v>5905</v>
      </c>
      <c r="F1907" s="3" t="str">
        <f>"317-244-1968"</f>
        <v>317-244-1968</v>
      </c>
      <c r="G1907" s="3">
        <v>54133</v>
      </c>
      <c r="H1907" s="3" t="s">
        <v>82</v>
      </c>
    </row>
    <row r="1908" spans="1:8" ht="243" x14ac:dyDescent="0.25">
      <c r="A1908" s="3" t="s">
        <v>5906</v>
      </c>
      <c r="B1908" s="3"/>
      <c r="C1908" s="3" t="s">
        <v>5907</v>
      </c>
      <c r="D1908" s="3" t="s">
        <v>9</v>
      </c>
      <c r="E1908" s="3" t="s">
        <v>5908</v>
      </c>
      <c r="F1908" s="3" t="str">
        <f>"765-653-6710"</f>
        <v>765-653-6710</v>
      </c>
      <c r="G1908" s="3">
        <v>541330</v>
      </c>
      <c r="H1908" s="3" t="s">
        <v>82</v>
      </c>
    </row>
    <row r="1909" spans="1:8" ht="26.25" x14ac:dyDescent="0.25">
      <c r="A1909" s="3" t="s">
        <v>5909</v>
      </c>
      <c r="B1909" s="3"/>
      <c r="C1909" s="3" t="str">
        <f>"We provide qualified inspectors to inspect infrastructure projects"</f>
        <v>We provide qualified inspectors to inspect infrastructure projects</v>
      </c>
      <c r="D1909" s="3" t="s">
        <v>9</v>
      </c>
      <c r="E1909" s="3" t="s">
        <v>5910</v>
      </c>
      <c r="F1909" s="3" t="str">
        <f>"574-534-7831"</f>
        <v>574-534-7831</v>
      </c>
      <c r="G1909" s="3">
        <v>541990</v>
      </c>
      <c r="H1909" s="3" t="s">
        <v>378</v>
      </c>
    </row>
    <row r="1910" spans="1:8" ht="39" x14ac:dyDescent="0.25">
      <c r="A1910" s="3" t="s">
        <v>5911</v>
      </c>
      <c r="B1910" s="3"/>
      <c r="C1910" s="3" t="str">
        <f>"Civil Site Solutions provides professional site engineering services from conceptual design through project completion."</f>
        <v>Civil Site Solutions provides professional site engineering services from conceptual design through project completion.</v>
      </c>
      <c r="D1910" s="3" t="s">
        <v>5912</v>
      </c>
      <c r="E1910" s="3" t="s">
        <v>5913</v>
      </c>
      <c r="F1910" s="3" t="str">
        <f>"3174599804"</f>
        <v>3174599804</v>
      </c>
      <c r="G1910" s="3">
        <v>541330</v>
      </c>
      <c r="H1910" s="3" t="s">
        <v>82</v>
      </c>
    </row>
    <row r="1911" spans="1:8" ht="39" x14ac:dyDescent="0.25">
      <c r="A1911" s="3" t="s">
        <v>5914</v>
      </c>
      <c r="B1911" s="3"/>
      <c r="C1911" s="3" t="str">
        <f>"We are a woman/veteran owned commerial, industrial, and residential painting company."</f>
        <v>We are a woman/veteran owned commerial, industrial, and residential painting company.</v>
      </c>
      <c r="D1911" s="3" t="s">
        <v>9</v>
      </c>
      <c r="E1911" s="3" t="s">
        <v>5915</v>
      </c>
      <c r="F1911" s="3" t="str">
        <f>"317.989.0405"</f>
        <v>317.989.0405</v>
      </c>
      <c r="G1911" s="3">
        <v>238320</v>
      </c>
      <c r="H1911" s="3" t="s">
        <v>462</v>
      </c>
    </row>
    <row r="1912" spans="1:8" ht="39" x14ac:dyDescent="0.25">
      <c r="A1912" s="3" t="s">
        <v>5916</v>
      </c>
      <c r="B1912" s="3"/>
      <c r="C1912" s="3" t="str">
        <f>"Health Care Consulting firm offering medical billing and eligibility determination services"</f>
        <v>Health Care Consulting firm offering medical billing and eligibility determination services</v>
      </c>
      <c r="D1912" s="3" t="s">
        <v>5917</v>
      </c>
      <c r="E1912" s="3" t="s">
        <v>5918</v>
      </c>
      <c r="F1912" s="3" t="str">
        <f>"317-295-4052"</f>
        <v>317-295-4052</v>
      </c>
      <c r="G1912" s="3">
        <v>541990</v>
      </c>
      <c r="H1912" s="3" t="s">
        <v>378</v>
      </c>
    </row>
    <row r="1913" spans="1:8" x14ac:dyDescent="0.25">
      <c r="A1913" s="3" t="s">
        <v>5919</v>
      </c>
      <c r="B1913" s="3"/>
      <c r="C1913" s="3" t="str">
        <f>" "</f>
        <v xml:space="preserve"> </v>
      </c>
      <c r="D1913" s="3" t="s">
        <v>9</v>
      </c>
      <c r="E1913" s="3" t="s">
        <v>46</v>
      </c>
      <c r="F1913" s="2"/>
      <c r="G1913" s="3">
        <v>611110</v>
      </c>
      <c r="H1913" s="3" t="s">
        <v>3876</v>
      </c>
    </row>
    <row r="1914" spans="1:8" ht="102.75" x14ac:dyDescent="0.25">
      <c r="A1914" s="3" t="s">
        <v>5920</v>
      </c>
      <c r="B1914" s="3"/>
      <c r="C1914" s="3" t="s">
        <v>5921</v>
      </c>
      <c r="D1914" s="3" t="s">
        <v>5922</v>
      </c>
      <c r="E1914" s="3" t="s">
        <v>5923</v>
      </c>
      <c r="F1914" s="3" t="str">
        <f>"812-284-5229"</f>
        <v>812-284-5229</v>
      </c>
      <c r="G1914" s="3">
        <v>238</v>
      </c>
      <c r="H1914" s="3" t="s">
        <v>397</v>
      </c>
    </row>
    <row r="1915" spans="1:8" ht="141" x14ac:dyDescent="0.25">
      <c r="A1915" s="3" t="s">
        <v>5924</v>
      </c>
      <c r="B1915" s="3"/>
      <c r="C1915" s="3" t="s">
        <v>5925</v>
      </c>
      <c r="D1915" s="3" t="s">
        <v>5926</v>
      </c>
      <c r="E1915" s="3" t="s">
        <v>5927</v>
      </c>
      <c r="F1915" s="3" t="str">
        <f>"317.582.0300"</f>
        <v>317.582.0300</v>
      </c>
      <c r="G1915" s="3">
        <v>541330</v>
      </c>
      <c r="H1915" s="3" t="s">
        <v>82</v>
      </c>
    </row>
    <row r="1916" spans="1:8" ht="51.75" x14ac:dyDescent="0.25">
      <c r="A1916" s="3" t="s">
        <v>5928</v>
      </c>
      <c r="B1916" s="3"/>
      <c r="C1916" s="3" t="str">
        <f>"Clark Memorial Hospital County Hospital The mission of Clark Memorial Hospital is to provide superior health services to the peiple and communities we serve."</f>
        <v>Clark Memorial Hospital County Hospital The mission of Clark Memorial Hospital is to provide superior health services to the peiple and communities we serve.</v>
      </c>
      <c r="D1916" s="3" t="s">
        <v>5929</v>
      </c>
      <c r="E1916" s="3" t="s">
        <v>46</v>
      </c>
      <c r="F1916" s="3" t="str">
        <f>"812-282-6631"</f>
        <v>812-282-6631</v>
      </c>
      <c r="G1916" s="3">
        <v>11</v>
      </c>
      <c r="H1916" s="3" t="s">
        <v>175</v>
      </c>
    </row>
    <row r="1917" spans="1:8" ht="166.5" x14ac:dyDescent="0.25">
      <c r="A1917" s="3" t="s">
        <v>5930</v>
      </c>
      <c r="B1917" s="3"/>
      <c r="C1917" s="3" t="s">
        <v>5931</v>
      </c>
      <c r="D1917" s="3" t="s">
        <v>5932</v>
      </c>
      <c r="E1917" s="3" t="s">
        <v>5933</v>
      </c>
      <c r="F1917" s="3" t="str">
        <f>"(317) 884-1023"</f>
        <v>(317) 884-1023</v>
      </c>
      <c r="G1917" s="3">
        <v>454390</v>
      </c>
      <c r="H1917" s="3" t="s">
        <v>1348</v>
      </c>
    </row>
    <row r="1918" spans="1:8" ht="64.5" x14ac:dyDescent="0.25">
      <c r="A1918" s="3" t="s">
        <v>5934</v>
      </c>
      <c r="B1918" s="3"/>
      <c r="C1918" s="3" t="str">
        <f>"MARINA; sales, service and storage. Smokercraft boats. Evinrude and Johnson engines. Hoosier, Shoreland'r and Trailmaster trailers. Full service department w/ 30 years exp. Parts and accessories."</f>
        <v>MARINA; sales, service and storage. Smokercraft boats. Evinrude and Johnson engines. Hoosier, Shoreland'r and Trailmaster trailers. Full service department w/ 30 years exp. Parts and accessories.</v>
      </c>
      <c r="D1918" s="3" t="s">
        <v>9</v>
      </c>
      <c r="E1918" s="3" t="s">
        <v>5935</v>
      </c>
      <c r="F1918" s="3" t="str">
        <f>"574-834-2491"</f>
        <v>574-834-2491</v>
      </c>
      <c r="G1918" s="3">
        <v>713930</v>
      </c>
      <c r="H1918" s="3" t="s">
        <v>5936</v>
      </c>
    </row>
    <row r="1919" spans="1:8" ht="26.25" x14ac:dyDescent="0.25">
      <c r="A1919" s="3" t="s">
        <v>5937</v>
      </c>
      <c r="B1919" s="3"/>
      <c r="C1919" s="2"/>
      <c r="D1919" s="3" t="s">
        <v>5938</v>
      </c>
      <c r="E1919" s="3" t="s">
        <v>46</v>
      </c>
      <c r="F1919" s="3" t="str">
        <f>"317-849-0330"</f>
        <v>317-849-0330</v>
      </c>
      <c r="G1919" s="3">
        <v>54133</v>
      </c>
      <c r="H1919" s="3" t="s">
        <v>82</v>
      </c>
    </row>
    <row r="1920" spans="1:8" ht="77.25" x14ac:dyDescent="0.25">
      <c r="A1920" s="3" t="s">
        <v>5939</v>
      </c>
      <c r="B1920" s="3"/>
      <c r="C1920" s="3" t="str">
        <f>"Velocity Custom Software offers provessional application design and development services specializing in .NET, Oracle, VB, FoxPro, SQL, and Access. For more information on this and other services please contact us at (812) 330-1010"</f>
        <v>Velocity Custom Software offers provessional application design and development services specializing in .NET, Oracle, VB, FoxPro, SQL, and Access. For more information on this and other services please contact us at (812) 330-1010</v>
      </c>
      <c r="D1920" s="3" t="s">
        <v>9</v>
      </c>
      <c r="E1920" s="3" t="s">
        <v>5940</v>
      </c>
      <c r="F1920" s="3" t="str">
        <f>"(812) 330-1010"</f>
        <v>(812) 330-1010</v>
      </c>
      <c r="G1920" s="3">
        <v>541511</v>
      </c>
      <c r="H1920" s="3" t="s">
        <v>122</v>
      </c>
    </row>
    <row r="1921" spans="1:8" ht="64.5" x14ac:dyDescent="0.25">
      <c r="A1921" s="3" t="s">
        <v>5941</v>
      </c>
      <c r="B1921" s="3"/>
      <c r="C1921" s="3" t="str">
        <f>"Custom marketing &amp; promotional items for your business such as notepads, padfolios, sales promotional items. Also specialize in uniforms with your logo/business info imprinted"</f>
        <v>Custom marketing &amp; promotional items for your business such as notepads, padfolios, sales promotional items. Also specialize in uniforms with your logo/business info imprinted</v>
      </c>
      <c r="D1921" s="3" t="s">
        <v>5942</v>
      </c>
      <c r="E1921" s="3" t="s">
        <v>5943</v>
      </c>
      <c r="F1921" s="3" t="str">
        <f>"317-313-9289"</f>
        <v>317-313-9289</v>
      </c>
      <c r="G1921" s="3">
        <v>424110</v>
      </c>
      <c r="H1921" s="3" t="s">
        <v>355</v>
      </c>
    </row>
    <row r="1922" spans="1:8" ht="26.25" x14ac:dyDescent="0.25">
      <c r="A1922" s="3" t="s">
        <v>5944</v>
      </c>
      <c r="B1922" s="3"/>
      <c r="C1922" s="3" t="str">
        <f>"Screen Printing Embroidery"</f>
        <v>Screen Printing Embroidery</v>
      </c>
      <c r="D1922" s="3" t="s">
        <v>9</v>
      </c>
      <c r="E1922" s="3" t="s">
        <v>5945</v>
      </c>
      <c r="F1922" s="3" t="str">
        <f>"317-899-3414"</f>
        <v>317-899-3414</v>
      </c>
      <c r="G1922" s="3">
        <v>323113</v>
      </c>
      <c r="H1922" s="3" t="s">
        <v>1606</v>
      </c>
    </row>
    <row r="1923" spans="1:8" x14ac:dyDescent="0.25">
      <c r="A1923" s="3" t="s">
        <v>5946</v>
      </c>
      <c r="B1923" s="3"/>
      <c r="C1923" s="3" t="str">
        <f>" "</f>
        <v xml:space="preserve"> </v>
      </c>
      <c r="D1923" s="3" t="s">
        <v>9</v>
      </c>
      <c r="E1923" s="3" t="s">
        <v>46</v>
      </c>
      <c r="F1923" s="2"/>
      <c r="G1923" s="3">
        <v>31</v>
      </c>
      <c r="H1923" s="3" t="s">
        <v>999</v>
      </c>
    </row>
    <row r="1924" spans="1:8" ht="51.75" x14ac:dyDescent="0.25">
      <c r="A1924" s="3" t="s">
        <v>5947</v>
      </c>
      <c r="B1924" s="3"/>
      <c r="C1924" s="3" t="str">
        <f>"Social issue theatre company, using the power of interactive theatre to educate, train and empower students and employees ."</f>
        <v>Social issue theatre company, using the power of interactive theatre to educate, train and empower students and employees .</v>
      </c>
      <c r="D1924" s="3" t="s">
        <v>5948</v>
      </c>
      <c r="E1924" s="3" t="s">
        <v>46</v>
      </c>
      <c r="F1924" s="3" t="str">
        <f>"(317) 916-0568"</f>
        <v>(317) 916-0568</v>
      </c>
      <c r="G1924" s="3">
        <v>813219</v>
      </c>
      <c r="H1924" s="3" t="s">
        <v>5949</v>
      </c>
    </row>
    <row r="1925" spans="1:8" ht="141" x14ac:dyDescent="0.25">
      <c r="A1925" s="3" t="s">
        <v>5950</v>
      </c>
      <c r="B1925" s="3"/>
      <c r="C1925" s="3" t="s">
        <v>5951</v>
      </c>
      <c r="D1925" s="3" t="s">
        <v>5952</v>
      </c>
      <c r="E1925" s="3" t="s">
        <v>5953</v>
      </c>
      <c r="F1925" s="3" t="str">
        <f>"1.866.547.0425"</f>
        <v>1.866.547.0425</v>
      </c>
      <c r="G1925" s="3">
        <v>541930</v>
      </c>
      <c r="H1925" s="3" t="s">
        <v>971</v>
      </c>
    </row>
    <row r="1926" spans="1:8" ht="39" x14ac:dyDescent="0.25">
      <c r="A1926" s="3" t="s">
        <v>5954</v>
      </c>
      <c r="B1926" s="3"/>
      <c r="C1926" s="3" t="str">
        <f>"Retail Furniture Store-Specializing in custom upholstery and wood products for both residential and commercial settings."</f>
        <v>Retail Furniture Store-Specializing in custom upholstery and wood products for both residential and commercial settings.</v>
      </c>
      <c r="D1926" s="3" t="s">
        <v>5955</v>
      </c>
      <c r="E1926" s="3" t="s">
        <v>5956</v>
      </c>
      <c r="F1926" s="3" t="str">
        <f>"260-589-2608"</f>
        <v>260-589-2608</v>
      </c>
      <c r="G1926" s="3">
        <v>4421</v>
      </c>
      <c r="H1926" s="3" t="s">
        <v>117</v>
      </c>
    </row>
    <row r="1927" spans="1:8" ht="64.5" x14ac:dyDescent="0.25">
      <c r="A1927" s="3" t="s">
        <v>5957</v>
      </c>
      <c r="B1927" s="3"/>
      <c r="C1927" s="3" t="str">
        <f>"Provides computer application development services; database development and data mining services; process improvement services; and bookkeeping and financial reporting services"</f>
        <v>Provides computer application development services; database development and data mining services; process improvement services; and bookkeeping and financial reporting services</v>
      </c>
      <c r="D1927" s="3" t="s">
        <v>5958</v>
      </c>
      <c r="E1927" s="3" t="s">
        <v>5959</v>
      </c>
      <c r="F1927" s="3" t="str">
        <f>"(317) 575-8552"</f>
        <v>(317) 575-8552</v>
      </c>
      <c r="G1927" s="3">
        <v>561110</v>
      </c>
      <c r="H1927" s="3" t="s">
        <v>4383</v>
      </c>
    </row>
    <row r="1928" spans="1:8" ht="51.75" x14ac:dyDescent="0.25">
      <c r="A1928" s="3" t="s">
        <v>5960</v>
      </c>
      <c r="B1928" s="3"/>
      <c r="C1928" s="3" t="str">
        <f>"The Clay County Health Department is a local government agency, performing statutorily-required duties via Indiana Code."</f>
        <v>The Clay County Health Department is a local government agency, performing statutorily-required duties via Indiana Code.</v>
      </c>
      <c r="D1928" s="3" t="s">
        <v>5961</v>
      </c>
      <c r="E1928" s="3" t="s">
        <v>5962</v>
      </c>
      <c r="F1928" s="3" t="str">
        <f>"812-448-9021"</f>
        <v>812-448-9021</v>
      </c>
      <c r="G1928" s="3">
        <v>62</v>
      </c>
      <c r="H1928" s="3" t="s">
        <v>1168</v>
      </c>
    </row>
    <row r="1929" spans="1:8" ht="39" x14ac:dyDescent="0.25">
      <c r="A1929" s="3" t="s">
        <v>5963</v>
      </c>
      <c r="B1929" s="3"/>
      <c r="C1929" s="3" t="str">
        <f>"Computer Sales and service"</f>
        <v>Computer Sales and service</v>
      </c>
      <c r="D1929" s="3" t="s">
        <v>5964</v>
      </c>
      <c r="E1929" s="3" t="s">
        <v>46</v>
      </c>
      <c r="F1929" s="3" t="str">
        <f>"812-448-3809"</f>
        <v>812-448-3809</v>
      </c>
      <c r="G1929" s="3">
        <v>423430</v>
      </c>
      <c r="H1929" s="3" t="s">
        <v>127</v>
      </c>
    </row>
    <row r="1930" spans="1:8" ht="51.75" x14ac:dyDescent="0.25">
      <c r="A1930" s="3" t="s">
        <v>5965</v>
      </c>
      <c r="B1930" s="3"/>
      <c r="C1930" s="3" t="str">
        <f>"We have all forms, both commercial and residential, of flooring products, furniture, wallcovering, window treatments, and professional installation of each."</f>
        <v>We have all forms, both commercial and residential, of flooring products, furniture, wallcovering, window treatments, and professional installation of each.</v>
      </c>
      <c r="D1930" s="3" t="s">
        <v>5966</v>
      </c>
      <c r="E1930" s="3" t="s">
        <v>5967</v>
      </c>
      <c r="F1930" s="3" t="str">
        <f>"574-224-2529"</f>
        <v>574-224-2529</v>
      </c>
      <c r="G1930" s="3">
        <v>442210</v>
      </c>
      <c r="H1930" s="3" t="s">
        <v>2301</v>
      </c>
    </row>
    <row r="1931" spans="1:8" ht="39" x14ac:dyDescent="0.25">
      <c r="A1931" s="3" t="s">
        <v>5968</v>
      </c>
      <c r="B1931" s="3"/>
      <c r="C1931" s="3" t="str">
        <f>"Lawn and Landscape Maintenance, Commercial &amp; Residential. Certified Lawn Pesticide applicator."</f>
        <v>Lawn and Landscape Maintenance, Commercial &amp; Residential. Certified Lawn Pesticide applicator.</v>
      </c>
      <c r="D1931" s="3" t="s">
        <v>9</v>
      </c>
      <c r="E1931" s="3" t="s">
        <v>46</v>
      </c>
      <c r="F1931" s="3" t="str">
        <f>"260-582-9455"</f>
        <v>260-582-9455</v>
      </c>
      <c r="G1931" s="3">
        <v>812990</v>
      </c>
      <c r="H1931" s="3" t="s">
        <v>294</v>
      </c>
    </row>
    <row r="1932" spans="1:8" ht="306.75" x14ac:dyDescent="0.25">
      <c r="A1932" s="3" t="s">
        <v>5969</v>
      </c>
      <c r="B1932" s="3"/>
      <c r="C1932" s="3" t="s">
        <v>5970</v>
      </c>
      <c r="D1932" s="3" t="s">
        <v>5971</v>
      </c>
      <c r="E1932" s="3" t="s">
        <v>5972</v>
      </c>
      <c r="F1932" s="3" t="str">
        <f>"317-236-1800"</f>
        <v>317-236-1800</v>
      </c>
      <c r="G1932" s="3">
        <v>551112</v>
      </c>
      <c r="H1932" s="3" t="s">
        <v>1243</v>
      </c>
    </row>
    <row r="1933" spans="1:8" ht="153.75" x14ac:dyDescent="0.25">
      <c r="A1933" s="3" t="s">
        <v>5973</v>
      </c>
      <c r="B1933" s="3"/>
      <c r="C1933" s="3" t="s">
        <v>5974</v>
      </c>
      <c r="D1933" s="3" t="s">
        <v>9</v>
      </c>
      <c r="E1933" s="3" t="s">
        <v>5975</v>
      </c>
      <c r="F1933" s="3" t="str">
        <f>"812-232-6565"</f>
        <v>812-232-6565</v>
      </c>
      <c r="G1933" s="3">
        <v>333411</v>
      </c>
      <c r="H1933" s="3" t="s">
        <v>3130</v>
      </c>
    </row>
    <row r="1934" spans="1:8" x14ac:dyDescent="0.25">
      <c r="A1934" s="3" t="s">
        <v>5976</v>
      </c>
      <c r="B1934" s="3"/>
      <c r="C1934" s="3" t="str">
        <f>" "</f>
        <v xml:space="preserve"> </v>
      </c>
      <c r="D1934" s="3" t="s">
        <v>9</v>
      </c>
      <c r="E1934" s="3" t="s">
        <v>5977</v>
      </c>
      <c r="F1934" s="2"/>
      <c r="G1934" s="3">
        <v>561720</v>
      </c>
      <c r="H1934" s="3" t="s">
        <v>222</v>
      </c>
    </row>
    <row r="1935" spans="1:8" ht="26.25" x14ac:dyDescent="0.25">
      <c r="A1935" s="3" t="s">
        <v>5978</v>
      </c>
      <c r="B1935" s="3"/>
      <c r="C1935" s="3" t="str">
        <f>"ECO friendly commercial cleaning service"</f>
        <v>ECO friendly commercial cleaning service</v>
      </c>
      <c r="D1935" s="3" t="s">
        <v>5979</v>
      </c>
      <c r="E1935" s="3" t="s">
        <v>5980</v>
      </c>
      <c r="F1935" s="3" t="str">
        <f>"317-345-5031"</f>
        <v>317-345-5031</v>
      </c>
      <c r="G1935" s="3">
        <v>561720</v>
      </c>
      <c r="H1935" s="3" t="s">
        <v>222</v>
      </c>
    </row>
    <row r="1936" spans="1:8" ht="128.25" x14ac:dyDescent="0.25">
      <c r="A1936" s="3" t="s">
        <v>5981</v>
      </c>
      <c r="B1936" s="3"/>
      <c r="C1936" s="3" t="s">
        <v>5982</v>
      </c>
      <c r="D1936" s="3" t="s">
        <v>5983</v>
      </c>
      <c r="E1936" s="3" t="s">
        <v>5984</v>
      </c>
      <c r="F1936" s="3" t="str">
        <f>"317-216-8924"</f>
        <v>317-216-8924</v>
      </c>
      <c r="G1936" s="3">
        <v>561720</v>
      </c>
      <c r="H1936" s="3" t="s">
        <v>222</v>
      </c>
    </row>
    <row r="1937" spans="1:8" ht="39" x14ac:dyDescent="0.25">
      <c r="A1937" s="3" t="s">
        <v>5985</v>
      </c>
      <c r="B1937" s="3"/>
      <c r="C1937" s="3" t="str">
        <f>"Remove debris and clean emptied properties from foreclosure, eviction or estate."</f>
        <v>Remove debris and clean emptied properties from foreclosure, eviction or estate.</v>
      </c>
      <c r="D1937" s="3" t="s">
        <v>5986</v>
      </c>
      <c r="E1937" s="3" t="s">
        <v>5987</v>
      </c>
      <c r="F1937" s="3" t="str">
        <f>"269-612-0492"</f>
        <v>269-612-0492</v>
      </c>
      <c r="G1937" s="3">
        <v>561720</v>
      </c>
      <c r="H1937" s="3" t="s">
        <v>222</v>
      </c>
    </row>
    <row r="1938" spans="1:8" ht="77.25" x14ac:dyDescent="0.25">
      <c r="A1938" s="3" t="s">
        <v>5988</v>
      </c>
      <c r="B1938" s="3"/>
      <c r="C1938" s="3" t="str">
        <f>"My business provides commercial cleaning services, which include, but are not limited to, general commercial cleaning services for businesses, strip &amp; wax, scrub &amp; re-coat of vct floors, carpet extraction &amp; other floor services."</f>
        <v>My business provides commercial cleaning services, which include, but are not limited to, general commercial cleaning services for businesses, strip &amp; wax, scrub &amp; re-coat of vct floors, carpet extraction &amp; other floor services.</v>
      </c>
      <c r="D1938" s="3" t="s">
        <v>5989</v>
      </c>
      <c r="E1938" s="3" t="s">
        <v>5990</v>
      </c>
      <c r="F1938" s="3" t="str">
        <f>"812-249-7679"</f>
        <v>812-249-7679</v>
      </c>
      <c r="G1938" s="3">
        <v>561720</v>
      </c>
      <c r="H1938" s="3" t="s">
        <v>222</v>
      </c>
    </row>
    <row r="1939" spans="1:8" ht="51.75" x14ac:dyDescent="0.25">
      <c r="A1939" s="3" t="s">
        <v>5991</v>
      </c>
      <c r="B1939" s="3"/>
      <c r="C1939" s="3" t="str">
        <f>"Office Cleaning our company provides free carpet cleaning for new office cleaning accounts, we provide window cleaning, floor care-floor stripping and floor waxing."</f>
        <v>Office Cleaning our company provides free carpet cleaning for new office cleaning accounts, we provide window cleaning, floor care-floor stripping and floor waxing.</v>
      </c>
      <c r="D1939" s="3" t="s">
        <v>5992</v>
      </c>
      <c r="E1939" s="3" t="s">
        <v>5993</v>
      </c>
      <c r="F1939" s="3" t="str">
        <f>"317=457-3756"</f>
        <v>317=457-3756</v>
      </c>
      <c r="G1939" s="3">
        <v>561720</v>
      </c>
      <c r="H1939" s="3" t="s">
        <v>222</v>
      </c>
    </row>
    <row r="1940" spans="1:8" ht="90" x14ac:dyDescent="0.25">
      <c r="A1940" s="3" t="s">
        <v>5994</v>
      </c>
      <c r="B1940" s="3"/>
      <c r="C1940" s="3" t="s">
        <v>5995</v>
      </c>
      <c r="D1940" s="3" t="s">
        <v>5996</v>
      </c>
      <c r="E1940" s="3" t="s">
        <v>5997</v>
      </c>
      <c r="F1940" s="3" t="str">
        <f>"800-525-3261"</f>
        <v>800-525-3261</v>
      </c>
      <c r="G1940" s="3">
        <v>423850</v>
      </c>
      <c r="H1940" s="3" t="s">
        <v>419</v>
      </c>
    </row>
    <row r="1941" spans="1:8" ht="39" x14ac:dyDescent="0.25">
      <c r="A1941" s="3" t="s">
        <v>5998</v>
      </c>
      <c r="B1941" s="3"/>
      <c r="C1941" s="3" t="str">
        <f>"I will provide professional cleaning services for your business or company. I am available for all types of businesses."</f>
        <v>I will provide professional cleaning services for your business or company. I am available for all types of businesses.</v>
      </c>
      <c r="D1941" s="3" t="s">
        <v>9</v>
      </c>
      <c r="E1941" s="3" t="s">
        <v>5999</v>
      </c>
      <c r="F1941" s="3" t="str">
        <f>"3176251741"</f>
        <v>3176251741</v>
      </c>
      <c r="G1941" s="3">
        <v>561790</v>
      </c>
      <c r="H1941" s="3" t="s">
        <v>2113</v>
      </c>
    </row>
    <row r="1942" spans="1:8" ht="26.25" x14ac:dyDescent="0.25">
      <c r="A1942" s="3" t="s">
        <v>6000</v>
      </c>
      <c r="B1942" s="3"/>
      <c r="C1942" s="3" t="str">
        <f>"janitorial chemicals of Daley chemicals. carpet and tile cleaning"</f>
        <v>janitorial chemicals of Daley chemicals. carpet and tile cleaning</v>
      </c>
      <c r="D1942" s="3" t="s">
        <v>9</v>
      </c>
      <c r="E1942" s="3" t="s">
        <v>6001</v>
      </c>
      <c r="F1942" s="3" t="str">
        <f>"8123276001"</f>
        <v>8123276001</v>
      </c>
      <c r="G1942" s="3">
        <v>424690</v>
      </c>
      <c r="H1942" s="3" t="s">
        <v>2494</v>
      </c>
    </row>
    <row r="1943" spans="1:8" ht="26.25" x14ac:dyDescent="0.25">
      <c r="A1943" s="3" t="s">
        <v>6002</v>
      </c>
      <c r="B1943" s="3"/>
      <c r="C1943" s="3" t="str">
        <f>"Total cleaning services, post construction cleaning."</f>
        <v>Total cleaning services, post construction cleaning.</v>
      </c>
      <c r="D1943" s="3" t="s">
        <v>9</v>
      </c>
      <c r="E1943" s="3" t="s">
        <v>6003</v>
      </c>
      <c r="F1943" s="3" t="str">
        <f>"317-921-9496"</f>
        <v>317-921-9496</v>
      </c>
      <c r="G1943" s="3">
        <v>561720</v>
      </c>
      <c r="H1943" s="3" t="s">
        <v>222</v>
      </c>
    </row>
    <row r="1944" spans="1:8" ht="51.75" x14ac:dyDescent="0.25">
      <c r="A1944" s="3" t="s">
        <v>6004</v>
      </c>
      <c r="B1944" s="3"/>
      <c r="C1944" s="3" t="str">
        <f>"We are seasoned since 1999, janitorial/post-construction/and commercial building detailer in the cleaning industry......full service"</f>
        <v>We are seasoned since 1999, janitorial/post-construction/and commercial building detailer in the cleaning industry......full service</v>
      </c>
      <c r="D1944" s="3" t="s">
        <v>9</v>
      </c>
      <c r="E1944" s="3" t="s">
        <v>6005</v>
      </c>
      <c r="F1944" s="3" t="str">
        <f>"317 921-9496"</f>
        <v>317 921-9496</v>
      </c>
      <c r="G1944" s="3">
        <v>561720</v>
      </c>
      <c r="H1944" s="3" t="s">
        <v>222</v>
      </c>
    </row>
    <row r="1945" spans="1:8" ht="26.25" x14ac:dyDescent="0.25">
      <c r="A1945" s="3" t="s">
        <v>6006</v>
      </c>
      <c r="B1945" s="3"/>
      <c r="C1945" s="3" t="str">
        <f>"Electrical Contractor doing commercial, industrial and institutional."</f>
        <v>Electrical Contractor doing commercial, industrial and institutional.</v>
      </c>
      <c r="D1945" s="3" t="s">
        <v>9</v>
      </c>
      <c r="E1945" s="3" t="s">
        <v>6007</v>
      </c>
      <c r="F1945" s="3" t="str">
        <f>"260-665-8020"</f>
        <v>260-665-8020</v>
      </c>
      <c r="G1945" s="3">
        <v>238210</v>
      </c>
      <c r="H1945" s="3" t="s">
        <v>306</v>
      </c>
    </row>
    <row r="1946" spans="1:8" ht="64.5" x14ac:dyDescent="0.25">
      <c r="A1946" s="3" t="s">
        <v>6008</v>
      </c>
      <c r="B1946" s="3"/>
      <c r="C1946" s="3" t="str">
        <f>"Full service marina, selling new and used ski boats, pontoon boats, fishing boats, and Personal Watercraft and trailers. Selling outboard motors. Selling gasoline. Repair of boats and motors"</f>
        <v>Full service marina, selling new and used ski boats, pontoon boats, fishing boats, and Personal Watercraft and trailers. Selling outboard motors. Selling gasoline. Repair of boats and motors</v>
      </c>
      <c r="D1946" s="3" t="s">
        <v>6009</v>
      </c>
      <c r="E1946" s="3" t="s">
        <v>6010</v>
      </c>
      <c r="F1946" s="3" t="str">
        <f>"260-495-4915"</f>
        <v>260-495-4915</v>
      </c>
      <c r="G1946" s="3">
        <v>441222</v>
      </c>
      <c r="H1946" s="3" t="s">
        <v>3175</v>
      </c>
    </row>
    <row r="1947" spans="1:8" ht="64.5" x14ac:dyDescent="0.25">
      <c r="A1947" s="3" t="s">
        <v>6011</v>
      </c>
      <c r="B1947" s="3"/>
      <c r="C1947" s="3" t="str">
        <f>"Retail Sales of Replacement Windows, New Construction Windows, Siding &amp; Accessories, Patio Doors, Entry Doors, Interior Doors, French Doors &amp; Professional Installation Available."</f>
        <v>Retail Sales of Replacement Windows, New Construction Windows, Siding &amp; Accessories, Patio Doors, Entry Doors, Interior Doors, French Doors &amp; Professional Installation Available.</v>
      </c>
      <c r="D1947" s="3" t="s">
        <v>9</v>
      </c>
      <c r="E1947" s="3" t="s">
        <v>6012</v>
      </c>
      <c r="F1947" s="3" t="str">
        <f>"812-448-3326"</f>
        <v>812-448-3326</v>
      </c>
      <c r="G1947" s="3">
        <v>2359</v>
      </c>
      <c r="H1947" s="3" t="s">
        <v>631</v>
      </c>
    </row>
    <row r="1948" spans="1:8" ht="26.25" x14ac:dyDescent="0.25">
      <c r="A1948" s="3" t="s">
        <v>6013</v>
      </c>
      <c r="B1948" s="3"/>
      <c r="C1948" s="2"/>
      <c r="D1948" s="3" t="s">
        <v>9</v>
      </c>
      <c r="E1948" s="3" t="s">
        <v>6014</v>
      </c>
      <c r="F1948" s="3" t="str">
        <f>"765-342-2973"</f>
        <v>765-342-2973</v>
      </c>
      <c r="G1948" s="3">
        <v>112511</v>
      </c>
      <c r="H1948" s="3" t="s">
        <v>2267</v>
      </c>
    </row>
    <row r="1949" spans="1:8" ht="64.5" x14ac:dyDescent="0.25">
      <c r="A1949" s="3" t="s">
        <v>6015</v>
      </c>
      <c r="B1949" s="3"/>
      <c r="C1949" s="3" t="str">
        <f>"Telecommunications (voice &amp; data) consulting, brokerage, and service management where the customer is not charged for the consultation and we provide multiple service provider price quotes."</f>
        <v>Telecommunications (voice &amp; data) consulting, brokerage, and service management where the customer is not charged for the consultation and we provide multiple service provider price quotes.</v>
      </c>
      <c r="D1949" s="3" t="s">
        <v>9</v>
      </c>
      <c r="E1949" s="3" t="s">
        <v>6016</v>
      </c>
      <c r="F1949" s="3" t="str">
        <f>"260-918-4162"</f>
        <v>260-918-4162</v>
      </c>
      <c r="G1949" s="3">
        <v>517310</v>
      </c>
      <c r="H1949" s="3" t="s">
        <v>540</v>
      </c>
    </row>
    <row r="1950" spans="1:8" ht="77.25" x14ac:dyDescent="0.25">
      <c r="A1950" s="3" t="s">
        <v>6017</v>
      </c>
      <c r="B1950" s="3"/>
      <c r="C1950" s="3" t="str">
        <f>"A service that assists in maintaining and organizing work environments and business records. The service lines include hands-on assistance, training, and consulting in time management, de-cluttering work space and file systems."</f>
        <v>A service that assists in maintaining and organizing work environments and business records. The service lines include hands-on assistance, training, and consulting in time management, de-cluttering work space and file systems.</v>
      </c>
      <c r="D1950" s="3" t="s">
        <v>9</v>
      </c>
      <c r="E1950" s="3" t="s">
        <v>6018</v>
      </c>
      <c r="F1950" s="3" t="str">
        <f>"765 418 1223"</f>
        <v>765 418 1223</v>
      </c>
      <c r="G1950" s="3">
        <v>541990</v>
      </c>
      <c r="H1950" s="3" t="s">
        <v>378</v>
      </c>
    </row>
    <row r="1951" spans="1:8" ht="26.25" x14ac:dyDescent="0.25">
      <c r="A1951" s="3" t="s">
        <v>6019</v>
      </c>
      <c r="B1951" s="3"/>
      <c r="C1951" s="3" t="str">
        <f>"engineering services"</f>
        <v>engineering services</v>
      </c>
      <c r="D1951" s="3" t="s">
        <v>9</v>
      </c>
      <c r="E1951" s="3" t="s">
        <v>46</v>
      </c>
      <c r="F1951" s="3" t="str">
        <f>"(317) 258-7854"</f>
        <v>(317) 258-7854</v>
      </c>
      <c r="G1951" s="3">
        <v>541330</v>
      </c>
      <c r="H1951" s="3" t="s">
        <v>82</v>
      </c>
    </row>
    <row r="1952" spans="1:8" ht="39" x14ac:dyDescent="0.25">
      <c r="A1952" s="3" t="s">
        <v>6020</v>
      </c>
      <c r="B1952" s="3"/>
      <c r="C1952" s="3" t="str">
        <f>"stare climbs, lifts, ramping systems, dorable medical equiptment parts and repairs"</f>
        <v>stare climbs, lifts, ramping systems, dorable medical equiptment parts and repairs</v>
      </c>
      <c r="D1952" s="3" t="s">
        <v>6021</v>
      </c>
      <c r="E1952" s="3" t="s">
        <v>46</v>
      </c>
      <c r="F1952" s="3" t="str">
        <f>"5722337918"</f>
        <v>5722337918</v>
      </c>
      <c r="G1952" s="3">
        <v>339112</v>
      </c>
      <c r="H1952" s="3" t="s">
        <v>6022</v>
      </c>
    </row>
    <row r="1953" spans="1:8" ht="26.25" x14ac:dyDescent="0.25">
      <c r="A1953" s="3" t="s">
        <v>6023</v>
      </c>
      <c r="B1953" s="3"/>
      <c r="C1953" s="3" t="str">
        <f>"Ground cover, mulch, copples and boulders."</f>
        <v>Ground cover, mulch, copples and boulders.</v>
      </c>
      <c r="D1953" s="3" t="s">
        <v>9</v>
      </c>
      <c r="E1953" s="3" t="s">
        <v>46</v>
      </c>
      <c r="F1953" s="3" t="str">
        <f>"1-219-462-4055"</f>
        <v>1-219-462-4055</v>
      </c>
      <c r="G1953" s="3">
        <v>23541</v>
      </c>
      <c r="H1953" s="3" t="s">
        <v>4098</v>
      </c>
    </row>
    <row r="1954" spans="1:8" ht="51.75" x14ac:dyDescent="0.25">
      <c r="A1954" s="3" t="s">
        <v>6024</v>
      </c>
      <c r="B1954" s="3"/>
      <c r="C1954" s="3" t="str">
        <f>"CCHR is a construction and home remodeling company servicing the greater Indianapolis and Central Indiana area for over 20 years."</f>
        <v>CCHR is a construction and home remodeling company servicing the greater Indianapolis and Central Indiana area for over 20 years.</v>
      </c>
      <c r="D1954" s="3" t="s">
        <v>6025</v>
      </c>
      <c r="E1954" s="3" t="s">
        <v>6026</v>
      </c>
      <c r="F1954" s="3" t="str">
        <f>"3176382563"</f>
        <v>3176382563</v>
      </c>
      <c r="G1954" s="3">
        <v>236118</v>
      </c>
      <c r="H1954" s="3" t="s">
        <v>465</v>
      </c>
    </row>
    <row r="1955" spans="1:8" ht="64.5" x14ac:dyDescent="0.25">
      <c r="A1955" s="3" t="s">
        <v>6027</v>
      </c>
      <c r="B1955" s="3"/>
      <c r="C1955" s="3" t="str">
        <f>"Machine Shop, CNC machining: mill, turning, wire edm; Fabrication, weldments, fixtures, repair, installation assistance; Tool &amp; Die design, build, service; Special Machinery, design, build, service; ,"</f>
        <v>Machine Shop, CNC machining: mill, turning, wire edm; Fabrication, weldments, fixtures, repair, installation assistance; Tool &amp; Die design, build, service; Special Machinery, design, build, service; ,</v>
      </c>
      <c r="D1955" s="3" t="s">
        <v>6028</v>
      </c>
      <c r="E1955" s="3" t="s">
        <v>6029</v>
      </c>
      <c r="F1955" s="3" t="str">
        <f>"812-273-3272"</f>
        <v>812-273-3272</v>
      </c>
      <c r="G1955" s="3">
        <v>332710</v>
      </c>
      <c r="H1955" s="3" t="s">
        <v>387</v>
      </c>
    </row>
    <row r="1956" spans="1:8" ht="51.75" x14ac:dyDescent="0.25">
      <c r="A1956" s="3" t="s">
        <v>6030</v>
      </c>
      <c r="B1956" s="3"/>
      <c r="C1956" s="3" t="str">
        <f>"Garden supplies, including flowers, trees, shrubs, perennials, mulch, pond supplies, flower pots, and other supplies related to gardening."</f>
        <v>Garden supplies, including flowers, trees, shrubs, perennials, mulch, pond supplies, flower pots, and other supplies related to gardening.</v>
      </c>
      <c r="D1956" s="3" t="s">
        <v>9</v>
      </c>
      <c r="E1956" s="3" t="s">
        <v>46</v>
      </c>
      <c r="F1956" s="3" t="str">
        <f>"812-265-1064"</f>
        <v>812-265-1064</v>
      </c>
      <c r="G1956" s="3">
        <v>1114</v>
      </c>
      <c r="H1956" s="3" t="s">
        <v>3283</v>
      </c>
    </row>
    <row r="1957" spans="1:8" ht="26.25" x14ac:dyDescent="0.25">
      <c r="A1957" s="3" t="s">
        <v>6031</v>
      </c>
      <c r="B1957" s="3"/>
      <c r="C1957" s="3" t="str">
        <f>"A clinical research company"</f>
        <v>A clinical research company</v>
      </c>
      <c r="D1957" s="3" t="s">
        <v>6032</v>
      </c>
      <c r="E1957" s="3" t="s">
        <v>6033</v>
      </c>
      <c r="F1957" s="3" t="str">
        <f>"812-234-4899"</f>
        <v>812-234-4899</v>
      </c>
      <c r="G1957" s="3">
        <v>621112</v>
      </c>
      <c r="H1957" s="3" t="s">
        <v>1112</v>
      </c>
    </row>
    <row r="1958" spans="1:8" ht="39" x14ac:dyDescent="0.25">
      <c r="A1958" s="3" t="s">
        <v>6034</v>
      </c>
      <c r="B1958" s="3"/>
      <c r="C1958" s="3" t="str">
        <f>"Carpet, ceramic, hardwood, and other flooring, blinds and custom window treatments, framing, and artwork."</f>
        <v>Carpet, ceramic, hardwood, and other flooring, blinds and custom window treatments, framing, and artwork.</v>
      </c>
      <c r="D1958" s="3" t="s">
        <v>9</v>
      </c>
      <c r="E1958" s="3" t="s">
        <v>6035</v>
      </c>
      <c r="F1958" s="3" t="str">
        <f>"765-463-3223"</f>
        <v>765-463-3223</v>
      </c>
      <c r="G1958" s="3">
        <v>4422</v>
      </c>
      <c r="H1958" s="3" t="s">
        <v>6036</v>
      </c>
    </row>
    <row r="1959" spans="1:8" ht="204.75" x14ac:dyDescent="0.25">
      <c r="A1959" s="3" t="s">
        <v>6037</v>
      </c>
      <c r="B1959" s="3"/>
      <c r="C1959" s="3" t="s">
        <v>6038</v>
      </c>
      <c r="D1959" s="3" t="s">
        <v>6039</v>
      </c>
      <c r="E1959" s="3" t="s">
        <v>6040</v>
      </c>
      <c r="F1959" s="3" t="str">
        <f>"812-378-0615"</f>
        <v>812-378-0615</v>
      </c>
      <c r="G1959" s="3">
        <v>621999</v>
      </c>
      <c r="H1959" s="3" t="s">
        <v>3480</v>
      </c>
    </row>
    <row r="1960" spans="1:8" ht="26.25" x14ac:dyDescent="0.25">
      <c r="A1960" s="3" t="s">
        <v>6041</v>
      </c>
      <c r="B1960" s="3"/>
      <c r="C1960" s="3" t="str">
        <f>"We build custom laminate cabinets and countertops"</f>
        <v>We build custom laminate cabinets and countertops</v>
      </c>
      <c r="D1960" s="3" t="s">
        <v>6042</v>
      </c>
      <c r="E1960" s="3" t="s">
        <v>6043</v>
      </c>
      <c r="F1960" s="3" t="str">
        <f>"765-828-1900"</f>
        <v>765-828-1900</v>
      </c>
      <c r="G1960" s="3">
        <v>337110</v>
      </c>
      <c r="H1960" s="3" t="s">
        <v>6044</v>
      </c>
    </row>
    <row r="1961" spans="1:8" ht="179.25" x14ac:dyDescent="0.25">
      <c r="A1961" s="3" t="s">
        <v>6045</v>
      </c>
      <c r="B1961" s="3"/>
      <c r="C1961" s="3" t="s">
        <v>6046</v>
      </c>
      <c r="D1961" s="3" t="s">
        <v>6047</v>
      </c>
      <c r="E1961" s="3" t="s">
        <v>6048</v>
      </c>
      <c r="F1961" s="3" t="str">
        <f>"3174094430"</f>
        <v>3174094430</v>
      </c>
      <c r="G1961" s="3">
        <v>611710</v>
      </c>
      <c r="H1961" s="3" t="s">
        <v>508</v>
      </c>
    </row>
    <row r="1962" spans="1:8" ht="64.5" x14ac:dyDescent="0.25">
      <c r="A1962" s="3" t="s">
        <v>6049</v>
      </c>
      <c r="B1962" s="3"/>
      <c r="C1962" s="3" t="str">
        <f>"Video Production and editing. (promovideos,comercials, special events) Photos to video and DVD. Home movie transfer to dvd. Dvd duplication. International convertions"</f>
        <v>Video Production and editing. (promovideos,comercials, special events) Photos to video and DVD. Home movie transfer to dvd. Dvd duplication. International convertions</v>
      </c>
      <c r="D1962" s="3" t="s">
        <v>6050</v>
      </c>
      <c r="E1962" s="3" t="s">
        <v>6051</v>
      </c>
      <c r="F1962" s="3" t="str">
        <f>"(812)490-2929"</f>
        <v>(812)490-2929</v>
      </c>
      <c r="G1962" s="3">
        <v>512110</v>
      </c>
      <c r="H1962" s="3" t="s">
        <v>406</v>
      </c>
    </row>
    <row r="1963" spans="1:8" ht="115.5" x14ac:dyDescent="0.25">
      <c r="A1963" s="3" t="s">
        <v>6052</v>
      </c>
      <c r="B1963" s="3"/>
      <c r="C1963" s="3" t="s">
        <v>6053</v>
      </c>
      <c r="D1963" s="3" t="s">
        <v>6054</v>
      </c>
      <c r="E1963" s="3" t="s">
        <v>6055</v>
      </c>
      <c r="F1963" s="3" t="str">
        <f>"317-396-4605"</f>
        <v>317-396-4605</v>
      </c>
      <c r="G1963" s="3">
        <v>541519</v>
      </c>
      <c r="H1963" s="3" t="s">
        <v>898</v>
      </c>
    </row>
    <row r="1964" spans="1:8" ht="153.75" x14ac:dyDescent="0.25">
      <c r="A1964" s="3" t="s">
        <v>6056</v>
      </c>
      <c r="B1964" s="3"/>
      <c r="C1964" s="3" t="s">
        <v>6057</v>
      </c>
      <c r="D1964" s="3" t="s">
        <v>9</v>
      </c>
      <c r="E1964" s="3" t="s">
        <v>6058</v>
      </c>
      <c r="F1964" s="3" t="str">
        <f>"(317)2447156"</f>
        <v>(317)2447156</v>
      </c>
      <c r="G1964" s="3">
        <v>541990</v>
      </c>
      <c r="H1964" s="3" t="s">
        <v>378</v>
      </c>
    </row>
    <row r="1965" spans="1:8" ht="39" x14ac:dyDescent="0.25">
      <c r="A1965" s="3" t="s">
        <v>6059</v>
      </c>
      <c r="B1965" s="3"/>
      <c r="C1965" s="3" t="str">
        <f>"Recreational vehicle, travel trailer, po-up camper, transit bus and modular housing manufacturer."</f>
        <v>Recreational vehicle, travel trailer, po-up camper, transit bus and modular housing manufacturer.</v>
      </c>
      <c r="D1965" s="3" t="s">
        <v>6060</v>
      </c>
      <c r="E1965" s="3" t="s">
        <v>46</v>
      </c>
      <c r="F1965" s="3" t="str">
        <f>"574-825-5821"</f>
        <v>574-825-5821</v>
      </c>
      <c r="G1965" s="3">
        <v>336211</v>
      </c>
      <c r="H1965" s="3" t="s">
        <v>6061</v>
      </c>
    </row>
    <row r="1966" spans="1:8" ht="64.5" x14ac:dyDescent="0.25">
      <c r="A1966" s="3" t="s">
        <v>6062</v>
      </c>
      <c r="B1966" s="3"/>
      <c r="C1966" s="3" t="str">
        <f>"Landscape care and maintenance services specializing in grass cutting foreclosed and abandoned properties, vacant lots, not excluding commercial property and debris hauling/ disposal."</f>
        <v>Landscape care and maintenance services specializing in grass cutting foreclosed and abandoned properties, vacant lots, not excluding commercial property and debris hauling/ disposal.</v>
      </c>
      <c r="D1966" s="3" t="s">
        <v>9</v>
      </c>
      <c r="E1966" s="3" t="s">
        <v>6063</v>
      </c>
      <c r="F1966" s="3" t="str">
        <f>"317-710-2825"</f>
        <v>317-710-2825</v>
      </c>
      <c r="G1966" s="3">
        <v>561730</v>
      </c>
      <c r="H1966" s="3" t="s">
        <v>65</v>
      </c>
    </row>
    <row r="1967" spans="1:8" ht="51.75" x14ac:dyDescent="0.25">
      <c r="A1967" s="3" t="s">
        <v>6064</v>
      </c>
      <c r="B1967" s="3"/>
      <c r="C1967" s="3" t="str">
        <f>"Minority owned and operated plumbing services. No job too small or too big! Everything from drain cleaning to new builds."</f>
        <v>Minority owned and operated plumbing services. No job too small or too big! Everything from drain cleaning to new builds.</v>
      </c>
      <c r="D1967" s="3" t="s">
        <v>9</v>
      </c>
      <c r="E1967" s="3" t="s">
        <v>6065</v>
      </c>
      <c r="F1967" s="3" t="str">
        <f>"317-328-1029"</f>
        <v>317-328-1029</v>
      </c>
      <c r="G1967" s="3">
        <v>238220</v>
      </c>
      <c r="H1967" s="3" t="s">
        <v>348</v>
      </c>
    </row>
    <row r="1968" spans="1:8" ht="77.25" x14ac:dyDescent="0.25">
      <c r="A1968" s="3" t="s">
        <v>6066</v>
      </c>
      <c r="B1968" s="3"/>
      <c r="C1968" s="3" t="str">
        <f>"Buying properties that need improvement for Indiana residents to rent. Section 8 clients are welcome. We service Marion and Hamilton counties. We also represent businesses and individuals in buying and selling residential real estate.."</f>
        <v>Buying properties that need improvement for Indiana residents to rent. Section 8 clients are welcome. We service Marion and Hamilton counties. We also represent businesses and individuals in buying and selling residential real estate..</v>
      </c>
      <c r="D1968" s="3" t="s">
        <v>6067</v>
      </c>
      <c r="E1968" s="3" t="s">
        <v>6068</v>
      </c>
      <c r="F1968" s="3" t="str">
        <f>"3172133278"</f>
        <v>3172133278</v>
      </c>
      <c r="G1968" s="3">
        <v>531210</v>
      </c>
      <c r="H1968" s="3" t="s">
        <v>1101</v>
      </c>
    </row>
    <row r="1969" spans="1:8" ht="141" x14ac:dyDescent="0.25">
      <c r="A1969" s="3" t="s">
        <v>6069</v>
      </c>
      <c r="B1969" s="3"/>
      <c r="C1969" s="3" t="s">
        <v>6070</v>
      </c>
      <c r="D1969" s="3" t="s">
        <v>6071</v>
      </c>
      <c r="E1969" s="3" t="s">
        <v>6072</v>
      </c>
      <c r="F1969" s="3" t="str">
        <f>"317 564 4900"</f>
        <v>317 564 4900</v>
      </c>
      <c r="G1969" s="3">
        <v>811212</v>
      </c>
      <c r="H1969" s="3" t="s">
        <v>1632</v>
      </c>
    </row>
    <row r="1970" spans="1:8" ht="255.75" x14ac:dyDescent="0.25">
      <c r="A1970" s="3" t="s">
        <v>6073</v>
      </c>
      <c r="B1970" s="3"/>
      <c r="C1970" s="3" t="s">
        <v>6074</v>
      </c>
      <c r="D1970" s="3" t="s">
        <v>6075</v>
      </c>
      <c r="E1970" s="3" t="s">
        <v>6076</v>
      </c>
      <c r="F1970" s="3" t="str">
        <f>"317-340-9951"</f>
        <v>317-340-9951</v>
      </c>
      <c r="G1970" s="3">
        <v>111</v>
      </c>
      <c r="H1970" s="3" t="s">
        <v>6077</v>
      </c>
    </row>
    <row r="1971" spans="1:8" x14ac:dyDescent="0.25">
      <c r="A1971" s="3" t="s">
        <v>6078</v>
      </c>
      <c r="B1971" s="3"/>
      <c r="C1971" s="3" t="str">
        <f>" "</f>
        <v xml:space="preserve"> </v>
      </c>
      <c r="D1971" s="3" t="s">
        <v>9</v>
      </c>
      <c r="E1971" s="3" t="s">
        <v>46</v>
      </c>
      <c r="F1971" s="2"/>
      <c r="G1971" s="3">
        <v>336340</v>
      </c>
      <c r="H1971" s="3" t="s">
        <v>6079</v>
      </c>
    </row>
    <row r="1972" spans="1:8" ht="51.75" x14ac:dyDescent="0.25">
      <c r="A1972" s="3" t="s">
        <v>6080</v>
      </c>
      <c r="B1972" s="3"/>
      <c r="C1972" s="3" t="str">
        <f>"Sales, service, and installation of overhead doors, dock equipment, and box trucks for commercial, residential, and industrial applications."</f>
        <v>Sales, service, and installation of overhead doors, dock equipment, and box trucks for commercial, residential, and industrial applications.</v>
      </c>
      <c r="D1972" s="3" t="s">
        <v>6081</v>
      </c>
      <c r="E1972" s="3" t="s">
        <v>6082</v>
      </c>
      <c r="F1972" s="3" t="str">
        <f>"574-753-8557"</f>
        <v>574-753-8557</v>
      </c>
      <c r="G1972" s="3">
        <v>23599</v>
      </c>
      <c r="H1972" s="3" t="s">
        <v>248</v>
      </c>
    </row>
    <row r="1973" spans="1:8" ht="51.75" x14ac:dyDescent="0.25">
      <c r="A1973" s="3" t="s">
        <v>6083</v>
      </c>
      <c r="B1973" s="3"/>
      <c r="C1973" s="3" t="str">
        <f>"We sell, service, repair, and install overhead doors, automatic door operators, overhead truck doors, and dock equipment and levelers."</f>
        <v>We sell, service, repair, and install overhead doors, automatic door operators, overhead truck doors, and dock equipment and levelers.</v>
      </c>
      <c r="D1973" s="3" t="s">
        <v>6081</v>
      </c>
      <c r="E1973" s="3" t="s">
        <v>6084</v>
      </c>
      <c r="F1973" s="3" t="str">
        <f>"574-753-8557"</f>
        <v>574-753-8557</v>
      </c>
      <c r="G1973" s="3">
        <v>2383</v>
      </c>
      <c r="H1973" s="3" t="s">
        <v>3448</v>
      </c>
    </row>
    <row r="1974" spans="1:8" ht="26.25" x14ac:dyDescent="0.25">
      <c r="A1974" s="3" t="s">
        <v>6085</v>
      </c>
      <c r="B1974" s="3"/>
      <c r="C1974" s="3" t="str">
        <f>" "</f>
        <v xml:space="preserve"> </v>
      </c>
      <c r="D1974" s="3" t="s">
        <v>9</v>
      </c>
      <c r="E1974" s="3" t="s">
        <v>46</v>
      </c>
      <c r="F1974" s="2"/>
      <c r="G1974" s="3">
        <v>541611</v>
      </c>
      <c r="H1974" s="3" t="s">
        <v>278</v>
      </c>
    </row>
    <row r="1975" spans="1:8" ht="39" x14ac:dyDescent="0.25">
      <c r="A1975" s="3" t="s">
        <v>6086</v>
      </c>
      <c r="B1975" s="3"/>
      <c r="C1975" s="3" t="str">
        <f>"Cole Bros. Water with Natural Calcium, bottled at the source in Peru, IN. We are a manufacturer of bottled water."</f>
        <v>Cole Bros. Water with Natural Calcium, bottled at the source in Peru, IN. We are a manufacturer of bottled water.</v>
      </c>
      <c r="D1975" s="3" t="s">
        <v>6087</v>
      </c>
      <c r="E1975" s="3" t="s">
        <v>6088</v>
      </c>
      <c r="F1975" s="3" t="str">
        <f>"8007072653"</f>
        <v>8007072653</v>
      </c>
      <c r="G1975" s="3">
        <v>312112</v>
      </c>
      <c r="H1975" s="3" t="s">
        <v>2282</v>
      </c>
    </row>
    <row r="1976" spans="1:8" ht="51.75" x14ac:dyDescent="0.25">
      <c r="A1976" s="3" t="s">
        <v>6089</v>
      </c>
      <c r="B1976" s="3"/>
      <c r="C1976" s="3" t="str">
        <f>"A 29 year old family and woman owned business located in Indianapolis, Indiana doing business in the United States and globally."</f>
        <v>A 29 year old family and woman owned business located in Indianapolis, Indiana doing business in the United States and globally.</v>
      </c>
      <c r="D1976" s="3" t="s">
        <v>6090</v>
      </c>
      <c r="E1976" s="3" t="s">
        <v>6091</v>
      </c>
      <c r="F1976" s="3" t="str">
        <f>"317-677-7171"</f>
        <v>317-677-7171</v>
      </c>
      <c r="G1976" s="3">
        <v>325</v>
      </c>
      <c r="H1976" s="3" t="s">
        <v>4643</v>
      </c>
    </row>
    <row r="1977" spans="1:8" ht="64.5" x14ac:dyDescent="0.25">
      <c r="A1977" s="3" t="s">
        <v>6092</v>
      </c>
      <c r="B1977" s="3"/>
      <c r="C1977" s="3" t="str">
        <f>"Provide Case Management Services to vulnerable populations, consultation in preparing grant proposals and facilitate trainings in organizational, staff and program development"</f>
        <v>Provide Case Management Services to vulnerable populations, consultation in preparing grant proposals and facilitate trainings in organizational, staff and program development</v>
      </c>
      <c r="D1977" s="3" t="s">
        <v>9</v>
      </c>
      <c r="E1977" s="3" t="s">
        <v>6093</v>
      </c>
      <c r="F1977" s="3" t="str">
        <f>"317-547-4212"</f>
        <v>317-547-4212</v>
      </c>
      <c r="G1977" s="3">
        <v>62412</v>
      </c>
      <c r="H1977" s="3" t="s">
        <v>22</v>
      </c>
    </row>
    <row r="1978" spans="1:8" ht="141" x14ac:dyDescent="0.25">
      <c r="A1978" s="3" t="s">
        <v>6094</v>
      </c>
      <c r="B1978" s="3"/>
      <c r="C1978" s="3" t="s">
        <v>6095</v>
      </c>
      <c r="D1978" s="3" t="s">
        <v>6096</v>
      </c>
      <c r="E1978" s="3" t="s">
        <v>6097</v>
      </c>
      <c r="F1978" s="3" t="str">
        <f>"317-920-1080"</f>
        <v>317-920-1080</v>
      </c>
      <c r="G1978" s="3">
        <v>541110</v>
      </c>
      <c r="H1978" s="3" t="s">
        <v>2978</v>
      </c>
    </row>
    <row r="1979" spans="1:8" ht="26.25" x14ac:dyDescent="0.25">
      <c r="A1979" s="3" t="s">
        <v>6098</v>
      </c>
      <c r="B1979" s="3"/>
      <c r="C1979" s="3" t="str">
        <f>"Commerical and industrial mechanical insulation."</f>
        <v>Commerical and industrial mechanical insulation.</v>
      </c>
      <c r="D1979" s="3" t="s">
        <v>9</v>
      </c>
      <c r="E1979" s="3" t="s">
        <v>46</v>
      </c>
      <c r="F1979" s="3" t="str">
        <f>"219-929-6492"</f>
        <v>219-929-6492</v>
      </c>
      <c r="G1979" s="3">
        <v>2359</v>
      </c>
      <c r="H1979" s="3" t="s">
        <v>631</v>
      </c>
    </row>
    <row r="1980" spans="1:8" ht="141" x14ac:dyDescent="0.25">
      <c r="A1980" s="3" t="s">
        <v>6099</v>
      </c>
      <c r="B1980" s="3"/>
      <c r="C1980" s="3" t="s">
        <v>6100</v>
      </c>
      <c r="D1980" s="3" t="s">
        <v>6101</v>
      </c>
      <c r="E1980" s="3" t="s">
        <v>6102</v>
      </c>
      <c r="F1980" s="3" t="str">
        <f>"317-571-0051"</f>
        <v>317-571-0051</v>
      </c>
      <c r="G1980" s="3">
        <v>54182</v>
      </c>
      <c r="H1980" s="3" t="s">
        <v>795</v>
      </c>
    </row>
    <row r="1981" spans="1:8" ht="51.75" x14ac:dyDescent="0.25">
      <c r="A1981" s="3" t="s">
        <v>6103</v>
      </c>
      <c r="B1981" s="3"/>
      <c r="C1981" s="3" t="str">
        <f>"We are a small masonry restoration contractor. We focus on tuckpointing, bricklaying, lintel repair, sealants, and painting."</f>
        <v>We are a small masonry restoration contractor. We focus on tuckpointing, bricklaying, lintel repair, sealants, and painting.</v>
      </c>
      <c r="D1981" s="3" t="s">
        <v>9</v>
      </c>
      <c r="E1981" s="3" t="s">
        <v>6104</v>
      </c>
      <c r="F1981" s="2"/>
      <c r="G1981" s="3">
        <v>23541</v>
      </c>
      <c r="H1981" s="3" t="s">
        <v>4098</v>
      </c>
    </row>
    <row r="1982" spans="1:8" ht="306.75" x14ac:dyDescent="0.25">
      <c r="A1982" s="3" t="s">
        <v>6105</v>
      </c>
      <c r="B1982" s="3"/>
      <c r="C1982" s="3" t="s">
        <v>6106</v>
      </c>
      <c r="D1982" s="3" t="s">
        <v>6107</v>
      </c>
      <c r="E1982" s="3" t="s">
        <v>6108</v>
      </c>
      <c r="F1982" s="3" t="str">
        <f>"3174368499"</f>
        <v>3174368499</v>
      </c>
      <c r="G1982" s="3">
        <v>541820</v>
      </c>
      <c r="H1982" s="3" t="s">
        <v>795</v>
      </c>
    </row>
    <row r="1983" spans="1:8" ht="77.25" x14ac:dyDescent="0.25">
      <c r="A1983" s="3" t="s">
        <v>6109</v>
      </c>
      <c r="B1983" s="3"/>
      <c r="C1983" s="3" t="str">
        <f>"Hart Consulting provides assistance with grantwriting, strategic planning, team building, ADA compliance, and other management consulting services. Familiar with mental health and rehabilitation services, policies, and legislation."</f>
        <v>Hart Consulting provides assistance with grantwriting, strategic planning, team building, ADA compliance, and other management consulting services. Familiar with mental health and rehabilitation services, policies, and legislation.</v>
      </c>
      <c r="D1983" s="3" t="s">
        <v>9</v>
      </c>
      <c r="E1983" s="3" t="s">
        <v>6110</v>
      </c>
      <c r="F1983" s="3" t="str">
        <f>"(317) 919-4629"</f>
        <v>(317) 919-4629</v>
      </c>
      <c r="G1983" s="3">
        <v>54161</v>
      </c>
      <c r="H1983" s="3" t="s">
        <v>1221</v>
      </c>
    </row>
    <row r="1984" spans="1:8" ht="102.75" x14ac:dyDescent="0.25">
      <c r="A1984" s="3" t="s">
        <v>6111</v>
      </c>
      <c r="B1984" s="3"/>
      <c r="C1984" s="3" t="s">
        <v>6112</v>
      </c>
      <c r="D1984" s="3" t="s">
        <v>9</v>
      </c>
      <c r="E1984" s="3" t="s">
        <v>46</v>
      </c>
      <c r="F1984" s="2"/>
      <c r="G1984" s="3">
        <v>561492</v>
      </c>
      <c r="H1984" s="3" t="s">
        <v>904</v>
      </c>
    </row>
    <row r="1985" spans="1:8" ht="153.75" x14ac:dyDescent="0.25">
      <c r="A1985" s="3" t="s">
        <v>6113</v>
      </c>
      <c r="B1985" s="3"/>
      <c r="C1985" s="3" t="s">
        <v>6114</v>
      </c>
      <c r="D1985" s="3" t="s">
        <v>6115</v>
      </c>
      <c r="E1985" s="3" t="s">
        <v>6116</v>
      </c>
      <c r="F1985" s="3" t="str">
        <f>"317-254-1001"</f>
        <v>317-254-1001</v>
      </c>
      <c r="G1985" s="3">
        <v>332911</v>
      </c>
      <c r="H1985" s="3" t="s">
        <v>6117</v>
      </c>
    </row>
    <row r="1986" spans="1:8" ht="39" x14ac:dyDescent="0.25">
      <c r="A1986" s="3" t="s">
        <v>6118</v>
      </c>
      <c r="B1986" s="3"/>
      <c r="C1986" s="3" t="str">
        <f>"Book publishing, fiction, non fiction, marketing and consulting services, sales printing etc."</f>
        <v>Book publishing, fiction, non fiction, marketing and consulting services, sales printing etc.</v>
      </c>
      <c r="D1986" s="3" t="s">
        <v>6119</v>
      </c>
      <c r="E1986" s="3" t="s">
        <v>6120</v>
      </c>
      <c r="F1986" s="3" t="str">
        <f>"888-761-5069"</f>
        <v>888-761-5069</v>
      </c>
      <c r="G1986" s="3">
        <v>511130</v>
      </c>
      <c r="H1986" s="3" t="s">
        <v>3146</v>
      </c>
    </row>
    <row r="1987" spans="1:8" x14ac:dyDescent="0.25">
      <c r="A1987" s="3" t="s">
        <v>6121</v>
      </c>
      <c r="B1987" s="3"/>
      <c r="C1987" s="3" t="str">
        <f>" "</f>
        <v xml:space="preserve"> </v>
      </c>
      <c r="D1987" s="3" t="s">
        <v>9</v>
      </c>
      <c r="E1987" s="3" t="s">
        <v>46</v>
      </c>
      <c r="F1987" s="2"/>
      <c r="G1987" s="3">
        <v>522291</v>
      </c>
      <c r="H1987" s="3" t="s">
        <v>1966</v>
      </c>
    </row>
    <row r="1988" spans="1:8" ht="141" x14ac:dyDescent="0.25">
      <c r="A1988" s="3" t="s">
        <v>6122</v>
      </c>
      <c r="B1988" s="3"/>
      <c r="C1988" s="3" t="s">
        <v>6123</v>
      </c>
      <c r="D1988" s="3" t="s">
        <v>6124</v>
      </c>
      <c r="E1988" s="3" t="s">
        <v>6125</v>
      </c>
      <c r="F1988" s="3" t="str">
        <f>"(765) 563-3483"</f>
        <v>(765) 563-3483</v>
      </c>
      <c r="G1988" s="3">
        <v>54192</v>
      </c>
      <c r="H1988" s="3" t="s">
        <v>2613</v>
      </c>
    </row>
    <row r="1989" spans="1:8" ht="64.5" x14ac:dyDescent="0.25">
      <c r="A1989" s="3" t="s">
        <v>6126</v>
      </c>
      <c r="B1989" s="3"/>
      <c r="C1989" s="3" t="str">
        <f>"Collins Engineers is a civil, structural, water resources, construction management and underwater engineering firm etablished to provide engineering services to private and public clients."</f>
        <v>Collins Engineers is a civil, structural, water resources, construction management and underwater engineering firm etablished to provide engineering services to private and public clients.</v>
      </c>
      <c r="D1989" s="3" t="s">
        <v>6127</v>
      </c>
      <c r="E1989" s="3" t="s">
        <v>6128</v>
      </c>
      <c r="F1989" s="3" t="str">
        <f>"219-921-0482"</f>
        <v>219-921-0482</v>
      </c>
      <c r="G1989" s="3">
        <v>541330</v>
      </c>
      <c r="H1989" s="3" t="s">
        <v>82</v>
      </c>
    </row>
    <row r="1990" spans="1:8" ht="39" x14ac:dyDescent="0.25">
      <c r="A1990" s="3" t="s">
        <v>6129</v>
      </c>
      <c r="B1990" s="3"/>
      <c r="C1990" s="3" t="str">
        <f>"Electrical contractor, specializing in emergency power systems and related electrical installations."</f>
        <v>Electrical contractor, specializing in emergency power systems and related electrical installations.</v>
      </c>
      <c r="D1990" s="3" t="s">
        <v>9</v>
      </c>
      <c r="E1990" s="3" t="s">
        <v>6130</v>
      </c>
      <c r="F1990" s="3" t="str">
        <f>"812 926 4599"</f>
        <v>812 926 4599</v>
      </c>
      <c r="G1990" s="3">
        <v>238210</v>
      </c>
      <c r="H1990" s="3" t="s">
        <v>306</v>
      </c>
    </row>
    <row r="1991" spans="1:8" ht="26.25" x14ac:dyDescent="0.25">
      <c r="A1991" s="3" t="s">
        <v>6131</v>
      </c>
      <c r="B1991" s="3"/>
      <c r="C1991" s="3" t="str">
        <f>"complete automotive collision repair specialists"</f>
        <v>complete automotive collision repair specialists</v>
      </c>
      <c r="D1991" s="3" t="s">
        <v>6132</v>
      </c>
      <c r="E1991" s="3" t="s">
        <v>6133</v>
      </c>
      <c r="F1991" s="3" t="str">
        <f>"765-649-3050"</f>
        <v>765-649-3050</v>
      </c>
      <c r="G1991" s="3">
        <v>811121</v>
      </c>
      <c r="H1991" s="3" t="s">
        <v>1432</v>
      </c>
    </row>
    <row r="1992" spans="1:8" ht="64.5" x14ac:dyDescent="0.25">
      <c r="A1992" s="3" t="s">
        <v>6134</v>
      </c>
      <c r="B1992" s="3"/>
      <c r="C1992" s="3" t="str">
        <f>"Landscape design &amp; installation; commercial &amp; residential landscape maintenance; commercial &amp; residential irrigation installation &amp; service; retail garden center &amp; nursery."</f>
        <v>Landscape design &amp; installation; commercial &amp; residential landscape maintenance; commercial &amp; residential irrigation installation &amp; service; retail garden center &amp; nursery.</v>
      </c>
      <c r="D1992" s="3" t="s">
        <v>9</v>
      </c>
      <c r="E1992" s="3" t="s">
        <v>46</v>
      </c>
      <c r="F1992" s="3" t="str">
        <f>"812-853-6622"</f>
        <v>812-853-6622</v>
      </c>
      <c r="G1992" s="3">
        <v>561790</v>
      </c>
      <c r="H1992" s="3" t="s">
        <v>2113</v>
      </c>
    </row>
    <row r="1993" spans="1:8" ht="102.75" x14ac:dyDescent="0.25">
      <c r="A1993" s="3" t="s">
        <v>6135</v>
      </c>
      <c r="B1993" s="3"/>
      <c r="C1993" s="3" t="s">
        <v>6136</v>
      </c>
      <c r="D1993" s="3" t="s">
        <v>6137</v>
      </c>
      <c r="E1993" s="3" t="s">
        <v>6138</v>
      </c>
      <c r="F1993" s="3" t="str">
        <f>"812-423-1000"</f>
        <v>812-423-1000</v>
      </c>
      <c r="G1993" s="3">
        <v>323110</v>
      </c>
      <c r="H1993" s="3" t="s">
        <v>1900</v>
      </c>
    </row>
    <row r="1994" spans="1:8" ht="39" x14ac:dyDescent="0.25">
      <c r="A1994" s="3" t="s">
        <v>6139</v>
      </c>
      <c r="B1994" s="3"/>
      <c r="C1994" s="3" t="str">
        <f>"Commercial Embroidery Business, Logowear apparel and accessories and promotional products."</f>
        <v>Commercial Embroidery Business, Logowear apparel and accessories and promotional products.</v>
      </c>
      <c r="D1994" s="3" t="s">
        <v>6140</v>
      </c>
      <c r="E1994" s="3" t="s">
        <v>6141</v>
      </c>
      <c r="F1994" s="3" t="str">
        <f>"317-634-0281"</f>
        <v>317-634-0281</v>
      </c>
      <c r="G1994" s="3">
        <v>314999</v>
      </c>
      <c r="H1994" s="3" t="s">
        <v>6142</v>
      </c>
    </row>
    <row r="1995" spans="1:8" ht="51.75" x14ac:dyDescent="0.25">
      <c r="A1995" s="3" t="s">
        <v>6143</v>
      </c>
      <c r="B1995" s="3"/>
      <c r="C1995" s="3" t="str">
        <f>"My business is painting interior and exterior residential and commercial buildings. I also do wallpaper removal, decorative faux finishes and staining."</f>
        <v>My business is painting interior and exterior residential and commercial buildings. I also do wallpaper removal, decorative faux finishes and staining.</v>
      </c>
      <c r="D1995" s="3" t="s">
        <v>9</v>
      </c>
      <c r="E1995" s="3" t="s">
        <v>6144</v>
      </c>
      <c r="F1995" s="3" t="str">
        <f>"574-361-0960"</f>
        <v>574-361-0960</v>
      </c>
      <c r="G1995" s="3">
        <v>23</v>
      </c>
      <c r="H1995" s="3" t="s">
        <v>133</v>
      </c>
    </row>
    <row r="1996" spans="1:8" x14ac:dyDescent="0.25">
      <c r="A1996" s="3" t="s">
        <v>6145</v>
      </c>
      <c r="B1996" s="3"/>
      <c r="C1996" s="3" t="str">
        <f>" "</f>
        <v xml:space="preserve"> </v>
      </c>
      <c r="D1996" s="3" t="s">
        <v>9</v>
      </c>
      <c r="E1996" s="3" t="s">
        <v>46</v>
      </c>
      <c r="F1996" s="2"/>
      <c r="G1996" s="3">
        <v>922160</v>
      </c>
      <c r="H1996" s="3" t="s">
        <v>2246</v>
      </c>
    </row>
    <row r="1997" spans="1:8" ht="77.25" x14ac:dyDescent="0.25">
      <c r="A1997" s="3" t="s">
        <v>6146</v>
      </c>
      <c r="B1997" s="3"/>
      <c r="C1997" s="3" t="str">
        <f>"Air Charter - Part 135 Operation - Based in Columbus, Indiana, only 11 minutes south of Indianapolis. Columbus Airways, Inc. can also arrange for all of your Air Charter needs (Rental Car, Ground Transportation, Catering, Hotel)."</f>
        <v>Air Charter - Part 135 Operation - Based in Columbus, Indiana, only 11 minutes south of Indianapolis. Columbus Airways, Inc. can also arrange for all of your Air Charter needs (Rental Car, Ground Transportation, Catering, Hotel).</v>
      </c>
      <c r="D1997" s="3" t="s">
        <v>9</v>
      </c>
      <c r="E1997" s="3" t="s">
        <v>6147</v>
      </c>
      <c r="F1997" s="3" t="str">
        <f>"812-378-3199"</f>
        <v>812-378-3199</v>
      </c>
      <c r="G1997" s="3">
        <v>481</v>
      </c>
      <c r="H1997" s="3" t="s">
        <v>6148</v>
      </c>
    </row>
    <row r="1998" spans="1:8" ht="39" x14ac:dyDescent="0.25">
      <c r="A1998" s="3" t="s">
        <v>6149</v>
      </c>
      <c r="B1998" s="3"/>
      <c r="C1998" s="3" t="str">
        <f>"Free-standing Outpatient Imaging center offering Open MRI, CT Scans, Ultrasounds, X-rays and Nuclear Medicine tests."</f>
        <v>Free-standing Outpatient Imaging center offering Open MRI, CT Scans, Ultrasounds, X-rays and Nuclear Medicine tests.</v>
      </c>
      <c r="D1998" s="3" t="s">
        <v>6150</v>
      </c>
      <c r="E1998" s="3" t="s">
        <v>6151</v>
      </c>
      <c r="F1998" s="3" t="str">
        <f>"812-376-1000"</f>
        <v>812-376-1000</v>
      </c>
      <c r="G1998" s="3">
        <v>621111</v>
      </c>
      <c r="H1998" s="3" t="s">
        <v>2002</v>
      </c>
    </row>
    <row r="1999" spans="1:8" ht="204.75" x14ac:dyDescent="0.25">
      <c r="A1999" s="3" t="s">
        <v>6152</v>
      </c>
      <c r="B1999" s="3"/>
      <c r="C1999" s="3" t="s">
        <v>6153</v>
      </c>
      <c r="D1999" s="3" t="s">
        <v>6154</v>
      </c>
      <c r="E1999" s="3" t="s">
        <v>6155</v>
      </c>
      <c r="F1999" s="3" t="str">
        <f>"800-229-5116"</f>
        <v>800-229-5116</v>
      </c>
      <c r="G1999" s="3">
        <v>621112</v>
      </c>
      <c r="H1999" s="3" t="s">
        <v>1112</v>
      </c>
    </row>
    <row r="2000" spans="1:8" ht="77.25" x14ac:dyDescent="0.25">
      <c r="A2000" s="3" t="s">
        <v>6156</v>
      </c>
      <c r="B2000" s="3"/>
      <c r="C2000" s="3" t="str">
        <f>"We are a wholesale paint, sundry, cabinet and counter top supplier in Indiana. We supply Porter, Pittsburgh and PPG High Performance Coatings, Bertch and Schmidt cabinets, and laminate, solid surface and granite counter tops."</f>
        <v>We are a wholesale paint, sundry, cabinet and counter top supplier in Indiana. We supply Porter, Pittsburgh and PPG High Performance Coatings, Bertch and Schmidt cabinets, and laminate, solid surface and granite counter tops.</v>
      </c>
      <c r="D2000" s="3" t="s">
        <v>9</v>
      </c>
      <c r="E2000" s="3" t="s">
        <v>6157</v>
      </c>
      <c r="F2000" s="3" t="str">
        <f>"812-375-1118"</f>
        <v>812-375-1118</v>
      </c>
      <c r="G2000" s="3">
        <v>444120</v>
      </c>
      <c r="H2000" s="3" t="s">
        <v>6158</v>
      </c>
    </row>
    <row r="2001" spans="1:8" ht="77.25" x14ac:dyDescent="0.25">
      <c r="A2001" s="3" t="s">
        <v>6159</v>
      </c>
      <c r="B2001" s="3"/>
      <c r="C2001" s="3" t="str">
        <f>"Columbus Regional Hospital (CRH) is a 225-bed not-for-profit, county-owned hospital located in Columbus, Indiana, serving a ten county region of southeastern Indiana by delivering acute care to patients through 35 medical specialties."</f>
        <v>Columbus Regional Hospital (CRH) is a 225-bed not-for-profit, county-owned hospital located in Columbus, Indiana, serving a ten county region of southeastern Indiana by delivering acute care to patients through 35 medical specialties.</v>
      </c>
      <c r="D2001" s="3" t="s">
        <v>6160</v>
      </c>
      <c r="E2001" s="3" t="s">
        <v>6161</v>
      </c>
      <c r="F2001" s="3" t="str">
        <f>"812-376-5056"</f>
        <v>812-376-5056</v>
      </c>
      <c r="G2001" s="3">
        <v>622110</v>
      </c>
      <c r="H2001" s="3" t="s">
        <v>3335</v>
      </c>
    </row>
    <row r="2002" spans="1:8" ht="77.25" x14ac:dyDescent="0.25">
      <c r="A2002" s="3" t="s">
        <v>6162</v>
      </c>
      <c r="B2002" s="3"/>
      <c r="C2002" s="3" t="str">
        <f>"To improve the health and well-being of the people served by Columbus Regional Hospital, and to provide financial support and promote advocacy for the Healthy Communities Initiative through public awareness, philanthropy, and stewardship"</f>
        <v>To improve the health and well-being of the people served by Columbus Regional Hospital, and to provide financial support and promote advocacy for the Healthy Communities Initiative through public awareness, philanthropy, and stewardship</v>
      </c>
      <c r="D2002" s="3" t="s">
        <v>6160</v>
      </c>
      <c r="E2002" s="3" t="s">
        <v>6163</v>
      </c>
      <c r="F2002" s="3" t="str">
        <f>"812-376-5100"</f>
        <v>812-376-5100</v>
      </c>
      <c r="G2002" s="3">
        <v>813219</v>
      </c>
      <c r="H2002" s="3" t="s">
        <v>5949</v>
      </c>
    </row>
    <row r="2003" spans="1:8" ht="51.75" x14ac:dyDescent="0.25">
      <c r="A2003" s="3" t="s">
        <v>6164</v>
      </c>
      <c r="B2003" s="3"/>
      <c r="C2003" s="3" t="str">
        <f>"Tri-axle dump truck hauling. Hauling material such as stone, sand, dirt, asphalt for road construction projects and private building sites, etc.."</f>
        <v>Tri-axle dump truck hauling. Hauling material such as stone, sand, dirt, asphalt for road construction projects and private building sites, etc..</v>
      </c>
      <c r="D2003" s="3" t="s">
        <v>9</v>
      </c>
      <c r="E2003" s="3" t="s">
        <v>6165</v>
      </c>
      <c r="F2003" s="3" t="str">
        <f>"812-376-0532"</f>
        <v>812-376-0532</v>
      </c>
      <c r="G2003" s="3">
        <v>23411</v>
      </c>
      <c r="H2003" s="3" t="s">
        <v>2406</v>
      </c>
    </row>
    <row r="2004" spans="1:8" ht="51.75" x14ac:dyDescent="0.25">
      <c r="A2004" s="3" t="s">
        <v>6166</v>
      </c>
      <c r="B2004" s="3"/>
      <c r="C2004" s="3" t="str">
        <f>"A full service, low voltage contractor specializing in voice and data installation. BICSI registered technicians on staff. Fully insured and provide detail-oriented work."</f>
        <v>A full service, low voltage contractor specializing in voice and data installation. BICSI registered technicians on staff. Fully insured and provide detail-oriented work.</v>
      </c>
      <c r="D2004" s="3" t="s">
        <v>9</v>
      </c>
      <c r="E2004" s="3" t="s">
        <v>6167</v>
      </c>
      <c r="F2004" s="3" t="str">
        <f>"317-780-7436"</f>
        <v>317-780-7436</v>
      </c>
      <c r="G2004" s="3">
        <v>5133</v>
      </c>
      <c r="H2004" s="3" t="s">
        <v>682</v>
      </c>
    </row>
    <row r="2005" spans="1:8" ht="39" x14ac:dyDescent="0.25">
      <c r="A2005" s="3" t="s">
        <v>6168</v>
      </c>
      <c r="B2005" s="3"/>
      <c r="C2005" s="3" t="str">
        <f>"Systems Integrator, Custom Application Developer, Business Intelligence, ERP implementor"</f>
        <v>Systems Integrator, Custom Application Developer, Business Intelligence, ERP implementor</v>
      </c>
      <c r="D2005" s="3" t="s">
        <v>9</v>
      </c>
      <c r="E2005" s="3" t="s">
        <v>6169</v>
      </c>
      <c r="F2005" s="3" t="str">
        <f>"888-810-2893"</f>
        <v>888-810-2893</v>
      </c>
      <c r="G2005" s="3">
        <v>541511</v>
      </c>
      <c r="H2005" s="3" t="s">
        <v>122</v>
      </c>
    </row>
    <row r="2006" spans="1:8" ht="64.5" x14ac:dyDescent="0.25">
      <c r="A2006" s="3" t="s">
        <v>6170</v>
      </c>
      <c r="B2006" s="3"/>
      <c r="C2006" s="3" t="str">
        <f>"ComTechs L.L.P is engaged in the business of telecommunications, including but not limited to: installation, maintenance and re-sale; voice and data cabling, fiber-optics, audio and visual and phone systems."</f>
        <v>ComTechs L.L.P is engaged in the business of telecommunications, including but not limited to: installation, maintenance and re-sale; voice and data cabling, fiber-optics, audio and visual and phone systems.</v>
      </c>
      <c r="D2006" s="3" t="s">
        <v>9</v>
      </c>
      <c r="E2006" s="3" t="s">
        <v>6171</v>
      </c>
      <c r="F2006" s="3" t="str">
        <f>"317-882-1070"</f>
        <v>317-882-1070</v>
      </c>
      <c r="G2006" s="3">
        <v>5133</v>
      </c>
      <c r="H2006" s="3" t="s">
        <v>682</v>
      </c>
    </row>
    <row r="2007" spans="1:8" x14ac:dyDescent="0.25">
      <c r="A2007" s="3" t="s">
        <v>6172</v>
      </c>
      <c r="B2007" s="3"/>
      <c r="C2007" s="3" t="str">
        <f>" "</f>
        <v xml:space="preserve"> </v>
      </c>
      <c r="D2007" s="3" t="s">
        <v>9</v>
      </c>
      <c r="E2007" s="3" t="s">
        <v>46</v>
      </c>
      <c r="F2007" s="2"/>
      <c r="G2007" s="3">
        <v>48</v>
      </c>
      <c r="H2007" s="3" t="s">
        <v>104</v>
      </c>
    </row>
    <row r="2008" spans="1:8" ht="166.5" x14ac:dyDescent="0.25">
      <c r="A2008" s="3" t="s">
        <v>6173</v>
      </c>
      <c r="B2008" s="3"/>
      <c r="C2008" s="3" t="s">
        <v>6174</v>
      </c>
      <c r="D2008" s="3" t="s">
        <v>6175</v>
      </c>
      <c r="E2008" s="3" t="s">
        <v>46</v>
      </c>
      <c r="F2008" s="3" t="str">
        <f>"317-275-6200"</f>
        <v>317-275-6200</v>
      </c>
      <c r="G2008" s="3">
        <v>515210</v>
      </c>
      <c r="H2008" s="3" t="s">
        <v>6176</v>
      </c>
    </row>
    <row r="2009" spans="1:8" ht="102.75" x14ac:dyDescent="0.25">
      <c r="A2009" s="3" t="s">
        <v>6177</v>
      </c>
      <c r="B2009" s="3"/>
      <c r="C2009" s="3" t="s">
        <v>6178</v>
      </c>
      <c r="D2009" s="3" t="s">
        <v>6179</v>
      </c>
      <c r="E2009" s="3" t="s">
        <v>6180</v>
      </c>
      <c r="F2009" s="3" t="str">
        <f>"1-800-COMCAST"</f>
        <v>1-800-COMCAST</v>
      </c>
      <c r="G2009" s="3">
        <v>515210</v>
      </c>
      <c r="H2009" s="3" t="s">
        <v>6176</v>
      </c>
    </row>
    <row r="2010" spans="1:8" ht="64.5" x14ac:dyDescent="0.25">
      <c r="A2010" s="3" t="s">
        <v>6181</v>
      </c>
      <c r="B2010" s="3"/>
      <c r="C2010" s="3" t="str">
        <f>"Janitorial Services and Supply. Construction Site clean up. Detail building cleanup. Impact site cleaning. Strip and wax of tile, vynly, ceramic floors. Carpet cleaning. Janitorial equipment Rental."</f>
        <v>Janitorial Services and Supply. Construction Site clean up. Detail building cleanup. Impact site cleaning. Strip and wax of tile, vynly, ceramic floors. Carpet cleaning. Janitorial equipment Rental.</v>
      </c>
      <c r="D2010" s="3" t="s">
        <v>6182</v>
      </c>
      <c r="E2010" s="3" t="s">
        <v>6183</v>
      </c>
      <c r="F2010" s="3" t="str">
        <f>"317-299-0000"</f>
        <v>317-299-0000</v>
      </c>
      <c r="G2010" s="3">
        <v>561720</v>
      </c>
      <c r="H2010" s="3" t="s">
        <v>222</v>
      </c>
    </row>
    <row r="2011" spans="1:8" ht="255.75" x14ac:dyDescent="0.25">
      <c r="A2011" s="3" t="s">
        <v>6184</v>
      </c>
      <c r="B2011" s="3"/>
      <c r="C2011" s="3" t="s">
        <v>6185</v>
      </c>
      <c r="D2011" s="3" t="s">
        <v>6186</v>
      </c>
      <c r="E2011" s="3" t="s">
        <v>6187</v>
      </c>
      <c r="F2011" s="3" t="str">
        <f>"317-841-3393"</f>
        <v>317-841-3393</v>
      </c>
      <c r="G2011" s="3">
        <v>541211</v>
      </c>
      <c r="H2011" s="3" t="s">
        <v>337</v>
      </c>
    </row>
    <row r="2012" spans="1:8" ht="26.25" x14ac:dyDescent="0.25">
      <c r="A2012" s="3" t="s">
        <v>6188</v>
      </c>
      <c r="B2012" s="3"/>
      <c r="C2012" s="3" t="str">
        <f>"An Indiana company with over twenty years of experience in the HVAC Industry."</f>
        <v>An Indiana company with over twenty years of experience in the HVAC Industry.</v>
      </c>
      <c r="D2012" s="3" t="s">
        <v>6189</v>
      </c>
      <c r="E2012" s="3" t="s">
        <v>6190</v>
      </c>
      <c r="F2012" s="3" t="str">
        <f>"3172155891"</f>
        <v>3172155891</v>
      </c>
      <c r="G2012" s="3">
        <v>2351</v>
      </c>
      <c r="H2012" s="3" t="s">
        <v>892</v>
      </c>
    </row>
    <row r="2013" spans="1:8" ht="51.75" x14ac:dyDescent="0.25">
      <c r="A2013" s="3" t="s">
        <v>6191</v>
      </c>
      <c r="B2013" s="3"/>
      <c r="C2013" s="3" t="str">
        <f>"HVAC Construction and Service Building Automation System (BAS or EMS) Installation and Service Novar BAS NTC 3M Filter Dealer"</f>
        <v>HVAC Construction and Service Building Automation System (BAS or EMS) Installation and Service Novar BAS NTC 3M Filter Dealer</v>
      </c>
      <c r="D2013" s="3" t="s">
        <v>6192</v>
      </c>
      <c r="E2013" s="3" t="s">
        <v>46</v>
      </c>
      <c r="F2013" s="3" t="str">
        <f>"317-638-5363"</f>
        <v>317-638-5363</v>
      </c>
      <c r="G2013" s="3">
        <v>2351</v>
      </c>
      <c r="H2013" s="3" t="s">
        <v>892</v>
      </c>
    </row>
    <row r="2014" spans="1:8" ht="77.25" x14ac:dyDescent="0.25">
      <c r="A2014" s="3" t="s">
        <v>6193</v>
      </c>
      <c r="B2014" s="3"/>
      <c r="C2014" s="3" t="str">
        <f>"The Community Hospital of Bremen is a Critical Access Hospital located in Bremen, Indiana. The hospital provides a full range of primary care services to area residents. Services include inpatient, outpatient, and 24 hour emergency care."</f>
        <v>The Community Hospital of Bremen is a Critical Access Hospital located in Bremen, Indiana. The hospital provides a full range of primary care services to area residents. Services include inpatient, outpatient, and 24 hour emergency care.</v>
      </c>
      <c r="D2014" s="3" t="s">
        <v>6194</v>
      </c>
      <c r="E2014" s="3" t="s">
        <v>46</v>
      </c>
      <c r="F2014" s="3" t="str">
        <f>"574-546-2211"</f>
        <v>574-546-2211</v>
      </c>
      <c r="G2014" s="3">
        <v>622110</v>
      </c>
      <c r="H2014" s="3" t="s">
        <v>3335</v>
      </c>
    </row>
    <row r="2015" spans="1:8" ht="179.25" x14ac:dyDescent="0.25">
      <c r="A2015" s="3" t="s">
        <v>6195</v>
      </c>
      <c r="B2015" s="3"/>
      <c r="C2015" s="3" t="s">
        <v>6196</v>
      </c>
      <c r="D2015" s="3" t="s">
        <v>6197</v>
      </c>
      <c r="E2015" s="3" t="s">
        <v>6198</v>
      </c>
      <c r="F2015" s="3" t="str">
        <f>"317-353-1909"</f>
        <v>317-353-1909</v>
      </c>
      <c r="G2015" s="3">
        <v>233</v>
      </c>
      <c r="H2015" s="3" t="s">
        <v>131</v>
      </c>
    </row>
    <row r="2016" spans="1:8" ht="51.75" x14ac:dyDescent="0.25">
      <c r="A2016" s="3" t="s">
        <v>6199</v>
      </c>
      <c r="B2016" s="3"/>
      <c r="C2016" s="3" t="str">
        <f>"CCAS LLC provides administrative services to Contractors and Subcontractors for commercial construction projects and other related business administrative services."</f>
        <v>CCAS LLC provides administrative services to Contractors and Subcontractors for commercial construction projects and other related business administrative services.</v>
      </c>
      <c r="D2016" s="3" t="s">
        <v>6200</v>
      </c>
      <c r="E2016" s="3" t="s">
        <v>6201</v>
      </c>
      <c r="F2016" s="3" t="str">
        <f>"317-728-9156"</f>
        <v>317-728-9156</v>
      </c>
      <c r="G2016" s="3">
        <v>561110</v>
      </c>
      <c r="H2016" s="3" t="s">
        <v>4383</v>
      </c>
    </row>
    <row r="2017" spans="1:8" ht="26.25" x14ac:dyDescent="0.25">
      <c r="A2017" s="3" t="s">
        <v>6202</v>
      </c>
      <c r="B2017" s="3"/>
      <c r="C2017" s="3" t="str">
        <f>"Truck Driver Training for the Class A and B Commercial Driver's License."</f>
        <v>Truck Driver Training for the Class A and B Commercial Driver's License.</v>
      </c>
      <c r="D2017" s="3" t="s">
        <v>6203</v>
      </c>
      <c r="E2017" s="3" t="s">
        <v>6204</v>
      </c>
      <c r="F2017" s="3" t="str">
        <f>"3175456852"</f>
        <v>3175456852</v>
      </c>
      <c r="G2017" s="3">
        <v>611519</v>
      </c>
      <c r="H2017" s="3" t="s">
        <v>5262</v>
      </c>
    </row>
    <row r="2018" spans="1:8" ht="102.75" x14ac:dyDescent="0.25">
      <c r="A2018" s="3" t="s">
        <v>6205</v>
      </c>
      <c r="B2018" s="3"/>
      <c r="C2018" s="3" t="s">
        <v>6206</v>
      </c>
      <c r="D2018" s="3" t="s">
        <v>6207</v>
      </c>
      <c r="E2018" s="3" t="s">
        <v>6208</v>
      </c>
      <c r="F2018" s="3" t="str">
        <f>"260-490-7979"</f>
        <v>260-490-7979</v>
      </c>
      <c r="G2018" s="3">
        <v>238220</v>
      </c>
      <c r="H2018" s="3" t="s">
        <v>348</v>
      </c>
    </row>
    <row r="2019" spans="1:8" ht="255.75" x14ac:dyDescent="0.25">
      <c r="A2019" s="3" t="s">
        <v>6209</v>
      </c>
      <c r="B2019" s="3"/>
      <c r="C2019" s="3" t="s">
        <v>6210</v>
      </c>
      <c r="D2019" s="3" t="s">
        <v>6211</v>
      </c>
      <c r="E2019" s="3" t="s">
        <v>6212</v>
      </c>
      <c r="F2019" s="3" t="str">
        <f>"317-348-2278"</f>
        <v>317-348-2278</v>
      </c>
      <c r="G2019" s="3">
        <v>238330</v>
      </c>
      <c r="H2019" s="3" t="s">
        <v>2995</v>
      </c>
    </row>
    <row r="2020" spans="1:8" ht="64.5" x14ac:dyDescent="0.25">
      <c r="A2020" s="3" t="s">
        <v>6213</v>
      </c>
      <c r="B2020" s="3"/>
      <c r="C2020" s="3" t="str">
        <f>"Installer of Epoxy Floor Coatings - Includes Urethane, Quartz, MMA, Decorative, Seamless also Concrete Floor Stain, Stencil, Decorative also Concrete Floor Repairs, Resurfacing"</f>
        <v>Installer of Epoxy Floor Coatings - Includes Urethane, Quartz, MMA, Decorative, Seamless also Concrete Floor Stain, Stencil, Decorative also Concrete Floor Repairs, Resurfacing</v>
      </c>
      <c r="D2020" s="3" t="s">
        <v>6214</v>
      </c>
      <c r="E2020" s="3" t="s">
        <v>6215</v>
      </c>
      <c r="F2020" s="3" t="str">
        <f>"812-752-3369"</f>
        <v>812-752-3369</v>
      </c>
      <c r="G2020" s="3">
        <v>23552</v>
      </c>
      <c r="H2020" s="3" t="s">
        <v>955</v>
      </c>
    </row>
    <row r="2021" spans="1:8" ht="179.25" x14ac:dyDescent="0.25">
      <c r="A2021" s="3" t="s">
        <v>6216</v>
      </c>
      <c r="B2021" s="3"/>
      <c r="C2021" s="3" t="s">
        <v>6217</v>
      </c>
      <c r="D2021" s="3" t="s">
        <v>6218</v>
      </c>
      <c r="E2021" s="3" t="s">
        <v>6219</v>
      </c>
      <c r="F2021" s="3" t="str">
        <f>"317-322-1366"</f>
        <v>317-322-1366</v>
      </c>
      <c r="G2021" s="3">
        <v>4244</v>
      </c>
      <c r="H2021" s="3" t="s">
        <v>2311</v>
      </c>
    </row>
    <row r="2022" spans="1:8" ht="26.25" x14ac:dyDescent="0.25">
      <c r="A2022" s="3" t="s">
        <v>6220</v>
      </c>
      <c r="B2022" s="3"/>
      <c r="C2022" s="3" t="str">
        <f>"Office furniture. In business since 1978."</f>
        <v>Office furniture. In business since 1978.</v>
      </c>
      <c r="D2022" s="3" t="s">
        <v>9</v>
      </c>
      <c r="E2022" s="3" t="s">
        <v>6221</v>
      </c>
      <c r="F2022" s="3" t="str">
        <f>"317-636-3690"</f>
        <v>317-636-3690</v>
      </c>
      <c r="G2022" s="3">
        <v>442110</v>
      </c>
      <c r="H2022" s="3" t="s">
        <v>117</v>
      </c>
    </row>
    <row r="2023" spans="1:8" ht="39" x14ac:dyDescent="0.25">
      <c r="A2023" s="3" t="s">
        <v>6222</v>
      </c>
      <c r="B2023" s="3"/>
      <c r="C2023" s="3" t="str">
        <f>"Installations, modifications and/or repairs of store fronts, curtain walls, aluminum doors &amp; windows, glass, mirrors and more."</f>
        <v>Installations, modifications and/or repairs of store fronts, curtain walls, aluminum doors &amp; windows, glass, mirrors and more.</v>
      </c>
      <c r="D2023" s="3" t="s">
        <v>6223</v>
      </c>
      <c r="E2023" s="3" t="s">
        <v>6224</v>
      </c>
      <c r="F2023" s="3" t="str">
        <f>"317-334-0755"</f>
        <v>317-334-0755</v>
      </c>
      <c r="G2023" s="3">
        <v>238150</v>
      </c>
      <c r="H2023" s="3" t="s">
        <v>2530</v>
      </c>
    </row>
    <row r="2024" spans="1:8" ht="128.25" x14ac:dyDescent="0.25">
      <c r="A2024" s="3" t="s">
        <v>6225</v>
      </c>
      <c r="B2024" s="3"/>
      <c r="C2024" s="3" t="s">
        <v>6226</v>
      </c>
      <c r="D2024" s="3" t="s">
        <v>6227</v>
      </c>
      <c r="E2024" s="3" t="s">
        <v>6228</v>
      </c>
      <c r="F2024" s="3" t="str">
        <f>"260-665-7531"</f>
        <v>260-665-7531</v>
      </c>
      <c r="G2024" s="3">
        <v>323119</v>
      </c>
      <c r="H2024" s="3" t="s">
        <v>6229</v>
      </c>
    </row>
    <row r="2025" spans="1:8" ht="64.5" x14ac:dyDescent="0.25">
      <c r="A2025" s="3" t="s">
        <v>6230</v>
      </c>
      <c r="B2025" s="3"/>
      <c r="C2025" s="3" t="str">
        <f>"Pump residential and commercial grease traps from restaurants, food processing facilities, institutions and cafeterias. Have been in this business since 1946 and have an excellent reputation."</f>
        <v>Pump residential and commercial grease traps from restaurants, food processing facilities, institutions and cafeterias. Have been in this business since 1946 and have an excellent reputation.</v>
      </c>
      <c r="D2025" s="3" t="s">
        <v>9</v>
      </c>
      <c r="E2025" s="3" t="s">
        <v>6231</v>
      </c>
      <c r="F2025" s="3" t="str">
        <f>"317-269-0000"</f>
        <v>317-269-0000</v>
      </c>
      <c r="G2025" s="3">
        <v>562998</v>
      </c>
      <c r="H2025" s="3" t="s">
        <v>1530</v>
      </c>
    </row>
    <row r="2026" spans="1:8" ht="39" x14ac:dyDescent="0.25">
      <c r="A2026" s="3" t="s">
        <v>6232</v>
      </c>
      <c r="B2026" s="3"/>
      <c r="C2026" s="3" t="str">
        <f>"We are full service commercial janitorial firm who employs disadvantaged workers from the local community."</f>
        <v>We are full service commercial janitorial firm who employs disadvantaged workers from the local community.</v>
      </c>
      <c r="D2026" s="3" t="s">
        <v>9</v>
      </c>
      <c r="E2026" s="3" t="s">
        <v>6233</v>
      </c>
      <c r="F2026" s="3" t="str">
        <f>"812-337-2276"</f>
        <v>812-337-2276</v>
      </c>
      <c r="G2026" s="3">
        <v>561720</v>
      </c>
      <c r="H2026" s="3" t="s">
        <v>222</v>
      </c>
    </row>
    <row r="2027" spans="1:8" ht="26.25" x14ac:dyDescent="0.25">
      <c r="A2027" s="3" t="s">
        <v>6234</v>
      </c>
      <c r="B2027" s="3"/>
      <c r="C2027" s="3" t="str">
        <f>"provider of light bulbs and ballasts"</f>
        <v>provider of light bulbs and ballasts</v>
      </c>
      <c r="D2027" s="3" t="s">
        <v>6235</v>
      </c>
      <c r="E2027" s="3" t="s">
        <v>6236</v>
      </c>
      <c r="F2027" s="3" t="str">
        <f>"(317) 471-1570"</f>
        <v>(317) 471-1570</v>
      </c>
      <c r="G2027" s="3">
        <v>42</v>
      </c>
      <c r="H2027" s="3" t="s">
        <v>674</v>
      </c>
    </row>
    <row r="2028" spans="1:8" ht="51.75" x14ac:dyDescent="0.25">
      <c r="A2028" s="3" t="s">
        <v>6237</v>
      </c>
      <c r="B2028" s="3"/>
      <c r="C2028" s="3" t="str">
        <f>"Residential &amp; Commercial landscaping, seeding, sod &amp; retaining walls. Garden Center, Wholesale seedling trees, Erosion Control and Wetland plants."</f>
        <v>Residential &amp; Commercial landscaping, seeding, sod &amp; retaining walls. Garden Center, Wholesale seedling trees, Erosion Control and Wetland plants.</v>
      </c>
      <c r="D2028" s="3" t="s">
        <v>6238</v>
      </c>
      <c r="E2028" s="3" t="s">
        <v>6239</v>
      </c>
      <c r="F2028" s="3" t="str">
        <f>"812-963-3257"</f>
        <v>812-963-3257</v>
      </c>
      <c r="G2028" s="3">
        <v>561730</v>
      </c>
      <c r="H2028" s="3" t="s">
        <v>65</v>
      </c>
    </row>
    <row r="2029" spans="1:8" ht="26.25" x14ac:dyDescent="0.25">
      <c r="A2029" s="3" t="s">
        <v>6240</v>
      </c>
      <c r="B2029" s="3"/>
      <c r="C2029" s="3" t="str">
        <f>"Sales - Service - Parts Commercial Laundry Equipment"</f>
        <v>Sales - Service - Parts Commercial Laundry Equipment</v>
      </c>
      <c r="D2029" s="3" t="s">
        <v>9</v>
      </c>
      <c r="E2029" s="3" t="s">
        <v>46</v>
      </c>
      <c r="F2029" s="3" t="str">
        <f>"317-856-1234"</f>
        <v>317-856-1234</v>
      </c>
      <c r="G2029" s="3">
        <v>44</v>
      </c>
      <c r="H2029" s="3" t="s">
        <v>574</v>
      </c>
    </row>
    <row r="2030" spans="1:8" ht="51.75" x14ac:dyDescent="0.25">
      <c r="A2030" s="3" t="s">
        <v>6241</v>
      </c>
      <c r="B2030" s="3"/>
      <c r="C2030" s="3" t="str">
        <f>"Our business can provide you with the Haworth panel systems and all other types of furniture from private office, conference and training rooms ect."</f>
        <v>Our business can provide you with the Haworth panel systems and all other types of furniture from private office, conference and training rooms ect.</v>
      </c>
      <c r="D2030" s="3" t="s">
        <v>6242</v>
      </c>
      <c r="E2030" s="3" t="s">
        <v>6243</v>
      </c>
      <c r="F2030" s="3" t="str">
        <f>"317-876-9200"</f>
        <v>317-876-9200</v>
      </c>
      <c r="G2030" s="3">
        <v>42321</v>
      </c>
      <c r="H2030" s="3" t="s">
        <v>3508</v>
      </c>
    </row>
    <row r="2031" spans="1:8" ht="64.5" x14ac:dyDescent="0.25">
      <c r="A2031" s="3" t="s">
        <v>6244</v>
      </c>
      <c r="B2031" s="3"/>
      <c r="C2031" s="3" t="str">
        <f>"Commercial Heating and Cooling Since 1946 Preventative Maintenance, Repairs, and Installation of Chillers, Boilers, and Cooling Towers, furnace's, Air Conditioners, Controls specialist, Make up air units,"</f>
        <v>Commercial Heating and Cooling Since 1946 Preventative Maintenance, Repairs, and Installation of Chillers, Boilers, and Cooling Towers, furnace's, Air Conditioners, Controls specialist, Make up air units,</v>
      </c>
      <c r="D2031" s="3" t="s">
        <v>6245</v>
      </c>
      <c r="E2031" s="3" t="s">
        <v>6246</v>
      </c>
      <c r="F2031" s="3" t="str">
        <f>"812-339-9114"</f>
        <v>812-339-9114</v>
      </c>
      <c r="G2031" s="3">
        <v>238220</v>
      </c>
      <c r="H2031" s="3" t="s">
        <v>348</v>
      </c>
    </row>
    <row r="2032" spans="1:8" ht="51.75" x14ac:dyDescent="0.25">
      <c r="A2032" s="3" t="s">
        <v>6247</v>
      </c>
      <c r="B2032" s="3"/>
      <c r="C2032" s="3" t="str">
        <f>"Common Thread is a Uniform Apparel (School and Business) and Sportswear store including custom embroidery, screen printing, and promotional products."</f>
        <v>Common Thread is a Uniform Apparel (School and Business) and Sportswear store including custom embroidery, screen printing, and promotional products.</v>
      </c>
      <c r="D2032" s="3" t="s">
        <v>6248</v>
      </c>
      <c r="E2032" s="3" t="s">
        <v>6249</v>
      </c>
      <c r="F2032" s="3" t="str">
        <f>"812-944-2338"</f>
        <v>812-944-2338</v>
      </c>
      <c r="G2032" s="3">
        <v>44</v>
      </c>
      <c r="H2032" s="3" t="s">
        <v>574</v>
      </c>
    </row>
    <row r="2033" spans="1:8" ht="39" x14ac:dyDescent="0.25">
      <c r="A2033" s="3" t="s">
        <v>6250</v>
      </c>
      <c r="B2033" s="3"/>
      <c r="C2033" s="3" t="str">
        <f>"Water quality scientists, providing aquatic toxicity, lake and watershed management, and pathogen analysis."</f>
        <v>Water quality scientists, providing aquatic toxicity, lake and watershed management, and pathogen analysis.</v>
      </c>
      <c r="D2033" s="3" t="s">
        <v>6251</v>
      </c>
      <c r="E2033" s="3" t="s">
        <v>6252</v>
      </c>
      <c r="F2033" s="3" t="str">
        <f>"317-297-7713"</f>
        <v>317-297-7713</v>
      </c>
      <c r="G2033" s="3">
        <v>541620</v>
      </c>
      <c r="H2033" s="3" t="s">
        <v>216</v>
      </c>
    </row>
    <row r="2034" spans="1:8" ht="51.75" x14ac:dyDescent="0.25">
      <c r="A2034" s="3" t="s">
        <v>6253</v>
      </c>
      <c r="B2034" s="3"/>
      <c r="C2034" s="3" t="str">
        <f>"PComtineo, LLC is a provider of bespoke solutions for the wireless telecoms market, specializing in critical Microwave Back-haul."</f>
        <v>PComtineo, LLC is a provider of bespoke solutions for the wireless telecoms market, specializing in critical Microwave Back-haul.</v>
      </c>
      <c r="D2034" s="3" t="s">
        <v>6254</v>
      </c>
      <c r="E2034" s="3" t="s">
        <v>6255</v>
      </c>
      <c r="F2034" s="3" t="str">
        <f>"(219) 476-3667"</f>
        <v>(219) 476-3667</v>
      </c>
      <c r="G2034" s="3">
        <v>237130</v>
      </c>
      <c r="H2034" s="3" t="s">
        <v>3432</v>
      </c>
    </row>
    <row r="2035" spans="1:8" ht="102.75" x14ac:dyDescent="0.25">
      <c r="A2035" s="3" t="s">
        <v>6256</v>
      </c>
      <c r="B2035" s="3"/>
      <c r="C2035" s="3" t="s">
        <v>6257</v>
      </c>
      <c r="D2035" s="3" t="s">
        <v>6258</v>
      </c>
      <c r="E2035" s="3" t="s">
        <v>6259</v>
      </c>
      <c r="F2035" s="3" t="str">
        <f>"574-299-0020"</f>
        <v>574-299-0020</v>
      </c>
      <c r="G2035" s="3">
        <v>517</v>
      </c>
      <c r="H2035" s="3" t="s">
        <v>682</v>
      </c>
    </row>
    <row r="2036" spans="1:8" ht="64.5" x14ac:dyDescent="0.25">
      <c r="A2036" s="3" t="s">
        <v>6260</v>
      </c>
      <c r="B2036" s="3"/>
      <c r="C2036" s="3" t="str">
        <f>"I act as agent for tier 1,2,3, long distance carriers. I also provide all form of voice,data, and high internet services for carriers such as Sprint,AT&amp;T, Verizon and many others."</f>
        <v>I act as agent for tier 1,2,3, long distance carriers. I also provide all form of voice,data, and high internet services for carriers such as Sprint,AT&amp;T, Verizon and many others.</v>
      </c>
      <c r="D2036" s="3" t="s">
        <v>9</v>
      </c>
      <c r="E2036" s="3" t="s">
        <v>6261</v>
      </c>
      <c r="F2036" s="3" t="str">
        <f>"317-436-8112"</f>
        <v>317-436-8112</v>
      </c>
      <c r="G2036" s="3">
        <v>425120</v>
      </c>
      <c r="H2036" s="3" t="s">
        <v>58</v>
      </c>
    </row>
    <row r="2037" spans="1:8" ht="90" x14ac:dyDescent="0.25">
      <c r="A2037" s="3" t="s">
        <v>6262</v>
      </c>
      <c r="B2037" s="3"/>
      <c r="C2037" s="3" t="s">
        <v>6263</v>
      </c>
      <c r="D2037" s="3" t="s">
        <v>9</v>
      </c>
      <c r="E2037" s="3" t="s">
        <v>6264</v>
      </c>
      <c r="F2037" s="3" t="str">
        <f>"3174729670"</f>
        <v>3174729670</v>
      </c>
      <c r="G2037" s="3">
        <v>238210</v>
      </c>
      <c r="H2037" s="3" t="s">
        <v>306</v>
      </c>
    </row>
    <row r="2038" spans="1:8" ht="39" x14ac:dyDescent="0.25">
      <c r="A2038" s="3" t="s">
        <v>6265</v>
      </c>
      <c r="B2038" s="3"/>
      <c r="C2038" s="3" t="str">
        <f>"Heartland Solutions provides services for wireless and wireline communications construction and maintenance."</f>
        <v>Heartland Solutions provides services for wireless and wireline communications construction and maintenance.</v>
      </c>
      <c r="D2038" s="3" t="s">
        <v>6266</v>
      </c>
      <c r="E2038" s="3" t="s">
        <v>6267</v>
      </c>
      <c r="F2038" s="3" t="str">
        <f>"3174551158"</f>
        <v>3174551158</v>
      </c>
      <c r="G2038" s="3">
        <v>238210</v>
      </c>
      <c r="H2038" s="3" t="s">
        <v>306</v>
      </c>
    </row>
    <row r="2039" spans="1:8" ht="64.5" x14ac:dyDescent="0.25">
      <c r="A2039" s="3" t="s">
        <v>6268</v>
      </c>
      <c r="B2039" s="3"/>
      <c r="C2039" s="3" t="str">
        <f>"CSC is a national distributor of every type of low voltage cabling and connectivity product. We proudly represent the premier manufacturers the tele/data and security industry."</f>
        <v>CSC is a national distributor of every type of low voltage cabling and connectivity product. We proudly represent the premier manufacturers the tele/data and security industry.</v>
      </c>
      <c r="D2039" s="3" t="s">
        <v>6269</v>
      </c>
      <c r="E2039" s="3" t="s">
        <v>6270</v>
      </c>
      <c r="F2039" s="3" t="str">
        <f>"317-871-5700"</f>
        <v>317-871-5700</v>
      </c>
      <c r="G2039" s="3">
        <v>423610</v>
      </c>
      <c r="H2039" s="3" t="s">
        <v>2414</v>
      </c>
    </row>
    <row r="2040" spans="1:8" ht="115.5" x14ac:dyDescent="0.25">
      <c r="A2040" s="3" t="s">
        <v>6271</v>
      </c>
      <c r="B2040" s="3"/>
      <c r="C2040" s="3" t="s">
        <v>6272</v>
      </c>
      <c r="D2040" s="3" t="s">
        <v>6273</v>
      </c>
      <c r="E2040" s="3" t="s">
        <v>6274</v>
      </c>
      <c r="F2040" s="3" t="str">
        <f>"877-469-2010"</f>
        <v>877-469-2010</v>
      </c>
      <c r="G2040" s="3">
        <v>517</v>
      </c>
      <c r="H2040" s="3" t="s">
        <v>682</v>
      </c>
    </row>
    <row r="2041" spans="1:8" ht="102.75" x14ac:dyDescent="0.25">
      <c r="A2041" s="3" t="s">
        <v>6275</v>
      </c>
      <c r="B2041" s="3"/>
      <c r="C2041" s="3" t="s">
        <v>6276</v>
      </c>
      <c r="D2041" s="3" t="s">
        <v>6277</v>
      </c>
      <c r="E2041" s="3" t="s">
        <v>6278</v>
      </c>
      <c r="F2041" s="3" t="str">
        <f>"765-742-4848"</f>
        <v>765-742-4848</v>
      </c>
      <c r="G2041" s="3">
        <v>624190</v>
      </c>
      <c r="H2041" s="3" t="s">
        <v>54</v>
      </c>
    </row>
    <row r="2042" spans="1:8" ht="102.75" x14ac:dyDescent="0.25">
      <c r="A2042" s="3" t="s">
        <v>6279</v>
      </c>
      <c r="B2042" s="3"/>
      <c r="C2042" s="3" t="s">
        <v>6280</v>
      </c>
      <c r="D2042" s="3" t="s">
        <v>6281</v>
      </c>
      <c r="E2042" s="3" t="s">
        <v>46</v>
      </c>
      <c r="F2042" s="3" t="str">
        <f>"765-793-4881"</f>
        <v>765-793-4881</v>
      </c>
      <c r="G2042" s="3">
        <v>624190</v>
      </c>
      <c r="H2042" s="3" t="s">
        <v>54</v>
      </c>
    </row>
    <row r="2043" spans="1:8" ht="26.25" x14ac:dyDescent="0.25">
      <c r="A2043" s="3" t="s">
        <v>6282</v>
      </c>
      <c r="B2043" s="3"/>
      <c r="C2043" s="3" t="str">
        <f>"Company manages oncology practices in the state of Indiana."</f>
        <v>Company manages oncology practices in the state of Indiana.</v>
      </c>
      <c r="D2043" s="3" t="s">
        <v>9</v>
      </c>
      <c r="E2043" s="3" t="s">
        <v>46</v>
      </c>
      <c r="F2043" s="3" t="str">
        <f>"317-924-4022"</f>
        <v>317-924-4022</v>
      </c>
      <c r="G2043" s="3">
        <v>561110</v>
      </c>
      <c r="H2043" s="3" t="s">
        <v>4383</v>
      </c>
    </row>
    <row r="2044" spans="1:8" ht="64.5" x14ac:dyDescent="0.25">
      <c r="A2044" s="3" t="s">
        <v>6283</v>
      </c>
      <c r="B2044" s="3"/>
      <c r="C2044" s="3" t="str">
        <f>"Education Support and Outreach, Pre-Certification Provider for IDOI, Application Organization for IDOI. Peer Support and Advocate for Consumers, Referral and Education Services"</f>
        <v>Education Support and Outreach, Pre-Certification Provider for IDOI, Application Organization for IDOI. Peer Support and Advocate for Consumers, Referral and Education Services</v>
      </c>
      <c r="D2044" s="3" t="s">
        <v>6284</v>
      </c>
      <c r="E2044" s="3" t="s">
        <v>6285</v>
      </c>
      <c r="F2044" s="3" t="str">
        <f>"317-726-9291"</f>
        <v>317-726-9291</v>
      </c>
      <c r="G2044" s="3">
        <v>611710</v>
      </c>
      <c r="H2044" s="3" t="s">
        <v>508</v>
      </c>
    </row>
    <row r="2045" spans="1:8" ht="26.25" x14ac:dyDescent="0.25">
      <c r="A2045" s="3" t="s">
        <v>6286</v>
      </c>
      <c r="B2045" s="3"/>
      <c r="C2045" s="3" t="str">
        <f>"General construction and cabinetry."</f>
        <v>General construction and cabinetry.</v>
      </c>
      <c r="D2045" s="3" t="s">
        <v>9</v>
      </c>
      <c r="E2045" s="3" t="s">
        <v>46</v>
      </c>
      <c r="F2045" s="3" t="str">
        <f>"765-683-1434"</f>
        <v>765-683-1434</v>
      </c>
      <c r="G2045" s="3">
        <v>23</v>
      </c>
      <c r="H2045" s="3" t="s">
        <v>133</v>
      </c>
    </row>
    <row r="2046" spans="1:8" ht="77.25" x14ac:dyDescent="0.25">
      <c r="A2046" s="3" t="s">
        <v>6287</v>
      </c>
      <c r="B2046" s="3"/>
      <c r="C2046" s="3" t="str">
        <f>"4C of Southern Indiana, Inc. provides child care resource and referral services including child care referrals, technical assistance, professional development and parenting support across fourteen counties in Southwestern Indiana."</f>
        <v>4C of Southern Indiana, Inc. provides child care resource and referral services including child care referrals, technical assistance, professional development and parenting support across fourteen counties in Southwestern Indiana.</v>
      </c>
      <c r="D2046" s="3" t="s">
        <v>6288</v>
      </c>
      <c r="E2046" s="3" t="s">
        <v>6289</v>
      </c>
      <c r="F2046" s="3" t="str">
        <f>"866-200-5909"</f>
        <v>866-200-5909</v>
      </c>
      <c r="G2046" s="3">
        <v>6241</v>
      </c>
      <c r="H2046" s="3" t="s">
        <v>2210</v>
      </c>
    </row>
    <row r="2047" spans="1:8" ht="64.5" x14ac:dyDescent="0.25">
      <c r="A2047" s="3" t="s">
        <v>6290</v>
      </c>
      <c r="B2047" s="3"/>
      <c r="C2047" s="3" t="str">
        <f>"We are a child care resource and referral agency serving north central Indiana. We help families find child care and child care providers improve the quality of their facilities."</f>
        <v>We are a child care resource and referral agency serving north central Indiana. We help families find child care and child care providers improve the quality of their facilities.</v>
      </c>
      <c r="D2047" s="3" t="s">
        <v>6291</v>
      </c>
      <c r="E2047" s="3" t="s">
        <v>6292</v>
      </c>
      <c r="F2047" s="3" t="str">
        <f>"5742897815"</f>
        <v>5742897815</v>
      </c>
      <c r="G2047" s="3">
        <v>624410</v>
      </c>
      <c r="H2047" s="3" t="s">
        <v>456</v>
      </c>
    </row>
    <row r="2048" spans="1:8" ht="26.25" x14ac:dyDescent="0.25">
      <c r="A2048" s="3" t="s">
        <v>6293</v>
      </c>
      <c r="B2048" s="3"/>
      <c r="C2048" s="3" t="str">
        <f>"Community health assessment, planning and evaluation consulting services."</f>
        <v>Community health assessment, planning and evaluation consulting services.</v>
      </c>
      <c r="D2048" s="3" t="s">
        <v>9</v>
      </c>
      <c r="E2048" s="3" t="s">
        <v>6294</v>
      </c>
      <c r="F2048" s="3" t="str">
        <f>"317-370-8757"</f>
        <v>317-370-8757</v>
      </c>
      <c r="G2048" s="3">
        <v>541611</v>
      </c>
      <c r="H2048" s="3" t="s">
        <v>278</v>
      </c>
    </row>
    <row r="2049" spans="1:8" ht="64.5" x14ac:dyDescent="0.25">
      <c r="A2049" s="3" t="s">
        <v>6295</v>
      </c>
      <c r="B2049" s="3"/>
      <c r="C2049" s="3" t="str">
        <f>"A lumber, hardware, electrical, plumbing, doors and windows, trusses, paint, and flooring supply company with products available for contractors, consumers and government institutions."</f>
        <v>A lumber, hardware, electrical, plumbing, doors and windows, trusses, paint, and flooring supply company with products available for contractors, consumers and government institutions.</v>
      </c>
      <c r="D2049" s="3" t="s">
        <v>9</v>
      </c>
      <c r="E2049" s="3" t="s">
        <v>46</v>
      </c>
      <c r="F2049" s="3" t="str">
        <f>"260-726-8680"</f>
        <v>260-726-8680</v>
      </c>
      <c r="G2049" s="3">
        <v>444110</v>
      </c>
      <c r="H2049" s="3" t="s">
        <v>3072</v>
      </c>
    </row>
    <row r="2050" spans="1:8" ht="77.25" x14ac:dyDescent="0.25">
      <c r="A2050" s="3" t="s">
        <v>6296</v>
      </c>
      <c r="B2050" s="3"/>
      <c r="C2050" s="3" t="str">
        <f>"We are a state approved minority owned lumber, concrete and lime, hardware, and millwork company located in Portland, IN. We strive on price competitiveness, high service levels, and ship anywhere in Indiana."</f>
        <v>We are a state approved minority owned lumber, concrete and lime, hardware, and millwork company located in Portland, IN. We strive on price competitiveness, high service levels, and ship anywhere in Indiana.</v>
      </c>
      <c r="D2050" s="3" t="s">
        <v>9</v>
      </c>
      <c r="E2050" s="3" t="s">
        <v>6297</v>
      </c>
      <c r="F2050" s="3" t="str">
        <f>"260-726-8680"</f>
        <v>260-726-8680</v>
      </c>
      <c r="G2050" s="3">
        <v>4233</v>
      </c>
      <c r="H2050" s="3" t="s">
        <v>6298</v>
      </c>
    </row>
    <row r="2051" spans="1:8" x14ac:dyDescent="0.25">
      <c r="A2051" s="3" t="s">
        <v>6299</v>
      </c>
      <c r="B2051" s="3"/>
      <c r="C2051" s="3" t="str">
        <f>" "</f>
        <v xml:space="preserve"> </v>
      </c>
      <c r="D2051" s="3" t="s">
        <v>6300</v>
      </c>
      <c r="E2051" s="3" t="s">
        <v>46</v>
      </c>
      <c r="F2051" s="2"/>
      <c r="G2051" s="3">
        <v>62</v>
      </c>
      <c r="H2051" s="3" t="s">
        <v>1168</v>
      </c>
    </row>
    <row r="2052" spans="1:8" ht="26.25" x14ac:dyDescent="0.25">
      <c r="A2052" s="3" t="s">
        <v>6301</v>
      </c>
      <c r="B2052" s="3"/>
      <c r="C2052" s="3" t="str">
        <f>"Provider of Residential Services for adults with developmnetal disablities."</f>
        <v>Provider of Residential Services for adults with developmnetal disablities.</v>
      </c>
      <c r="D2052" s="3" t="s">
        <v>9</v>
      </c>
      <c r="E2052" s="3" t="s">
        <v>6302</v>
      </c>
      <c r="F2052" s="3" t="str">
        <f>"260-665-7681"</f>
        <v>260-665-7681</v>
      </c>
      <c r="G2052" s="3">
        <v>62321</v>
      </c>
      <c r="H2052" s="3" t="s">
        <v>5236</v>
      </c>
    </row>
    <row r="2053" spans="1:8" ht="64.5" x14ac:dyDescent="0.25">
      <c r="A2053" s="3" t="s">
        <v>6303</v>
      </c>
      <c r="B2053" s="3"/>
      <c r="C2053" s="3" t="str">
        <f>"We are health care service providers. We supply personal assistants and coordination through Medicaid Waiver programs, CHOICE, Respite Contracts and ICLB."</f>
        <v>We are health care service providers. We supply personal assistants and coordination through Medicaid Waiver programs, CHOICE, Respite Contracts and ICLB.</v>
      </c>
      <c r="D2053" s="3" t="s">
        <v>6304</v>
      </c>
      <c r="E2053" s="3" t="s">
        <v>6305</v>
      </c>
      <c r="F2053" s="3" t="str">
        <f>"812-401-9361"</f>
        <v>812-401-9361</v>
      </c>
      <c r="G2053" s="3">
        <v>62412</v>
      </c>
      <c r="H2053" s="3" t="s">
        <v>22</v>
      </c>
    </row>
    <row r="2054" spans="1:8" ht="77.25" x14ac:dyDescent="0.25">
      <c r="A2054" s="3" t="s">
        <v>6306</v>
      </c>
      <c r="B2054" s="3"/>
      <c r="C2054" s="3" t="str">
        <f>"Community Networks is an advertising and marketing company which specializes in advertising businesses to specific target markets as well as designing and creating all of the marketing tools they need to promote their business to the public arena."</f>
        <v>Community Networks is an advertising and marketing company which specializes in advertising businesses to specific target markets as well as designing and creating all of the marketing tools they need to promote their business to the public arena.</v>
      </c>
      <c r="D2054" s="3" t="s">
        <v>6307</v>
      </c>
      <c r="E2054" s="3" t="s">
        <v>6308</v>
      </c>
      <c r="F2054" s="3" t="str">
        <f>"765-356-4650"</f>
        <v>765-356-4650</v>
      </c>
      <c r="G2054" s="3">
        <v>51</v>
      </c>
      <c r="H2054" s="3" t="s">
        <v>252</v>
      </c>
    </row>
    <row r="2055" spans="1:8" ht="51.75" x14ac:dyDescent="0.25">
      <c r="A2055" s="3" t="s">
        <v>6309</v>
      </c>
      <c r="B2055" s="3"/>
      <c r="C2055" s="3" t="str">
        <f>"Provides mental health and substance abuse counseling, life skill development, and reintegration services to incarcerated adult males and females and their families"</f>
        <v>Provides mental health and substance abuse counseling, life skill development, and reintegration services to incarcerated adult males and females and their families</v>
      </c>
      <c r="D2055" s="3" t="s">
        <v>6310</v>
      </c>
      <c r="E2055" s="3" t="s">
        <v>6311</v>
      </c>
      <c r="F2055" s="3" t="str">
        <f>"317-524-6841"</f>
        <v>317-524-6841</v>
      </c>
      <c r="G2055" s="3">
        <v>621330</v>
      </c>
      <c r="H2055" s="3" t="s">
        <v>2643</v>
      </c>
    </row>
    <row r="2056" spans="1:8" x14ac:dyDescent="0.25">
      <c r="A2056" s="3" t="s">
        <v>6312</v>
      </c>
      <c r="B2056" s="3"/>
      <c r="C2056" s="3" t="str">
        <f>" "</f>
        <v xml:space="preserve"> </v>
      </c>
      <c r="D2056" s="3" t="s">
        <v>9</v>
      </c>
      <c r="E2056" s="3" t="s">
        <v>46</v>
      </c>
      <c r="F2056" s="2"/>
      <c r="G2056" s="3">
        <v>813319</v>
      </c>
      <c r="H2056" s="3" t="s">
        <v>6313</v>
      </c>
    </row>
    <row r="2057" spans="1:8" ht="51.75" x14ac:dyDescent="0.25">
      <c r="A2057" s="3" t="s">
        <v>6314</v>
      </c>
      <c r="B2057" s="3"/>
      <c r="C2057" s="3" t="str">
        <f>"Project management, strategic consulting and fund development for public and private entities. Focus in on the public health and welfare arena."</f>
        <v>Project management, strategic consulting and fund development for public and private entities. Focus in on the public health and welfare arena.</v>
      </c>
      <c r="D2057" s="3" t="s">
        <v>6315</v>
      </c>
      <c r="E2057" s="3" t="s">
        <v>6316</v>
      </c>
      <c r="F2057" s="3" t="str">
        <f>"317-423-1770"</f>
        <v>317-423-1770</v>
      </c>
      <c r="G2057" s="3">
        <v>541611</v>
      </c>
      <c r="H2057" s="3" t="s">
        <v>278</v>
      </c>
    </row>
    <row r="2058" spans="1:8" ht="115.5" x14ac:dyDescent="0.25">
      <c r="A2058" s="3" t="s">
        <v>6317</v>
      </c>
      <c r="B2058" s="3"/>
      <c r="C2058" s="3" t="s">
        <v>6318</v>
      </c>
      <c r="D2058" s="3" t="s">
        <v>6319</v>
      </c>
      <c r="E2058" s="3" t="s">
        <v>6320</v>
      </c>
      <c r="F2058" s="3" t="str">
        <f>"219/736-2810"</f>
        <v>219/736-2810</v>
      </c>
      <c r="G2058" s="3">
        <v>531390</v>
      </c>
      <c r="H2058" s="3" t="s">
        <v>623</v>
      </c>
    </row>
    <row r="2059" spans="1:8" ht="26.25" x14ac:dyDescent="0.25">
      <c r="A2059" s="3" t="s">
        <v>6321</v>
      </c>
      <c r="B2059" s="3"/>
      <c r="C2059" s="3" t="str">
        <f>"We provide all sorts of business consulting opportunities"</f>
        <v>We provide all sorts of business consulting opportunities</v>
      </c>
      <c r="D2059" s="3" t="s">
        <v>9</v>
      </c>
      <c r="E2059" s="3" t="s">
        <v>6322</v>
      </c>
      <c r="F2059" s="3" t="str">
        <f>"317-581-5355"</f>
        <v>317-581-5355</v>
      </c>
      <c r="G2059" s="3">
        <v>541614</v>
      </c>
      <c r="H2059" s="3" t="s">
        <v>107</v>
      </c>
    </row>
    <row r="2060" spans="1:8" ht="26.25" x14ac:dyDescent="0.25">
      <c r="A2060" s="3" t="s">
        <v>6321</v>
      </c>
      <c r="B2060" s="3"/>
      <c r="C2060" s="3" t="str">
        <f>"Community Visions, Inc. specializes in Project Management and development."</f>
        <v>Community Visions, Inc. specializes in Project Management and development.</v>
      </c>
      <c r="D2060" s="3" t="s">
        <v>9</v>
      </c>
      <c r="E2060" s="3" t="s">
        <v>46</v>
      </c>
      <c r="F2060" s="3" t="str">
        <f>"317-581-5355"</f>
        <v>317-581-5355</v>
      </c>
      <c r="G2060" s="3">
        <v>541611</v>
      </c>
      <c r="H2060" s="3" t="s">
        <v>278</v>
      </c>
    </row>
    <row r="2061" spans="1:8" ht="128.25" x14ac:dyDescent="0.25">
      <c r="A2061" s="3" t="s">
        <v>6323</v>
      </c>
      <c r="B2061" s="3"/>
      <c r="C2061" s="3" t="s">
        <v>6324</v>
      </c>
      <c r="D2061" s="3" t="s">
        <v>6325</v>
      </c>
      <c r="E2061" s="3" t="s">
        <v>6326</v>
      </c>
      <c r="F2061" s="3" t="str">
        <f>"317-594-7602"</f>
        <v>317-594-7602</v>
      </c>
      <c r="G2061" s="3">
        <v>443120</v>
      </c>
      <c r="H2061" s="3" t="s">
        <v>609</v>
      </c>
    </row>
    <row r="2062" spans="1:8" ht="26.25" x14ac:dyDescent="0.25">
      <c r="A2062" s="3" t="s">
        <v>6327</v>
      </c>
      <c r="B2062" s="3"/>
      <c r="C2062" s="3" t="str">
        <f>"Providing medical and surgical care and boarding for dogs, cats, and exotic pets"</f>
        <v>Providing medical and surgical care and boarding for dogs, cats, and exotic pets</v>
      </c>
      <c r="D2062" s="3" t="s">
        <v>6328</v>
      </c>
      <c r="E2062" s="3" t="s">
        <v>6329</v>
      </c>
      <c r="F2062" s="3" t="str">
        <f>"317-887-8387"</f>
        <v>317-887-8387</v>
      </c>
      <c r="G2062" s="3">
        <v>541940</v>
      </c>
      <c r="H2062" s="3" t="s">
        <v>593</v>
      </c>
    </row>
    <row r="2063" spans="1:8" ht="39" x14ac:dyDescent="0.25">
      <c r="A2063" s="3" t="s">
        <v>6330</v>
      </c>
      <c r="B2063" s="3"/>
      <c r="C2063" s="3" t="str">
        <f>"Social Services Administrative Management and General Management Consulting Services"</f>
        <v>Social Services Administrative Management and General Management Consulting Services</v>
      </c>
      <c r="D2063" s="3" t="s">
        <v>9</v>
      </c>
      <c r="E2063" s="3" t="s">
        <v>6331</v>
      </c>
      <c r="F2063" s="3" t="str">
        <f>"5746070247"</f>
        <v>5746070247</v>
      </c>
      <c r="G2063" s="3">
        <v>541611</v>
      </c>
      <c r="H2063" s="3" t="s">
        <v>278</v>
      </c>
    </row>
    <row r="2064" spans="1:8" ht="64.5" x14ac:dyDescent="0.25">
      <c r="A2064" s="3" t="s">
        <v>6332</v>
      </c>
      <c r="B2064" s="3"/>
      <c r="C2064" s="3" t="str">
        <f>"CAS LLC is an engineering services company specializing in Facilities, Utilities, and Steel Structure maintenance. The firm has special emphasis on HVAC design and testing along with steel structure coating inspection."</f>
        <v>CAS LLC is an engineering services company specializing in Facilities, Utilities, and Steel Structure maintenance. The firm has special emphasis on HVAC design and testing along with steel structure coating inspection.</v>
      </c>
      <c r="D2064" s="3" t="s">
        <v>9</v>
      </c>
      <c r="E2064" s="3" t="s">
        <v>6333</v>
      </c>
      <c r="F2064" s="3" t="str">
        <f>"317-582-1319"</f>
        <v>317-582-1319</v>
      </c>
      <c r="G2064" s="3">
        <v>541611</v>
      </c>
      <c r="H2064" s="3" t="s">
        <v>278</v>
      </c>
    </row>
    <row r="2065" spans="1:8" ht="64.5" x14ac:dyDescent="0.25">
      <c r="A2065" s="3" t="s">
        <v>6334</v>
      </c>
      <c r="B2065" s="3"/>
      <c r="C2065" s="3" t="str">
        <f>"Complete Building Programs can completely renovate a property from the chimney to the basement, including the lawn including sprinkling systems and landscape. We do both residential and commercial projects."</f>
        <v>Complete Building Programs can completely renovate a property from the chimney to the basement, including the lawn including sprinkling systems and landscape. We do both residential and commercial projects.</v>
      </c>
      <c r="D2065" s="3" t="s">
        <v>9</v>
      </c>
      <c r="E2065" s="3" t="s">
        <v>6335</v>
      </c>
      <c r="F2065" s="3" t="str">
        <f>"574-217-7620"</f>
        <v>574-217-7620</v>
      </c>
      <c r="G2065" s="3">
        <v>236118</v>
      </c>
      <c r="H2065" s="3" t="s">
        <v>465</v>
      </c>
    </row>
    <row r="2066" spans="1:8" ht="64.5" x14ac:dyDescent="0.25">
      <c r="A2066" s="3" t="s">
        <v>6336</v>
      </c>
      <c r="B2066" s="3"/>
      <c r="C2066" s="3" t="str">
        <f>"Computer sales, service, telephone systems, networking including routers, VPN and firewalls. Experienced in Auto Dealerships, Service Companies, Local Government, and Small Business computer/IT needs."</f>
        <v>Computer sales, service, telephone systems, networking including routers, VPN and firewalls. Experienced in Auto Dealerships, Service Companies, Local Government, and Small Business computer/IT needs.</v>
      </c>
      <c r="D2066" s="3" t="s">
        <v>6337</v>
      </c>
      <c r="E2066" s="3" t="s">
        <v>6338</v>
      </c>
      <c r="F2066" s="3" t="str">
        <f>"219-374-6605"</f>
        <v>219-374-6605</v>
      </c>
      <c r="G2066" s="3">
        <v>541512</v>
      </c>
      <c r="H2066" s="3" t="s">
        <v>19</v>
      </c>
    </row>
    <row r="2067" spans="1:8" ht="39" x14ac:dyDescent="0.25">
      <c r="A2067" s="3" t="s">
        <v>6339</v>
      </c>
      <c r="B2067" s="3"/>
      <c r="C2067" s="3" t="str">
        <f>"Supply and install tile, carpet, vinyl, stone, etc. for commercial and government buildings."</f>
        <v>Supply and install tile, carpet, vinyl, stone, etc. for commercial and government buildings.</v>
      </c>
      <c r="D2067" s="3" t="s">
        <v>6340</v>
      </c>
      <c r="E2067" s="3" t="s">
        <v>46</v>
      </c>
      <c r="F2067" s="3" t="str">
        <f>"2607243200"</f>
        <v>2607243200</v>
      </c>
      <c r="G2067" s="3">
        <v>23543</v>
      </c>
      <c r="H2067" s="3" t="s">
        <v>6341</v>
      </c>
    </row>
    <row r="2068" spans="1:8" ht="102.75" x14ac:dyDescent="0.25">
      <c r="A2068" s="3" t="s">
        <v>6342</v>
      </c>
      <c r="B2068" s="3"/>
      <c r="C2068" s="3" t="s">
        <v>6343</v>
      </c>
      <c r="D2068" s="3" t="s">
        <v>6344</v>
      </c>
      <c r="E2068" s="3" t="s">
        <v>6345</v>
      </c>
      <c r="F2068" s="3" t="str">
        <f>"317-845-1950"</f>
        <v>317-845-1950</v>
      </c>
      <c r="G2068" s="3">
        <v>424120</v>
      </c>
      <c r="H2068" s="3" t="s">
        <v>411</v>
      </c>
    </row>
    <row r="2069" spans="1:8" ht="204.75" x14ac:dyDescent="0.25">
      <c r="A2069" s="3" t="s">
        <v>6346</v>
      </c>
      <c r="B2069" s="3"/>
      <c r="C2069" s="3" t="s">
        <v>6347</v>
      </c>
      <c r="D2069" s="3" t="s">
        <v>6348</v>
      </c>
      <c r="E2069" s="3" t="s">
        <v>6349</v>
      </c>
      <c r="F2069" s="3" t="str">
        <f>"219-961-2341"</f>
        <v>219-961-2341</v>
      </c>
      <c r="G2069" s="3">
        <v>488490</v>
      </c>
      <c r="H2069" s="3" t="s">
        <v>4862</v>
      </c>
    </row>
    <row r="2070" spans="1:8" ht="39" x14ac:dyDescent="0.25">
      <c r="A2070" s="3" t="s">
        <v>6350</v>
      </c>
      <c r="B2070" s="3"/>
      <c r="C2070" s="3" t="str">
        <f>"Real Estate including land acquisition for eminent domain right of way services and easements"</f>
        <v>Real Estate including land acquisition for eminent domain right of way services and easements</v>
      </c>
      <c r="D2070" s="3" t="s">
        <v>9</v>
      </c>
      <c r="E2070" s="3" t="s">
        <v>6351</v>
      </c>
      <c r="F2070" s="3" t="str">
        <f>"3175077524"</f>
        <v>3175077524</v>
      </c>
      <c r="G2070" s="3">
        <v>531</v>
      </c>
      <c r="H2070" s="3" t="s">
        <v>74</v>
      </c>
    </row>
    <row r="2071" spans="1:8" ht="26.25" x14ac:dyDescent="0.25">
      <c r="A2071" s="3" t="s">
        <v>6352</v>
      </c>
      <c r="B2071" s="3"/>
      <c r="C2071" s="3" t="str">
        <f>"psychological services"</f>
        <v>psychological services</v>
      </c>
      <c r="D2071" s="3" t="s">
        <v>9</v>
      </c>
      <c r="E2071" s="3" t="s">
        <v>6353</v>
      </c>
      <c r="F2071" s="3" t="str">
        <f>"765-446-0533"</f>
        <v>765-446-0533</v>
      </c>
      <c r="G2071" s="3">
        <v>621112</v>
      </c>
      <c r="H2071" s="3" t="s">
        <v>1112</v>
      </c>
    </row>
    <row r="2072" spans="1:8" ht="26.25" x14ac:dyDescent="0.25">
      <c r="A2072" s="3" t="s">
        <v>6354</v>
      </c>
      <c r="B2072" s="3"/>
      <c r="C2072" s="3" t="str">
        <f>"neurosurgeon"</f>
        <v>neurosurgeon</v>
      </c>
      <c r="D2072" s="3" t="s">
        <v>6355</v>
      </c>
      <c r="E2072" s="3" t="s">
        <v>46</v>
      </c>
      <c r="F2072" s="3" t="str">
        <f>"812-375-0000"</f>
        <v>812-375-0000</v>
      </c>
      <c r="G2072" s="3">
        <v>621111</v>
      </c>
      <c r="H2072" s="3" t="s">
        <v>2002</v>
      </c>
    </row>
    <row r="2073" spans="1:8" ht="26.25" x14ac:dyDescent="0.25">
      <c r="A2073" s="3" t="s">
        <v>6356</v>
      </c>
      <c r="B2073" s="3"/>
      <c r="C2073" s="3" t="str">
        <f>" "</f>
        <v xml:space="preserve"> </v>
      </c>
      <c r="D2073" s="3" t="s">
        <v>9</v>
      </c>
      <c r="E2073" s="3" t="s">
        <v>46</v>
      </c>
      <c r="F2073" s="2"/>
      <c r="G2073" s="3">
        <v>621399</v>
      </c>
      <c r="H2073" s="3" t="s">
        <v>2306</v>
      </c>
    </row>
    <row r="2074" spans="1:8" ht="141" x14ac:dyDescent="0.25">
      <c r="A2074" s="3" t="s">
        <v>6357</v>
      </c>
      <c r="B2074" s="3"/>
      <c r="C2074" s="3" t="s">
        <v>6358</v>
      </c>
      <c r="D2074" s="3" t="s">
        <v>125</v>
      </c>
      <c r="E2074" s="3" t="s">
        <v>6359</v>
      </c>
      <c r="F2074" s="3" t="str">
        <f>"877-328-3248"</f>
        <v>877-328-3248</v>
      </c>
      <c r="G2074" s="3">
        <v>423430</v>
      </c>
      <c r="H2074" s="3" t="s">
        <v>127</v>
      </c>
    </row>
    <row r="2075" spans="1:8" ht="115.5" x14ac:dyDescent="0.25">
      <c r="A2075" s="3" t="s">
        <v>6360</v>
      </c>
      <c r="B2075" s="3"/>
      <c r="C2075" s="3" t="s">
        <v>6361</v>
      </c>
      <c r="D2075" s="3" t="s">
        <v>6362</v>
      </c>
      <c r="E2075" s="3" t="s">
        <v>6363</v>
      </c>
      <c r="F2075" s="3" t="str">
        <f>"888-477-4550"</f>
        <v>888-477-4550</v>
      </c>
      <c r="G2075" s="3">
        <v>541519</v>
      </c>
      <c r="H2075" s="3" t="s">
        <v>898</v>
      </c>
    </row>
    <row r="2076" spans="1:8" ht="51.75" x14ac:dyDescent="0.25">
      <c r="A2076" s="3" t="s">
        <v>6364</v>
      </c>
      <c r="B2076" s="3"/>
      <c r="C2076" s="3" t="str">
        <f>"Computer Chat LLC provides computer support, training, quality assurance, software testing and technical writing for companies of Indiana."</f>
        <v>Computer Chat LLC provides computer support, training, quality assurance, software testing and technical writing for companies of Indiana.</v>
      </c>
      <c r="D2076" s="3" t="s">
        <v>9</v>
      </c>
      <c r="E2076" s="3" t="s">
        <v>6365</v>
      </c>
      <c r="F2076" s="3" t="str">
        <f>"7654250873"</f>
        <v>7654250873</v>
      </c>
      <c r="G2076" s="3">
        <v>541511</v>
      </c>
      <c r="H2076" s="3" t="s">
        <v>122</v>
      </c>
    </row>
    <row r="2077" spans="1:8" ht="90" x14ac:dyDescent="0.25">
      <c r="A2077" s="3" t="s">
        <v>6364</v>
      </c>
      <c r="B2077" s="3"/>
      <c r="C2077" s="3" t="s">
        <v>6366</v>
      </c>
      <c r="D2077" s="3" t="s">
        <v>9</v>
      </c>
      <c r="E2077" s="3" t="s">
        <v>6365</v>
      </c>
      <c r="F2077" s="3" t="str">
        <f>"765-425-0873"</f>
        <v>765-425-0873</v>
      </c>
      <c r="G2077" s="3">
        <v>611</v>
      </c>
      <c r="H2077" s="3" t="s">
        <v>140</v>
      </c>
    </row>
    <row r="2078" spans="1:8" ht="64.5" x14ac:dyDescent="0.25">
      <c r="A2078" s="3" t="s">
        <v>6367</v>
      </c>
      <c r="B2078" s="3"/>
      <c r="C2078" s="3" t="str">
        <f>"Repair and maintenance of computer and computer related equipment. Including workstation, printer, software onsite and inhouse. Also component level repair of monitors."</f>
        <v>Repair and maintenance of computer and computer related equipment. Including workstation, printer, software onsite and inhouse. Also component level repair of monitors.</v>
      </c>
      <c r="D2078" s="3" t="s">
        <v>6368</v>
      </c>
      <c r="E2078" s="3" t="s">
        <v>6369</v>
      </c>
      <c r="F2078" s="3" t="str">
        <f>"3172488700"</f>
        <v>3172488700</v>
      </c>
      <c r="G2078" s="3">
        <v>811</v>
      </c>
      <c r="H2078" s="3" t="s">
        <v>816</v>
      </c>
    </row>
    <row r="2079" spans="1:8" ht="77.25" x14ac:dyDescent="0.25">
      <c r="A2079" s="3" t="s">
        <v>6370</v>
      </c>
      <c r="B2079" s="3"/>
      <c r="C2079" s="3" t="str">
        <f>"Computer Source North America's main core competency is technical field support services. We service a wide array of computer equipment handling everything from new installations to on-site troubleshooting and repair."</f>
        <v>Computer Source North America's main core competency is technical field support services. We service a wide array of computer equipment handling everything from new installations to on-site troubleshooting and repair.</v>
      </c>
      <c r="D2079" s="3" t="s">
        <v>6371</v>
      </c>
      <c r="E2079" s="3" t="s">
        <v>6372</v>
      </c>
      <c r="F2079" s="3" t="str">
        <f>"8126897000"</f>
        <v>8126897000</v>
      </c>
      <c r="G2079" s="3">
        <v>54151</v>
      </c>
      <c r="H2079" s="3" t="s">
        <v>188</v>
      </c>
    </row>
    <row r="2080" spans="1:8" ht="90" x14ac:dyDescent="0.25">
      <c r="A2080" s="3" t="s">
        <v>6373</v>
      </c>
      <c r="B2080" s="3"/>
      <c r="C2080" s="3" t="s">
        <v>6374</v>
      </c>
      <c r="D2080" s="3" t="s">
        <v>6375</v>
      </c>
      <c r="E2080" s="3" t="s">
        <v>6376</v>
      </c>
      <c r="F2080" s="3" t="str">
        <f>"866-277-9058"</f>
        <v>866-277-9058</v>
      </c>
      <c r="G2080" s="3">
        <v>42143</v>
      </c>
      <c r="H2080" s="3" t="s">
        <v>6377</v>
      </c>
    </row>
    <row r="2081" spans="1:8" ht="90" x14ac:dyDescent="0.25">
      <c r="A2081" s="3" t="s">
        <v>6378</v>
      </c>
      <c r="B2081" s="3"/>
      <c r="C2081" s="3" t="s">
        <v>6379</v>
      </c>
      <c r="D2081" s="3" t="s">
        <v>6380</v>
      </c>
      <c r="E2081" s="3" t="s">
        <v>6381</v>
      </c>
      <c r="F2081" s="3" t="str">
        <f>"3174899150"</f>
        <v>3174899150</v>
      </c>
      <c r="G2081" s="3">
        <v>54151</v>
      </c>
      <c r="H2081" s="3" t="s">
        <v>188</v>
      </c>
    </row>
    <row r="2082" spans="1:8" ht="39" x14ac:dyDescent="0.25">
      <c r="A2082" s="3" t="s">
        <v>6382</v>
      </c>
      <c r="B2082" s="3"/>
      <c r="C2082" s="3" t="str">
        <f>"General contractor for commercial and residential needs from new construction to remodeling. Professional and affordable."</f>
        <v>General contractor for commercial and residential needs from new construction to remodeling. Professional and affordable.</v>
      </c>
      <c r="D2082" s="3" t="s">
        <v>6383</v>
      </c>
      <c r="E2082" s="3" t="s">
        <v>6384</v>
      </c>
      <c r="F2082" s="3" t="str">
        <f>"765-245-2199"</f>
        <v>765-245-2199</v>
      </c>
      <c r="G2082" s="3">
        <v>23</v>
      </c>
      <c r="H2082" s="3" t="s">
        <v>133</v>
      </c>
    </row>
    <row r="2083" spans="1:8" ht="319.5" x14ac:dyDescent="0.25">
      <c r="A2083" s="3" t="s">
        <v>6385</v>
      </c>
      <c r="B2083" s="3"/>
      <c r="C2083" s="3" t="s">
        <v>6386</v>
      </c>
      <c r="D2083" s="3" t="s">
        <v>6387</v>
      </c>
      <c r="E2083" s="3" t="s">
        <v>6388</v>
      </c>
      <c r="F2083" s="3" t="str">
        <f>"800-899-1860"</f>
        <v>800-899-1860</v>
      </c>
      <c r="G2083" s="3">
        <v>541512</v>
      </c>
      <c r="H2083" s="3" t="s">
        <v>19</v>
      </c>
    </row>
    <row r="2084" spans="1:8" ht="153.75" x14ac:dyDescent="0.25">
      <c r="A2084" s="3" t="s">
        <v>6389</v>
      </c>
      <c r="B2084" s="3"/>
      <c r="C2084" s="3" t="s">
        <v>6390</v>
      </c>
      <c r="D2084" s="3" t="s">
        <v>9</v>
      </c>
      <c r="E2084" s="3" t="s">
        <v>6391</v>
      </c>
      <c r="F2084" s="3" t="str">
        <f>"(219) 322-2221"</f>
        <v>(219) 322-2221</v>
      </c>
      <c r="G2084" s="3">
        <v>5191</v>
      </c>
      <c r="H2084" s="3" t="s">
        <v>1455</v>
      </c>
    </row>
    <row r="2085" spans="1:8" ht="319.5" x14ac:dyDescent="0.25">
      <c r="A2085" s="3" t="s">
        <v>6392</v>
      </c>
      <c r="B2085" s="3"/>
      <c r="C2085" s="3" t="s">
        <v>6393</v>
      </c>
      <c r="D2085" s="3" t="s">
        <v>6394</v>
      </c>
      <c r="E2085" s="3" t="s">
        <v>46</v>
      </c>
      <c r="F2085" s="3" t="str">
        <f>"800-800-5525"</f>
        <v>800-800-5525</v>
      </c>
      <c r="G2085" s="3">
        <v>541710</v>
      </c>
      <c r="H2085" s="3" t="s">
        <v>3733</v>
      </c>
    </row>
    <row r="2086" spans="1:8" ht="26.25" x14ac:dyDescent="0.25">
      <c r="A2086" s="3" t="s">
        <v>6395</v>
      </c>
      <c r="B2086" s="3"/>
      <c r="C2086" s="3" t="str">
        <f>"Uniform and apparel manufacturers."</f>
        <v>Uniform and apparel manufacturers.</v>
      </c>
      <c r="D2086" s="3" t="s">
        <v>6396</v>
      </c>
      <c r="E2086" s="3" t="s">
        <v>6397</v>
      </c>
      <c r="F2086" s="3" t="str">
        <f>"219-929-1397"</f>
        <v>219-929-1397</v>
      </c>
      <c r="G2086" s="3">
        <v>315</v>
      </c>
      <c r="H2086" s="3" t="s">
        <v>3603</v>
      </c>
    </row>
    <row r="2087" spans="1:8" x14ac:dyDescent="0.25">
      <c r="A2087" s="3" t="s">
        <v>6398</v>
      </c>
      <c r="B2087" s="3"/>
      <c r="C2087" s="3" t="str">
        <f>"Plastic Injection Mold Builder"</f>
        <v>Plastic Injection Mold Builder</v>
      </c>
      <c r="D2087" s="3" t="s">
        <v>9</v>
      </c>
      <c r="E2087" s="3" t="s">
        <v>46</v>
      </c>
      <c r="F2087" s="2"/>
      <c r="G2087" s="3">
        <v>333511</v>
      </c>
      <c r="H2087" s="3" t="s">
        <v>3016</v>
      </c>
    </row>
    <row r="2088" spans="1:8" ht="217.5" x14ac:dyDescent="0.25">
      <c r="A2088" s="3" t="s">
        <v>6399</v>
      </c>
      <c r="B2088" s="3"/>
      <c r="C2088" s="3" t="s">
        <v>6400</v>
      </c>
      <c r="D2088" s="3" t="s">
        <v>6401</v>
      </c>
      <c r="E2088" s="3" t="s">
        <v>6402</v>
      </c>
      <c r="F2088" s="3" t="str">
        <f>"317-428-6543"</f>
        <v>317-428-6543</v>
      </c>
      <c r="G2088" s="3">
        <v>237110</v>
      </c>
      <c r="H2088" s="3" t="s">
        <v>901</v>
      </c>
    </row>
    <row r="2089" spans="1:8" ht="26.25" x14ac:dyDescent="0.25">
      <c r="A2089" s="3" t="s">
        <v>6403</v>
      </c>
      <c r="B2089" s="3"/>
      <c r="C2089" s="3" t="str">
        <f>"We are a neighborhood center providing social services as well as child care."</f>
        <v>We are a neighborhood center providing social services as well as child care.</v>
      </c>
      <c r="D2089" s="3" t="s">
        <v>6404</v>
      </c>
      <c r="E2089" s="3" t="s">
        <v>46</v>
      </c>
      <c r="F2089" s="3" t="str">
        <f>"317-637-4376"</f>
        <v>317-637-4376</v>
      </c>
      <c r="G2089" s="3">
        <v>6242</v>
      </c>
      <c r="H2089" s="3" t="s">
        <v>1946</v>
      </c>
    </row>
    <row r="2090" spans="1:8" ht="39" x14ac:dyDescent="0.25">
      <c r="A2090" s="3" t="s">
        <v>6405</v>
      </c>
      <c r="B2090" s="3"/>
      <c r="C2090" s="3" t="str">
        <f>"We do all types of concrete flatwork. Standard to custom,small and big.Give us a call today for a free bid or estimate."</f>
        <v>We do all types of concrete flatwork. Standard to custom,small and big.Give us a call today for a free bid or estimate.</v>
      </c>
      <c r="D2090" s="3" t="s">
        <v>9</v>
      </c>
      <c r="E2090" s="3" t="s">
        <v>6406</v>
      </c>
      <c r="F2090" s="3" t="str">
        <f>"219-662-7468"</f>
        <v>219-662-7468</v>
      </c>
      <c r="G2090" s="3">
        <v>238990</v>
      </c>
      <c r="H2090" s="3" t="s">
        <v>481</v>
      </c>
    </row>
    <row r="2091" spans="1:8" ht="26.25" x14ac:dyDescent="0.25">
      <c r="A2091" s="3" t="s">
        <v>6407</v>
      </c>
      <c r="B2091" s="3"/>
      <c r="C2091" s="3" t="str">
        <f>"Travel agency services for both business travel and individual vacation travel."</f>
        <v>Travel agency services for both business travel and individual vacation travel.</v>
      </c>
      <c r="D2091" s="3" t="s">
        <v>6408</v>
      </c>
      <c r="E2091" s="3" t="s">
        <v>6409</v>
      </c>
      <c r="F2091" s="3" t="str">
        <f>"260-434-6600"</f>
        <v>260-434-6600</v>
      </c>
      <c r="G2091" s="3">
        <v>561510</v>
      </c>
      <c r="H2091" s="3" t="s">
        <v>288</v>
      </c>
    </row>
    <row r="2092" spans="1:8" ht="51.75" x14ac:dyDescent="0.25">
      <c r="A2092" s="3" t="s">
        <v>6410</v>
      </c>
      <c r="B2092" s="3"/>
      <c r="C2092" s="3" t="str">
        <f>"Confluence Dynamics specializes in implementing sustainability programs for our clients and driving savings through energy, water and material use efficiencies."</f>
        <v>Confluence Dynamics specializes in implementing sustainability programs for our clients and driving savings through energy, water and material use efficiencies.</v>
      </c>
      <c r="D2092" s="3" t="s">
        <v>6411</v>
      </c>
      <c r="E2092" s="3" t="s">
        <v>6412</v>
      </c>
      <c r="F2092" s="3" t="str">
        <f>"317.450.3813"</f>
        <v>317.450.3813</v>
      </c>
      <c r="G2092" s="3">
        <v>541611</v>
      </c>
      <c r="H2092" s="3" t="s">
        <v>278</v>
      </c>
    </row>
    <row r="2093" spans="1:8" ht="128.25" x14ac:dyDescent="0.25">
      <c r="A2093" s="3" t="s">
        <v>6413</v>
      </c>
      <c r="B2093" s="3"/>
      <c r="C2093" s="3" t="s">
        <v>6414</v>
      </c>
      <c r="D2093" s="3" t="s">
        <v>6415</v>
      </c>
      <c r="E2093" s="3" t="s">
        <v>6416</v>
      </c>
      <c r="F2093" s="3" t="str">
        <f>"(317) 876-0064"</f>
        <v>(317) 876-0064</v>
      </c>
      <c r="G2093" s="3">
        <v>541330</v>
      </c>
      <c r="H2093" s="3" t="s">
        <v>82</v>
      </c>
    </row>
    <row r="2094" spans="1:8" ht="39" x14ac:dyDescent="0.25">
      <c r="A2094" s="3" t="s">
        <v>6417</v>
      </c>
      <c r="B2094" s="3"/>
      <c r="C2094" s="3" t="str">
        <f>"Distribution of videoscopes used for visual inspection in industrial situations, such as, aircraft engines, piping, castings, etc."</f>
        <v>Distribution of videoscopes used for visual inspection in industrial situations, such as, aircraft engines, piping, castings, etc.</v>
      </c>
      <c r="D2094" s="3" t="s">
        <v>9</v>
      </c>
      <c r="E2094" s="3" t="s">
        <v>6418</v>
      </c>
      <c r="F2094" s="3" t="str">
        <f>"219-787-5092"</f>
        <v>219-787-5092</v>
      </c>
      <c r="G2094" s="3">
        <v>423490</v>
      </c>
      <c r="H2094" s="3" t="s">
        <v>1510</v>
      </c>
    </row>
    <row r="2095" spans="1:8" ht="64.5" x14ac:dyDescent="0.25">
      <c r="A2095" s="3" t="s">
        <v>6419</v>
      </c>
      <c r="B2095" s="3"/>
      <c r="C2095" s="3" t="str">
        <f>"Connect 5, Inc. is a Master Solution Provider specializing in AT&amp;T services. We provide consulting services and sales for emerging technologies such as BVOIP, MPLS and Ethernet products."</f>
        <v>Connect 5, Inc. is a Master Solution Provider specializing in AT&amp;T services. We provide consulting services and sales for emerging technologies such as BVOIP, MPLS and Ethernet products.</v>
      </c>
      <c r="D2095" s="3" t="s">
        <v>6420</v>
      </c>
      <c r="E2095" s="3" t="s">
        <v>6421</v>
      </c>
      <c r="F2095" s="3" t="str">
        <f>"317-710-0463"</f>
        <v>317-710-0463</v>
      </c>
      <c r="G2095" s="3">
        <v>5133</v>
      </c>
      <c r="H2095" s="3" t="s">
        <v>682</v>
      </c>
    </row>
    <row r="2096" spans="1:8" ht="128.25" x14ac:dyDescent="0.25">
      <c r="A2096" s="3" t="s">
        <v>6422</v>
      </c>
      <c r="B2096" s="3"/>
      <c r="C2096" s="3" t="s">
        <v>6423</v>
      </c>
      <c r="D2096" s="3" t="s">
        <v>6424</v>
      </c>
      <c r="E2096" s="3" t="s">
        <v>6425</v>
      </c>
      <c r="F2096" s="3" t="str">
        <f>"812-491-6036"</f>
        <v>812-491-6036</v>
      </c>
      <c r="G2096" s="3">
        <v>81331</v>
      </c>
      <c r="H2096" s="3" t="s">
        <v>5487</v>
      </c>
    </row>
    <row r="2097" spans="1:8" ht="26.25" x14ac:dyDescent="0.25">
      <c r="A2097" s="3" t="s">
        <v>6426</v>
      </c>
      <c r="B2097" s="3"/>
      <c r="C2097" s="3" t="str">
        <f>"Sign Language Interpreting for the deaf and hard of hearing."</f>
        <v>Sign Language Interpreting for the deaf and hard of hearing.</v>
      </c>
      <c r="D2097" s="3" t="s">
        <v>6427</v>
      </c>
      <c r="E2097" s="3" t="s">
        <v>6428</v>
      </c>
      <c r="F2097" s="3" t="str">
        <f>"8124916036"</f>
        <v>8124916036</v>
      </c>
      <c r="G2097" s="3">
        <v>541930</v>
      </c>
      <c r="H2097" s="3" t="s">
        <v>971</v>
      </c>
    </row>
    <row r="2098" spans="1:8" ht="77.25" x14ac:dyDescent="0.25">
      <c r="A2098" s="3" t="s">
        <v>6429</v>
      </c>
      <c r="B2098" s="3"/>
      <c r="C2098" s="3" t="str">
        <f>"Connections provides behavioral health and mentoring services to children, teens, and adults. We offer psychotherapy and diagnostic evaluation services. Employer assistance programs also available to mee the mental health needs of their workforce."</f>
        <v>Connections provides behavioral health and mentoring services to children, teens, and adults. We offer psychotherapy and diagnostic evaluation services. Employer assistance programs also available to mee the mental health needs of their workforce.</v>
      </c>
      <c r="D2098" s="3" t="s">
        <v>6430</v>
      </c>
      <c r="E2098" s="3" t="s">
        <v>6431</v>
      </c>
      <c r="F2098" s="3" t="str">
        <f>"3174231000"</f>
        <v>3174231000</v>
      </c>
      <c r="G2098" s="3">
        <v>621112</v>
      </c>
      <c r="H2098" s="3" t="s">
        <v>1112</v>
      </c>
    </row>
    <row r="2099" spans="1:8" ht="115.5" x14ac:dyDescent="0.25">
      <c r="A2099" s="3" t="s">
        <v>6432</v>
      </c>
      <c r="B2099" s="3"/>
      <c r="C2099" s="3" t="s">
        <v>6433</v>
      </c>
      <c r="D2099" s="3" t="s">
        <v>6434</v>
      </c>
      <c r="E2099" s="3" t="s">
        <v>6435</v>
      </c>
      <c r="F2099" s="3" t="str">
        <f>"812-526-8801"</f>
        <v>812-526-8801</v>
      </c>
      <c r="G2099" s="3">
        <v>334417</v>
      </c>
      <c r="H2099" s="3" t="s">
        <v>6436</v>
      </c>
    </row>
    <row r="2100" spans="1:8" ht="64.5" x14ac:dyDescent="0.25">
      <c r="A2100" s="3" t="s">
        <v>6437</v>
      </c>
      <c r="B2100" s="3"/>
      <c r="C2100" s="3" t="str">
        <f>"Distributor of advertising specialty and promotional items as well as executive gifts, food gifts, custom decorated wearable items and more. If you have seen it, odds are we sell it...."</f>
        <v>Distributor of advertising specialty and promotional items as well as executive gifts, food gifts, custom decorated wearable items and more. If you have seen it, odds are we sell it....</v>
      </c>
      <c r="D2100" s="3" t="s">
        <v>6438</v>
      </c>
      <c r="E2100" s="3" t="s">
        <v>6439</v>
      </c>
      <c r="F2100" s="3" t="str">
        <f>"317-888-4252"</f>
        <v>317-888-4252</v>
      </c>
      <c r="G2100" s="3">
        <v>5418</v>
      </c>
      <c r="H2100" s="3" t="s">
        <v>1337</v>
      </c>
    </row>
    <row r="2101" spans="1:8" ht="26.25" x14ac:dyDescent="0.25">
      <c r="A2101" s="3" t="s">
        <v>6440</v>
      </c>
      <c r="B2101" s="3"/>
      <c r="C2101" s="3" t="str">
        <f>"Retail floorcovering business"</f>
        <v>Retail floorcovering business</v>
      </c>
      <c r="D2101" s="3" t="s">
        <v>9</v>
      </c>
      <c r="E2101" s="3" t="s">
        <v>6441</v>
      </c>
      <c r="F2101" s="3" t="str">
        <f>"8125473378"</f>
        <v>8125473378</v>
      </c>
      <c r="G2101" s="3">
        <v>23552</v>
      </c>
      <c r="H2101" s="3" t="s">
        <v>955</v>
      </c>
    </row>
    <row r="2102" spans="1:8" ht="64.5" x14ac:dyDescent="0.25">
      <c r="A2102" s="3" t="s">
        <v>6442</v>
      </c>
      <c r="B2102" s="3"/>
      <c r="C2102" s="3" t="str">
        <f>"Conner Insurance places insurance for both property and casualty (Commercial &amp; Personal) and employee benefits plans. We are a third generation agency established in 1949."</f>
        <v>Conner Insurance places insurance for both property and casualty (Commercial &amp; Personal) and employee benefits plans. We are a third generation agency established in 1949.</v>
      </c>
      <c r="D2102" s="3" t="s">
        <v>6443</v>
      </c>
      <c r="E2102" s="3" t="s">
        <v>6444</v>
      </c>
      <c r="F2102" s="3" t="str">
        <f>"3178087711"</f>
        <v>3178087711</v>
      </c>
      <c r="G2102" s="3">
        <v>524210</v>
      </c>
      <c r="H2102" s="3" t="s">
        <v>1183</v>
      </c>
    </row>
    <row r="2103" spans="1:8" ht="39" x14ac:dyDescent="0.25">
      <c r="A2103" s="3" t="s">
        <v>6445</v>
      </c>
      <c r="B2103" s="3"/>
      <c r="C2103" s="3" t="str">
        <f>"Consulting business that provides education and training services, for both public and private sectors"</f>
        <v>Consulting business that provides education and training services, for both public and private sectors</v>
      </c>
      <c r="D2103" s="3" t="s">
        <v>9</v>
      </c>
      <c r="E2103" s="3" t="s">
        <v>6446</v>
      </c>
      <c r="F2103" s="3" t="str">
        <f>"502-445-1941"</f>
        <v>502-445-1941</v>
      </c>
      <c r="G2103" s="3">
        <v>611430</v>
      </c>
      <c r="H2103" s="3" t="s">
        <v>1224</v>
      </c>
    </row>
    <row r="2104" spans="1:8" x14ac:dyDescent="0.25">
      <c r="A2104" s="3" t="s">
        <v>6447</v>
      </c>
      <c r="B2104" s="3"/>
      <c r="C2104" s="2"/>
      <c r="D2104" s="3" t="s">
        <v>9</v>
      </c>
      <c r="E2104" s="3" t="s">
        <v>46</v>
      </c>
      <c r="F2104" s="2"/>
      <c r="G2104" s="3">
        <v>11</v>
      </c>
      <c r="H2104" s="3" t="s">
        <v>175</v>
      </c>
    </row>
    <row r="2105" spans="1:8" ht="141" x14ac:dyDescent="0.25">
      <c r="A2105" s="3" t="s">
        <v>6448</v>
      </c>
      <c r="B2105" s="3"/>
      <c r="C2105" s="3" t="s">
        <v>6449</v>
      </c>
      <c r="D2105" s="3" t="s">
        <v>6450</v>
      </c>
      <c r="E2105" s="3" t="s">
        <v>6451</v>
      </c>
      <c r="F2105" s="3" t="str">
        <f>"(317) 637-0046"</f>
        <v>(317) 637-0046</v>
      </c>
      <c r="G2105" s="3">
        <v>233</v>
      </c>
      <c r="H2105" s="3" t="s">
        <v>131</v>
      </c>
    </row>
    <row r="2106" spans="1:8" ht="77.25" x14ac:dyDescent="0.25">
      <c r="A2106" s="3" t="s">
        <v>6452</v>
      </c>
      <c r="B2106" s="3"/>
      <c r="C2106" s="3" t="str">
        <f>"Connor Fine Painting is a Commercial Painting Contractor (Interior and Exterior serving (primarily) Central Indiana. Additional services include: Wallpaper hanging &amp; stripping, rustproofing, handyman and carpentry."</f>
        <v>Connor Fine Painting is a Commercial Painting Contractor (Interior and Exterior serving (primarily) Central Indiana. Additional services include: Wallpaper hanging &amp; stripping, rustproofing, handyman and carpentry.</v>
      </c>
      <c r="D2106" s="3" t="s">
        <v>6453</v>
      </c>
      <c r="E2106" s="3" t="s">
        <v>6454</v>
      </c>
      <c r="F2106" s="3" t="str">
        <f>"317-423-0000"</f>
        <v>317-423-0000</v>
      </c>
      <c r="G2106" s="3">
        <v>238320</v>
      </c>
      <c r="H2106" s="3" t="s">
        <v>462</v>
      </c>
    </row>
    <row r="2107" spans="1:8" ht="64.5" x14ac:dyDescent="0.25">
      <c r="A2107" s="3" t="s">
        <v>6455</v>
      </c>
      <c r="B2107" s="3"/>
      <c r="C2107" s="3" t="str">
        <f>"Conor-Patrick Insurance Services operates as an insurance agency in central Indiana. Services include development of program solutions for associations and franchise groups."</f>
        <v>Conor-Patrick Insurance Services operates as an insurance agency in central Indiana. Services include development of program solutions for associations and franchise groups.</v>
      </c>
      <c r="D2107" s="3" t="s">
        <v>6456</v>
      </c>
      <c r="E2107" s="3" t="s">
        <v>6457</v>
      </c>
      <c r="F2107" s="3" t="str">
        <f>"317.399.2550"</f>
        <v>317.399.2550</v>
      </c>
      <c r="G2107" s="3">
        <v>52421</v>
      </c>
      <c r="H2107" s="3" t="s">
        <v>1183</v>
      </c>
    </row>
    <row r="2108" spans="1:8" ht="204.75" x14ac:dyDescent="0.25">
      <c r="A2108" s="3" t="s">
        <v>6458</v>
      </c>
      <c r="B2108" s="3"/>
      <c r="C2108" s="3" t="s">
        <v>6459</v>
      </c>
      <c r="D2108" s="3" t="s">
        <v>6460</v>
      </c>
      <c r="E2108" s="3" t="s">
        <v>6461</v>
      </c>
      <c r="F2108" s="3" t="str">
        <f>"8007915921"</f>
        <v>8007915921</v>
      </c>
      <c r="G2108" s="3">
        <v>541511</v>
      </c>
      <c r="H2108" s="3" t="s">
        <v>122</v>
      </c>
    </row>
    <row r="2109" spans="1:8" ht="26.25" x14ac:dyDescent="0.25">
      <c r="A2109" s="3" t="s">
        <v>6462</v>
      </c>
      <c r="B2109" s="3"/>
      <c r="C2109" s="2"/>
      <c r="D2109" s="3" t="s">
        <v>6463</v>
      </c>
      <c r="E2109" s="3" t="s">
        <v>6464</v>
      </c>
      <c r="F2109" s="3" t="str">
        <f>"317-297-6200"</f>
        <v>317-297-6200</v>
      </c>
      <c r="G2109" s="3">
        <v>541330</v>
      </c>
      <c r="H2109" s="3" t="s">
        <v>82</v>
      </c>
    </row>
    <row r="2110" spans="1:8" ht="39" x14ac:dyDescent="0.25">
      <c r="A2110" s="3" t="s">
        <v>6465</v>
      </c>
      <c r="B2110" s="3"/>
      <c r="C2110" s="3" t="str">
        <f>"Electrical Wholesale"</f>
        <v>Electrical Wholesale</v>
      </c>
      <c r="D2110" s="3" t="s">
        <v>6466</v>
      </c>
      <c r="E2110" s="3" t="s">
        <v>6467</v>
      </c>
      <c r="F2110" s="3" t="str">
        <f>"219-879-8357"</f>
        <v>219-879-8357</v>
      </c>
      <c r="G2110" s="3">
        <v>42161</v>
      </c>
      <c r="H2110" s="3" t="s">
        <v>6468</v>
      </c>
    </row>
    <row r="2111" spans="1:8" ht="26.25" x14ac:dyDescent="0.25">
      <c r="A2111" s="3" t="s">
        <v>6465</v>
      </c>
      <c r="B2111" s="3"/>
      <c r="C2111" s="3" t="str">
        <f>"Electrical wholesale"</f>
        <v>Electrical wholesale</v>
      </c>
      <c r="D2111" s="3" t="s">
        <v>6466</v>
      </c>
      <c r="E2111" s="3" t="s">
        <v>6469</v>
      </c>
      <c r="F2111" s="3" t="str">
        <f>"219-879-8357"</f>
        <v>219-879-8357</v>
      </c>
      <c r="G2111" s="3">
        <v>42</v>
      </c>
      <c r="H2111" s="3" t="s">
        <v>674</v>
      </c>
    </row>
    <row r="2112" spans="1:8" ht="39" x14ac:dyDescent="0.25">
      <c r="A2112" s="3" t="s">
        <v>6470</v>
      </c>
      <c r="B2112" s="3"/>
      <c r="C2112" s="3" t="str">
        <f>"Commercial-Industrial Roofing, Residential Roofing, siding, windows, doors and guttering"</f>
        <v>Commercial-Industrial Roofing, Residential Roofing, siding, windows, doors and guttering</v>
      </c>
      <c r="D2112" s="3" t="s">
        <v>9</v>
      </c>
      <c r="E2112" s="3" t="s">
        <v>46</v>
      </c>
      <c r="F2112" s="2"/>
      <c r="G2112" s="3">
        <v>238160</v>
      </c>
      <c r="H2112" s="3" t="s">
        <v>144</v>
      </c>
    </row>
    <row r="2113" spans="1:8" x14ac:dyDescent="0.25">
      <c r="A2113" s="3" t="s">
        <v>6471</v>
      </c>
      <c r="B2113" s="3"/>
      <c r="C2113" s="3" t="str">
        <f>"Manufacturers Representative."</f>
        <v>Manufacturers Representative.</v>
      </c>
      <c r="D2113" s="3" t="s">
        <v>9</v>
      </c>
      <c r="E2113" s="3" t="s">
        <v>46</v>
      </c>
      <c r="F2113" s="2"/>
      <c r="G2113" s="3">
        <v>23599</v>
      </c>
      <c r="H2113" s="3" t="s">
        <v>248</v>
      </c>
    </row>
    <row r="2114" spans="1:8" ht="26.25" x14ac:dyDescent="0.25">
      <c r="A2114" s="3" t="s">
        <v>6472</v>
      </c>
      <c r="B2114" s="3"/>
      <c r="C2114" s="3" t="str">
        <f>"Ammunition and supplies"</f>
        <v>Ammunition and supplies</v>
      </c>
      <c r="D2114" s="3" t="s">
        <v>9</v>
      </c>
      <c r="E2114" s="3" t="s">
        <v>46</v>
      </c>
      <c r="F2114" s="3" t="str">
        <f>"260-482-2666"</f>
        <v>260-482-2666</v>
      </c>
      <c r="G2114" s="3">
        <v>423910</v>
      </c>
      <c r="H2114" s="3" t="s">
        <v>460</v>
      </c>
    </row>
    <row r="2115" spans="1:8" ht="255.75" x14ac:dyDescent="0.25">
      <c r="A2115" s="3" t="s">
        <v>6473</v>
      </c>
      <c r="B2115" s="3"/>
      <c r="C2115" s="3" t="s">
        <v>6474</v>
      </c>
      <c r="D2115" s="3" t="s">
        <v>6475</v>
      </c>
      <c r="E2115" s="3" t="s">
        <v>6476</v>
      </c>
      <c r="F2115" s="3" t="str">
        <f>"3172885330"</f>
        <v>3172885330</v>
      </c>
      <c r="G2115" s="3">
        <v>238160</v>
      </c>
      <c r="H2115" s="3" t="s">
        <v>144</v>
      </c>
    </row>
    <row r="2116" spans="1:8" ht="64.5" x14ac:dyDescent="0.25">
      <c r="A2116" s="3" t="s">
        <v>6477</v>
      </c>
      <c r="B2116" s="3"/>
      <c r="C2116" s="3" t="str">
        <f>"Burglary, intrusion security for both residential &amp; commercial customers. Video surveillance, management access control and full central station monitoring services. Designers, integrators and installers."</f>
        <v>Burglary, intrusion security for both residential &amp; commercial customers. Video surveillance, management access control and full central station monitoring services. Designers, integrators and installers.</v>
      </c>
      <c r="D2116" s="3" t="s">
        <v>6478</v>
      </c>
      <c r="E2116" s="3" t="s">
        <v>6479</v>
      </c>
      <c r="F2116" s="3" t="str">
        <f>"2195488710"</f>
        <v>2195488710</v>
      </c>
      <c r="G2116" s="3">
        <v>561621</v>
      </c>
      <c r="H2116" s="3" t="s">
        <v>827</v>
      </c>
    </row>
    <row r="2117" spans="1:8" ht="128.25" x14ac:dyDescent="0.25">
      <c r="A2117" s="3" t="s">
        <v>6480</v>
      </c>
      <c r="B2117" s="3"/>
      <c r="C2117" s="3" t="s">
        <v>6481</v>
      </c>
      <c r="D2117" s="3" t="s">
        <v>9</v>
      </c>
      <c r="E2117" s="3" t="s">
        <v>6482</v>
      </c>
      <c r="F2117" s="3" t="str">
        <f>"3173289564"</f>
        <v>3173289564</v>
      </c>
      <c r="G2117" s="3">
        <v>234</v>
      </c>
      <c r="H2117" s="3" t="s">
        <v>1414</v>
      </c>
    </row>
    <row r="2118" spans="1:8" ht="128.25" x14ac:dyDescent="0.25">
      <c r="A2118" s="3" t="s">
        <v>6483</v>
      </c>
      <c r="B2118" s="3"/>
      <c r="C2118" s="3" t="s">
        <v>6484</v>
      </c>
      <c r="D2118" s="3" t="s">
        <v>6485</v>
      </c>
      <c r="E2118" s="3" t="s">
        <v>6486</v>
      </c>
      <c r="F2118" s="3" t="str">
        <f>"219-779-0900"</f>
        <v>219-779-0900</v>
      </c>
      <c r="G2118" s="3">
        <v>23</v>
      </c>
      <c r="H2118" s="3" t="s">
        <v>133</v>
      </c>
    </row>
    <row r="2119" spans="1:8" ht="77.25" x14ac:dyDescent="0.25">
      <c r="A2119" s="3" t="s">
        <v>6487</v>
      </c>
      <c r="B2119" s="3"/>
      <c r="C2119" s="3" t="str">
        <f>"Construction Designs by Rodman specializes in light commercial and multifamily construction. We are a general contractor, construction management firm and also offer consulting and commissioning services."</f>
        <v>Construction Designs by Rodman specializes in light commercial and multifamily construction. We are a general contractor, construction management firm and also offer consulting and commissioning services.</v>
      </c>
      <c r="D2119" s="3" t="s">
        <v>6488</v>
      </c>
      <c r="E2119" s="3" t="s">
        <v>6489</v>
      </c>
      <c r="F2119" s="3" t="str">
        <f>"574-533-5322"</f>
        <v>574-533-5322</v>
      </c>
      <c r="G2119" s="3">
        <v>23</v>
      </c>
      <c r="H2119" s="3" t="s">
        <v>133</v>
      </c>
    </row>
    <row r="2120" spans="1:8" ht="39" x14ac:dyDescent="0.25">
      <c r="A2120" s="3" t="s">
        <v>6490</v>
      </c>
      <c r="B2120" s="3"/>
      <c r="C2120" s="3" t="str">
        <f>"Computer equipment and software sales, implementation and support. IT outsourcing and project management."</f>
        <v>Computer equipment and software sales, implementation and support. IT outsourcing and project management.</v>
      </c>
      <c r="D2120" s="3" t="s">
        <v>6491</v>
      </c>
      <c r="E2120" s="3" t="s">
        <v>6492</v>
      </c>
      <c r="F2120" s="3" t="str">
        <f>"317-462-8040"</f>
        <v>317-462-8040</v>
      </c>
      <c r="G2120" s="3">
        <v>42143</v>
      </c>
      <c r="H2120" s="3" t="s">
        <v>6377</v>
      </c>
    </row>
    <row r="2121" spans="1:8" ht="39" x14ac:dyDescent="0.25">
      <c r="A2121" s="3" t="s">
        <v>6493</v>
      </c>
      <c r="B2121" s="3"/>
      <c r="C2121" s="3" t="str">
        <f>"Consulu provides IT Services: Application Discovery, Rationalization, Validation, Packaging and Virtualization."</f>
        <v>Consulu provides IT Services: Application Discovery, Rationalization, Validation, Packaging and Virtualization.</v>
      </c>
      <c r="D2121" s="3" t="s">
        <v>6494</v>
      </c>
      <c r="E2121" s="3" t="s">
        <v>6495</v>
      </c>
      <c r="F2121" s="3" t="str">
        <f>"(317) 376-4600"</f>
        <v>(317) 376-4600</v>
      </c>
      <c r="G2121" s="3">
        <v>541512</v>
      </c>
      <c r="H2121" s="3" t="s">
        <v>19</v>
      </c>
    </row>
    <row r="2122" spans="1:8" ht="26.25" x14ac:dyDescent="0.25">
      <c r="A2122" s="3" t="s">
        <v>6496</v>
      </c>
      <c r="B2122" s="3"/>
      <c r="C2122" s="3" t="str">
        <f>"Manufacture corrugated containers for shipping, display and point of purchase."</f>
        <v>Manufacture corrugated containers for shipping, display and point of purchase.</v>
      </c>
      <c r="D2122" s="3" t="s">
        <v>6497</v>
      </c>
      <c r="E2122" s="3" t="s">
        <v>6498</v>
      </c>
      <c r="F2122" s="3" t="str">
        <f>"574-232-7474"</f>
        <v>574-232-7474</v>
      </c>
      <c r="G2122" s="3">
        <v>322211</v>
      </c>
      <c r="H2122" s="3" t="s">
        <v>2605</v>
      </c>
    </row>
    <row r="2123" spans="1:8" ht="102.75" x14ac:dyDescent="0.25">
      <c r="A2123" s="3" t="s">
        <v>6499</v>
      </c>
      <c r="B2123" s="3"/>
      <c r="C2123" s="3" t="s">
        <v>6500</v>
      </c>
      <c r="D2123" s="3" t="s">
        <v>6501</v>
      </c>
      <c r="E2123" s="3" t="s">
        <v>6502</v>
      </c>
      <c r="F2123" s="3" t="str">
        <f>"317-485-6900"</f>
        <v>317-485-6900</v>
      </c>
      <c r="G2123" s="3">
        <v>541320</v>
      </c>
      <c r="H2123" s="3" t="s">
        <v>2241</v>
      </c>
    </row>
    <row r="2124" spans="1:8" ht="166.5" x14ac:dyDescent="0.25">
      <c r="A2124" s="3" t="s">
        <v>6503</v>
      </c>
      <c r="B2124" s="3"/>
      <c r="C2124" s="3" t="s">
        <v>6504</v>
      </c>
      <c r="D2124" s="3" t="s">
        <v>6505</v>
      </c>
      <c r="E2124" s="3" t="s">
        <v>6506</v>
      </c>
      <c r="F2124" s="3" t="str">
        <f>"317-337-9813"</f>
        <v>317-337-9813</v>
      </c>
      <c r="G2124" s="3">
        <v>333415</v>
      </c>
      <c r="H2124" s="3" t="s">
        <v>1731</v>
      </c>
    </row>
    <row r="2125" spans="1:8" ht="77.25" x14ac:dyDescent="0.25">
      <c r="A2125" s="3" t="s">
        <v>6507</v>
      </c>
      <c r="B2125" s="3"/>
      <c r="C2125" s="3" t="str">
        <f>"Language services, including language interpretaion, translation and sign services. Writing Services, including document prepration services, professional &amp; management development training and translations therein."</f>
        <v>Language services, including language interpretaion, translation and sign services. Writing Services, including document prepration services, professional &amp; management development training and translations therein.</v>
      </c>
      <c r="D2125" s="3" t="s">
        <v>6508</v>
      </c>
      <c r="E2125" s="3" t="s">
        <v>6509</v>
      </c>
      <c r="F2125" s="3" t="str">
        <f>"219-513-2300"</f>
        <v>219-513-2300</v>
      </c>
      <c r="G2125" s="3">
        <v>541930</v>
      </c>
      <c r="H2125" s="3" t="s">
        <v>971</v>
      </c>
    </row>
    <row r="2126" spans="1:8" ht="26.25" x14ac:dyDescent="0.25">
      <c r="A2126" s="3" t="s">
        <v>6510</v>
      </c>
      <c r="B2126" s="3"/>
      <c r="C2126" s="3" t="str">
        <f>"We pprovide office furniture and related products and services"</f>
        <v>We pprovide office furniture and related products and services</v>
      </c>
      <c r="D2126" s="3" t="s">
        <v>6511</v>
      </c>
      <c r="E2126" s="3" t="s">
        <v>6512</v>
      </c>
      <c r="F2126" s="3" t="str">
        <f>"317-630-2330"</f>
        <v>317-630-2330</v>
      </c>
      <c r="G2126" s="3">
        <v>238390</v>
      </c>
      <c r="H2126" s="3" t="s">
        <v>2109</v>
      </c>
    </row>
    <row r="2127" spans="1:8" ht="166.5" x14ac:dyDescent="0.25">
      <c r="A2127" s="3" t="s">
        <v>6513</v>
      </c>
      <c r="B2127" s="3"/>
      <c r="C2127" s="3" t="s">
        <v>6514</v>
      </c>
      <c r="D2127" s="3" t="s">
        <v>6515</v>
      </c>
      <c r="E2127" s="3" t="s">
        <v>6516</v>
      </c>
      <c r="F2127" s="3" t="str">
        <f>"260-485-6533"</f>
        <v>260-485-6533</v>
      </c>
      <c r="G2127" s="3">
        <v>541360</v>
      </c>
      <c r="H2127" s="3" t="s">
        <v>165</v>
      </c>
    </row>
    <row r="2128" spans="1:8" ht="268.5" x14ac:dyDescent="0.25">
      <c r="A2128" s="3" t="s">
        <v>6517</v>
      </c>
      <c r="B2128" s="3"/>
      <c r="C2128" s="3" t="s">
        <v>6518</v>
      </c>
      <c r="D2128" s="3" t="s">
        <v>6519</v>
      </c>
      <c r="E2128" s="3" t="s">
        <v>6520</v>
      </c>
      <c r="F2128" s="3" t="str">
        <f>"800-875-4557"</f>
        <v>800-875-4557</v>
      </c>
      <c r="G2128" s="3">
        <v>541</v>
      </c>
      <c r="H2128" s="3" t="s">
        <v>179</v>
      </c>
    </row>
    <row r="2129" spans="1:8" ht="128.25" x14ac:dyDescent="0.25">
      <c r="A2129" s="3" t="s">
        <v>6521</v>
      </c>
      <c r="B2129" s="3"/>
      <c r="C2129" s="3" t="s">
        <v>6522</v>
      </c>
      <c r="D2129" s="3" t="s">
        <v>9</v>
      </c>
      <c r="E2129" s="3" t="s">
        <v>6523</v>
      </c>
      <c r="F2129" s="3" t="str">
        <f>"317-514-1865"</f>
        <v>317-514-1865</v>
      </c>
      <c r="G2129" s="3">
        <v>624</v>
      </c>
      <c r="H2129" s="3" t="s">
        <v>6524</v>
      </c>
    </row>
    <row r="2130" spans="1:8" ht="64.5" x14ac:dyDescent="0.25">
      <c r="A2130" s="3" t="s">
        <v>6525</v>
      </c>
      <c r="B2130" s="3"/>
      <c r="C2130" s="3" t="str">
        <f>"Provide experienced hands-on engineering and manufacturing support. Focus on project management as well as manufacturing production efficiency improvements."</f>
        <v>Provide experienced hands-on engineering and manufacturing support. Focus on project management as well as manufacturing production efficiency improvements.</v>
      </c>
      <c r="D2130" s="3" t="s">
        <v>9</v>
      </c>
      <c r="E2130" s="3" t="s">
        <v>6526</v>
      </c>
      <c r="F2130" s="3" t="str">
        <f>"(317) 605-1025"</f>
        <v>(317) 605-1025</v>
      </c>
      <c r="G2130" s="3">
        <v>541330</v>
      </c>
      <c r="H2130" s="3" t="s">
        <v>82</v>
      </c>
    </row>
    <row r="2131" spans="1:8" ht="26.25" x14ac:dyDescent="0.25">
      <c r="A2131" s="3" t="s">
        <v>6527</v>
      </c>
      <c r="B2131" s="3"/>
      <c r="C2131" s="3" t="str">
        <f>"Quality Improvement ISO/QS9000"</f>
        <v>Quality Improvement ISO/QS9000</v>
      </c>
      <c r="D2131" s="3" t="s">
        <v>6528</v>
      </c>
      <c r="E2131" s="3" t="s">
        <v>6529</v>
      </c>
      <c r="F2131" s="3" t="str">
        <f>"260-724-4049"</f>
        <v>260-724-4049</v>
      </c>
      <c r="G2131" s="3">
        <v>61143</v>
      </c>
      <c r="H2131" s="3" t="s">
        <v>1224</v>
      </c>
    </row>
    <row r="2132" spans="1:8" ht="192" x14ac:dyDescent="0.25">
      <c r="A2132" s="3" t="s">
        <v>6530</v>
      </c>
      <c r="B2132" s="3"/>
      <c r="C2132" s="3" t="s">
        <v>6531</v>
      </c>
      <c r="D2132" s="3" t="s">
        <v>6532</v>
      </c>
      <c r="E2132" s="3" t="s">
        <v>6533</v>
      </c>
      <c r="F2132" s="3" t="str">
        <f>"(317) 791-0988"</f>
        <v>(317) 791-0988</v>
      </c>
      <c r="G2132" s="3">
        <v>423210</v>
      </c>
      <c r="H2132" s="3" t="s">
        <v>3508</v>
      </c>
    </row>
    <row r="2133" spans="1:8" ht="115.5" x14ac:dyDescent="0.25">
      <c r="A2133" s="3" t="s">
        <v>6534</v>
      </c>
      <c r="B2133" s="3"/>
      <c r="C2133" s="3" t="s">
        <v>6535</v>
      </c>
      <c r="D2133" s="3" t="s">
        <v>6536</v>
      </c>
      <c r="E2133" s="3" t="s">
        <v>6537</v>
      </c>
      <c r="F2133" s="3" t="str">
        <f>"317-850-4265"</f>
        <v>317-850-4265</v>
      </c>
      <c r="G2133" s="3">
        <v>423390</v>
      </c>
      <c r="H2133" s="3" t="s">
        <v>1863</v>
      </c>
    </row>
    <row r="2134" spans="1:8" ht="115.5" x14ac:dyDescent="0.25">
      <c r="A2134" s="3" t="s">
        <v>6538</v>
      </c>
      <c r="B2134" s="3"/>
      <c r="C2134" s="3" t="s">
        <v>6539</v>
      </c>
      <c r="D2134" s="3" t="s">
        <v>6540</v>
      </c>
      <c r="E2134" s="3" t="s">
        <v>6541</v>
      </c>
      <c r="F2134" s="3" t="str">
        <f>"800-638-2213"</f>
        <v>800-638-2213</v>
      </c>
      <c r="G2134" s="3">
        <v>5415</v>
      </c>
      <c r="H2134" s="3" t="s">
        <v>188</v>
      </c>
    </row>
    <row r="2135" spans="1:8" ht="153.75" x14ac:dyDescent="0.25">
      <c r="A2135" s="3" t="s">
        <v>6542</v>
      </c>
      <c r="B2135" s="3"/>
      <c r="C2135" s="3" t="s">
        <v>6543</v>
      </c>
      <c r="D2135" s="3" t="s">
        <v>6544</v>
      </c>
      <c r="E2135" s="3" t="s">
        <v>6545</v>
      </c>
      <c r="F2135" s="3" t="str">
        <f>"3176633088"</f>
        <v>3176633088</v>
      </c>
      <c r="G2135" s="3">
        <v>541512</v>
      </c>
      <c r="H2135" s="3" t="s">
        <v>19</v>
      </c>
    </row>
    <row r="2136" spans="1:8" ht="51.75" x14ac:dyDescent="0.25">
      <c r="A2136" s="3" t="s">
        <v>6546</v>
      </c>
      <c r="B2136" s="3"/>
      <c r="C2136" s="3" t="str">
        <f>"Lawn irrigation: Repair services, Evaluations, Design, Installations, Reconstruction, System performance auditing"</f>
        <v>Lawn irrigation: Repair services, Evaluations, Design, Installations, Reconstruction, System performance auditing</v>
      </c>
      <c r="D2136" s="3" t="s">
        <v>9</v>
      </c>
      <c r="E2136" s="3" t="s">
        <v>46</v>
      </c>
      <c r="F2136" s="3" t="str">
        <f>"317-888-7200"</f>
        <v>317-888-7200</v>
      </c>
      <c r="G2136" s="3">
        <v>22131</v>
      </c>
      <c r="H2136" s="3" t="s">
        <v>1833</v>
      </c>
    </row>
    <row r="2137" spans="1:8" ht="26.25" x14ac:dyDescent="0.25">
      <c r="A2137" s="3" t="s">
        <v>6547</v>
      </c>
      <c r="B2137" s="3"/>
      <c r="C2137" s="3" t="str">
        <f>"Portable toilets"</f>
        <v>Portable toilets</v>
      </c>
      <c r="D2137" s="3" t="s">
        <v>9</v>
      </c>
      <c r="E2137" s="3" t="s">
        <v>6548</v>
      </c>
      <c r="F2137" s="3" t="str">
        <f>"317-513-2884"</f>
        <v>317-513-2884</v>
      </c>
      <c r="G2137" s="3">
        <v>326191</v>
      </c>
      <c r="H2137" s="3" t="s">
        <v>6549</v>
      </c>
    </row>
    <row r="2138" spans="1:8" ht="77.25" x14ac:dyDescent="0.25">
      <c r="A2138" s="3" t="s">
        <v>6550</v>
      </c>
      <c r="B2138" s="3"/>
      <c r="C2138" s="3" t="str">
        <f>"We supply retailers, government offices, libraries, and private businesses with printer and paper supplies including paper rolls, ink jet toners, ink jet cartridges, ribbons, printer cleaning supplies, and printers."</f>
        <v>We supply retailers, government offices, libraries, and private businesses with printer and paper supplies including paper rolls, ink jet toners, ink jet cartridges, ribbons, printer cleaning supplies, and printers.</v>
      </c>
      <c r="D2138" s="3" t="s">
        <v>6551</v>
      </c>
      <c r="E2138" s="3" t="s">
        <v>6552</v>
      </c>
      <c r="F2138" s="3" t="str">
        <f>"317-846-0335"</f>
        <v>317-846-0335</v>
      </c>
      <c r="G2138" s="3">
        <v>424</v>
      </c>
      <c r="H2138" s="3" t="s">
        <v>6553</v>
      </c>
    </row>
    <row r="2139" spans="1:8" ht="39" x14ac:dyDescent="0.25">
      <c r="A2139" s="3" t="s">
        <v>6554</v>
      </c>
      <c r="B2139" s="3"/>
      <c r="C2139" s="3" t="str">
        <f>" "</f>
        <v xml:space="preserve"> </v>
      </c>
      <c r="D2139" s="3" t="s">
        <v>6555</v>
      </c>
      <c r="E2139" s="3" t="s">
        <v>6556</v>
      </c>
      <c r="F2139" s="3" t="str">
        <f>"317-250-2304"</f>
        <v>317-250-2304</v>
      </c>
      <c r="G2139" s="3">
        <v>423430</v>
      </c>
      <c r="H2139" s="3" t="s">
        <v>127</v>
      </c>
    </row>
    <row r="2140" spans="1:8" ht="26.25" x14ac:dyDescent="0.25">
      <c r="A2140" s="3" t="s">
        <v>6557</v>
      </c>
      <c r="B2140" s="3"/>
      <c r="C2140" s="3" t="str">
        <f>"Right of way negotiations for public infrastructure projects"</f>
        <v>Right of way negotiations for public infrastructure projects</v>
      </c>
      <c r="D2140" s="3" t="s">
        <v>9</v>
      </c>
      <c r="E2140" s="3" t="s">
        <v>6558</v>
      </c>
      <c r="F2140" s="3" t="str">
        <f>"317-293-6144"</f>
        <v>317-293-6144</v>
      </c>
      <c r="G2140" s="3">
        <v>531390</v>
      </c>
      <c r="H2140" s="3" t="s">
        <v>623</v>
      </c>
    </row>
    <row r="2141" spans="1:8" ht="141" x14ac:dyDescent="0.25">
      <c r="A2141" s="3" t="s">
        <v>6559</v>
      </c>
      <c r="B2141" s="3"/>
      <c r="C2141" s="3" t="s">
        <v>6560</v>
      </c>
      <c r="D2141" s="3" t="s">
        <v>6561</v>
      </c>
      <c r="E2141" s="3" t="s">
        <v>6562</v>
      </c>
      <c r="F2141" s="3" t="str">
        <f>"317-484-4244"</f>
        <v>317-484-4244</v>
      </c>
      <c r="G2141" s="3">
        <v>33392</v>
      </c>
      <c r="H2141" s="3" t="s">
        <v>3530</v>
      </c>
    </row>
    <row r="2142" spans="1:8" ht="90" x14ac:dyDescent="0.25">
      <c r="A2142" s="3" t="s">
        <v>6563</v>
      </c>
      <c r="B2142" s="3"/>
      <c r="C2142" s="3" t="s">
        <v>6564</v>
      </c>
      <c r="D2142" s="3" t="s">
        <v>6565</v>
      </c>
      <c r="E2142" s="3" t="s">
        <v>6566</v>
      </c>
      <c r="F2142" s="3" t="str">
        <f>"2199510283"</f>
        <v>2199510283</v>
      </c>
      <c r="G2142" s="3">
        <v>624120</v>
      </c>
      <c r="H2142" s="3" t="s">
        <v>22</v>
      </c>
    </row>
    <row r="2143" spans="1:8" ht="141" x14ac:dyDescent="0.25">
      <c r="A2143" s="3" t="s">
        <v>6567</v>
      </c>
      <c r="B2143" s="3"/>
      <c r="C2143" s="3" t="s">
        <v>6568</v>
      </c>
      <c r="D2143" s="3" t="s">
        <v>6569</v>
      </c>
      <c r="E2143" s="3" t="s">
        <v>6570</v>
      </c>
      <c r="F2143" s="3" t="str">
        <f>"317-569-1439"</f>
        <v>317-569-1439</v>
      </c>
      <c r="G2143" s="3">
        <v>541990</v>
      </c>
      <c r="H2143" s="3" t="s">
        <v>378</v>
      </c>
    </row>
    <row r="2144" spans="1:8" ht="102.75" x14ac:dyDescent="0.25">
      <c r="A2144" s="3" t="s">
        <v>6571</v>
      </c>
      <c r="B2144" s="3"/>
      <c r="C2144" s="3" t="s">
        <v>6572</v>
      </c>
      <c r="D2144" s="3" t="s">
        <v>9</v>
      </c>
      <c r="E2144" s="3" t="s">
        <v>6573</v>
      </c>
      <c r="F2144" s="3" t="str">
        <f>"317.908-5078"</f>
        <v>317.908-5078</v>
      </c>
      <c r="G2144" s="3">
        <v>56172</v>
      </c>
      <c r="H2144" s="3" t="s">
        <v>222</v>
      </c>
    </row>
    <row r="2145" spans="1:8" ht="102.75" x14ac:dyDescent="0.25">
      <c r="A2145" s="3" t="s">
        <v>6574</v>
      </c>
      <c r="B2145" s="3"/>
      <c r="C2145" s="3" t="s">
        <v>6575</v>
      </c>
      <c r="D2145" s="3" t="s">
        <v>9</v>
      </c>
      <c r="E2145" s="3" t="s">
        <v>6576</v>
      </c>
      <c r="F2145" s="3" t="str">
        <f>"317-859-0975"</f>
        <v>317-859-0975</v>
      </c>
      <c r="G2145" s="3">
        <v>423460</v>
      </c>
      <c r="H2145" s="3" t="s">
        <v>6577</v>
      </c>
    </row>
    <row r="2146" spans="1:8" ht="51.75" x14ac:dyDescent="0.25">
      <c r="A2146" s="3" t="s">
        <v>6578</v>
      </c>
      <c r="B2146" s="3"/>
      <c r="C2146" s="3" t="str">
        <f>"Cool Spring Sand,LLC - Mine and process Sand for industrial, commercial, and residential markets. -Earthmoving and Trucking -Topsoil and Fill Dirt"</f>
        <v>Cool Spring Sand,LLC - Mine and process Sand for industrial, commercial, and residential markets. -Earthmoving and Trucking -Topsoil and Fill Dirt</v>
      </c>
      <c r="D2146" s="3" t="s">
        <v>9</v>
      </c>
      <c r="E2146" s="3" t="s">
        <v>6579</v>
      </c>
      <c r="F2146" s="3" t="str">
        <f>"219-759-2079"</f>
        <v>219-759-2079</v>
      </c>
      <c r="G2146" s="3">
        <v>2123</v>
      </c>
      <c r="H2146" s="3" t="s">
        <v>6580</v>
      </c>
    </row>
    <row r="2147" spans="1:8" ht="26.25" x14ac:dyDescent="0.25">
      <c r="A2147" s="3" t="s">
        <v>6581</v>
      </c>
      <c r="B2147" s="3"/>
      <c r="C2147" s="3" t="str">
        <f>"Women Owned Golf Course Management Company"</f>
        <v>Women Owned Golf Course Management Company</v>
      </c>
      <c r="D2147" s="3" t="s">
        <v>9</v>
      </c>
      <c r="E2147" s="3" t="s">
        <v>6582</v>
      </c>
      <c r="F2147" s="3" t="str">
        <f>"3175239530"</f>
        <v>3175239530</v>
      </c>
      <c r="G2147" s="3">
        <v>713910</v>
      </c>
      <c r="H2147" s="3" t="s">
        <v>6583</v>
      </c>
    </row>
    <row r="2148" spans="1:8" ht="26.25" x14ac:dyDescent="0.25">
      <c r="A2148" s="3" t="s">
        <v>6584</v>
      </c>
      <c r="B2148" s="3"/>
      <c r="C2148" s="3" t="str">
        <f>"Medicaid managed care; health insurance carrier"</f>
        <v>Medicaid managed care; health insurance carrier</v>
      </c>
      <c r="D2148" s="3" t="s">
        <v>6585</v>
      </c>
      <c r="E2148" s="3" t="s">
        <v>46</v>
      </c>
      <c r="F2148" s="3" t="str">
        <f>"317-684-9478"</f>
        <v>317-684-9478</v>
      </c>
      <c r="G2148" s="3">
        <v>524114</v>
      </c>
      <c r="H2148" s="3" t="s">
        <v>678</v>
      </c>
    </row>
    <row r="2149" spans="1:8" ht="102.75" x14ac:dyDescent="0.25">
      <c r="A2149" s="3" t="s">
        <v>6586</v>
      </c>
      <c r="B2149" s="3"/>
      <c r="C2149" s="3" t="s">
        <v>6587</v>
      </c>
      <c r="D2149" s="3" t="s">
        <v>6588</v>
      </c>
      <c r="E2149" s="3" t="s">
        <v>6589</v>
      </c>
      <c r="F2149" s="3" t="str">
        <f>"260-489-9811"</f>
        <v>260-489-9811</v>
      </c>
      <c r="G2149" s="3">
        <v>441210</v>
      </c>
      <c r="H2149" s="3" t="s">
        <v>1742</v>
      </c>
    </row>
    <row r="2150" spans="1:8" ht="77.25" x14ac:dyDescent="0.25">
      <c r="A2150" s="3" t="s">
        <v>6590</v>
      </c>
      <c r="B2150" s="3"/>
      <c r="C2150" s="3" t="str">
        <f>"Designers and producers of exhibits, to include tradeshows, museums, lobbies, showrooms, sales centers, information kiosks. Design and production of graphics, point of purchase displays. Provide exhibit installation and dismantling labor."</f>
        <v>Designers and producers of exhibits, to include tradeshows, museums, lobbies, showrooms, sales centers, information kiosks. Design and production of graphics, point of purchase displays. Provide exhibit installation and dismantling labor.</v>
      </c>
      <c r="D2150" s="3" t="s">
        <v>6591</v>
      </c>
      <c r="E2150" s="3" t="s">
        <v>6592</v>
      </c>
      <c r="F2150" s="3" t="str">
        <f>"317 902 2203"</f>
        <v>317 902 2203</v>
      </c>
      <c r="G2150" s="3">
        <v>3399</v>
      </c>
      <c r="H2150" s="3" t="s">
        <v>2236</v>
      </c>
    </row>
    <row r="2151" spans="1:8" ht="64.5" x14ac:dyDescent="0.25">
      <c r="A2151" s="3" t="s">
        <v>6593</v>
      </c>
      <c r="B2151" s="3"/>
      <c r="C2151" s="3" t="str">
        <f>"We are a full service printer: 4-color process printing, digital output (color and black &amp; white), variable data, layout &amp; design department, complete finishing department, direct mail services."</f>
        <v>We are a full service printer: 4-color process printing, digital output (color and black &amp; white), variable data, layout &amp; design department, complete finishing department, direct mail services.</v>
      </c>
      <c r="D2151" s="3" t="s">
        <v>6594</v>
      </c>
      <c r="E2151" s="3" t="s">
        <v>6595</v>
      </c>
      <c r="F2151" s="3" t="str">
        <f>"765-447-6868"</f>
        <v>765-447-6868</v>
      </c>
      <c r="G2151" s="3">
        <v>3231</v>
      </c>
      <c r="H2151" s="3" t="s">
        <v>302</v>
      </c>
    </row>
    <row r="2152" spans="1:8" ht="64.5" x14ac:dyDescent="0.25">
      <c r="A2152" s="3" t="s">
        <v>6596</v>
      </c>
      <c r="B2152" s="3"/>
      <c r="C2152" s="3" t="str">
        <f>"Construction - Underground Utilities / Directional Boring, Vacuum Excavation, and HDPE Fusion - Water, Sewer, Gas Pipelines &amp; Power &amp; Communications. Construction Management."</f>
        <v>Construction - Underground Utilities / Directional Boring, Vacuum Excavation, and HDPE Fusion - Water, Sewer, Gas Pipelines &amp; Power &amp; Communications. Construction Management.</v>
      </c>
      <c r="D2152" s="3" t="s">
        <v>6597</v>
      </c>
      <c r="E2152" s="3" t="s">
        <v>6598</v>
      </c>
      <c r="F2152" s="3" t="str">
        <f>"317-334-1810"</f>
        <v>317-334-1810</v>
      </c>
      <c r="G2152" s="3">
        <v>237110</v>
      </c>
      <c r="H2152" s="3" t="s">
        <v>901</v>
      </c>
    </row>
    <row r="2153" spans="1:8" ht="204.75" x14ac:dyDescent="0.25">
      <c r="A2153" s="3" t="s">
        <v>6599</v>
      </c>
      <c r="B2153" s="3"/>
      <c r="C2153" s="3" t="s">
        <v>6600</v>
      </c>
      <c r="D2153" s="3" t="s">
        <v>6601</v>
      </c>
      <c r="E2153" s="3" t="s">
        <v>6602</v>
      </c>
      <c r="F2153" s="3" t="str">
        <f>"317 334-1810 EXT. 16"</f>
        <v>317 334-1810 EXT. 16</v>
      </c>
      <c r="G2153" s="3">
        <v>238210</v>
      </c>
      <c r="H2153" s="3" t="s">
        <v>306</v>
      </c>
    </row>
    <row r="2154" spans="1:8" ht="230.25" x14ac:dyDescent="0.25">
      <c r="A2154" s="3" t="s">
        <v>6603</v>
      </c>
      <c r="B2154" s="3"/>
      <c r="C2154" s="3" t="s">
        <v>6604</v>
      </c>
      <c r="D2154" s="3" t="s">
        <v>6605</v>
      </c>
      <c r="E2154" s="3" t="s">
        <v>6606</v>
      </c>
      <c r="F2154" s="3" t="str">
        <f>"(317) 566-6200"</f>
        <v>(317) 566-6200</v>
      </c>
      <c r="G2154" s="3">
        <v>54151</v>
      </c>
      <c r="H2154" s="3" t="s">
        <v>188</v>
      </c>
    </row>
    <row r="2155" spans="1:8" ht="204.75" x14ac:dyDescent="0.25">
      <c r="A2155" s="3" t="s">
        <v>6607</v>
      </c>
      <c r="B2155" s="3"/>
      <c r="C2155" s="3" t="s">
        <v>6608</v>
      </c>
      <c r="D2155" s="3" t="s">
        <v>6605</v>
      </c>
      <c r="E2155" s="3" t="s">
        <v>6609</v>
      </c>
      <c r="F2155" s="3" t="str">
        <f>"317-566-6218"</f>
        <v>317-566-6218</v>
      </c>
      <c r="G2155" s="3">
        <v>541519</v>
      </c>
      <c r="H2155" s="3" t="s">
        <v>898</v>
      </c>
    </row>
    <row r="2156" spans="1:8" ht="128.25" x14ac:dyDescent="0.25">
      <c r="A2156" s="3" t="s">
        <v>6610</v>
      </c>
      <c r="B2156" s="3"/>
      <c r="C2156" s="3" t="s">
        <v>6611</v>
      </c>
      <c r="D2156" s="3" t="s">
        <v>6612</v>
      </c>
      <c r="E2156" s="3" t="s">
        <v>6613</v>
      </c>
      <c r="F2156" s="3" t="str">
        <f>"317-574-0444"</f>
        <v>317-574-0444</v>
      </c>
      <c r="G2156" s="3">
        <v>523110</v>
      </c>
      <c r="H2156" s="3" t="s">
        <v>6614</v>
      </c>
    </row>
    <row r="2157" spans="1:8" ht="51.75" x14ac:dyDescent="0.25">
      <c r="A2157" s="3" t="s">
        <v>6615</v>
      </c>
      <c r="B2157" s="3"/>
      <c r="C2157" s="3" t="str">
        <f>"Core Dynamics Consulting, LLC provides analysis, mentoring, training and team development for the enhancement of staff wellbeing and performance."</f>
        <v>Core Dynamics Consulting, LLC provides analysis, mentoring, training and team development for the enhancement of staff wellbeing and performance.</v>
      </c>
      <c r="D2157" s="3" t="s">
        <v>9</v>
      </c>
      <c r="E2157" s="3" t="s">
        <v>6616</v>
      </c>
      <c r="F2157" s="3" t="str">
        <f>"260-417-3051"</f>
        <v>260-417-3051</v>
      </c>
      <c r="G2157" s="3">
        <v>541611</v>
      </c>
      <c r="H2157" s="3" t="s">
        <v>278</v>
      </c>
    </row>
    <row r="2158" spans="1:8" ht="217.5" x14ac:dyDescent="0.25">
      <c r="A2158" s="3" t="s">
        <v>6617</v>
      </c>
      <c r="B2158" s="3"/>
      <c r="C2158" s="3" t="s">
        <v>6618</v>
      </c>
      <c r="D2158" s="3" t="s">
        <v>9</v>
      </c>
      <c r="E2158" s="3" t="s">
        <v>6619</v>
      </c>
      <c r="F2158" s="3" t="str">
        <f>"1-800-680-8987"</f>
        <v>1-800-680-8987</v>
      </c>
      <c r="G2158" s="3">
        <v>23581</v>
      </c>
      <c r="H2158" s="3" t="s">
        <v>6620</v>
      </c>
    </row>
    <row r="2159" spans="1:8" x14ac:dyDescent="0.25">
      <c r="A2159" s="3" t="s">
        <v>6621</v>
      </c>
      <c r="B2159" s="3"/>
      <c r="C2159" s="3" t="str">
        <f>"We are a wholesale agent."</f>
        <v>We are a wholesale agent.</v>
      </c>
      <c r="D2159" s="3" t="s">
        <v>9</v>
      </c>
      <c r="E2159" s="3" t="s">
        <v>6622</v>
      </c>
      <c r="F2159" s="2"/>
      <c r="G2159" s="3">
        <v>425120</v>
      </c>
      <c r="H2159" s="3" t="s">
        <v>58</v>
      </c>
    </row>
    <row r="2160" spans="1:8" ht="102.75" x14ac:dyDescent="0.25">
      <c r="A2160" s="3" t="s">
        <v>6623</v>
      </c>
      <c r="B2160" s="3"/>
      <c r="C2160" s="3" t="s">
        <v>6624</v>
      </c>
      <c r="D2160" s="3" t="s">
        <v>6625</v>
      </c>
      <c r="E2160" s="3" t="s">
        <v>6626</v>
      </c>
      <c r="F2160" s="3" t="str">
        <f>"219-738-2673"</f>
        <v>219-738-2673</v>
      </c>
      <c r="G2160" s="3">
        <v>561320</v>
      </c>
      <c r="H2160" s="3" t="s">
        <v>15</v>
      </c>
    </row>
    <row r="2161" spans="1:8" ht="102.75" x14ac:dyDescent="0.25">
      <c r="A2161" s="3" t="s">
        <v>6627</v>
      </c>
      <c r="B2161" s="3"/>
      <c r="C2161" s="3" t="s">
        <v>6628</v>
      </c>
      <c r="D2161" s="3" t="s">
        <v>6629</v>
      </c>
      <c r="E2161" s="3" t="s">
        <v>6630</v>
      </c>
      <c r="F2161" s="3" t="str">
        <f>"(317) 852-9196"</f>
        <v>(317) 852-9196</v>
      </c>
      <c r="G2161" s="3">
        <v>518210</v>
      </c>
      <c r="H2161" s="3" t="s">
        <v>3133</v>
      </c>
    </row>
    <row r="2162" spans="1:8" x14ac:dyDescent="0.25">
      <c r="A2162" s="3" t="s">
        <v>6631</v>
      </c>
      <c r="B2162" s="3"/>
      <c r="C2162" s="3" t="str">
        <f>" "</f>
        <v xml:space="preserve"> </v>
      </c>
      <c r="D2162" s="3" t="s">
        <v>9</v>
      </c>
      <c r="E2162" s="3" t="s">
        <v>46</v>
      </c>
      <c r="F2162" s="2"/>
      <c r="G2162" s="3">
        <v>11</v>
      </c>
      <c r="H2162" s="3" t="s">
        <v>175</v>
      </c>
    </row>
    <row r="2163" spans="1:8" ht="26.25" x14ac:dyDescent="0.25">
      <c r="A2163" s="3" t="s">
        <v>6632</v>
      </c>
      <c r="B2163" s="3"/>
      <c r="C2163" s="3" t="str">
        <f>"Correctional Medical Services"</f>
        <v>Correctional Medical Services</v>
      </c>
      <c r="D2163" s="3" t="s">
        <v>6633</v>
      </c>
      <c r="E2163" s="3" t="s">
        <v>6634</v>
      </c>
      <c r="F2163" s="3" t="str">
        <f>"(800) 325-4809"</f>
        <v>(800) 325-4809</v>
      </c>
      <c r="G2163" s="3">
        <v>621399</v>
      </c>
      <c r="H2163" s="3" t="s">
        <v>2306</v>
      </c>
    </row>
    <row r="2164" spans="1:8" ht="39" x14ac:dyDescent="0.25">
      <c r="A2164" s="3" t="s">
        <v>6635</v>
      </c>
      <c r="B2164" s="3"/>
      <c r="C2164" s="3" t="str">
        <f>"Corman Synergy, Inc, d/b/a Firehouse Image Center is a large format digital printer located in Indianapolis, IN"</f>
        <v>Corman Synergy, Inc, d/b/a Firehouse Image Center is a large format digital printer located in Indianapolis, IN</v>
      </c>
      <c r="D2164" s="3" t="s">
        <v>6636</v>
      </c>
      <c r="E2164" s="3" t="s">
        <v>6637</v>
      </c>
      <c r="F2164" s="3" t="str">
        <f>"317.236.1747"</f>
        <v>317.236.1747</v>
      </c>
      <c r="G2164" s="3">
        <v>54192</v>
      </c>
      <c r="H2164" s="3" t="s">
        <v>2613</v>
      </c>
    </row>
    <row r="2165" spans="1:8" ht="128.25" x14ac:dyDescent="0.25">
      <c r="A2165" s="3" t="s">
        <v>6638</v>
      </c>
      <c r="B2165" s="3"/>
      <c r="C2165" s="3" t="s">
        <v>6639</v>
      </c>
      <c r="D2165" s="3" t="s">
        <v>5989</v>
      </c>
      <c r="E2165" s="3" t="s">
        <v>6640</v>
      </c>
      <c r="F2165" s="3" t="str">
        <f>"574*204*2358"</f>
        <v>574*204*2358</v>
      </c>
      <c r="G2165" s="3">
        <v>561720</v>
      </c>
      <c r="H2165" s="3" t="s">
        <v>222</v>
      </c>
    </row>
    <row r="2166" spans="1:8" ht="153.75" x14ac:dyDescent="0.25">
      <c r="A2166" s="3" t="s">
        <v>6641</v>
      </c>
      <c r="B2166" s="3"/>
      <c r="C2166" s="3" t="s">
        <v>6642</v>
      </c>
      <c r="D2166" s="3" t="s">
        <v>6643</v>
      </c>
      <c r="E2166" s="3" t="s">
        <v>6644</v>
      </c>
      <c r="F2166" s="3" t="str">
        <f>"888-427-5663"</f>
        <v>888-427-5663</v>
      </c>
      <c r="G2166" s="3">
        <v>511210</v>
      </c>
      <c r="H2166" s="3" t="s">
        <v>315</v>
      </c>
    </row>
    <row r="2167" spans="1:8" ht="51.75" x14ac:dyDescent="0.25">
      <c r="A2167" s="3" t="s">
        <v>6645</v>
      </c>
      <c r="B2167" s="3"/>
      <c r="C2167" s="3" t="str">
        <f>"Cornerstone Construction Group provides commercial and residential asphalt / concrete paving / sealcoating and crack filling."</f>
        <v>Cornerstone Construction Group provides commercial and residential asphalt / concrete paving / sealcoating and crack filling.</v>
      </c>
      <c r="D2167" s="3" t="s">
        <v>6646</v>
      </c>
      <c r="E2167" s="3" t="s">
        <v>6647</v>
      </c>
      <c r="F2167" s="3" t="str">
        <f>"219-979-5004"</f>
        <v>219-979-5004</v>
      </c>
      <c r="G2167" s="3">
        <v>238990</v>
      </c>
      <c r="H2167" s="3" t="s">
        <v>481</v>
      </c>
    </row>
    <row r="2168" spans="1:8" ht="255.75" x14ac:dyDescent="0.25">
      <c r="A2168" s="3" t="s">
        <v>6648</v>
      </c>
      <c r="B2168" s="3"/>
      <c r="C2168" s="3" t="s">
        <v>6649</v>
      </c>
      <c r="D2168" s="3" t="s">
        <v>6650</v>
      </c>
      <c r="E2168" s="3" t="s">
        <v>6651</v>
      </c>
      <c r="F2168" s="3" t="str">
        <f>"(317) 733-2637"</f>
        <v>(317) 733-2637</v>
      </c>
      <c r="G2168" s="3">
        <v>541620</v>
      </c>
      <c r="H2168" s="3" t="s">
        <v>216</v>
      </c>
    </row>
    <row r="2169" spans="1:8" ht="26.25" x14ac:dyDescent="0.25">
      <c r="A2169" s="3" t="s">
        <v>6652</v>
      </c>
      <c r="B2169" s="3"/>
      <c r="C2169" s="3" t="str">
        <f>"installation of polymer/epoxy floor systems"</f>
        <v>installation of polymer/epoxy floor systems</v>
      </c>
      <c r="D2169" s="3" t="s">
        <v>6653</v>
      </c>
      <c r="E2169" s="3" t="s">
        <v>6654</v>
      </c>
      <c r="F2169" s="3" t="str">
        <f>"317-852-6522"</f>
        <v>317-852-6522</v>
      </c>
      <c r="G2169" s="3">
        <v>238330</v>
      </c>
      <c r="H2169" s="3" t="s">
        <v>2995</v>
      </c>
    </row>
    <row r="2170" spans="1:8" ht="77.25" x14ac:dyDescent="0.25">
      <c r="A2170" s="3" t="s">
        <v>6655</v>
      </c>
      <c r="B2170" s="3"/>
      <c r="C2170" s="3" t="str">
        <f>"Institutional pharmacy services including unit dose medications, IV and nutritional products and services, consultant pharmacist and nurse services, computerized medical record services and pharmacy delivery services."</f>
        <v>Institutional pharmacy services including unit dose medications, IV and nutritional products and services, consultant pharmacist and nurse services, computerized medical record services and pharmacy delivery services.</v>
      </c>
      <c r="D2170" s="3" t="s">
        <v>6656</v>
      </c>
      <c r="E2170" s="3" t="s">
        <v>6657</v>
      </c>
      <c r="F2170" s="3" t="str">
        <f>"317 788-2480"</f>
        <v>317 788-2480</v>
      </c>
      <c r="G2170" s="3">
        <v>44</v>
      </c>
      <c r="H2170" s="3" t="s">
        <v>574</v>
      </c>
    </row>
    <row r="2171" spans="1:8" ht="64.5" x14ac:dyDescent="0.25">
      <c r="A2171" s="3" t="s">
        <v>6658</v>
      </c>
      <c r="B2171" s="3"/>
      <c r="C2171" s="3" t="str">
        <f>"Landscape Architecture Design services including: urban design, streetscape design, park and recreation design, trails and greenways, land planning, strategic planning, grant writing"</f>
        <v>Landscape Architecture Design services including: urban design, streetscape design, park and recreation design, trails and greenways, land planning, strategic planning, grant writing</v>
      </c>
      <c r="D2171" s="3" t="s">
        <v>9</v>
      </c>
      <c r="E2171" s="3" t="s">
        <v>6659</v>
      </c>
      <c r="F2171" s="3" t="str">
        <f>"317-849-0600"</f>
        <v>317-849-0600</v>
      </c>
      <c r="G2171" s="3">
        <v>541320</v>
      </c>
      <c r="H2171" s="3" t="s">
        <v>2241</v>
      </c>
    </row>
    <row r="2172" spans="1:8" ht="64.5" x14ac:dyDescent="0.25">
      <c r="A2172" s="3" t="s">
        <v>6660</v>
      </c>
      <c r="B2172" s="3"/>
      <c r="C2172" s="3" t="str">
        <f>"Cornett Roofing specializes in the following roofing repairs/replacements: metal, tile, shingle, slate, shake, and flat roofs. Also, replacement and repair of skylights. Free Estimates. Licensed, Bonded and Insured."</f>
        <v>Cornett Roofing specializes in the following roofing repairs/replacements: metal, tile, shingle, slate, shake, and flat roofs. Also, replacement and repair of skylights. Free Estimates. Licensed, Bonded and Insured.</v>
      </c>
      <c r="D2172" s="3" t="s">
        <v>6661</v>
      </c>
      <c r="E2172" s="3" t="s">
        <v>6662</v>
      </c>
      <c r="F2172" s="3" t="str">
        <f>"317-356-1237"</f>
        <v>317-356-1237</v>
      </c>
      <c r="G2172" s="3">
        <v>23561</v>
      </c>
      <c r="H2172" s="3" t="s">
        <v>365</v>
      </c>
    </row>
    <row r="2173" spans="1:8" ht="90" x14ac:dyDescent="0.25">
      <c r="A2173" s="3" t="s">
        <v>6663</v>
      </c>
      <c r="B2173" s="3"/>
      <c r="C2173" s="3" t="str">
        <f>"Environmental, industrial hygiene, and safety consulting firm. Asbestos - Lead - Mold - Indoor Air Quality, testing and consulting. Phase I and Phase II Site Assessments. Industrial Hygiene Services. Abatement design, management and monitoring."</f>
        <v>Environmental, industrial hygiene, and safety consulting firm. Asbestos - Lead - Mold - Indoor Air Quality, testing and consulting. Phase I and Phase II Site Assessments. Industrial Hygiene Services. Abatement design, management and monitoring.</v>
      </c>
      <c r="D2173" s="3" t="s">
        <v>6664</v>
      </c>
      <c r="E2173" s="3" t="s">
        <v>6665</v>
      </c>
      <c r="F2173" s="3" t="str">
        <f>"317-687-8700"</f>
        <v>317-687-8700</v>
      </c>
      <c r="G2173" s="3">
        <v>541620</v>
      </c>
      <c r="H2173" s="3" t="s">
        <v>216</v>
      </c>
    </row>
    <row r="2174" spans="1:8" ht="51.75" x14ac:dyDescent="0.25">
      <c r="A2174" s="3" t="s">
        <v>6666</v>
      </c>
      <c r="B2174" s="3"/>
      <c r="C2174" s="3" t="str">
        <f>"My business is a Janitorial Business that services small businesses in the State of Indiana. My company is also venturing out to street surfacing and striping."</f>
        <v>My business is a Janitorial Business that services small businesses in the State of Indiana. My company is also venturing out to street surfacing and striping.</v>
      </c>
      <c r="D2174" s="3" t="s">
        <v>9</v>
      </c>
      <c r="E2174" s="3" t="s">
        <v>46</v>
      </c>
      <c r="F2174" s="2"/>
      <c r="G2174" s="3">
        <v>235</v>
      </c>
      <c r="H2174" s="3" t="s">
        <v>259</v>
      </c>
    </row>
    <row r="2175" spans="1:8" ht="39" x14ac:dyDescent="0.25">
      <c r="A2175" s="3" t="s">
        <v>6667</v>
      </c>
      <c r="B2175" s="3"/>
      <c r="C2175" s="3" t="str">
        <f>"Corporate Concepts, LLC provides promotional products, apparel and employee incentive programs to companies."</f>
        <v>Corporate Concepts, LLC provides promotional products, apparel and employee incentive programs to companies.</v>
      </c>
      <c r="D2175" s="3" t="s">
        <v>6668</v>
      </c>
      <c r="E2175" s="3" t="s">
        <v>6669</v>
      </c>
      <c r="F2175" s="3" t="str">
        <f>"317-770-0800"</f>
        <v>317-770-0800</v>
      </c>
      <c r="G2175" s="3">
        <v>541613</v>
      </c>
      <c r="H2175" s="3" t="s">
        <v>558</v>
      </c>
    </row>
    <row r="2176" spans="1:8" ht="26.25" x14ac:dyDescent="0.25">
      <c r="A2176" s="3" t="s">
        <v>6670</v>
      </c>
      <c r="B2176" s="3"/>
      <c r="C2176" s="3" t="str">
        <f>"General Contractor Industrial Commercial"</f>
        <v>General Contractor Industrial Commercial</v>
      </c>
      <c r="D2176" s="3" t="s">
        <v>6671</v>
      </c>
      <c r="E2176" s="3" t="s">
        <v>46</v>
      </c>
      <c r="F2176" s="3" t="str">
        <f>"260-925-4451"</f>
        <v>260-925-4451</v>
      </c>
      <c r="G2176" s="3">
        <v>2381</v>
      </c>
      <c r="H2176" s="3" t="s">
        <v>6672</v>
      </c>
    </row>
    <row r="2177" spans="1:8" ht="26.25" x14ac:dyDescent="0.25">
      <c r="A2177" s="3" t="s">
        <v>6673</v>
      </c>
      <c r="B2177" s="3"/>
      <c r="C2177" s="3" t="str">
        <f>"Provider of office furnishings, design and flooring to commercial customers."</f>
        <v>Provider of office furnishings, design and flooring to commercial customers.</v>
      </c>
      <c r="D2177" s="3" t="s">
        <v>6674</v>
      </c>
      <c r="E2177" s="3" t="s">
        <v>6675</v>
      </c>
      <c r="F2177" s="3" t="str">
        <f>"812-422-3000"</f>
        <v>812-422-3000</v>
      </c>
      <c r="G2177" s="3">
        <v>442110</v>
      </c>
      <c r="H2177" s="3" t="s">
        <v>117</v>
      </c>
    </row>
    <row r="2178" spans="1:8" ht="102.75" x14ac:dyDescent="0.25">
      <c r="A2178" s="3" t="s">
        <v>6676</v>
      </c>
      <c r="B2178" s="3"/>
      <c r="C2178" s="3" t="s">
        <v>6677</v>
      </c>
      <c r="D2178" s="3" t="s">
        <v>6678</v>
      </c>
      <c r="E2178" s="3" t="s">
        <v>6679</v>
      </c>
      <c r="F2178" s="3" t="str">
        <f>"317-885-0213"</f>
        <v>317-885-0213</v>
      </c>
      <c r="G2178" s="3">
        <v>323110</v>
      </c>
      <c r="H2178" s="3" t="s">
        <v>1900</v>
      </c>
    </row>
    <row r="2179" spans="1:8" ht="319.5" x14ac:dyDescent="0.25">
      <c r="A2179" s="3" t="s">
        <v>6680</v>
      </c>
      <c r="B2179" s="3"/>
      <c r="C2179" s="3" t="s">
        <v>6681</v>
      </c>
      <c r="D2179" s="3" t="s">
        <v>6682</v>
      </c>
      <c r="E2179" s="3" t="s">
        <v>6683</v>
      </c>
      <c r="F2179" s="3" t="str">
        <f>"2194061888"</f>
        <v>2194061888</v>
      </c>
      <c r="G2179" s="3">
        <v>541613</v>
      </c>
      <c r="H2179" s="3" t="s">
        <v>558</v>
      </c>
    </row>
    <row r="2180" spans="1:8" ht="26.25" x14ac:dyDescent="0.25">
      <c r="A2180" s="3" t="s">
        <v>6684</v>
      </c>
      <c r="B2180" s="3"/>
      <c r="C2180" s="3" t="str">
        <f>"Promotional products and embroidered and screen printed wearables."</f>
        <v>Promotional products and embroidered and screen printed wearables.</v>
      </c>
      <c r="D2180" s="3" t="s">
        <v>6685</v>
      </c>
      <c r="E2180" s="3" t="s">
        <v>6686</v>
      </c>
      <c r="F2180" s="3" t="str">
        <f>"317-272-6000"</f>
        <v>317-272-6000</v>
      </c>
      <c r="G2180" s="3">
        <v>541890</v>
      </c>
      <c r="H2180" s="3" t="s">
        <v>401</v>
      </c>
    </row>
    <row r="2181" spans="1:8" ht="319.5" x14ac:dyDescent="0.25">
      <c r="A2181" s="3" t="s">
        <v>6687</v>
      </c>
      <c r="B2181" s="3"/>
      <c r="C2181" s="3" t="s">
        <v>6688</v>
      </c>
      <c r="D2181" s="3" t="s">
        <v>6689</v>
      </c>
      <c r="E2181" s="3" t="s">
        <v>6690</v>
      </c>
      <c r="F2181" s="3" t="str">
        <f>"219-365-7993"</f>
        <v>219-365-7993</v>
      </c>
      <c r="G2181" s="3">
        <v>337214</v>
      </c>
      <c r="H2181" s="3" t="s">
        <v>6691</v>
      </c>
    </row>
    <row r="2182" spans="1:8" ht="39" x14ac:dyDescent="0.25">
      <c r="A2182" s="3" t="s">
        <v>6692</v>
      </c>
      <c r="B2182" s="3"/>
      <c r="C2182" s="3" t="str">
        <f>"Manufactuers of custom interior cabinetry, conference tables, reception desks, lobby displays,interior signage and exhibitry."</f>
        <v>Manufactuers of custom interior cabinetry, conference tables, reception desks, lobby displays,interior signage and exhibitry.</v>
      </c>
      <c r="D2182" s="3" t="s">
        <v>6693</v>
      </c>
      <c r="E2182" s="3" t="s">
        <v>6694</v>
      </c>
      <c r="F2182" s="3" t="str">
        <f>"317-890-1100"</f>
        <v>317-890-1100</v>
      </c>
      <c r="G2182" s="3">
        <v>337</v>
      </c>
      <c r="H2182" s="3" t="s">
        <v>6695</v>
      </c>
    </row>
    <row r="2183" spans="1:8" ht="26.25" x14ac:dyDescent="0.25">
      <c r="A2183" s="3" t="s">
        <v>6696</v>
      </c>
      <c r="B2183" s="3"/>
      <c r="C2183" s="3" t="str">
        <f>"Armed and unarmed security guard and patrol services."</f>
        <v>Armed and unarmed security guard and patrol services.</v>
      </c>
      <c r="D2183" s="3" t="s">
        <v>9</v>
      </c>
      <c r="E2183" s="3" t="s">
        <v>6697</v>
      </c>
      <c r="F2183" s="3" t="str">
        <f>"(574) 876-8830"</f>
        <v>(574) 876-8830</v>
      </c>
      <c r="G2183" s="3">
        <v>561612</v>
      </c>
      <c r="H2183" s="3" t="s">
        <v>362</v>
      </c>
    </row>
    <row r="2184" spans="1:8" ht="39" x14ac:dyDescent="0.25">
      <c r="A2184" s="3" t="s">
        <v>6698</v>
      </c>
      <c r="B2184" s="3"/>
      <c r="C2184" s="3" t="str">
        <f>"We are an AP Automation company specializing in Electronic Invoicing, Workflow and Vendor Portal services."</f>
        <v>We are an AP Automation company specializing in Electronic Invoicing, Workflow and Vendor Portal services.</v>
      </c>
      <c r="D2184" s="3" t="s">
        <v>6699</v>
      </c>
      <c r="E2184" s="3" t="s">
        <v>6700</v>
      </c>
      <c r="F2184" s="3" t="str">
        <f>"888-877-3834 EXT 273"</f>
        <v>888-877-3834 EXT 273</v>
      </c>
      <c r="G2184" s="3">
        <v>1111</v>
      </c>
      <c r="H2184" s="3" t="s">
        <v>6701</v>
      </c>
    </row>
    <row r="2185" spans="1:8" ht="166.5" x14ac:dyDescent="0.25">
      <c r="A2185" s="3" t="s">
        <v>6702</v>
      </c>
      <c r="B2185" s="3"/>
      <c r="C2185" s="3" t="s">
        <v>6703</v>
      </c>
      <c r="D2185" s="3" t="s">
        <v>6704</v>
      </c>
      <c r="E2185" s="3" t="s">
        <v>6705</v>
      </c>
      <c r="F2185" s="3" t="str">
        <f>"317-445-1947"</f>
        <v>317-445-1947</v>
      </c>
      <c r="G2185" s="3">
        <v>453220</v>
      </c>
      <c r="H2185" s="3" t="s">
        <v>274</v>
      </c>
    </row>
    <row r="2186" spans="1:8" ht="26.25" x14ac:dyDescent="0.25">
      <c r="A2186" s="3" t="s">
        <v>6706</v>
      </c>
      <c r="B2186" s="3"/>
      <c r="C2186" s="3" t="str">
        <f>" "</f>
        <v xml:space="preserve"> </v>
      </c>
      <c r="D2186" s="3" t="s">
        <v>9</v>
      </c>
      <c r="E2186" s="3" t="s">
        <v>46</v>
      </c>
      <c r="F2186" s="2"/>
      <c r="G2186" s="3">
        <v>237990</v>
      </c>
      <c r="H2186" s="3" t="s">
        <v>2631</v>
      </c>
    </row>
    <row r="2187" spans="1:8" ht="26.25" x14ac:dyDescent="0.25">
      <c r="A2187" s="3" t="s">
        <v>6707</v>
      </c>
      <c r="B2187" s="3"/>
      <c r="C2187" s="3" t="str">
        <f>"Manufactrer and distributor of specialty lubricants and chemicals."</f>
        <v>Manufactrer and distributor of specialty lubricants and chemicals.</v>
      </c>
      <c r="D2187" s="3" t="s">
        <v>6708</v>
      </c>
      <c r="E2187" s="3" t="s">
        <v>6709</v>
      </c>
      <c r="F2187" s="3" t="str">
        <f>"317-243-3248"</f>
        <v>317-243-3248</v>
      </c>
      <c r="G2187" s="3">
        <v>32</v>
      </c>
      <c r="H2187" s="3" t="s">
        <v>999</v>
      </c>
    </row>
    <row r="2188" spans="1:8" ht="26.25" x14ac:dyDescent="0.25">
      <c r="A2188" s="3" t="s">
        <v>6710</v>
      </c>
      <c r="B2188" s="3"/>
      <c r="C2188" s="3" t="str">
        <f>"Distributor of pump, pipe, valve."</f>
        <v>Distributor of pump, pipe, valve.</v>
      </c>
      <c r="D2188" s="3" t="s">
        <v>6711</v>
      </c>
      <c r="E2188" s="3" t="s">
        <v>6712</v>
      </c>
      <c r="F2188" s="3" t="str">
        <f>"248-478-0100"</f>
        <v>248-478-0100</v>
      </c>
      <c r="G2188" s="3">
        <v>423830</v>
      </c>
      <c r="H2188" s="3" t="s">
        <v>172</v>
      </c>
    </row>
    <row r="2189" spans="1:8" ht="90" x14ac:dyDescent="0.25">
      <c r="A2189" s="3" t="s">
        <v>6713</v>
      </c>
      <c r="B2189" s="3"/>
      <c r="C2189" s="3" t="s">
        <v>6714</v>
      </c>
      <c r="D2189" s="3" t="s">
        <v>6715</v>
      </c>
      <c r="E2189" s="3" t="s">
        <v>6716</v>
      </c>
      <c r="F2189" s="3" t="str">
        <f>"317-894-0627"</f>
        <v>317-894-0627</v>
      </c>
      <c r="G2189" s="3">
        <v>326122</v>
      </c>
      <c r="H2189" s="3" t="s">
        <v>6717</v>
      </c>
    </row>
    <row r="2190" spans="1:8" ht="102.75" x14ac:dyDescent="0.25">
      <c r="A2190" s="3" t="s">
        <v>6718</v>
      </c>
      <c r="B2190" s="3"/>
      <c r="C2190" s="3" t="s">
        <v>6719</v>
      </c>
      <c r="D2190" s="3" t="s">
        <v>9</v>
      </c>
      <c r="E2190" s="3" t="s">
        <v>6720</v>
      </c>
      <c r="F2190" s="3" t="str">
        <f>"812-235-6042"</f>
        <v>812-235-6042</v>
      </c>
      <c r="G2190" s="3">
        <v>541620</v>
      </c>
      <c r="H2190" s="3" t="s">
        <v>216</v>
      </c>
    </row>
    <row r="2191" spans="1:8" ht="153.75" x14ac:dyDescent="0.25">
      <c r="A2191" s="3" t="s">
        <v>6721</v>
      </c>
      <c r="B2191" s="3"/>
      <c r="C2191" s="3" t="s">
        <v>6722</v>
      </c>
      <c r="D2191" s="3" t="s">
        <v>9</v>
      </c>
      <c r="E2191" s="3" t="s">
        <v>6723</v>
      </c>
      <c r="F2191" s="3" t="str">
        <f>"317-25-13504"</f>
        <v>317-25-13504</v>
      </c>
      <c r="G2191" s="3">
        <v>423690</v>
      </c>
      <c r="H2191" s="3" t="s">
        <v>6724</v>
      </c>
    </row>
    <row r="2192" spans="1:8" ht="26.25" x14ac:dyDescent="0.25">
      <c r="A2192" s="3" t="s">
        <v>6725</v>
      </c>
      <c r="B2192" s="3"/>
      <c r="C2192" s="3" t="str">
        <f>"Group Home Provider for adults with mental and physical disabilities"</f>
        <v>Group Home Provider for adults with mental and physical disabilities</v>
      </c>
      <c r="D2192" s="3" t="s">
        <v>6726</v>
      </c>
      <c r="E2192" s="3" t="s">
        <v>46</v>
      </c>
      <c r="F2192" s="3" t="str">
        <f>"5742899779"</f>
        <v>5742899779</v>
      </c>
      <c r="G2192" s="3">
        <v>623210</v>
      </c>
      <c r="H2192" s="3" t="s">
        <v>5236</v>
      </c>
    </row>
    <row r="2193" spans="1:8" ht="26.25" x14ac:dyDescent="0.25">
      <c r="A2193" s="3" t="s">
        <v>6727</v>
      </c>
      <c r="B2193" s="3"/>
      <c r="C2193" s="3" t="str">
        <f>" "</f>
        <v xml:space="preserve"> </v>
      </c>
      <c r="D2193" s="3" t="s">
        <v>6728</v>
      </c>
      <c r="E2193" s="3" t="s">
        <v>6729</v>
      </c>
      <c r="F2193" s="3" t="str">
        <f>"815-334-6364"</f>
        <v>815-334-6364</v>
      </c>
      <c r="G2193" s="3">
        <v>2389</v>
      </c>
      <c r="H2193" s="3" t="s">
        <v>1236</v>
      </c>
    </row>
    <row r="2194" spans="1:8" ht="179.25" x14ac:dyDescent="0.25">
      <c r="A2194" s="3" t="s">
        <v>6730</v>
      </c>
      <c r="B2194" s="3"/>
      <c r="C2194" s="3" t="s">
        <v>6731</v>
      </c>
      <c r="D2194" s="3" t="s">
        <v>6732</v>
      </c>
      <c r="E2194" s="3" t="s">
        <v>6733</v>
      </c>
      <c r="F2194" s="3" t="str">
        <f>"317-202-9570"</f>
        <v>317-202-9570</v>
      </c>
      <c r="G2194" s="3">
        <v>235</v>
      </c>
      <c r="H2194" s="3" t="s">
        <v>259</v>
      </c>
    </row>
    <row r="2195" spans="1:8" ht="26.25" x14ac:dyDescent="0.25">
      <c r="A2195" s="3" t="s">
        <v>6734</v>
      </c>
      <c r="B2195" s="3"/>
      <c r="C2195" s="3" t="str">
        <f>"Distributor of cleaning chemicals and waste water treatment chemicals"</f>
        <v>Distributor of cleaning chemicals and waste water treatment chemicals</v>
      </c>
      <c r="D2195" s="3" t="s">
        <v>9</v>
      </c>
      <c r="E2195" s="3" t="s">
        <v>6735</v>
      </c>
      <c r="F2195" s="3" t="str">
        <f>"812-267-5600"</f>
        <v>812-267-5600</v>
      </c>
      <c r="G2195" s="3">
        <v>4226</v>
      </c>
      <c r="H2195" s="3" t="s">
        <v>6736</v>
      </c>
    </row>
    <row r="2196" spans="1:8" ht="64.5" x14ac:dyDescent="0.25">
      <c r="A2196" s="3" t="s">
        <v>6737</v>
      </c>
      <c r="B2196" s="3"/>
      <c r="C2196" s="3" t="str">
        <f>"bpcc provides carpet and upholstery cleaning services. bpcc also provides water damage and fire damage restoration and repair services. bpcc provides flooring materials and installation labor."</f>
        <v>bpcc provides carpet and upholstery cleaning services. bpcc also provides water damage and fire damage restoration and repair services. bpcc provides flooring materials and installation labor.</v>
      </c>
      <c r="D2196" s="3" t="s">
        <v>6738</v>
      </c>
      <c r="E2196" s="3" t="s">
        <v>6739</v>
      </c>
      <c r="F2196" s="3" t="str">
        <f>"812-332-4470"</f>
        <v>812-332-4470</v>
      </c>
      <c r="G2196" s="3">
        <v>561740</v>
      </c>
      <c r="H2196" s="3" t="s">
        <v>241</v>
      </c>
    </row>
    <row r="2197" spans="1:8" ht="179.25" x14ac:dyDescent="0.25">
      <c r="A2197" s="3" t="s">
        <v>6740</v>
      </c>
      <c r="B2197" s="3"/>
      <c r="C2197" s="3" t="s">
        <v>6741</v>
      </c>
      <c r="D2197" s="3" t="s">
        <v>6742</v>
      </c>
      <c r="E2197" s="3" t="s">
        <v>6743</v>
      </c>
      <c r="F2197" s="3" t="str">
        <f>"317-340-1788"</f>
        <v>317-340-1788</v>
      </c>
      <c r="G2197" s="3">
        <v>514</v>
      </c>
      <c r="H2197" s="3" t="s">
        <v>322</v>
      </c>
    </row>
    <row r="2198" spans="1:8" ht="51.75" x14ac:dyDescent="0.25">
      <c r="A2198" s="3" t="s">
        <v>6744</v>
      </c>
      <c r="B2198" s="3"/>
      <c r="C2198" s="3" t="str">
        <f>"High density moveable shelving and static shelving systems for storage of records and materials, sales, service and relocation of all brands"</f>
        <v>High density moveable shelving and static shelving systems for storage of records and materials, sales, service and relocation of all brands</v>
      </c>
      <c r="D2198" s="3" t="s">
        <v>6745</v>
      </c>
      <c r="E2198" s="3" t="s">
        <v>6746</v>
      </c>
      <c r="F2198" s="3" t="str">
        <f>"317-853-6531"</f>
        <v>317-853-6531</v>
      </c>
      <c r="G2198" s="3">
        <v>238390</v>
      </c>
      <c r="H2198" s="3" t="s">
        <v>2109</v>
      </c>
    </row>
    <row r="2199" spans="1:8" ht="141" x14ac:dyDescent="0.25">
      <c r="A2199" s="3" t="s">
        <v>6747</v>
      </c>
      <c r="B2199" s="3"/>
      <c r="C2199" s="3" t="s">
        <v>6748</v>
      </c>
      <c r="D2199" s="3" t="s">
        <v>6749</v>
      </c>
      <c r="E2199" s="3" t="s">
        <v>6750</v>
      </c>
      <c r="F2199" s="3" t="str">
        <f>"812-883-6602"</f>
        <v>812-883-6602</v>
      </c>
      <c r="G2199" s="3">
        <v>23</v>
      </c>
      <c r="H2199" s="3" t="s">
        <v>133</v>
      </c>
    </row>
    <row r="2200" spans="1:8" ht="64.5" x14ac:dyDescent="0.25">
      <c r="A2200" s="3" t="s">
        <v>6751</v>
      </c>
      <c r="B2200" s="3"/>
      <c r="C2200" s="3" t="str">
        <f>"Outpatient mental health services including therapy for children, adults, couples, and families; mental health, psychological, and substance abuse assessments; substance abuse counseling; and drug testing services."</f>
        <v>Outpatient mental health services including therapy for children, adults, couples, and families; mental health, psychological, and substance abuse assessments; substance abuse counseling; and drug testing services.</v>
      </c>
      <c r="D2200" s="3" t="s">
        <v>6752</v>
      </c>
      <c r="E2200" s="3" t="s">
        <v>46</v>
      </c>
      <c r="F2200" s="3" t="str">
        <f>"765-427-6756"</f>
        <v>765-427-6756</v>
      </c>
      <c r="G2200" s="3">
        <v>621330</v>
      </c>
      <c r="H2200" s="3" t="s">
        <v>2643</v>
      </c>
    </row>
    <row r="2201" spans="1:8" ht="51.75" x14ac:dyDescent="0.25">
      <c r="A2201" s="3" t="s">
        <v>6753</v>
      </c>
      <c r="B2201" s="3"/>
      <c r="C2201" s="3" t="str">
        <f>"Women owned, located in a Hubzone. Providing consulting and management services. We have experts in many subject areas."</f>
        <v>Women owned, located in a Hubzone. Providing consulting and management services. We have experts in many subject areas.</v>
      </c>
      <c r="D2201" s="3" t="s">
        <v>6754</v>
      </c>
      <c r="E2201" s="3" t="s">
        <v>6755</v>
      </c>
      <c r="F2201" s="3" t="str">
        <f>"(812) 675-2075"</f>
        <v>(812) 675-2075</v>
      </c>
      <c r="G2201" s="3">
        <v>541990</v>
      </c>
      <c r="H2201" s="3" t="s">
        <v>378</v>
      </c>
    </row>
    <row r="2202" spans="1:8" ht="26.25" x14ac:dyDescent="0.25">
      <c r="A2202" s="3" t="s">
        <v>6756</v>
      </c>
      <c r="B2202" s="3"/>
      <c r="C2202" s="3" t="str">
        <f>"custom sewing--specializing in draperies, curtains, flags, and show clothing"</f>
        <v>custom sewing--specializing in draperies, curtains, flags, and show clothing</v>
      </c>
      <c r="D2202" s="3" t="s">
        <v>9</v>
      </c>
      <c r="E2202" s="3" t="s">
        <v>6757</v>
      </c>
      <c r="F2202" s="3" t="str">
        <f>"812-665-2974"</f>
        <v>812-665-2974</v>
      </c>
      <c r="G2202" s="3">
        <v>315</v>
      </c>
      <c r="H2202" s="3" t="s">
        <v>3603</v>
      </c>
    </row>
    <row r="2203" spans="1:8" ht="102.75" x14ac:dyDescent="0.25">
      <c r="A2203" s="3" t="s">
        <v>6758</v>
      </c>
      <c r="B2203" s="3"/>
      <c r="C2203" s="3" t="s">
        <v>6759</v>
      </c>
      <c r="D2203" s="3" t="s">
        <v>9</v>
      </c>
      <c r="E2203" s="3" t="s">
        <v>46</v>
      </c>
      <c r="F2203" s="3" t="str">
        <f>"(812) 667-2978"</f>
        <v>(812) 667-2978</v>
      </c>
      <c r="G2203" s="3">
        <v>621399</v>
      </c>
      <c r="H2203" s="3" t="s">
        <v>2306</v>
      </c>
    </row>
    <row r="2204" spans="1:8" ht="153.75" x14ac:dyDescent="0.25">
      <c r="A2204" s="3" t="s">
        <v>6760</v>
      </c>
      <c r="B2204" s="3"/>
      <c r="C2204" s="3" t="s">
        <v>6761</v>
      </c>
      <c r="D2204" s="3" t="s">
        <v>6762</v>
      </c>
      <c r="E2204" s="3" t="s">
        <v>6763</v>
      </c>
      <c r="F2204" s="3" t="str">
        <f>"1-866-425-4844"</f>
        <v>1-866-425-4844</v>
      </c>
      <c r="G2204" s="3">
        <v>51721</v>
      </c>
      <c r="H2204" s="3" t="s">
        <v>5470</v>
      </c>
    </row>
    <row r="2205" spans="1:8" ht="26.25" x14ac:dyDescent="0.25">
      <c r="A2205" s="3" t="s">
        <v>6764</v>
      </c>
      <c r="B2205" s="3"/>
      <c r="C2205" s="3" t="str">
        <f>"We provide excellent selection of playground equipment and installation."</f>
        <v>We provide excellent selection of playground equipment and installation.</v>
      </c>
      <c r="D2205" s="3" t="s">
        <v>6765</v>
      </c>
      <c r="E2205" s="3" t="s">
        <v>6766</v>
      </c>
      <c r="F2205" s="3" t="str">
        <f>"(765)468-6222"</f>
        <v>(765)468-6222</v>
      </c>
      <c r="G2205" s="3">
        <v>238</v>
      </c>
      <c r="H2205" s="3" t="s">
        <v>397</v>
      </c>
    </row>
    <row r="2206" spans="1:8" ht="39" x14ac:dyDescent="0.25">
      <c r="A2206" s="3" t="s">
        <v>6767</v>
      </c>
      <c r="B2206" s="3"/>
      <c r="C2206" s="3" t="str">
        <f>"Our company meets the needs of the construction industry, by providing the best prices on electrical and plumbing supplies."</f>
        <v>Our company meets the needs of the construction industry, by providing the best prices on electrical and plumbing supplies.</v>
      </c>
      <c r="D2206" s="3" t="s">
        <v>9</v>
      </c>
      <c r="E2206" s="3" t="s">
        <v>6768</v>
      </c>
      <c r="F2206" s="3" t="str">
        <f>"765 342-9211"</f>
        <v>765 342-9211</v>
      </c>
      <c r="G2206" s="3">
        <v>335122</v>
      </c>
      <c r="H2206" s="3" t="s">
        <v>3895</v>
      </c>
    </row>
    <row r="2207" spans="1:8" ht="51.75" x14ac:dyDescent="0.25">
      <c r="A2207" s="3" t="s">
        <v>6769</v>
      </c>
      <c r="B2207" s="3"/>
      <c r="C2207" s="3" t="str">
        <f>"I do indiana land title searches, and real estate closings. Commercial, and conventional loan closings on all real estate land transfers."</f>
        <v>I do indiana land title searches, and real estate closings. Commercial, and conventional loan closings on all real estate land transfers.</v>
      </c>
      <c r="D2207" s="3" t="s">
        <v>6770</v>
      </c>
      <c r="E2207" s="3" t="s">
        <v>6771</v>
      </c>
      <c r="F2207" s="3" t="str">
        <f>"765 342-2400"</f>
        <v>765 342-2400</v>
      </c>
      <c r="G2207" s="3">
        <v>541191</v>
      </c>
      <c r="H2207" s="3" t="s">
        <v>1146</v>
      </c>
    </row>
    <row r="2208" spans="1:8" ht="39" x14ac:dyDescent="0.25">
      <c r="A2208" s="3" t="s">
        <v>6772</v>
      </c>
      <c r="B2208" s="3"/>
      <c r="C2208" s="3" t="str">
        <f>"Sales, Service, and Repair for Cooling Towers, Chillers, Air Compressors, and Pumps"</f>
        <v>Sales, Service, and Repair for Cooling Towers, Chillers, Air Compressors, and Pumps</v>
      </c>
      <c r="D2208" s="3" t="s">
        <v>6773</v>
      </c>
      <c r="E2208" s="3" t="s">
        <v>6774</v>
      </c>
      <c r="F2208" s="3" t="str">
        <f>"317-789-8888"</f>
        <v>317-789-8888</v>
      </c>
      <c r="G2208" s="3">
        <v>81131</v>
      </c>
      <c r="H2208" s="3" t="s">
        <v>1895</v>
      </c>
    </row>
    <row r="2209" spans="1:8" ht="102.75" x14ac:dyDescent="0.25">
      <c r="A2209" s="3" t="s">
        <v>6775</v>
      </c>
      <c r="B2209" s="3"/>
      <c r="C2209" s="3" t="s">
        <v>6776</v>
      </c>
      <c r="D2209" s="3" t="s">
        <v>6777</v>
      </c>
      <c r="E2209" s="3" t="s">
        <v>6778</v>
      </c>
      <c r="F2209" s="3" t="str">
        <f>"3174434138"</f>
        <v>3174434138</v>
      </c>
      <c r="G2209" s="3">
        <v>423840</v>
      </c>
      <c r="H2209" s="3" t="s">
        <v>553</v>
      </c>
    </row>
    <row r="2210" spans="1:8" ht="77.25" x14ac:dyDescent="0.25">
      <c r="A2210" s="3" t="s">
        <v>6779</v>
      </c>
      <c r="B2210" s="3"/>
      <c r="C2210" s="3" t="str">
        <f>"CSI Inc. is a full service private investigative company that has been providing a wide range of services, such as: undercover investigations, insurance fraud, surveillance, background checks, security, and security consultation, for five years."</f>
        <v>CSI Inc. is a full service private investigative company that has been providing a wide range of services, such as: undercover investigations, insurance fraud, surveillance, background checks, security, and security consultation, for five years.</v>
      </c>
      <c r="D2210" s="3" t="s">
        <v>9</v>
      </c>
      <c r="E2210" s="3" t="s">
        <v>6780</v>
      </c>
      <c r="F2210" s="3" t="str">
        <f>"260-432-3223"</f>
        <v>260-432-3223</v>
      </c>
      <c r="G2210" s="3">
        <v>561612</v>
      </c>
      <c r="H2210" s="3" t="s">
        <v>362</v>
      </c>
    </row>
    <row r="2211" spans="1:8" ht="39" x14ac:dyDescent="0.25">
      <c r="A2211" s="3" t="s">
        <v>6781</v>
      </c>
      <c r="B2211" s="3"/>
      <c r="C2211" s="3" t="str">
        <f>"Provides project management, systems/business analysis and data architect services as related to IT projects."</f>
        <v>Provides project management, systems/business analysis and data architect services as related to IT projects.</v>
      </c>
      <c r="D2211" s="3" t="s">
        <v>6782</v>
      </c>
      <c r="E2211" s="3" t="s">
        <v>6783</v>
      </c>
      <c r="F2211" s="3" t="str">
        <f>"219-741-8053"</f>
        <v>219-741-8053</v>
      </c>
      <c r="G2211" s="3">
        <v>5415</v>
      </c>
      <c r="H2211" s="3" t="s">
        <v>188</v>
      </c>
    </row>
    <row r="2212" spans="1:8" ht="294" x14ac:dyDescent="0.25">
      <c r="A2212" s="3" t="s">
        <v>6784</v>
      </c>
      <c r="B2212" s="3"/>
      <c r="C2212" s="3" t="s">
        <v>6785</v>
      </c>
      <c r="D2212" s="3" t="s">
        <v>6786</v>
      </c>
      <c r="E2212" s="3" t="s">
        <v>6787</v>
      </c>
      <c r="F2212" s="3" t="str">
        <f>"502-876-5174"</f>
        <v>502-876-5174</v>
      </c>
      <c r="G2212" s="3">
        <v>237130</v>
      </c>
      <c r="H2212" s="3" t="s">
        <v>3432</v>
      </c>
    </row>
    <row r="2213" spans="1:8" ht="128.25" x14ac:dyDescent="0.25">
      <c r="A2213" s="3" t="s">
        <v>6788</v>
      </c>
      <c r="B2213" s="3"/>
      <c r="C2213" s="3" t="s">
        <v>6789</v>
      </c>
      <c r="D2213" s="3" t="s">
        <v>9</v>
      </c>
      <c r="E2213" s="3" t="s">
        <v>6790</v>
      </c>
      <c r="F2213" s="3" t="str">
        <f>"(502)548-3410"</f>
        <v>(502)548-3410</v>
      </c>
      <c r="G2213" s="3">
        <v>54133</v>
      </c>
      <c r="H2213" s="3" t="s">
        <v>82</v>
      </c>
    </row>
    <row r="2214" spans="1:8" ht="39" x14ac:dyDescent="0.25">
      <c r="A2214" s="3" t="s">
        <v>6791</v>
      </c>
      <c r="B2214" s="3"/>
      <c r="C2214" s="3" t="str">
        <f>"We provided the opportunity to purchase New Dodge and Chevrolet vehicles, along with premium pre-owned vehicles."</f>
        <v>We provided the opportunity to purchase New Dodge and Chevrolet vehicles, along with premium pre-owned vehicles.</v>
      </c>
      <c r="D2214" s="3" t="s">
        <v>6792</v>
      </c>
      <c r="E2214" s="3" t="s">
        <v>6793</v>
      </c>
      <c r="F2214" s="3" t="str">
        <f>"812-948-7711"</f>
        <v>812-948-7711</v>
      </c>
      <c r="G2214" s="3">
        <v>441110</v>
      </c>
      <c r="H2214" s="3" t="s">
        <v>2588</v>
      </c>
    </row>
    <row r="2215" spans="1:8" ht="26.25" x14ac:dyDescent="0.25">
      <c r="A2215" s="3" t="s">
        <v>6794</v>
      </c>
      <c r="B2215" s="3"/>
      <c r="C2215" s="3" t="str">
        <f>"Public Relations and Marketing Communications"</f>
        <v>Public Relations and Marketing Communications</v>
      </c>
      <c r="D2215" s="3" t="s">
        <v>6795</v>
      </c>
      <c r="E2215" s="3" t="s">
        <v>6796</v>
      </c>
      <c r="F2215" s="3" t="str">
        <f>"812-320-2634"</f>
        <v>812-320-2634</v>
      </c>
      <c r="G2215" s="3">
        <v>541820</v>
      </c>
      <c r="H2215" s="3" t="s">
        <v>795</v>
      </c>
    </row>
    <row r="2216" spans="1:8" ht="64.5" x14ac:dyDescent="0.25">
      <c r="A2216" s="3" t="s">
        <v>6797</v>
      </c>
      <c r="B2216" s="3"/>
      <c r="C2216" s="3" t="str">
        <f>"Full machine shop, fabrication, and all types of welding. Craig Welding both repairs all types of parts and creates product either from customer drawings or our own drawings."</f>
        <v>Full machine shop, fabrication, and all types of welding. Craig Welding both repairs all types of parts and creates product either from customer drawings or our own drawings.</v>
      </c>
      <c r="D2216" s="3" t="s">
        <v>6798</v>
      </c>
      <c r="E2216" s="3" t="s">
        <v>6799</v>
      </c>
      <c r="F2216" s="3" t="str">
        <f>"574-353-7912"</f>
        <v>574-353-7912</v>
      </c>
      <c r="G2216" s="3">
        <v>3329</v>
      </c>
      <c r="H2216" s="3" t="s">
        <v>6800</v>
      </c>
    </row>
    <row r="2217" spans="1:8" ht="26.25" x14ac:dyDescent="0.25">
      <c r="A2217" s="3" t="s">
        <v>6801</v>
      </c>
      <c r="B2217" s="3"/>
      <c r="C2217" s="2"/>
      <c r="D2217" s="3" t="s">
        <v>9</v>
      </c>
      <c r="E2217" s="3" t="s">
        <v>46</v>
      </c>
      <c r="F2217" s="3" t="str">
        <f>"812-283-1993"</f>
        <v>812-283-1993</v>
      </c>
      <c r="G2217" s="3">
        <v>238220</v>
      </c>
      <c r="H2217" s="3" t="s">
        <v>348</v>
      </c>
    </row>
    <row r="2218" spans="1:8" ht="77.25" x14ac:dyDescent="0.25">
      <c r="A2218" s="3" t="s">
        <v>6802</v>
      </c>
      <c r="B2218" s="3"/>
      <c r="C2218" s="3" t="str">
        <f>"Environmental Consulting Services - Asbestos Building Inspections for renovations and demolitions, Site characterizations including subsurface investigations, state and federal permits, erosion control plans for construction"</f>
        <v>Environmental Consulting Services - Asbestos Building Inspections for renovations and demolitions, Site characterizations including subsurface investigations, state and federal permits, erosion control plans for construction</v>
      </c>
      <c r="D2218" s="3" t="s">
        <v>6803</v>
      </c>
      <c r="E2218" s="3" t="s">
        <v>6804</v>
      </c>
      <c r="F2218" s="3" t="str">
        <f>"812-868-0709"</f>
        <v>812-868-0709</v>
      </c>
      <c r="G2218" s="3">
        <v>541620</v>
      </c>
      <c r="H2218" s="3" t="s">
        <v>216</v>
      </c>
    </row>
    <row r="2219" spans="1:8" ht="26.25" x14ac:dyDescent="0.25">
      <c r="A2219" s="3" t="s">
        <v>6805</v>
      </c>
      <c r="B2219" s="3"/>
      <c r="C2219" s="3" t="str">
        <f>"Excavation"</f>
        <v>Excavation</v>
      </c>
      <c r="D2219" s="3" t="s">
        <v>9</v>
      </c>
      <c r="E2219" s="3" t="s">
        <v>6806</v>
      </c>
      <c r="F2219" s="3" t="str">
        <f>"574-896-5444"</f>
        <v>574-896-5444</v>
      </c>
      <c r="G2219" s="3">
        <v>238910</v>
      </c>
      <c r="H2219" s="3" t="s">
        <v>886</v>
      </c>
    </row>
    <row r="2220" spans="1:8" ht="153.75" x14ac:dyDescent="0.25">
      <c r="A2220" s="3" t="s">
        <v>6807</v>
      </c>
      <c r="B2220" s="3"/>
      <c r="C2220" s="3" t="s">
        <v>6808</v>
      </c>
      <c r="D2220" s="3" t="s">
        <v>6809</v>
      </c>
      <c r="E2220" s="3" t="s">
        <v>6810</v>
      </c>
      <c r="F2220" s="3" t="str">
        <f>"317-472-0026"</f>
        <v>317-472-0026</v>
      </c>
      <c r="G2220" s="3">
        <v>488991</v>
      </c>
      <c r="H2220" s="3" t="s">
        <v>6811</v>
      </c>
    </row>
    <row r="2221" spans="1:8" ht="26.25" x14ac:dyDescent="0.25">
      <c r="A2221" s="3" t="s">
        <v>6812</v>
      </c>
      <c r="B2221" s="3"/>
      <c r="C2221" s="3" t="str">
        <f>"Office building with space available for rent"</f>
        <v>Office building with space available for rent</v>
      </c>
      <c r="D2221" s="3" t="s">
        <v>9</v>
      </c>
      <c r="E2221" s="3" t="s">
        <v>6813</v>
      </c>
      <c r="F2221" s="3" t="str">
        <f>"812-633-4886"</f>
        <v>812-633-4886</v>
      </c>
      <c r="G2221" s="3">
        <v>811490</v>
      </c>
      <c r="H2221" s="3" t="s">
        <v>1539</v>
      </c>
    </row>
    <row r="2222" spans="1:8" ht="39" x14ac:dyDescent="0.25">
      <c r="A2222" s="3" t="s">
        <v>6814</v>
      </c>
      <c r="B2222" s="3"/>
      <c r="C2222" s="3" t="str">
        <f>"Retail hardware and lumber with special departments including flooring, kitchens, appliances, furniture and a rental center."</f>
        <v>Retail hardware and lumber with special departments including flooring, kitchens, appliances, furniture and a rental center.</v>
      </c>
      <c r="D2222" s="3" t="s">
        <v>6815</v>
      </c>
      <c r="E2222" s="3" t="s">
        <v>46</v>
      </c>
      <c r="F2222" s="3" t="str">
        <f>"765-362-2900"</f>
        <v>765-362-2900</v>
      </c>
      <c r="G2222" s="3">
        <v>532412</v>
      </c>
      <c r="H2222" s="3" t="s">
        <v>777</v>
      </c>
    </row>
    <row r="2223" spans="1:8" ht="115.5" x14ac:dyDescent="0.25">
      <c r="A2223" s="3" t="s">
        <v>6816</v>
      </c>
      <c r="B2223" s="3"/>
      <c r="C2223" s="3" t="s">
        <v>6817</v>
      </c>
      <c r="D2223" s="3" t="s">
        <v>6818</v>
      </c>
      <c r="E2223" s="3" t="s">
        <v>6819</v>
      </c>
      <c r="F2223" s="3" t="str">
        <f>"317-788-8881"</f>
        <v>317-788-8881</v>
      </c>
      <c r="G2223" s="3">
        <v>541613</v>
      </c>
      <c r="H2223" s="3" t="s">
        <v>558</v>
      </c>
    </row>
    <row r="2224" spans="1:8" ht="51.75" x14ac:dyDescent="0.25">
      <c r="A2224" s="3" t="s">
        <v>6820</v>
      </c>
      <c r="B2224" s="3"/>
      <c r="C2224" s="3" t="str">
        <f>"Personalized Sales of Logoed Apparel and Promotional Items to Indiana businesses,organizations,schools and etc. since 2004."</f>
        <v>Personalized Sales of Logoed Apparel and Promotional Items to Indiana businesses,organizations,schools and etc. since 2004.</v>
      </c>
      <c r="D2224" s="3" t="s">
        <v>9</v>
      </c>
      <c r="E2224" s="3" t="s">
        <v>5730</v>
      </c>
      <c r="F2224" s="3" t="str">
        <f>"317-697-6311"</f>
        <v>317-697-6311</v>
      </c>
      <c r="G2224" s="3">
        <v>541890</v>
      </c>
      <c r="H2224" s="3" t="s">
        <v>401</v>
      </c>
    </row>
    <row r="2225" spans="1:8" ht="90" x14ac:dyDescent="0.25">
      <c r="A2225" s="3" t="s">
        <v>6821</v>
      </c>
      <c r="B2225" s="3"/>
      <c r="C2225" s="3" t="s">
        <v>6822</v>
      </c>
      <c r="D2225" s="3" t="s">
        <v>6823</v>
      </c>
      <c r="E2225" s="3" t="s">
        <v>6824</v>
      </c>
      <c r="F2225" s="3" t="str">
        <f>"812-282-9442"</f>
        <v>812-282-9442</v>
      </c>
      <c r="G2225" s="3">
        <v>323110</v>
      </c>
      <c r="H2225" s="3" t="s">
        <v>1900</v>
      </c>
    </row>
    <row r="2226" spans="1:8" ht="26.25" x14ac:dyDescent="0.25">
      <c r="A2226" s="3" t="s">
        <v>6825</v>
      </c>
      <c r="B2226" s="3"/>
      <c r="C2226" s="3" t="str">
        <f>"Plastering, Stucco, Painting"</f>
        <v>Plastering, Stucco, Painting</v>
      </c>
      <c r="D2226" s="3" t="s">
        <v>9</v>
      </c>
      <c r="E2226" s="3" t="s">
        <v>6826</v>
      </c>
      <c r="F2226" s="3" t="str">
        <f>"574-806-0334"</f>
        <v>574-806-0334</v>
      </c>
      <c r="G2226" s="3">
        <v>23</v>
      </c>
      <c r="H2226" s="3" t="s">
        <v>133</v>
      </c>
    </row>
    <row r="2227" spans="1:8" ht="39" x14ac:dyDescent="0.25">
      <c r="A2227" s="3" t="s">
        <v>6827</v>
      </c>
      <c r="B2227" s="3"/>
      <c r="C2227" s="3" t="str">
        <f>"Creative Designs Embroidery provides embroidery/embelishment to any garment/item that can reasonably sewn."</f>
        <v>Creative Designs Embroidery provides embroidery/embelishment to any garment/item that can reasonably sewn.</v>
      </c>
      <c r="D2227" s="3" t="s">
        <v>9</v>
      </c>
      <c r="E2227" s="3" t="s">
        <v>6828</v>
      </c>
      <c r="F2227" s="3" t="str">
        <f>"317-776-9276"</f>
        <v>317-776-9276</v>
      </c>
      <c r="G2227" s="3">
        <v>451130</v>
      </c>
      <c r="H2227" s="3" t="s">
        <v>6829</v>
      </c>
    </row>
    <row r="2228" spans="1:8" ht="128.25" x14ac:dyDescent="0.25">
      <c r="A2228" s="3" t="s">
        <v>6830</v>
      </c>
      <c r="B2228" s="3"/>
      <c r="C2228" s="3" t="s">
        <v>6831</v>
      </c>
      <c r="D2228" s="3" t="s">
        <v>6832</v>
      </c>
      <c r="E2228" s="3" t="s">
        <v>6833</v>
      </c>
      <c r="F2228" s="3" t="str">
        <f>"765-883-8431"</f>
        <v>765-883-8431</v>
      </c>
      <c r="G2228" s="3">
        <v>541613</v>
      </c>
      <c r="H2228" s="3" t="s">
        <v>558</v>
      </c>
    </row>
    <row r="2229" spans="1:8" ht="26.25" x14ac:dyDescent="0.25">
      <c r="A2229" s="3" t="s">
        <v>6834</v>
      </c>
      <c r="B2229" s="3"/>
      <c r="C2229" s="3" t="str">
        <f>"CHCM provides rehabilitation therapy in long term and hospital settings."</f>
        <v>CHCM provides rehabilitation therapy in long term and hospital settings.</v>
      </c>
      <c r="D2229" s="3" t="s">
        <v>6835</v>
      </c>
      <c r="E2229" s="3" t="s">
        <v>6836</v>
      </c>
      <c r="F2229" s="3" t="str">
        <f>"765-651-3229"</f>
        <v>765-651-3229</v>
      </c>
      <c r="G2229" s="3">
        <v>621498</v>
      </c>
      <c r="H2229" s="3" t="s">
        <v>937</v>
      </c>
    </row>
    <row r="2230" spans="1:8" ht="77.25" x14ac:dyDescent="0.25">
      <c r="A2230" s="3" t="s">
        <v>6837</v>
      </c>
      <c r="B2230" s="3"/>
      <c r="C2230" s="3" t="str">
        <f>"Full service printer providing digital and offset printing for products including business cards, brochures, flyers, letterhead, postcards, labels, envelopes, forms, annual reports, posters, banners, inserts, magazines"</f>
        <v>Full service printer providing digital and offset printing for products including business cards, brochures, flyers, letterhead, postcards, labels, envelopes, forms, annual reports, posters, banners, inserts, magazines</v>
      </c>
      <c r="D2230" s="3" t="s">
        <v>6838</v>
      </c>
      <c r="E2230" s="3" t="s">
        <v>6839</v>
      </c>
      <c r="F2230" s="3" t="str">
        <f>"260-927-9109"</f>
        <v>260-927-9109</v>
      </c>
      <c r="G2230" s="3">
        <v>453210</v>
      </c>
      <c r="H2230" s="3" t="s">
        <v>431</v>
      </c>
    </row>
    <row r="2231" spans="1:8" ht="90" x14ac:dyDescent="0.25">
      <c r="A2231" s="3" t="s">
        <v>6840</v>
      </c>
      <c r="B2231" s="3"/>
      <c r="C2231" s="3" t="s">
        <v>6841</v>
      </c>
      <c r="D2231" s="3" t="s">
        <v>9</v>
      </c>
      <c r="E2231" s="3" t="s">
        <v>6842</v>
      </c>
      <c r="F2231" s="3" t="str">
        <f>"(513) 309-5444"</f>
        <v>(513) 309-5444</v>
      </c>
      <c r="G2231" s="3">
        <v>541410</v>
      </c>
      <c r="H2231" s="3" t="s">
        <v>687</v>
      </c>
    </row>
    <row r="2232" spans="1:8" ht="51.75" x14ac:dyDescent="0.25">
      <c r="A2232" s="3" t="s">
        <v>6843</v>
      </c>
      <c r="B2232" s="3"/>
      <c r="C2232" s="3" t="str">
        <f>"We are a web and graphic design that helps small to mid-sized business expand and refine their presence on and off the interent through the use of our creative services."</f>
        <v>We are a web and graphic design that helps small to mid-sized business expand and refine their presence on and off the interent through the use of our creative services.</v>
      </c>
      <c r="D2232" s="3" t="s">
        <v>6844</v>
      </c>
      <c r="E2232" s="3" t="s">
        <v>6845</v>
      </c>
      <c r="F2232" s="3" t="str">
        <f>"317-833-7933"</f>
        <v>317-833-7933</v>
      </c>
      <c r="G2232" s="3">
        <v>541511</v>
      </c>
      <c r="H2232" s="3" t="s">
        <v>122</v>
      </c>
    </row>
    <row r="2233" spans="1:8" ht="319.5" x14ac:dyDescent="0.25">
      <c r="A2233" s="3" t="s">
        <v>6846</v>
      </c>
      <c r="B2233" s="3"/>
      <c r="C2233" s="3" t="s">
        <v>6847</v>
      </c>
      <c r="D2233" s="3" t="s">
        <v>6848</v>
      </c>
      <c r="E2233" s="3" t="s">
        <v>6849</v>
      </c>
      <c r="F2233" s="3" t="str">
        <f>"5744576996"</f>
        <v>5744576996</v>
      </c>
      <c r="G2233" s="3">
        <v>448</v>
      </c>
      <c r="H2233" s="3" t="s">
        <v>2198</v>
      </c>
    </row>
    <row r="2234" spans="1:8" ht="64.5" x14ac:dyDescent="0.25">
      <c r="A2234" s="3" t="s">
        <v>6850</v>
      </c>
      <c r="B2234" s="3"/>
      <c r="C2234" s="3" t="str">
        <f>"Advertising agency specializing in marketing consulting and advertising services. Services provided include branding, media planning, creative design, and web strategy."</f>
        <v>Advertising agency specializing in marketing consulting and advertising services. Services provided include branding, media planning, creative design, and web strategy.</v>
      </c>
      <c r="D2234" s="3" t="s">
        <v>6851</v>
      </c>
      <c r="E2234" s="3" t="s">
        <v>46</v>
      </c>
      <c r="F2234" s="3" t="str">
        <f>"317-636-2131"</f>
        <v>317-636-2131</v>
      </c>
      <c r="G2234" s="3">
        <v>541810</v>
      </c>
      <c r="H2234" s="3" t="s">
        <v>976</v>
      </c>
    </row>
    <row r="2235" spans="1:8" ht="64.5" x14ac:dyDescent="0.25">
      <c r="A2235" s="3" t="s">
        <v>6852</v>
      </c>
      <c r="B2235" s="3"/>
      <c r="C2235" s="3" t="str">
        <f>"We provide promotional products that are printed, embroidered or engraved with corporate or event logos. We distribute over 500,000 products. Many of our products can be viewd on our web site."</f>
        <v>We provide promotional products that are printed, embroidered or engraved with corporate or event logos. We distribute over 500,000 products. Many of our products can be viewd on our web site.</v>
      </c>
      <c r="D2235" s="3" t="s">
        <v>6853</v>
      </c>
      <c r="E2235" s="3" t="s">
        <v>6854</v>
      </c>
      <c r="F2235" s="3" t="str">
        <f>"317-253-0525"</f>
        <v>317-253-0525</v>
      </c>
      <c r="G2235" s="3">
        <v>54187</v>
      </c>
      <c r="H2235" s="3" t="s">
        <v>657</v>
      </c>
    </row>
    <row r="2236" spans="1:8" ht="26.25" x14ac:dyDescent="0.25">
      <c r="A2236" s="3" t="s">
        <v>6855</v>
      </c>
      <c r="B2236" s="3"/>
      <c r="C2236" s="3" t="str">
        <f>"Custom apparel, promotional advertising, and awards."</f>
        <v>Custom apparel, promotional advertising, and awards.</v>
      </c>
      <c r="D2236" s="3" t="s">
        <v>9</v>
      </c>
      <c r="E2236" s="3" t="s">
        <v>46</v>
      </c>
      <c r="F2236" s="3" t="str">
        <f>"1-800-342-8269"</f>
        <v>1-800-342-8269</v>
      </c>
      <c r="G2236" s="3">
        <v>54187</v>
      </c>
      <c r="H2236" s="3" t="s">
        <v>657</v>
      </c>
    </row>
    <row r="2237" spans="1:8" ht="90" x14ac:dyDescent="0.25">
      <c r="A2237" s="3" t="s">
        <v>6856</v>
      </c>
      <c r="B2237" s="3"/>
      <c r="C2237" s="3" t="str">
        <f>"We are a general contractor who specializes in disastor restoration in both residential and commercial structures. Other services include but not limited to siding, roofing and framing. We are a family owned and operated business that was started in 1998."</f>
        <v>We are a general contractor who specializes in disastor restoration in both residential and commercial structures. Other services include but not limited to siding, roofing and framing. We are a family owned and operated business that was started in 1998.</v>
      </c>
      <c r="D2237" s="3" t="s">
        <v>6857</v>
      </c>
      <c r="E2237" s="3" t="s">
        <v>6858</v>
      </c>
      <c r="F2237" s="3" t="str">
        <f>"317-421-0794"</f>
        <v>317-421-0794</v>
      </c>
      <c r="G2237" s="3">
        <v>2332</v>
      </c>
      <c r="H2237" s="3" t="s">
        <v>3466</v>
      </c>
    </row>
    <row r="2238" spans="1:8" ht="64.5" x14ac:dyDescent="0.25">
      <c r="A2238" s="3" t="s">
        <v>6859</v>
      </c>
      <c r="B2238" s="3"/>
      <c r="C2238" s="3" t="str">
        <f>"Full service Interior and Exterior Sign Design, Fabrication, and Installation. Full service Neon Manufacture, Repair and Bending. Full line of graphics including vehicle wraps."</f>
        <v>Full service Interior and Exterior Sign Design, Fabrication, and Installation. Full service Neon Manufacture, Repair and Bending. Full line of graphics including vehicle wraps.</v>
      </c>
      <c r="D2238" s="3" t="s">
        <v>6860</v>
      </c>
      <c r="E2238" s="3" t="s">
        <v>6861</v>
      </c>
      <c r="F2238" s="3" t="str">
        <f>"260-425-9618"</f>
        <v>260-425-9618</v>
      </c>
      <c r="G2238" s="3">
        <v>339950</v>
      </c>
      <c r="H2238" s="3" t="s">
        <v>68</v>
      </c>
    </row>
    <row r="2239" spans="1:8" ht="243" x14ac:dyDescent="0.25">
      <c r="A2239" s="3" t="s">
        <v>6862</v>
      </c>
      <c r="B2239" s="3"/>
      <c r="C2239" s="3" t="s">
        <v>6863</v>
      </c>
      <c r="D2239" s="3" t="s">
        <v>6864</v>
      </c>
      <c r="E2239" s="3" t="s">
        <v>6865</v>
      </c>
      <c r="F2239" s="3" t="str">
        <f>"317-757-8764"</f>
        <v>317-757-8764</v>
      </c>
      <c r="G2239" s="3">
        <v>541512</v>
      </c>
      <c r="H2239" s="3" t="s">
        <v>19</v>
      </c>
    </row>
    <row r="2240" spans="1:8" ht="51.75" x14ac:dyDescent="0.25">
      <c r="A2240" s="3" t="s">
        <v>6866</v>
      </c>
      <c r="B2240" s="3"/>
      <c r="C2240" s="3" t="str">
        <f>"Creative Stamping is a large store in NW IN specializing in Art Rubber Stamps, Custom Rubber Stamps, Speciality Papers, Craft Supplies and Scrapbooking Materials."</f>
        <v>Creative Stamping is a large store in NW IN specializing in Art Rubber Stamps, Custom Rubber Stamps, Speciality Papers, Craft Supplies and Scrapbooking Materials.</v>
      </c>
      <c r="D2240" s="3" t="s">
        <v>6867</v>
      </c>
      <c r="E2240" s="3" t="s">
        <v>6868</v>
      </c>
      <c r="F2240" s="3" t="str">
        <f>"219-923-5044"</f>
        <v>219-923-5044</v>
      </c>
      <c r="G2240" s="3">
        <v>44</v>
      </c>
      <c r="H2240" s="3" t="s">
        <v>574</v>
      </c>
    </row>
    <row r="2241" spans="1:8" ht="39" x14ac:dyDescent="0.25">
      <c r="A2241" s="3" t="s">
        <v>6869</v>
      </c>
      <c r="B2241" s="3"/>
      <c r="C2241" s="3" t="str">
        <f>"Produce, process and package fresh shell eggs to retail stores, restaurants and food service distributors."</f>
        <v>Produce, process and package fresh shell eggs to retail stores, restaurants and food service distributors.</v>
      </c>
      <c r="D2241" s="3" t="s">
        <v>9</v>
      </c>
      <c r="E2241" s="3" t="s">
        <v>46</v>
      </c>
      <c r="F2241" s="2"/>
      <c r="G2241" s="3">
        <v>424440</v>
      </c>
      <c r="H2241" s="3" t="s">
        <v>6870</v>
      </c>
    </row>
    <row r="2242" spans="1:8" ht="26.25" x14ac:dyDescent="0.25">
      <c r="A2242" s="3" t="s">
        <v>6871</v>
      </c>
      <c r="B2242" s="3"/>
      <c r="C2242" s="3" t="str">
        <f>" "</f>
        <v xml:space="preserve"> </v>
      </c>
      <c r="D2242" s="3" t="s">
        <v>6872</v>
      </c>
      <c r="E2242" s="3" t="s">
        <v>46</v>
      </c>
      <c r="F2242" s="3" t="str">
        <f>"812-336-4452"</f>
        <v>812-336-4452</v>
      </c>
      <c r="G2242" s="3">
        <v>237310</v>
      </c>
      <c r="H2242" s="3" t="s">
        <v>768</v>
      </c>
    </row>
    <row r="2243" spans="1:8" ht="39" x14ac:dyDescent="0.25">
      <c r="A2243" s="3" t="s">
        <v>6873</v>
      </c>
      <c r="B2243" s="3"/>
      <c r="C2243" s="3" t="str">
        <f>"Crime Control Research, Inc. performs crime analysis, research, and evaluation services for criminal justice agenices and programs."</f>
        <v>Crime Control Research, Inc. performs crime analysis, research, and evaluation services for criminal justice agenices and programs.</v>
      </c>
      <c r="D2243" s="3" t="s">
        <v>9</v>
      </c>
      <c r="E2243" s="3" t="s">
        <v>46</v>
      </c>
      <c r="F2243" s="2"/>
      <c r="G2243" s="3">
        <v>541720</v>
      </c>
      <c r="H2243" s="3" t="s">
        <v>1123</v>
      </c>
    </row>
    <row r="2244" spans="1:8" ht="51.75" x14ac:dyDescent="0.25">
      <c r="A2244" s="3" t="s">
        <v>6874</v>
      </c>
      <c r="B2244" s="3"/>
      <c r="C2244" s="3" t="str">
        <f>"Sales, service,installation of residential, commerical, industrial, Garage doors, dock equipment, fire doors,entry doors,bi-folds,gates,openers,reframe openings."</f>
        <v>Sales, service,installation of residential, commerical, industrial, Garage doors, dock equipment, fire doors,entry doors,bi-folds,gates,openers,reframe openings.</v>
      </c>
      <c r="D2244" s="3" t="s">
        <v>6875</v>
      </c>
      <c r="E2244" s="3" t="s">
        <v>6876</v>
      </c>
      <c r="F2244" s="3" t="str">
        <f>"1-800-770-8777"</f>
        <v>1-800-770-8777</v>
      </c>
      <c r="G2244" s="3">
        <v>23599</v>
      </c>
      <c r="H2244" s="3" t="s">
        <v>248</v>
      </c>
    </row>
    <row r="2245" spans="1:8" ht="26.25" x14ac:dyDescent="0.25">
      <c r="A2245" s="3" t="s">
        <v>6877</v>
      </c>
      <c r="B2245" s="3"/>
      <c r="C2245" s="3" t="str">
        <f>"Septic pumping and portable toilet services."</f>
        <v>Septic pumping and portable toilet services.</v>
      </c>
      <c r="D2245" s="3" t="s">
        <v>9</v>
      </c>
      <c r="E2245" s="3" t="s">
        <v>6878</v>
      </c>
      <c r="F2245" s="3" t="str">
        <f>"574 533 4920"</f>
        <v>574 533 4920</v>
      </c>
      <c r="G2245" s="3">
        <v>562991</v>
      </c>
      <c r="H2245" s="3" t="s">
        <v>468</v>
      </c>
    </row>
    <row r="2246" spans="1:8" ht="64.5" x14ac:dyDescent="0.25">
      <c r="A2246" s="3" t="s">
        <v>6879</v>
      </c>
      <c r="B2246" s="3"/>
      <c r="C2246" s="3" t="str">
        <f>"Real estate development company that acquires, develops, constructs and owns multifamily residential and commercial properties. Company specializies in affordable rental housing development."</f>
        <v>Real estate development company that acquires, develops, constructs and owns multifamily residential and commercial properties. Company specializies in affordable rental housing development.</v>
      </c>
      <c r="D2246" s="3" t="s">
        <v>6880</v>
      </c>
      <c r="E2246" s="3" t="s">
        <v>6881</v>
      </c>
      <c r="F2246" s="3" t="str">
        <f>"614-245-6042"</f>
        <v>614-245-6042</v>
      </c>
      <c r="G2246" s="3">
        <v>531110</v>
      </c>
      <c r="H2246" s="3" t="s">
        <v>1311</v>
      </c>
    </row>
    <row r="2247" spans="1:8" ht="179.25" x14ac:dyDescent="0.25">
      <c r="A2247" s="3" t="s">
        <v>6882</v>
      </c>
      <c r="B2247" s="3"/>
      <c r="C2247" s="3" t="s">
        <v>6883</v>
      </c>
      <c r="D2247" s="3" t="s">
        <v>6884</v>
      </c>
      <c r="E2247" s="3" t="s">
        <v>6885</v>
      </c>
      <c r="F2247" s="3" t="str">
        <f>"219/938-7070"</f>
        <v>219/938-7070</v>
      </c>
      <c r="G2247" s="3">
        <v>624110</v>
      </c>
      <c r="H2247" s="3" t="s">
        <v>628</v>
      </c>
    </row>
    <row r="2248" spans="1:8" ht="51.75" x14ac:dyDescent="0.25">
      <c r="A2248" s="3" t="s">
        <v>6886</v>
      </c>
      <c r="B2248" s="3"/>
      <c r="C2248" s="3" t="str">
        <f>"The Crisis Center is a multi program social service agency which provides shelter, counseling, and other programs to youth ages 6 to 18."</f>
        <v>The Crisis Center is a multi program social service agency which provides shelter, counseling, and other programs to youth ages 6 to 18.</v>
      </c>
      <c r="D2248" s="3" t="s">
        <v>6884</v>
      </c>
      <c r="E2248" s="3" t="s">
        <v>6885</v>
      </c>
      <c r="F2248" s="3" t="str">
        <f>"219-938-7070"</f>
        <v>219-938-7070</v>
      </c>
      <c r="G2248" s="3">
        <v>6242</v>
      </c>
      <c r="H2248" s="3" t="s">
        <v>1946</v>
      </c>
    </row>
    <row r="2249" spans="1:8" ht="51.75" x14ac:dyDescent="0.25">
      <c r="A2249" s="3" t="s">
        <v>6887</v>
      </c>
      <c r="B2249" s="3"/>
      <c r="C2249" s="3" t="str">
        <f>"Meth Lab Cleanup &amp; Decontamination, Meth Lab Testing, Mold Remediation, Lead Renovation, Asbestos Abatement, Death and Crime Scene Cleanup."</f>
        <v>Meth Lab Cleanup &amp; Decontamination, Meth Lab Testing, Mold Remediation, Lead Renovation, Asbestos Abatement, Death and Crime Scene Cleanup.</v>
      </c>
      <c r="D2249" s="3" t="s">
        <v>6888</v>
      </c>
      <c r="E2249" s="3" t="s">
        <v>6889</v>
      </c>
      <c r="F2249" s="3" t="str">
        <f>"877-260-4828"</f>
        <v>877-260-4828</v>
      </c>
      <c r="G2249" s="3">
        <v>238</v>
      </c>
      <c r="H2249" s="3" t="s">
        <v>397</v>
      </c>
    </row>
    <row r="2250" spans="1:8" ht="90" x14ac:dyDescent="0.25">
      <c r="A2250" s="3" t="s">
        <v>6890</v>
      </c>
      <c r="B2250" s="3"/>
      <c r="C2250" s="3" t="s">
        <v>6891</v>
      </c>
      <c r="D2250" s="3" t="s">
        <v>6892</v>
      </c>
      <c r="E2250" s="3" t="s">
        <v>6893</v>
      </c>
      <c r="F2250" s="3" t="str">
        <f>"812 482-1555"</f>
        <v>812 482-1555</v>
      </c>
      <c r="G2250" s="3">
        <v>62419</v>
      </c>
      <c r="H2250" s="3" t="s">
        <v>54</v>
      </c>
    </row>
    <row r="2251" spans="1:8" ht="39" x14ac:dyDescent="0.25">
      <c r="A2251" s="3" t="s">
        <v>6894</v>
      </c>
      <c r="B2251" s="3"/>
      <c r="C2251" s="3" t="str">
        <f>"Manufacture signs, banners, decals, identification markings. Screen printing and vinyl graphics."</f>
        <v>Manufacture signs, banners, decals, identification markings. Screen printing and vinyl graphics.</v>
      </c>
      <c r="D2251" s="3" t="s">
        <v>6895</v>
      </c>
      <c r="E2251" s="3" t="s">
        <v>6896</v>
      </c>
      <c r="F2251" s="3" t="str">
        <f>"219-872-6442"</f>
        <v>219-872-6442</v>
      </c>
      <c r="G2251" s="3">
        <v>339950</v>
      </c>
      <c r="H2251" s="3" t="s">
        <v>68</v>
      </c>
    </row>
    <row r="2252" spans="1:8" ht="243" x14ac:dyDescent="0.25">
      <c r="A2252" s="3" t="s">
        <v>6897</v>
      </c>
      <c r="B2252" s="3"/>
      <c r="C2252" s="3" t="s">
        <v>6898</v>
      </c>
      <c r="D2252" s="3" t="s">
        <v>6899</v>
      </c>
      <c r="E2252" s="3" t="s">
        <v>6900</v>
      </c>
      <c r="F2252" s="3" t="str">
        <f>"317-848-9571"</f>
        <v>317-848-9571</v>
      </c>
      <c r="G2252" s="3">
        <v>541512</v>
      </c>
      <c r="H2252" s="3" t="s">
        <v>19</v>
      </c>
    </row>
    <row r="2253" spans="1:8" ht="77.25" x14ac:dyDescent="0.25">
      <c r="A2253" s="3" t="s">
        <v>6901</v>
      </c>
      <c r="B2253" s="3"/>
      <c r="C2253" s="3" t="str">
        <f>"Full service florist for celebration flowers, funerals, weddings, fruit and snack gift baskets, plants, european gardens, custom designing for home and office. Willing to work with all budgets. Serving our Indiana community since 1960."</f>
        <v>Full service florist for celebration flowers, funerals, weddings, fruit and snack gift baskets, plants, european gardens, custom designing for home and office. Willing to work with all budgets. Serving our Indiana community since 1960.</v>
      </c>
      <c r="D2253" s="3" t="s">
        <v>6902</v>
      </c>
      <c r="E2253" s="3" t="s">
        <v>6903</v>
      </c>
      <c r="F2253" s="3" t="str">
        <f>"812-597-4551"</f>
        <v>812-597-4551</v>
      </c>
      <c r="G2253" s="3">
        <v>453110</v>
      </c>
      <c r="H2253" s="3" t="s">
        <v>2584</v>
      </c>
    </row>
    <row r="2254" spans="1:8" ht="51.75" x14ac:dyDescent="0.25">
      <c r="A2254" s="3" t="s">
        <v>6904</v>
      </c>
      <c r="B2254" s="3"/>
      <c r="C2254" s="3" t="str">
        <f>"We provide: lawn mowing, landscape clean-up services. Snow Removal/Salting. Professional Service. Free Estimates, and of course, Fully Insured."</f>
        <v>We provide: lawn mowing, landscape clean-up services. Snow Removal/Salting. Professional Service. Free Estimates, and of course, Fully Insured.</v>
      </c>
      <c r="D2254" s="3" t="s">
        <v>9</v>
      </c>
      <c r="E2254" s="3" t="s">
        <v>6905</v>
      </c>
      <c r="F2254" s="3" t="str">
        <f>"812-246-0665"</f>
        <v>812-246-0665</v>
      </c>
      <c r="G2254" s="3">
        <v>54132</v>
      </c>
      <c r="H2254" s="3" t="s">
        <v>2241</v>
      </c>
    </row>
    <row r="2255" spans="1:8" ht="90" x14ac:dyDescent="0.25">
      <c r="A2255" s="3" t="s">
        <v>6906</v>
      </c>
      <c r="B2255" s="3"/>
      <c r="C2255" s="3" t="str">
        <f>"Company based in excavation, underground pipe and structures, linear grading, clearing, demolition, seeding and strawing, water ways, installation of guardrails, site preperation, landscaping, and hauling of construction materials including equipment."</f>
        <v>Company based in excavation, underground pipe and structures, linear grading, clearing, demolition, seeding and strawing, water ways, installation of guardrails, site preperation, landscaping, and hauling of construction materials including equipment.</v>
      </c>
      <c r="D2255" s="3" t="s">
        <v>9</v>
      </c>
      <c r="E2255" s="3" t="s">
        <v>6907</v>
      </c>
      <c r="F2255" s="3" t="str">
        <f>"812-635-0321"</f>
        <v>812-635-0321</v>
      </c>
      <c r="G2255" s="3">
        <v>23</v>
      </c>
      <c r="H2255" s="3" t="s">
        <v>133</v>
      </c>
    </row>
    <row r="2256" spans="1:8" ht="39" x14ac:dyDescent="0.25">
      <c r="A2256" s="3" t="s">
        <v>6908</v>
      </c>
      <c r="B2256" s="3"/>
      <c r="C2256" s="3" t="str">
        <f>"Excavation, Site Development, Sewer Mains, Water Mains, Snow Removal, Clearing &amp; Grubbing"</f>
        <v>Excavation, Site Development, Sewer Mains, Water Mains, Snow Removal, Clearing &amp; Grubbing</v>
      </c>
      <c r="D2256" s="3" t="s">
        <v>9</v>
      </c>
      <c r="E2256" s="3" t="s">
        <v>46</v>
      </c>
      <c r="F2256" s="3" t="str">
        <f>"260-447-1053"</f>
        <v>260-447-1053</v>
      </c>
      <c r="G2256" s="3">
        <v>238910</v>
      </c>
      <c r="H2256" s="3" t="s">
        <v>886</v>
      </c>
    </row>
    <row r="2257" spans="1:8" ht="153.75" x14ac:dyDescent="0.25">
      <c r="A2257" s="3" t="s">
        <v>6909</v>
      </c>
      <c r="B2257" s="3"/>
      <c r="C2257" s="3" t="s">
        <v>6910</v>
      </c>
      <c r="D2257" s="3" t="s">
        <v>9</v>
      </c>
      <c r="E2257" s="3" t="s">
        <v>6911</v>
      </c>
      <c r="F2257" s="3" t="str">
        <f>"317-563-2210"</f>
        <v>317-563-2210</v>
      </c>
      <c r="G2257" s="3">
        <v>541370</v>
      </c>
      <c r="H2257" s="3" t="s">
        <v>160</v>
      </c>
    </row>
    <row r="2258" spans="1:8" ht="141" x14ac:dyDescent="0.25">
      <c r="A2258" s="3" t="s">
        <v>6912</v>
      </c>
      <c r="B2258" s="3"/>
      <c r="C2258" s="3" t="s">
        <v>6913</v>
      </c>
      <c r="D2258" s="3" t="s">
        <v>6914</v>
      </c>
      <c r="E2258" s="3" t="s">
        <v>6915</v>
      </c>
      <c r="F2258" s="3" t="str">
        <f>"317-780-1555"</f>
        <v>317-780-1555</v>
      </c>
      <c r="G2258" s="3">
        <v>541330</v>
      </c>
      <c r="H2258" s="3" t="s">
        <v>82</v>
      </c>
    </row>
    <row r="2259" spans="1:8" ht="39" x14ac:dyDescent="0.25">
      <c r="A2259" s="3" t="s">
        <v>6916</v>
      </c>
      <c r="B2259" s="3"/>
      <c r="C2259" s="3" t="str">
        <f>"Manufacturing and distribution of proprietary Charlie &amp; Barney's Frozen Chili and Sausage Gravy"</f>
        <v>Manufacturing and distribution of proprietary Charlie &amp; Barney's Frozen Chili and Sausage Gravy</v>
      </c>
      <c r="D2259" s="3" t="s">
        <v>6917</v>
      </c>
      <c r="E2259" s="3" t="s">
        <v>6918</v>
      </c>
      <c r="F2259" s="3" t="str">
        <f>"317-632-5910"</f>
        <v>317-632-5910</v>
      </c>
      <c r="G2259" s="3">
        <v>311412</v>
      </c>
      <c r="H2259" s="3" t="s">
        <v>6919</v>
      </c>
    </row>
    <row r="2260" spans="1:8" ht="102.75" x14ac:dyDescent="0.25">
      <c r="A2260" s="3" t="s">
        <v>6920</v>
      </c>
      <c r="B2260" s="3"/>
      <c r="C2260" s="3" t="s">
        <v>6921</v>
      </c>
      <c r="D2260" s="3" t="s">
        <v>6922</v>
      </c>
      <c r="E2260" s="3" t="s">
        <v>6923</v>
      </c>
      <c r="F2260" s="3" t="str">
        <f>"260-484-4153"</f>
        <v>260-484-4153</v>
      </c>
      <c r="G2260" s="3">
        <v>6232</v>
      </c>
      <c r="H2260" s="3" t="s">
        <v>6924</v>
      </c>
    </row>
    <row r="2261" spans="1:8" ht="26.25" x14ac:dyDescent="0.25">
      <c r="A2261" s="3" t="s">
        <v>6925</v>
      </c>
      <c r="B2261" s="3"/>
      <c r="C2261" s="3" t="str">
        <f>"New and used ambulance sales. Ambulance remounts. Ambulances service and repairs."</f>
        <v>New and used ambulance sales. Ambulance remounts. Ambulances service and repairs.</v>
      </c>
      <c r="D2261" s="3" t="s">
        <v>9</v>
      </c>
      <c r="E2261" s="3" t="s">
        <v>6926</v>
      </c>
      <c r="F2261" s="3" t="str">
        <f>"574-825-7845"</f>
        <v>574-825-7845</v>
      </c>
      <c r="G2261" s="3">
        <v>441229</v>
      </c>
      <c r="H2261" s="3" t="s">
        <v>3721</v>
      </c>
    </row>
    <row r="2262" spans="1:8" ht="179.25" x14ac:dyDescent="0.25">
      <c r="A2262" s="3" t="s">
        <v>6927</v>
      </c>
      <c r="B2262" s="3"/>
      <c r="C2262" s="3" t="s">
        <v>6928</v>
      </c>
      <c r="D2262" s="3" t="s">
        <v>6929</v>
      </c>
      <c r="E2262" s="3" t="s">
        <v>6930</v>
      </c>
      <c r="F2262" s="3" t="str">
        <f>"317-770-6400"</f>
        <v>317-770-6400</v>
      </c>
      <c r="G2262" s="3">
        <v>5415</v>
      </c>
      <c r="H2262" s="3" t="s">
        <v>188</v>
      </c>
    </row>
    <row r="2263" spans="1:8" ht="64.5" x14ac:dyDescent="0.25">
      <c r="A2263" s="3" t="s">
        <v>6931</v>
      </c>
      <c r="B2263" s="3"/>
      <c r="C2263" s="3" t="str">
        <f>"Outsourced technology and technology related services - We provide technology advisory services, design, implementation, maintenance, and support services to businesses only."</f>
        <v>Outsourced technology and technology related services - We provide technology advisory services, design, implementation, maintenance, and support services to businesses only.</v>
      </c>
      <c r="D2263" s="3" t="s">
        <v>6929</v>
      </c>
      <c r="E2263" s="3" t="s">
        <v>6932</v>
      </c>
      <c r="F2263" s="3" t="str">
        <f>"317-770-6400"</f>
        <v>317-770-6400</v>
      </c>
      <c r="G2263" s="3">
        <v>5415</v>
      </c>
      <c r="H2263" s="3" t="s">
        <v>188</v>
      </c>
    </row>
    <row r="2264" spans="1:8" ht="77.25" x14ac:dyDescent="0.25">
      <c r="A2264" s="3" t="s">
        <v>6933</v>
      </c>
      <c r="B2264" s="3"/>
      <c r="C2264" s="3" t="str">
        <f>"Crossroads Mobility Transport is a transportation service looking to help meet the needs of those who are in hardship, and that is in need of finding proper transportation to and from apointments and various other places as needed."</f>
        <v>Crossroads Mobility Transport is a transportation service looking to help meet the needs of those who are in hardship, and that is in need of finding proper transportation to and from apointments and various other places as needed.</v>
      </c>
      <c r="D2264" s="3" t="s">
        <v>6934</v>
      </c>
      <c r="E2264" s="3" t="s">
        <v>6935</v>
      </c>
      <c r="F2264" s="3" t="str">
        <f>"3176576095"</f>
        <v>3176576095</v>
      </c>
      <c r="G2264" s="3">
        <v>485991</v>
      </c>
      <c r="H2264" s="3" t="s">
        <v>6936</v>
      </c>
    </row>
    <row r="2265" spans="1:8" ht="230.25" x14ac:dyDescent="0.25">
      <c r="A2265" s="3" t="s">
        <v>6937</v>
      </c>
      <c r="B2265" s="3"/>
      <c r="C2265" s="3" t="s">
        <v>6938</v>
      </c>
      <c r="D2265" s="3" t="s">
        <v>6939</v>
      </c>
      <c r="E2265" s="3" t="s">
        <v>6940</v>
      </c>
      <c r="F2265" s="3" t="str">
        <f>"317-466-1000"</f>
        <v>317-466-1000</v>
      </c>
      <c r="G2265" s="3">
        <v>624120</v>
      </c>
      <c r="H2265" s="3" t="s">
        <v>22</v>
      </c>
    </row>
    <row r="2266" spans="1:8" ht="51.75" x14ac:dyDescent="0.25">
      <c r="A2266" s="3" t="s">
        <v>6941</v>
      </c>
      <c r="B2266" s="3"/>
      <c r="C2266" s="3" t="str">
        <f>"We provide staffing solutions for companies who need help with construction, demolition, carpentry, abatement, roofing, and flooring."</f>
        <v>We provide staffing solutions for companies who need help with construction, demolition, carpentry, abatement, roofing, and flooring.</v>
      </c>
      <c r="D2266" s="3" t="s">
        <v>6942</v>
      </c>
      <c r="E2266" s="3" t="s">
        <v>6943</v>
      </c>
      <c r="F2266" s="3" t="str">
        <f>"317-417-7458"</f>
        <v>317-417-7458</v>
      </c>
      <c r="G2266" s="3">
        <v>562910</v>
      </c>
      <c r="H2266" s="3" t="s">
        <v>2278</v>
      </c>
    </row>
    <row r="2267" spans="1:8" ht="51.75" x14ac:dyDescent="0.25">
      <c r="A2267" s="3" t="s">
        <v>6944</v>
      </c>
      <c r="B2267" s="3"/>
      <c r="C2267" s="3" t="str">
        <f>"States Largest AT&amp;T agent offering all of AT&amp;T's solutions to Small businesses and individuals. Cellular, Enhanced TV, High Speed Internet, Landline Phones."</f>
        <v>States Largest AT&amp;T agent offering all of AT&amp;T's solutions to Small businesses and individuals. Cellular, Enhanced TV, High Speed Internet, Landline Phones.</v>
      </c>
      <c r="D2267" s="3" t="s">
        <v>6945</v>
      </c>
      <c r="E2267" s="3" t="s">
        <v>6946</v>
      </c>
      <c r="F2267" s="3" t="str">
        <f>"1877-7-438-288"</f>
        <v>1877-7-438-288</v>
      </c>
      <c r="G2267" s="3">
        <v>513322</v>
      </c>
      <c r="H2267" s="3" t="s">
        <v>6947</v>
      </c>
    </row>
    <row r="2268" spans="1:8" ht="39" x14ac:dyDescent="0.25">
      <c r="A2268" s="3" t="s">
        <v>6948</v>
      </c>
      <c r="B2268" s="3"/>
      <c r="C2268" s="3" t="str">
        <f>"Currently specializing in permanent and temporary highway sheet and panel signing installation"</f>
        <v>Currently specializing in permanent and temporary highway sheet and panel signing installation</v>
      </c>
      <c r="D2268" s="3" t="s">
        <v>9</v>
      </c>
      <c r="E2268" s="3" t="s">
        <v>6949</v>
      </c>
      <c r="F2268" s="3" t="str">
        <f>"(812) 474-1500"</f>
        <v>(812) 474-1500</v>
      </c>
      <c r="G2268" s="3">
        <v>23531</v>
      </c>
      <c r="H2268" s="3" t="s">
        <v>306</v>
      </c>
    </row>
    <row r="2269" spans="1:8" x14ac:dyDescent="0.25">
      <c r="A2269" s="3" t="s">
        <v>6950</v>
      </c>
      <c r="B2269" s="3"/>
      <c r="C2269" s="3" t="str">
        <f>" "</f>
        <v xml:space="preserve"> </v>
      </c>
      <c r="D2269" s="3" t="s">
        <v>9</v>
      </c>
      <c r="E2269" s="3" t="s">
        <v>46</v>
      </c>
      <c r="F2269" s="2"/>
      <c r="G2269" s="3">
        <v>922160</v>
      </c>
      <c r="H2269" s="3" t="s">
        <v>2246</v>
      </c>
    </row>
    <row r="2270" spans="1:8" ht="64.5" x14ac:dyDescent="0.25">
      <c r="A2270" s="3" t="s">
        <v>6951</v>
      </c>
      <c r="B2270" s="3"/>
      <c r="C2270" s="3" t="str">
        <f>"Crowder &amp; Darnall is a Land Surveying firm located in Columbus, IN. We provide land surveying services for all types of projects, large or small, commercial, residential, industrial, government."</f>
        <v>Crowder &amp; Darnall is a Land Surveying firm located in Columbus, IN. We provide land surveying services for all types of projects, large or small, commercial, residential, industrial, government.</v>
      </c>
      <c r="D2270" s="3" t="s">
        <v>9</v>
      </c>
      <c r="E2270" s="3" t="s">
        <v>6952</v>
      </c>
      <c r="F2270" s="3" t="str">
        <f>"812.376.3391"</f>
        <v>812.376.3391</v>
      </c>
      <c r="G2270" s="3">
        <v>541360</v>
      </c>
      <c r="H2270" s="3" t="s">
        <v>165</v>
      </c>
    </row>
    <row r="2271" spans="1:8" ht="26.25" x14ac:dyDescent="0.25">
      <c r="A2271" s="3" t="s">
        <v>6953</v>
      </c>
      <c r="B2271" s="3"/>
      <c r="C2271" s="3" t="str">
        <f>"We provide detention facilities with any security equipment/parts they may need."</f>
        <v>We provide detention facilities with any security equipment/parts they may need.</v>
      </c>
      <c r="D2271" s="3" t="s">
        <v>6954</v>
      </c>
      <c r="E2271" s="3" t="s">
        <v>6955</v>
      </c>
      <c r="F2271" s="3" t="str">
        <f>"317-867-5510"</f>
        <v>317-867-5510</v>
      </c>
      <c r="G2271" s="3">
        <v>423710</v>
      </c>
      <c r="H2271" s="3" t="s">
        <v>6956</v>
      </c>
    </row>
    <row r="2272" spans="1:8" ht="255.75" x14ac:dyDescent="0.25">
      <c r="A2272" s="3" t="s">
        <v>6957</v>
      </c>
      <c r="B2272" s="3"/>
      <c r="C2272" s="3" t="s">
        <v>6958</v>
      </c>
      <c r="D2272" s="3" t="s">
        <v>6959</v>
      </c>
      <c r="E2272" s="3" t="s">
        <v>6960</v>
      </c>
      <c r="F2272" s="3" t="str">
        <f>"6305865321"</f>
        <v>6305865321</v>
      </c>
      <c r="G2272" s="3">
        <v>541</v>
      </c>
      <c r="H2272" s="3" t="s">
        <v>179</v>
      </c>
    </row>
    <row r="2273" spans="1:8" ht="102.75" x14ac:dyDescent="0.25">
      <c r="A2273" s="3" t="s">
        <v>6961</v>
      </c>
      <c r="B2273" s="3"/>
      <c r="C2273" s="3" t="s">
        <v>6962</v>
      </c>
      <c r="D2273" s="3" t="s">
        <v>6963</v>
      </c>
      <c r="E2273" s="3" t="s">
        <v>6964</v>
      </c>
      <c r="F2273" s="3" t="str">
        <f>"219-864-1633"</f>
        <v>219-864-1633</v>
      </c>
      <c r="G2273" s="3">
        <v>541330</v>
      </c>
      <c r="H2273" s="3" t="s">
        <v>82</v>
      </c>
    </row>
    <row r="2274" spans="1:8" ht="115.5" x14ac:dyDescent="0.25">
      <c r="A2274" s="3" t="s">
        <v>6965</v>
      </c>
      <c r="B2274" s="3"/>
      <c r="C2274" s="3" t="s">
        <v>6966</v>
      </c>
      <c r="D2274" s="3" t="s">
        <v>6963</v>
      </c>
      <c r="E2274" s="3" t="s">
        <v>6967</v>
      </c>
      <c r="F2274" s="3" t="str">
        <f>"219-322-4422"</f>
        <v>219-322-4422</v>
      </c>
      <c r="G2274" s="3">
        <v>541330</v>
      </c>
      <c r="H2274" s="3" t="s">
        <v>82</v>
      </c>
    </row>
    <row r="2275" spans="1:8" ht="64.5" x14ac:dyDescent="0.25">
      <c r="A2275" s="3" t="s">
        <v>6965</v>
      </c>
      <c r="B2275" s="3"/>
      <c r="C2275" s="3" t="str">
        <f>"Founded in 2003, Crowley Engineering LLC provides mechanical, civil, and electrical engineering services for municipal, industrial, commercial, and transportation clients."</f>
        <v>Founded in 2003, Crowley Engineering LLC provides mechanical, civil, and electrical engineering services for municipal, industrial, commercial, and transportation clients.</v>
      </c>
      <c r="D2275" s="3" t="s">
        <v>6963</v>
      </c>
      <c r="E2275" s="3" t="s">
        <v>6967</v>
      </c>
      <c r="F2275" s="3" t="str">
        <f>"219-322-4422"</f>
        <v>219-322-4422</v>
      </c>
      <c r="G2275" s="3">
        <v>541330</v>
      </c>
      <c r="H2275" s="3" t="s">
        <v>82</v>
      </c>
    </row>
    <row r="2276" spans="1:8" ht="26.25" x14ac:dyDescent="0.25">
      <c r="A2276" s="3" t="s">
        <v>6968</v>
      </c>
      <c r="B2276" s="3"/>
      <c r="C2276" s="3" t="str">
        <f>"Engineering Services for industry"</f>
        <v>Engineering Services for industry</v>
      </c>
      <c r="D2276" s="3" t="s">
        <v>9</v>
      </c>
      <c r="E2276" s="3" t="s">
        <v>6969</v>
      </c>
      <c r="F2276" s="3" t="str">
        <f>"219-762-1431"</f>
        <v>219-762-1431</v>
      </c>
      <c r="G2276" s="3">
        <v>234</v>
      </c>
      <c r="H2276" s="3" t="s">
        <v>1414</v>
      </c>
    </row>
    <row r="2277" spans="1:8" ht="255.75" x14ac:dyDescent="0.25">
      <c r="A2277" s="3" t="s">
        <v>6970</v>
      </c>
      <c r="B2277" s="3"/>
      <c r="C2277" s="3" t="s">
        <v>6971</v>
      </c>
      <c r="D2277" s="3" t="s">
        <v>6972</v>
      </c>
      <c r="E2277" s="3" t="s">
        <v>6973</v>
      </c>
      <c r="F2277" s="3" t="str">
        <f>"574-233-6100"</f>
        <v>574-233-6100</v>
      </c>
      <c r="G2277" s="3">
        <v>3329</v>
      </c>
      <c r="H2277" s="3" t="s">
        <v>6800</v>
      </c>
    </row>
    <row r="2278" spans="1:8" ht="90" x14ac:dyDescent="0.25">
      <c r="A2278" s="3" t="s">
        <v>6974</v>
      </c>
      <c r="B2278" s="3"/>
      <c r="C2278" s="3" t="s">
        <v>6975</v>
      </c>
      <c r="D2278" s="3" t="s">
        <v>9</v>
      </c>
      <c r="E2278" s="3" t="s">
        <v>6976</v>
      </c>
      <c r="F2278" s="3" t="str">
        <f>"317-663-0402"</f>
        <v>317-663-0402</v>
      </c>
      <c r="G2278" s="3">
        <v>334119</v>
      </c>
      <c r="H2278" s="3" t="s">
        <v>6977</v>
      </c>
    </row>
    <row r="2279" spans="1:8" ht="39" x14ac:dyDescent="0.25">
      <c r="A2279" s="3" t="s">
        <v>6978</v>
      </c>
      <c r="B2279" s="3"/>
      <c r="C2279" s="3" t="str">
        <f>"Crowncoatings is a metal finishings company, that applies powderpaint and or wet paint finishes to metal parts."</f>
        <v>Crowncoatings is a metal finishings company, that applies powderpaint and or wet paint finishes to metal parts.</v>
      </c>
      <c r="D2279" s="3" t="s">
        <v>9</v>
      </c>
      <c r="E2279" s="3" t="s">
        <v>6979</v>
      </c>
      <c r="F2279" s="3" t="str">
        <f>"317-842-1735"</f>
        <v>317-842-1735</v>
      </c>
      <c r="G2279" s="3">
        <v>332812</v>
      </c>
      <c r="H2279" s="3" t="s">
        <v>6980</v>
      </c>
    </row>
    <row r="2280" spans="1:8" ht="39" x14ac:dyDescent="0.25">
      <c r="A2280" s="3" t="s">
        <v>6981</v>
      </c>
      <c r="B2280" s="3"/>
      <c r="C2280" s="3" t="str">
        <f>"Window Genie cleans windows, installs window film and pressure washes buildings and concrete"</f>
        <v>Window Genie cleans windows, installs window film and pressure washes buildings and concrete</v>
      </c>
      <c r="D2280" s="3" t="s">
        <v>6982</v>
      </c>
      <c r="E2280" s="3" t="s">
        <v>6983</v>
      </c>
      <c r="F2280" s="3" t="str">
        <f>"3174144772"</f>
        <v>3174144772</v>
      </c>
      <c r="G2280" s="3">
        <v>561720</v>
      </c>
      <c r="H2280" s="3" t="s">
        <v>222</v>
      </c>
    </row>
    <row r="2281" spans="1:8" ht="64.5" x14ac:dyDescent="0.25">
      <c r="A2281" s="3" t="s">
        <v>6984</v>
      </c>
      <c r="B2281" s="3"/>
      <c r="C2281" s="3" t="str">
        <f>"We translate any logo, artwork or saying into the finest quality Swarovski Crystals and create fashionable, glitzy apparel for businesses, team moms, schools, fundraisers, you name it!"</f>
        <v>We translate any logo, artwork or saying into the finest quality Swarovski Crystals and create fashionable, glitzy apparel for businesses, team moms, schools, fundraisers, you name it!</v>
      </c>
      <c r="D2281" s="3" t="s">
        <v>6985</v>
      </c>
      <c r="E2281" s="3" t="s">
        <v>6986</v>
      </c>
      <c r="F2281" s="3" t="str">
        <f>"317.590.8037"</f>
        <v>317.590.8037</v>
      </c>
      <c r="G2281" s="3">
        <v>4243</v>
      </c>
      <c r="H2281" s="3" t="s">
        <v>6987</v>
      </c>
    </row>
    <row r="2282" spans="1:8" ht="217.5" x14ac:dyDescent="0.25">
      <c r="A2282" s="3" t="s">
        <v>6988</v>
      </c>
      <c r="B2282" s="3"/>
      <c r="C2282" s="3" t="s">
        <v>6989</v>
      </c>
      <c r="D2282" s="3" t="s">
        <v>6990</v>
      </c>
      <c r="E2282" s="3" t="s">
        <v>6991</v>
      </c>
      <c r="F2282" s="3" t="str">
        <f>"317-879-2849"</f>
        <v>317-879-2849</v>
      </c>
      <c r="G2282" s="3">
        <v>424720</v>
      </c>
      <c r="H2282" s="3" t="s">
        <v>6992</v>
      </c>
    </row>
    <row r="2283" spans="1:8" ht="39" x14ac:dyDescent="0.25">
      <c r="A2283" s="3" t="s">
        <v>6993</v>
      </c>
      <c r="B2283" s="3"/>
      <c r="C2283" s="3" t="str">
        <f>"Further Processor of Eggs. Manufacturer of hard cooked/peeled, pre-cooked, and liquid and frozen egg products."</f>
        <v>Further Processor of Eggs. Manufacturer of hard cooked/peeled, pre-cooked, and liquid and frozen egg products.</v>
      </c>
      <c r="D2283" s="3" t="s">
        <v>9</v>
      </c>
      <c r="E2283" s="3" t="s">
        <v>46</v>
      </c>
      <c r="F2283" s="2"/>
      <c r="G2283" s="3">
        <v>311999</v>
      </c>
      <c r="H2283" s="3" t="s">
        <v>6994</v>
      </c>
    </row>
    <row r="2284" spans="1:8" ht="64.5" x14ac:dyDescent="0.25">
      <c r="A2284" s="3" t="s">
        <v>6995</v>
      </c>
      <c r="B2284" s="3"/>
      <c r="C2284" s="3" t="str">
        <f>"Koch Property Preservations is a preservation company. We do lawn maintenance, cleanouts, debris removal, lock changes, board ups, inspections and more."</f>
        <v>Koch Property Preservations is a preservation company. We do lawn maintenance, cleanouts, debris removal, lock changes, board ups, inspections and more.</v>
      </c>
      <c r="D2284" s="3" t="s">
        <v>6996</v>
      </c>
      <c r="E2284" s="3" t="s">
        <v>6997</v>
      </c>
      <c r="F2284" s="3" t="str">
        <f>"8129094328"</f>
        <v>8129094328</v>
      </c>
      <c r="G2284" s="3">
        <v>561790</v>
      </c>
      <c r="H2284" s="3" t="s">
        <v>2113</v>
      </c>
    </row>
    <row r="2285" spans="1:8" ht="90" x14ac:dyDescent="0.25">
      <c r="A2285" s="3" t="s">
        <v>6998</v>
      </c>
      <c r="B2285" s="3"/>
      <c r="C2285" s="3" t="s">
        <v>6999</v>
      </c>
      <c r="D2285" s="3" t="s">
        <v>7000</v>
      </c>
      <c r="E2285" s="3" t="s">
        <v>7001</v>
      </c>
      <c r="F2285" s="3" t="str">
        <f>"812-339-7873"</f>
        <v>812-339-7873</v>
      </c>
      <c r="G2285" s="3">
        <v>312112</v>
      </c>
      <c r="H2285" s="3" t="s">
        <v>2282</v>
      </c>
    </row>
    <row r="2286" spans="1:8" ht="51.75" x14ac:dyDescent="0.25">
      <c r="A2286" s="3" t="s">
        <v>7002</v>
      </c>
      <c r="B2286" s="3"/>
      <c r="C2286" s="3" t="str">
        <f>"Providing Sound production equipment leasing for stage productions and events. Supplying PA Systems, monitor systems and lights for events and stage productions."</f>
        <v>Providing Sound production equipment leasing for stage productions and events. Supplying PA Systems, monitor systems and lights for events and stage productions.</v>
      </c>
      <c r="D2286" s="3" t="s">
        <v>9</v>
      </c>
      <c r="E2286" s="3" t="s">
        <v>7003</v>
      </c>
      <c r="F2286" s="3" t="str">
        <f>"3177715863"</f>
        <v>3177715863</v>
      </c>
      <c r="G2286" s="3">
        <v>532490</v>
      </c>
      <c r="H2286" s="3" t="s">
        <v>1673</v>
      </c>
    </row>
    <row r="2287" spans="1:8" ht="51.75" x14ac:dyDescent="0.25">
      <c r="A2287" s="3" t="s">
        <v>7004</v>
      </c>
      <c r="B2287" s="3"/>
      <c r="C2287" s="3" t="str">
        <f>"Computer retail, service, and support. Also service and support small- to medium-size businesses and their networks, servers, and domains."</f>
        <v>Computer retail, service, and support. Also service and support small- to medium-size businesses and their networks, servers, and domains.</v>
      </c>
      <c r="D2287" s="3" t="s">
        <v>7005</v>
      </c>
      <c r="E2287" s="3" t="s">
        <v>7006</v>
      </c>
      <c r="F2287" s="3" t="str">
        <f>"574-825-8400"</f>
        <v>574-825-8400</v>
      </c>
      <c r="G2287" s="3">
        <v>334111</v>
      </c>
      <c r="H2287" s="3" t="s">
        <v>7007</v>
      </c>
    </row>
    <row r="2288" spans="1:8" ht="90" x14ac:dyDescent="0.25">
      <c r="A2288" s="3" t="s">
        <v>7008</v>
      </c>
      <c r="B2288" s="3"/>
      <c r="C2288" s="3" t="s">
        <v>7009</v>
      </c>
      <c r="D2288" s="3" t="s">
        <v>7010</v>
      </c>
      <c r="E2288" s="3" t="s">
        <v>7011</v>
      </c>
      <c r="F2288" s="3" t="str">
        <f>"317-322-0740"</f>
        <v>317-322-0740</v>
      </c>
      <c r="G2288" s="3">
        <v>722320</v>
      </c>
      <c r="H2288" s="3" t="s">
        <v>266</v>
      </c>
    </row>
    <row r="2289" spans="1:8" ht="51.75" x14ac:dyDescent="0.25">
      <c r="A2289" s="3" t="s">
        <v>7012</v>
      </c>
      <c r="B2289" s="3"/>
      <c r="C2289" s="3" t="str">
        <f>"Retail and Wholesale tea company with a selection of over 400 teas and large selection of tea accessories. Private labeling and custom packaging available."</f>
        <v>Retail and Wholesale tea company with a selection of over 400 teas and large selection of tea accessories. Private labeling and custom packaging available.</v>
      </c>
      <c r="D2289" s="3" t="s">
        <v>7013</v>
      </c>
      <c r="E2289" s="3" t="s">
        <v>7014</v>
      </c>
      <c r="F2289" s="3" t="str">
        <f>"1-866-799-4005"</f>
        <v>1-866-799-4005</v>
      </c>
      <c r="G2289" s="3">
        <v>31192</v>
      </c>
      <c r="H2289" s="3" t="s">
        <v>7015</v>
      </c>
    </row>
    <row r="2290" spans="1:8" ht="51.75" x14ac:dyDescent="0.25">
      <c r="A2290" s="3" t="s">
        <v>7016</v>
      </c>
      <c r="B2290" s="3"/>
      <c r="C2290" s="3" t="str">
        <f>"Providing a Full Line of Water Treatment Products including: Water Softeners and Conditioners, Reverse Osmosis Drinking Systems, Bottled Water, Salt Delivery"</f>
        <v>Providing a Full Line of Water Treatment Products including: Water Softeners and Conditioners, Reverse Osmosis Drinking Systems, Bottled Water, Salt Delivery</v>
      </c>
      <c r="D2290" s="3" t="s">
        <v>9</v>
      </c>
      <c r="E2290" s="3" t="s">
        <v>46</v>
      </c>
      <c r="F2290" s="3" t="str">
        <f>"800-634-6527"</f>
        <v>800-634-6527</v>
      </c>
      <c r="G2290" s="3">
        <v>53229</v>
      </c>
      <c r="H2290" s="3" t="s">
        <v>7017</v>
      </c>
    </row>
    <row r="2291" spans="1:8" ht="179.25" x14ac:dyDescent="0.25">
      <c r="A2291" s="3" t="s">
        <v>7018</v>
      </c>
      <c r="B2291" s="3"/>
      <c r="C2291" s="3" t="s">
        <v>7019</v>
      </c>
      <c r="D2291" s="3" t="s">
        <v>7020</v>
      </c>
      <c r="E2291" s="3" t="s">
        <v>7021</v>
      </c>
      <c r="F2291" s="3" t="str">
        <f>"888-844-1414"</f>
        <v>888-844-1414</v>
      </c>
      <c r="G2291" s="3">
        <v>541930</v>
      </c>
      <c r="H2291" s="3" t="s">
        <v>971</v>
      </c>
    </row>
    <row r="2292" spans="1:8" ht="102.75" x14ac:dyDescent="0.25">
      <c r="A2292" s="3" t="s">
        <v>7022</v>
      </c>
      <c r="B2292" s="3"/>
      <c r="C2292" s="3" t="s">
        <v>7023</v>
      </c>
      <c r="D2292" s="3" t="s">
        <v>7024</v>
      </c>
      <c r="E2292" s="3" t="s">
        <v>7025</v>
      </c>
      <c r="F2292" s="3" t="str">
        <f>"2192106047"</f>
        <v>2192106047</v>
      </c>
      <c r="G2292" s="3">
        <v>611710</v>
      </c>
      <c r="H2292" s="3" t="s">
        <v>508</v>
      </c>
    </row>
    <row r="2293" spans="1:8" ht="64.5" x14ac:dyDescent="0.25">
      <c r="A2293" s="3" t="s">
        <v>7026</v>
      </c>
      <c r="B2293" s="3"/>
      <c r="C2293" s="3" t="str">
        <f>"CPI Supply sells: Culvert Pipe, Erosion Control Products, Box Culverts, Multi-Plates, All Steel Bridges, Culvert Liners, Aluminum Drop Notch Structures, Geotextile Fabrics and more"</f>
        <v>CPI Supply sells: Culvert Pipe, Erosion Control Products, Box Culverts, Multi-Plates, All Steel Bridges, Culvert Liners, Aluminum Drop Notch Structures, Geotextile Fabrics and more</v>
      </c>
      <c r="D2293" s="3" t="s">
        <v>7027</v>
      </c>
      <c r="E2293" s="3" t="s">
        <v>46</v>
      </c>
      <c r="F2293" s="3" t="str">
        <f>"(800) 367-4205"</f>
        <v>(800) 367-4205</v>
      </c>
      <c r="G2293" s="3">
        <v>423990</v>
      </c>
      <c r="H2293" s="3" t="s">
        <v>983</v>
      </c>
    </row>
    <row r="2294" spans="1:8" ht="39" x14ac:dyDescent="0.25">
      <c r="A2294" s="3" t="s">
        <v>7028</v>
      </c>
      <c r="B2294" s="3"/>
      <c r="C2294" s="3" t="str">
        <f>"Excavating Contractor specializing in the sewer and water industry along with complete site development."</f>
        <v>Excavating Contractor specializing in the sewer and water industry along with complete site development.</v>
      </c>
      <c r="D2294" s="3" t="s">
        <v>7029</v>
      </c>
      <c r="E2294" s="3" t="s">
        <v>7030</v>
      </c>
      <c r="F2294" s="3" t="str">
        <f>"765-584-8509"</f>
        <v>765-584-8509</v>
      </c>
      <c r="G2294" s="3">
        <v>237110</v>
      </c>
      <c r="H2294" s="3" t="s">
        <v>901</v>
      </c>
    </row>
    <row r="2295" spans="1:8" ht="77.25" x14ac:dyDescent="0.25">
      <c r="A2295" s="3" t="s">
        <v>7031</v>
      </c>
      <c r="B2295" s="3"/>
      <c r="C2295" s="3" t="str">
        <f>"Cummings Meeting Consultants, Inc. offers professional consulting, project management, meeting planning, and special event services to a variety of clients hosting meetings, conventions, incentives, and events in a multitude of destinations."</f>
        <v>Cummings Meeting Consultants, Inc. offers professional consulting, project management, meeting planning, and special event services to a variety of clients hosting meetings, conventions, incentives, and events in a multitude of destinations.</v>
      </c>
      <c r="D2295" s="3" t="s">
        <v>7032</v>
      </c>
      <c r="E2295" s="3" t="s">
        <v>7033</v>
      </c>
      <c r="F2295" s="3" t="str">
        <f>"317-635-4755"</f>
        <v>317-635-4755</v>
      </c>
      <c r="G2295" s="3">
        <v>561920</v>
      </c>
      <c r="H2295" s="3" t="s">
        <v>7034</v>
      </c>
    </row>
    <row r="2296" spans="1:8" ht="64.5" x14ac:dyDescent="0.25">
      <c r="A2296" s="3" t="s">
        <v>7035</v>
      </c>
      <c r="B2296" s="3"/>
      <c r="C2296" s="3" t="str">
        <f>"We are a new company that specializes in mowing and landscaping. We are very interested in obtaining state and federal mowing contracts and offering the best service possible."</f>
        <v>We are a new company that specializes in mowing and landscaping. We are very interested in obtaining state and federal mowing contracts and offering the best service possible.</v>
      </c>
      <c r="D2296" s="3" t="s">
        <v>9</v>
      </c>
      <c r="E2296" s="3" t="s">
        <v>7036</v>
      </c>
      <c r="F2296" s="2"/>
      <c r="G2296" s="3">
        <v>561730</v>
      </c>
      <c r="H2296" s="3" t="s">
        <v>65</v>
      </c>
    </row>
    <row r="2297" spans="1:8" ht="39" x14ac:dyDescent="0.25">
      <c r="A2297" s="3" t="s">
        <v>7037</v>
      </c>
      <c r="B2297" s="3"/>
      <c r="C2297" s="3" t="str">
        <f>"We are a Cummins distributor representing Cummins products &amp; services in our territory."</f>
        <v>We are a Cummins distributor representing Cummins products &amp; services in our territory.</v>
      </c>
      <c r="D2297" s="3" t="s">
        <v>7038</v>
      </c>
      <c r="E2297" s="3" t="s">
        <v>46</v>
      </c>
      <c r="F2297" s="3" t="str">
        <f>"317-244-7251"</f>
        <v>317-244-7251</v>
      </c>
      <c r="G2297" s="3">
        <v>811</v>
      </c>
      <c r="H2297" s="3" t="s">
        <v>816</v>
      </c>
    </row>
    <row r="2298" spans="1:8" ht="102.75" x14ac:dyDescent="0.25">
      <c r="A2298" s="3" t="s">
        <v>7039</v>
      </c>
      <c r="B2298" s="3"/>
      <c r="C2298" s="3" t="s">
        <v>7040</v>
      </c>
      <c r="D2298" s="3" t="s">
        <v>7041</v>
      </c>
      <c r="E2298" s="3" t="s">
        <v>7042</v>
      </c>
      <c r="F2298" s="3" t="str">
        <f>"317-644-1869"</f>
        <v>317-644-1869</v>
      </c>
      <c r="G2298" s="3">
        <v>541511</v>
      </c>
      <c r="H2298" s="3" t="s">
        <v>122</v>
      </c>
    </row>
    <row r="2299" spans="1:8" ht="102.75" x14ac:dyDescent="0.25">
      <c r="A2299" s="3" t="s">
        <v>7043</v>
      </c>
      <c r="B2299" s="3"/>
      <c r="C2299" s="3" t="s">
        <v>7044</v>
      </c>
      <c r="D2299" s="3" t="s">
        <v>9</v>
      </c>
      <c r="E2299" s="3" t="s">
        <v>46</v>
      </c>
      <c r="F2299" s="3" t="str">
        <f>"(317)925-8852"</f>
        <v>(317)925-8852</v>
      </c>
      <c r="G2299" s="3">
        <v>332812</v>
      </c>
      <c r="H2299" s="3" t="s">
        <v>6980</v>
      </c>
    </row>
    <row r="2300" spans="1:8" ht="90" x14ac:dyDescent="0.25">
      <c r="A2300" s="3" t="s">
        <v>7045</v>
      </c>
      <c r="B2300" s="3"/>
      <c r="C2300" s="3" t="s">
        <v>7046</v>
      </c>
      <c r="D2300" s="3" t="s">
        <v>7047</v>
      </c>
      <c r="E2300" s="3" t="s">
        <v>7048</v>
      </c>
      <c r="F2300" s="3" t="str">
        <f>"3175901553"</f>
        <v>3175901553</v>
      </c>
      <c r="G2300" s="3">
        <v>56173</v>
      </c>
      <c r="H2300" s="3" t="s">
        <v>65</v>
      </c>
    </row>
    <row r="2301" spans="1:8" ht="39" x14ac:dyDescent="0.25">
      <c r="A2301" s="3" t="s">
        <v>7049</v>
      </c>
      <c r="B2301" s="3"/>
      <c r="C2301" s="3" t="str">
        <f>"Masonry retail store serving Indiana since 1970. We sell brick, block, mortar, stone, ceramic tile and other related items,"</f>
        <v>Masonry retail store serving Indiana since 1970. We sell brick, block, mortar, stone, ceramic tile and other related items,</v>
      </c>
      <c r="D2301" s="3" t="s">
        <v>7050</v>
      </c>
      <c r="E2301" s="3" t="s">
        <v>7051</v>
      </c>
      <c r="F2301" s="3" t="str">
        <f>"317-846-2566"</f>
        <v>317-846-2566</v>
      </c>
      <c r="G2301" s="3">
        <v>23332</v>
      </c>
      <c r="H2301" s="3" t="s">
        <v>598</v>
      </c>
    </row>
    <row r="2302" spans="1:8" ht="64.5" x14ac:dyDescent="0.25">
      <c r="A2302" s="3" t="s">
        <v>7052</v>
      </c>
      <c r="B2302" s="3"/>
      <c r="C2302" s="3" t="str">
        <f>"Curran Architecture provides client focused design solutions in new construction and renovations of commercial, retail, medical, industrial and residential built environments."</f>
        <v>Curran Architecture provides client focused design solutions in new construction and renovations of commercial, retail, medical, industrial and residential built environments.</v>
      </c>
      <c r="D2302" s="3" t="s">
        <v>7053</v>
      </c>
      <c r="E2302" s="3" t="s">
        <v>7054</v>
      </c>
      <c r="F2302" s="3" t="str">
        <f>"(317)773-9804"</f>
        <v>(317)773-9804</v>
      </c>
      <c r="G2302" s="3">
        <v>54131</v>
      </c>
      <c r="H2302" s="3" t="s">
        <v>446</v>
      </c>
    </row>
    <row r="2303" spans="1:8" ht="26.25" x14ac:dyDescent="0.25">
      <c r="A2303" s="3" t="s">
        <v>7055</v>
      </c>
      <c r="B2303" s="3"/>
      <c r="C2303" s="2"/>
      <c r="D2303" s="3" t="s">
        <v>9</v>
      </c>
      <c r="E2303" s="3" t="s">
        <v>46</v>
      </c>
      <c r="F2303" s="3" t="str">
        <f>"260-420-8138"</f>
        <v>260-420-8138</v>
      </c>
      <c r="G2303" s="3">
        <v>238220</v>
      </c>
      <c r="H2303" s="3" t="s">
        <v>348</v>
      </c>
    </row>
    <row r="2304" spans="1:8" ht="102.75" x14ac:dyDescent="0.25">
      <c r="A2304" s="3" t="s">
        <v>7056</v>
      </c>
      <c r="B2304" s="3"/>
      <c r="C2304" s="3" t="s">
        <v>7057</v>
      </c>
      <c r="D2304" s="3" t="s">
        <v>9</v>
      </c>
      <c r="E2304" s="3" t="s">
        <v>46</v>
      </c>
      <c r="F2304" s="3" t="str">
        <f>"317-539-2152"</f>
        <v>317-539-2152</v>
      </c>
      <c r="G2304" s="3">
        <v>811111</v>
      </c>
      <c r="H2304" s="3" t="s">
        <v>2383</v>
      </c>
    </row>
    <row r="2305" spans="1:8" ht="179.25" x14ac:dyDescent="0.25">
      <c r="A2305" s="3" t="s">
        <v>7058</v>
      </c>
      <c r="B2305" s="3"/>
      <c r="C2305" s="3" t="s">
        <v>7059</v>
      </c>
      <c r="D2305" s="3" t="s">
        <v>7060</v>
      </c>
      <c r="E2305" s="3" t="s">
        <v>7061</v>
      </c>
      <c r="F2305" s="3" t="str">
        <f>"260-456-9600"</f>
        <v>260-456-9600</v>
      </c>
      <c r="G2305" s="3">
        <v>323</v>
      </c>
      <c r="H2305" s="3" t="s">
        <v>302</v>
      </c>
    </row>
    <row r="2306" spans="1:8" ht="115.5" x14ac:dyDescent="0.25">
      <c r="A2306" s="3" t="s">
        <v>7062</v>
      </c>
      <c r="B2306" s="3"/>
      <c r="C2306" s="3" t="s">
        <v>7063</v>
      </c>
      <c r="D2306" s="3" t="s">
        <v>7064</v>
      </c>
      <c r="E2306" s="3" t="s">
        <v>7065</v>
      </c>
      <c r="F2306" s="3" t="str">
        <f>"260 925-0623"</f>
        <v>260 925-0623</v>
      </c>
      <c r="G2306" s="3">
        <v>325998</v>
      </c>
      <c r="H2306" s="3" t="s">
        <v>7066</v>
      </c>
    </row>
    <row r="2307" spans="1:8" ht="77.25" x14ac:dyDescent="0.25">
      <c r="A2307" s="3" t="s">
        <v>7067</v>
      </c>
      <c r="B2307" s="3"/>
      <c r="C2307" s="3" t="str">
        <f>"We specialize in Audio/Video systems for Commercial, Residential, and Industrial customers. We are leaders in Video Surveillance, and panic/duress systems. Telephone,and Data systems wiring, we also sale and service."</f>
        <v>We specialize in Audio/Video systems for Commercial, Residential, and Industrial customers. We are leaders in Video Surveillance, and panic/duress systems. Telephone,and Data systems wiring, we also sale and service.</v>
      </c>
      <c r="D2307" s="3" t="s">
        <v>9</v>
      </c>
      <c r="E2307" s="3" t="s">
        <v>7068</v>
      </c>
      <c r="F2307" s="3" t="str">
        <f>"317-750-2904"</f>
        <v>317-750-2904</v>
      </c>
      <c r="G2307" s="3">
        <v>517</v>
      </c>
      <c r="H2307" s="3" t="s">
        <v>682</v>
      </c>
    </row>
    <row r="2308" spans="1:8" ht="39" x14ac:dyDescent="0.25">
      <c r="A2308" s="3" t="s">
        <v>7069</v>
      </c>
      <c r="B2308" s="3"/>
      <c r="C2308" s="3" t="str">
        <f>"Computer sales, service, upgrades and repair. Network installation and cabling. Hard to find parts and accessories."</f>
        <v>Computer sales, service, upgrades and repair. Network installation and cabling. Hard to find parts and accessories.</v>
      </c>
      <c r="D2308" s="3" t="s">
        <v>9</v>
      </c>
      <c r="E2308" s="3" t="s">
        <v>7070</v>
      </c>
      <c r="F2308" s="3" t="str">
        <f>"317-839-8774"</f>
        <v>317-839-8774</v>
      </c>
      <c r="G2308" s="3">
        <v>423430</v>
      </c>
      <c r="H2308" s="3" t="s">
        <v>127</v>
      </c>
    </row>
    <row r="2309" spans="1:8" ht="39" x14ac:dyDescent="0.25">
      <c r="A2309" s="3" t="s">
        <v>7069</v>
      </c>
      <c r="B2309" s="3"/>
      <c r="C2309" s="3" t="str">
        <f>"Computer, network sales, service and installation. Network cabling, upgrades and support."</f>
        <v>Computer, network sales, service and installation. Network cabling, upgrades and support.</v>
      </c>
      <c r="D2309" s="3" t="s">
        <v>9</v>
      </c>
      <c r="E2309" s="3" t="s">
        <v>7070</v>
      </c>
      <c r="F2309" s="3" t="str">
        <f>"317-839-8774"</f>
        <v>317-839-8774</v>
      </c>
      <c r="G2309" s="3">
        <v>423430</v>
      </c>
      <c r="H2309" s="3" t="s">
        <v>127</v>
      </c>
    </row>
    <row r="2310" spans="1:8" ht="39" x14ac:dyDescent="0.25">
      <c r="A2310" s="3" t="s">
        <v>7071</v>
      </c>
      <c r="B2310" s="3"/>
      <c r="C2310" s="3" t="str">
        <f>"We custom make doors to fit to your specific needs at a price you can afford. Interior, Exterior and Patio Doors."</f>
        <v>We custom make doors to fit to your specific needs at a price you can afford. Interior, Exterior and Patio Doors.</v>
      </c>
      <c r="D2310" s="3" t="s">
        <v>7072</v>
      </c>
      <c r="E2310" s="3" t="s">
        <v>7073</v>
      </c>
      <c r="F2310" s="3" t="str">
        <f>"765-853-5553"</f>
        <v>765-853-5553</v>
      </c>
      <c r="G2310" s="3">
        <v>332321</v>
      </c>
      <c r="H2310" s="3" t="s">
        <v>7074</v>
      </c>
    </row>
    <row r="2311" spans="1:8" ht="39" x14ac:dyDescent="0.25">
      <c r="A2311" s="3" t="s">
        <v>7075</v>
      </c>
      <c r="B2311" s="3"/>
      <c r="C2311" s="3" t="str">
        <f>"We provide custom material handling solutions. Conveyors, lift assists, custom machines. From parts to ""turnkey"" systems."</f>
        <v>We provide custom material handling solutions. Conveyors, lift assists, custom machines. From parts to "turnkey" systems.</v>
      </c>
      <c r="D2311" s="3" t="s">
        <v>9</v>
      </c>
      <c r="E2311" s="3" t="s">
        <v>7076</v>
      </c>
      <c r="F2311" s="3" t="str">
        <f>"260-745-9299"</f>
        <v>260-745-9299</v>
      </c>
      <c r="G2311" s="3">
        <v>2359</v>
      </c>
      <c r="H2311" s="3" t="s">
        <v>631</v>
      </c>
    </row>
    <row r="2312" spans="1:8" ht="26.25" x14ac:dyDescent="0.25">
      <c r="A2312" s="3" t="s">
        <v>7077</v>
      </c>
      <c r="B2312" s="3"/>
      <c r="C2312" s="3" t="str">
        <f>"Complete Janitorial and Chemical supplier, and Commercial Printer"</f>
        <v>Complete Janitorial and Chemical supplier, and Commercial Printer</v>
      </c>
      <c r="D2312" s="3" t="s">
        <v>7078</v>
      </c>
      <c r="E2312" s="3" t="s">
        <v>7079</v>
      </c>
      <c r="F2312" s="3" t="str">
        <f>"812-547-2678"</f>
        <v>812-547-2678</v>
      </c>
      <c r="G2312" s="3">
        <v>42</v>
      </c>
      <c r="H2312" s="3" t="s">
        <v>674</v>
      </c>
    </row>
    <row r="2313" spans="1:8" ht="26.25" x14ac:dyDescent="0.25">
      <c r="A2313" s="3" t="s">
        <v>7080</v>
      </c>
      <c r="B2313" s="3"/>
      <c r="C2313" s="3" t="str">
        <f>"Millwork - Custom Cabinetry"</f>
        <v>Millwork - Custom Cabinetry</v>
      </c>
      <c r="D2313" s="3" t="s">
        <v>7081</v>
      </c>
      <c r="E2313" s="3" t="s">
        <v>7082</v>
      </c>
      <c r="F2313" s="3" t="str">
        <f>"317-632-0477"</f>
        <v>317-632-0477</v>
      </c>
      <c r="G2313" s="3">
        <v>3219</v>
      </c>
      <c r="H2313" s="3" t="s">
        <v>7083</v>
      </c>
    </row>
    <row r="2314" spans="1:8" ht="115.5" x14ac:dyDescent="0.25">
      <c r="A2314" s="3" t="s">
        <v>7084</v>
      </c>
      <c r="B2314" s="3"/>
      <c r="C2314" s="3" t="s">
        <v>7085</v>
      </c>
      <c r="D2314" s="3" t="s">
        <v>9</v>
      </c>
      <c r="E2314" s="3" t="s">
        <v>7086</v>
      </c>
      <c r="F2314" s="3" t="str">
        <f>"866-932-4649"</f>
        <v>866-932-4649</v>
      </c>
      <c r="G2314" s="3">
        <v>323</v>
      </c>
      <c r="H2314" s="3" t="s">
        <v>302</v>
      </c>
    </row>
    <row r="2315" spans="1:8" ht="51.75" x14ac:dyDescent="0.25">
      <c r="A2315" s="3" t="s">
        <v>7087</v>
      </c>
      <c r="B2315" s="3"/>
      <c r="C2315" s="3" t="str">
        <f>"Custom Products &amp; Janitorial Supplies is committed to providing business office, maintenance, and janitorial supplies to meet your organizational needs"</f>
        <v>Custom Products &amp; Janitorial Supplies is committed to providing business office, maintenance, and janitorial supplies to meet your organizational needs</v>
      </c>
      <c r="D2315" s="3" t="s">
        <v>9</v>
      </c>
      <c r="E2315" s="3" t="s">
        <v>46</v>
      </c>
      <c r="F2315" s="2"/>
      <c r="G2315" s="3">
        <v>453998</v>
      </c>
      <c r="H2315" s="3" t="s">
        <v>112</v>
      </c>
    </row>
    <row r="2316" spans="1:8" ht="102.75" x14ac:dyDescent="0.25">
      <c r="A2316" s="3" t="s">
        <v>7088</v>
      </c>
      <c r="B2316" s="3"/>
      <c r="C2316" s="3" t="s">
        <v>7089</v>
      </c>
      <c r="D2316" s="3" t="s">
        <v>7090</v>
      </c>
      <c r="E2316" s="3" t="s">
        <v>7091</v>
      </c>
      <c r="F2316" s="3" t="str">
        <f>"317-388-3088"</f>
        <v>317-388-3088</v>
      </c>
      <c r="G2316" s="3">
        <v>531210</v>
      </c>
      <c r="H2316" s="3" t="s">
        <v>1101</v>
      </c>
    </row>
    <row r="2317" spans="1:8" ht="64.5" x14ac:dyDescent="0.25">
      <c r="A2317" s="3" t="s">
        <v>7092</v>
      </c>
      <c r="B2317" s="3"/>
      <c r="C2317" s="3" t="str">
        <f>"Custom interior/exterior entrance matting, logo mats, aluminum grid mat replacements and refurbishment, stair treads, anti-fatigue matting, industrial matting, wet area mats, and many specialty flooring products."</f>
        <v>Custom interior/exterior entrance matting, logo mats, aluminum grid mat replacements and refurbishment, stair treads, anti-fatigue matting, industrial matting, wet area mats, and many specialty flooring products.</v>
      </c>
      <c r="D2317" s="3" t="s">
        <v>7093</v>
      </c>
      <c r="E2317" s="3" t="s">
        <v>7094</v>
      </c>
      <c r="F2317" s="3" t="str">
        <f>"765-714-5305"</f>
        <v>765-714-5305</v>
      </c>
      <c r="G2317" s="3">
        <v>326299</v>
      </c>
      <c r="H2317" s="3" t="s">
        <v>7095</v>
      </c>
    </row>
    <row r="2318" spans="1:8" ht="90" x14ac:dyDescent="0.25">
      <c r="A2318" s="3" t="s">
        <v>7096</v>
      </c>
      <c r="B2318" s="3"/>
      <c r="C2318" s="3" t="str">
        <f>"Wood fencing-product,design,installation Wood/Composite decking-product,design,installation Wood walk ways-product,design,installation Wheelchair ramps-product,design,installation Wood barriers &amp; Post-product,design,installation"</f>
        <v>Wood fencing-product,design,installation Wood/Composite decking-product,design,installation Wood walk ways-product,design,installation Wheelchair ramps-product,design,installation Wood barriers &amp; Post-product,design,installation</v>
      </c>
      <c r="D2318" s="3" t="s">
        <v>9</v>
      </c>
      <c r="E2318" s="3" t="s">
        <v>7097</v>
      </c>
      <c r="F2318" s="3" t="str">
        <f>"3173265104"</f>
        <v>3173265104</v>
      </c>
      <c r="G2318" s="3">
        <v>23</v>
      </c>
      <c r="H2318" s="3" t="s">
        <v>133</v>
      </c>
    </row>
    <row r="2319" spans="1:8" ht="102.75" x14ac:dyDescent="0.25">
      <c r="A2319" s="3" t="s">
        <v>7098</v>
      </c>
      <c r="B2319" s="3"/>
      <c r="C2319" s="3" t="s">
        <v>7099</v>
      </c>
      <c r="D2319" s="3" t="s">
        <v>7100</v>
      </c>
      <c r="E2319" s="3" t="s">
        <v>7101</v>
      </c>
      <c r="F2319" s="3" t="str">
        <f>"(317) 595-8895"</f>
        <v>(317) 595-8895</v>
      </c>
      <c r="G2319" s="3">
        <v>524</v>
      </c>
      <c r="H2319" s="3" t="s">
        <v>5614</v>
      </c>
    </row>
    <row r="2320" spans="1:8" ht="77.25" x14ac:dyDescent="0.25">
      <c r="A2320" s="3" t="s">
        <v>7102</v>
      </c>
      <c r="B2320" s="3"/>
      <c r="C2320" s="3" t="str">
        <f>"We are licensed, bonded, and insured. We have all the necessary equipment to tackle any exterior project. We are eager to work with the State of Indiana.We can do all exterior work. No job too big or small. Thank you for your consideration."</f>
        <v>We are licensed, bonded, and insured. We have all the necessary equipment to tackle any exterior project. We are eager to work with the State of Indiana.We can do all exterior work. No job too big or small. Thank you for your consideration.</v>
      </c>
      <c r="D2320" s="3" t="s">
        <v>9</v>
      </c>
      <c r="E2320" s="3" t="s">
        <v>7103</v>
      </c>
      <c r="F2320" s="3" t="str">
        <f>"3177318624"</f>
        <v>3177318624</v>
      </c>
      <c r="G2320" s="3">
        <v>23</v>
      </c>
      <c r="H2320" s="3" t="s">
        <v>133</v>
      </c>
    </row>
    <row r="2321" spans="1:8" ht="26.25" x14ac:dyDescent="0.25">
      <c r="A2321" s="3" t="s">
        <v>7104</v>
      </c>
      <c r="B2321" s="3"/>
      <c r="C2321" s="3" t="str">
        <f>"Lawn mowing &amp; trimming Shrub trimming &amp; removal Fall Clean up Spring Clean up"</f>
        <v>Lawn mowing &amp; trimming Shrub trimming &amp; removal Fall Clean up Spring Clean up</v>
      </c>
      <c r="D2321" s="3" t="s">
        <v>9</v>
      </c>
      <c r="E2321" s="3" t="s">
        <v>46</v>
      </c>
      <c r="F2321" s="3" t="str">
        <f>"812-602-4726"</f>
        <v>812-602-4726</v>
      </c>
      <c r="G2321" s="3">
        <v>561730</v>
      </c>
      <c r="H2321" s="3" t="s">
        <v>65</v>
      </c>
    </row>
    <row r="2322" spans="1:8" ht="39" x14ac:dyDescent="0.25">
      <c r="A2322" s="3" t="s">
        <v>7105</v>
      </c>
      <c r="B2322" s="3"/>
      <c r="C2322" s="3" t="str">
        <f>"Commercial / industrial / road excavation, site development, drainage / sewer construction, demolition, clearing, etc."</f>
        <v>Commercial / industrial / road excavation, site development, drainage / sewer construction, demolition, clearing, etc.</v>
      </c>
      <c r="D2322" s="3" t="s">
        <v>7106</v>
      </c>
      <c r="E2322" s="3" t="s">
        <v>7107</v>
      </c>
      <c r="F2322" s="3" t="str">
        <f>"574-862-1840"</f>
        <v>574-862-1840</v>
      </c>
      <c r="G2322" s="3">
        <v>23593</v>
      </c>
      <c r="H2322" s="3" t="s">
        <v>71</v>
      </c>
    </row>
    <row r="2323" spans="1:8" ht="26.25" x14ac:dyDescent="0.25">
      <c r="A2323" s="3" t="s">
        <v>7108</v>
      </c>
      <c r="B2323" s="3"/>
      <c r="C2323" s="3" t="str">
        <f>"We provides services relating to online drivers education."</f>
        <v>We provides services relating to online drivers education.</v>
      </c>
      <c r="D2323" s="3" t="s">
        <v>9</v>
      </c>
      <c r="E2323" s="3" t="s">
        <v>46</v>
      </c>
      <c r="F2323" s="2"/>
      <c r="G2323" s="3">
        <v>611692</v>
      </c>
      <c r="H2323" s="3" t="s">
        <v>7109</v>
      </c>
    </row>
    <row r="2324" spans="1:8" ht="39" x14ac:dyDescent="0.25">
      <c r="A2324" s="3" t="s">
        <v>7110</v>
      </c>
      <c r="B2324" s="3"/>
      <c r="C2324" s="3" t="str">
        <f>"Cycle Outfiiters offers aftermarket parts, accessories and apparel for all types of motorcycles, ATV's and UTV's."</f>
        <v>Cycle Outfiiters offers aftermarket parts, accessories and apparel for all types of motorcycles, ATV's and UTV's.</v>
      </c>
      <c r="D2324" s="3" t="s">
        <v>7111</v>
      </c>
      <c r="E2324" s="3" t="s">
        <v>7112</v>
      </c>
      <c r="F2324" s="3" t="str">
        <f>"317-783-2901"</f>
        <v>317-783-2901</v>
      </c>
      <c r="G2324" s="3">
        <v>44</v>
      </c>
      <c r="H2324" s="3" t="s">
        <v>574</v>
      </c>
    </row>
    <row r="2325" spans="1:8" ht="51.75" x14ac:dyDescent="0.25">
      <c r="A2325" s="3" t="s">
        <v>7113</v>
      </c>
      <c r="B2325" s="3"/>
      <c r="C2325" s="3" t="str">
        <f>"We provide policy and communication research, program evaluation, research and writing services, and crisis communication response and training."</f>
        <v>We provide policy and communication research, program evaluation, research and writing services, and crisis communication response and training.</v>
      </c>
      <c r="D2325" s="3" t="s">
        <v>9</v>
      </c>
      <c r="E2325" s="3" t="s">
        <v>7114</v>
      </c>
      <c r="F2325" s="3" t="str">
        <f>"317 694-1112"</f>
        <v>317 694-1112</v>
      </c>
      <c r="G2325" s="3">
        <v>54</v>
      </c>
      <c r="H2325" s="3" t="s">
        <v>179</v>
      </c>
    </row>
    <row r="2326" spans="1:8" ht="39" x14ac:dyDescent="0.25">
      <c r="A2326" s="3" t="s">
        <v>7115</v>
      </c>
      <c r="B2326" s="3"/>
      <c r="C2326" s="3" t="str">
        <f>"Perform Home Inspections for clients who wish to sell or purchase a single or multi family home."</f>
        <v>Perform Home Inspections for clients who wish to sell or purchase a single or multi family home.</v>
      </c>
      <c r="D2326" s="3" t="s">
        <v>9</v>
      </c>
      <c r="E2326" s="3" t="s">
        <v>7116</v>
      </c>
      <c r="F2326" s="3" t="str">
        <f>"317-883-4922"</f>
        <v>317-883-4922</v>
      </c>
      <c r="G2326" s="3">
        <v>541350</v>
      </c>
      <c r="H2326" s="3" t="s">
        <v>1784</v>
      </c>
    </row>
    <row r="2327" spans="1:8" ht="166.5" x14ac:dyDescent="0.25">
      <c r="A2327" s="3" t="s">
        <v>7117</v>
      </c>
      <c r="B2327" s="3"/>
      <c r="C2327" s="3" t="s">
        <v>7118</v>
      </c>
      <c r="D2327" s="3" t="s">
        <v>9</v>
      </c>
      <c r="E2327" s="3" t="s">
        <v>7119</v>
      </c>
      <c r="F2327" s="3" t="str">
        <f>"812-637-0842"</f>
        <v>812-637-0842</v>
      </c>
      <c r="G2327" s="3">
        <v>594130</v>
      </c>
      <c r="H2327" s="2"/>
    </row>
    <row r="2328" spans="1:8" ht="39" x14ac:dyDescent="0.25">
      <c r="A2328" s="3" t="s">
        <v>7120</v>
      </c>
      <c r="B2328" s="3"/>
      <c r="C2328" s="3" t="str">
        <f>"Real Estate Services, Property Management, Leasing, Listing and Buyer assistance of Real Estate"</f>
        <v>Real Estate Services, Property Management, Leasing, Listing and Buyer assistance of Real Estate</v>
      </c>
      <c r="D2328" s="3" t="s">
        <v>9</v>
      </c>
      <c r="E2328" s="3" t="s">
        <v>46</v>
      </c>
      <c r="F2328" s="2"/>
      <c r="G2328" s="3">
        <v>531</v>
      </c>
      <c r="H2328" s="3" t="s">
        <v>74</v>
      </c>
    </row>
    <row r="2329" spans="1:8" ht="26.25" x14ac:dyDescent="0.25">
      <c r="A2329" s="3" t="s">
        <v>7121</v>
      </c>
      <c r="B2329" s="3"/>
      <c r="C2329" s="3" t="str">
        <f>" "</f>
        <v xml:space="preserve"> </v>
      </c>
      <c r="D2329" s="3" t="s">
        <v>9</v>
      </c>
      <c r="E2329" s="3" t="s">
        <v>46</v>
      </c>
      <c r="F2329" s="3" t="str">
        <f>"3174385525"</f>
        <v>3174385525</v>
      </c>
      <c r="G2329" s="3">
        <v>5416</v>
      </c>
      <c r="H2329" s="3" t="s">
        <v>194</v>
      </c>
    </row>
    <row r="2330" spans="1:8" ht="128.25" x14ac:dyDescent="0.25">
      <c r="A2330" s="3" t="s">
        <v>7122</v>
      </c>
      <c r="B2330" s="3"/>
      <c r="C2330" s="3" t="s">
        <v>7123</v>
      </c>
      <c r="D2330" s="3" t="s">
        <v>9</v>
      </c>
      <c r="E2330" s="3" t="s">
        <v>7124</v>
      </c>
      <c r="F2330" s="3" t="str">
        <f>"317 313 1553"</f>
        <v>317 313 1553</v>
      </c>
      <c r="G2330" s="3">
        <v>541430</v>
      </c>
      <c r="H2330" s="3" t="s">
        <v>78</v>
      </c>
    </row>
    <row r="2331" spans="1:8" ht="128.25" x14ac:dyDescent="0.25">
      <c r="A2331" s="3" t="s">
        <v>7125</v>
      </c>
      <c r="B2331" s="3"/>
      <c r="C2331" s="3" t="s">
        <v>7126</v>
      </c>
      <c r="D2331" s="3" t="s">
        <v>7127</v>
      </c>
      <c r="E2331" s="3" t="s">
        <v>7128</v>
      </c>
      <c r="F2331" s="3" t="str">
        <f>"765-478-5590"</f>
        <v>765-478-5590</v>
      </c>
      <c r="G2331" s="3">
        <v>453998</v>
      </c>
      <c r="H2331" s="3" t="s">
        <v>112</v>
      </c>
    </row>
    <row r="2332" spans="1:8" ht="51.75" x14ac:dyDescent="0.25">
      <c r="A2332" s="3" t="s">
        <v>7129</v>
      </c>
      <c r="B2332" s="3"/>
      <c r="C2332" s="3" t="str">
        <f>"procurement of signs including design, manufacturing, installation and permitting advertising materials , printed and speciality"</f>
        <v>procurement of signs including design, manufacturing, installation and permitting advertising materials , printed and speciality</v>
      </c>
      <c r="D2332" s="3" t="s">
        <v>9</v>
      </c>
      <c r="E2332" s="3" t="s">
        <v>7130</v>
      </c>
      <c r="F2332" s="3" t="str">
        <f>"812-421-8032"</f>
        <v>812-421-8032</v>
      </c>
      <c r="G2332" s="3">
        <v>541890</v>
      </c>
      <c r="H2332" s="3" t="s">
        <v>401</v>
      </c>
    </row>
    <row r="2333" spans="1:8" ht="306.75" x14ac:dyDescent="0.25">
      <c r="A2333" s="3" t="s">
        <v>7131</v>
      </c>
      <c r="B2333" s="3"/>
      <c r="C2333" s="3" t="s">
        <v>7132</v>
      </c>
      <c r="D2333" s="3" t="s">
        <v>9</v>
      </c>
      <c r="E2333" s="3" t="s">
        <v>7133</v>
      </c>
      <c r="F2333" s="3" t="str">
        <f>"812-256-2692"</f>
        <v>812-256-2692</v>
      </c>
      <c r="G2333" s="3">
        <v>541511</v>
      </c>
      <c r="H2333" s="3" t="s">
        <v>122</v>
      </c>
    </row>
    <row r="2334" spans="1:8" ht="26.25" x14ac:dyDescent="0.25">
      <c r="A2334" s="3" t="s">
        <v>7134</v>
      </c>
      <c r="B2334" s="3"/>
      <c r="C2334" s="3" t="str">
        <f>"Pumps and meters of all kinds as well as repairs."</f>
        <v>Pumps and meters of all kinds as well as repairs.</v>
      </c>
      <c r="D2334" s="3" t="s">
        <v>7135</v>
      </c>
      <c r="E2334" s="3" t="s">
        <v>7136</v>
      </c>
      <c r="F2334" s="3" t="str">
        <f>"800-457-8677"</f>
        <v>800-457-8677</v>
      </c>
      <c r="G2334" s="3">
        <v>423830</v>
      </c>
      <c r="H2334" s="3" t="s">
        <v>172</v>
      </c>
    </row>
    <row r="2335" spans="1:8" ht="26.25" x14ac:dyDescent="0.25">
      <c r="A2335" s="3" t="s">
        <v>7137</v>
      </c>
      <c r="B2335" s="3"/>
      <c r="C2335" s="3" t="str">
        <f>"We sell concrete base mail box stands."</f>
        <v>We sell concrete base mail box stands.</v>
      </c>
      <c r="D2335" s="3" t="s">
        <v>9</v>
      </c>
      <c r="E2335" s="3" t="s">
        <v>46</v>
      </c>
      <c r="F2335" s="3" t="str">
        <f>"765-564-3906"</f>
        <v>765-564-3906</v>
      </c>
      <c r="G2335" s="3">
        <v>327331</v>
      </c>
      <c r="H2335" s="3" t="s">
        <v>5357</v>
      </c>
    </row>
    <row r="2336" spans="1:8" ht="26.25" x14ac:dyDescent="0.25">
      <c r="A2336" s="3" t="s">
        <v>7138</v>
      </c>
      <c r="B2336" s="3"/>
      <c r="C2336" s="3" t="str">
        <f>"Manufacturer of poly/plastic bags &amp; yard signs"</f>
        <v>Manufacturer of poly/plastic bags &amp; yard signs</v>
      </c>
      <c r="D2336" s="3" t="s">
        <v>7139</v>
      </c>
      <c r="E2336" s="3" t="s">
        <v>7140</v>
      </c>
      <c r="F2336" s="3" t="str">
        <f>"260-483-4008"</f>
        <v>260-483-4008</v>
      </c>
      <c r="G2336" s="3">
        <v>326111</v>
      </c>
      <c r="H2336" s="3" t="s">
        <v>4202</v>
      </c>
    </row>
    <row r="2337" spans="1:8" ht="128.25" x14ac:dyDescent="0.25">
      <c r="A2337" s="3" t="s">
        <v>7141</v>
      </c>
      <c r="B2337" s="3"/>
      <c r="C2337" s="3" t="s">
        <v>7142</v>
      </c>
      <c r="D2337" s="3" t="s">
        <v>7139</v>
      </c>
      <c r="E2337" s="3" t="s">
        <v>7140</v>
      </c>
      <c r="F2337" s="3" t="str">
        <f>"260-483-4008"</f>
        <v>260-483-4008</v>
      </c>
      <c r="G2337" s="3">
        <v>326111</v>
      </c>
      <c r="H2337" s="3" t="s">
        <v>4202</v>
      </c>
    </row>
    <row r="2338" spans="1:8" ht="39" x14ac:dyDescent="0.25">
      <c r="A2338" s="3" t="s">
        <v>7143</v>
      </c>
      <c r="B2338" s="3"/>
      <c r="C2338" s="3" t="str">
        <f>"We provide roll-off dumpster services as well as excavating, footing and foundation concrete flat work."</f>
        <v>We provide roll-off dumpster services as well as excavating, footing and foundation concrete flat work.</v>
      </c>
      <c r="D2338" s="3" t="s">
        <v>7144</v>
      </c>
      <c r="E2338" s="3" t="s">
        <v>7145</v>
      </c>
      <c r="F2338" s="3" t="str">
        <f>"2193984013"</f>
        <v>2193984013</v>
      </c>
      <c r="G2338" s="3">
        <v>562</v>
      </c>
      <c r="H2338" s="3" t="s">
        <v>2798</v>
      </c>
    </row>
    <row r="2339" spans="1:8" ht="39" x14ac:dyDescent="0.25">
      <c r="A2339" s="3" t="s">
        <v>7146</v>
      </c>
      <c r="B2339" s="3"/>
      <c r="C2339" s="3" t="str">
        <f>"Team building (experience and activity based), Leadership Development and Executive Coaching"</f>
        <v>Team building (experience and activity based), Leadership Development and Executive Coaching</v>
      </c>
      <c r="D2339" s="3" t="s">
        <v>7147</v>
      </c>
      <c r="E2339" s="3" t="s">
        <v>7148</v>
      </c>
      <c r="F2339" s="3" t="str">
        <f>"317-362-4898"</f>
        <v>317-362-4898</v>
      </c>
      <c r="G2339" s="3">
        <v>611430</v>
      </c>
      <c r="H2339" s="3" t="s">
        <v>1224</v>
      </c>
    </row>
    <row r="2340" spans="1:8" ht="39" x14ac:dyDescent="0.25">
      <c r="A2340" s="3" t="s">
        <v>7149</v>
      </c>
      <c r="B2340" s="3"/>
      <c r="C2340" s="3" t="str">
        <f>"Tool &amp; Equipment Rental Yard for homeowner or contractor. Also sell trailers &amp; supplies, hitches &amp; wiring harnesses."</f>
        <v>Tool &amp; Equipment Rental Yard for homeowner or contractor. Also sell trailers &amp; supplies, hitches &amp; wiring harnesses.</v>
      </c>
      <c r="D2340" s="3" t="s">
        <v>9</v>
      </c>
      <c r="E2340" s="3" t="s">
        <v>46</v>
      </c>
      <c r="F2340" s="3" t="str">
        <f>"260-562-2768"</f>
        <v>260-562-2768</v>
      </c>
      <c r="G2340" s="3">
        <v>532</v>
      </c>
      <c r="H2340" s="3" t="s">
        <v>2610</v>
      </c>
    </row>
    <row r="2341" spans="1:8" ht="64.5" x14ac:dyDescent="0.25">
      <c r="A2341" s="3" t="s">
        <v>7150</v>
      </c>
      <c r="B2341" s="3"/>
      <c r="C2341" s="3" t="str">
        <f>"Provide a dump truck service business hauling all types of aggregate material as well as mulch, dirt and sand products. We also do hourly work on site if the need may arise."</f>
        <v>Provide a dump truck service business hauling all types of aggregate material as well as mulch, dirt and sand products. We also do hourly work on site if the need may arise.</v>
      </c>
      <c r="D2341" s="3" t="s">
        <v>9</v>
      </c>
      <c r="E2341" s="3" t="s">
        <v>7151</v>
      </c>
      <c r="F2341" s="3" t="str">
        <f>"8128297447"</f>
        <v>8128297447</v>
      </c>
      <c r="G2341" s="3">
        <v>484110</v>
      </c>
      <c r="H2341" s="3" t="s">
        <v>644</v>
      </c>
    </row>
    <row r="2342" spans="1:8" ht="102.75" x14ac:dyDescent="0.25">
      <c r="A2342" s="3" t="s">
        <v>7152</v>
      </c>
      <c r="B2342" s="3"/>
      <c r="C2342" s="3" t="s">
        <v>7153</v>
      </c>
      <c r="D2342" s="3" t="s">
        <v>9</v>
      </c>
      <c r="E2342" s="3" t="s">
        <v>7151</v>
      </c>
      <c r="F2342" s="3" t="str">
        <f>"(812) 829-7447"</f>
        <v>(812) 829-7447</v>
      </c>
      <c r="G2342" s="3">
        <v>484110</v>
      </c>
      <c r="H2342" s="3" t="s">
        <v>644</v>
      </c>
    </row>
    <row r="2343" spans="1:8" ht="306.75" x14ac:dyDescent="0.25">
      <c r="A2343" s="3" t="s">
        <v>7154</v>
      </c>
      <c r="B2343" s="3"/>
      <c r="C2343" s="3" t="s">
        <v>7155</v>
      </c>
      <c r="D2343" s="3" t="s">
        <v>9</v>
      </c>
      <c r="E2343" s="3" t="s">
        <v>7156</v>
      </c>
      <c r="F2343" s="3" t="str">
        <f>"317-414-1669"</f>
        <v>317-414-1669</v>
      </c>
      <c r="G2343" s="3">
        <v>2352</v>
      </c>
      <c r="H2343" s="3" t="s">
        <v>462</v>
      </c>
    </row>
    <row r="2344" spans="1:8" ht="217.5" x14ac:dyDescent="0.25">
      <c r="A2344" s="3" t="s">
        <v>7157</v>
      </c>
      <c r="B2344" s="3"/>
      <c r="C2344" s="3" t="s">
        <v>7158</v>
      </c>
      <c r="D2344" s="3" t="s">
        <v>7159</v>
      </c>
      <c r="E2344" s="3" t="s">
        <v>7160</v>
      </c>
      <c r="F2344" s="3" t="str">
        <f>"7652085962"</f>
        <v>7652085962</v>
      </c>
      <c r="G2344" s="3">
        <v>238210</v>
      </c>
      <c r="H2344" s="3" t="s">
        <v>306</v>
      </c>
    </row>
    <row r="2345" spans="1:8" ht="26.25" x14ac:dyDescent="0.25">
      <c r="A2345" s="3" t="s">
        <v>7161</v>
      </c>
      <c r="B2345" s="3"/>
      <c r="C2345" s="3" t="str">
        <f>"Software Development and Website Design and Development"</f>
        <v>Software Development and Website Design and Development</v>
      </c>
      <c r="D2345" s="3" t="s">
        <v>7162</v>
      </c>
      <c r="E2345" s="3" t="s">
        <v>7163</v>
      </c>
      <c r="F2345" s="3" t="str">
        <f>"(502) 583-0145"</f>
        <v>(502) 583-0145</v>
      </c>
      <c r="G2345" s="3">
        <v>541511</v>
      </c>
      <c r="H2345" s="3" t="s">
        <v>122</v>
      </c>
    </row>
    <row r="2346" spans="1:8" ht="39" x14ac:dyDescent="0.25">
      <c r="A2346" s="3" t="s">
        <v>7164</v>
      </c>
      <c r="B2346" s="3"/>
      <c r="C2346" s="3" t="str">
        <f>"I have a small trucking business that hauls raw materals not to exceed 25 tons in the Northwest Indiana area."</f>
        <v>I have a small trucking business that hauls raw materals not to exceed 25 tons in the Northwest Indiana area.</v>
      </c>
      <c r="D2346" s="3" t="s">
        <v>9</v>
      </c>
      <c r="E2346" s="3" t="s">
        <v>7165</v>
      </c>
      <c r="F2346" s="3" t="str">
        <f>"219-872-8489"</f>
        <v>219-872-8489</v>
      </c>
      <c r="G2346" s="3">
        <v>21232</v>
      </c>
      <c r="H2346" s="3" t="s">
        <v>7166</v>
      </c>
    </row>
    <row r="2347" spans="1:8" ht="26.25" x14ac:dyDescent="0.25">
      <c r="A2347" s="3" t="s">
        <v>7167</v>
      </c>
      <c r="B2347" s="3"/>
      <c r="C2347" s="3" t="str">
        <f>"Storage and destruction (shredding) of business records."</f>
        <v>Storage and destruction (shredding) of business records.</v>
      </c>
      <c r="D2347" s="3" t="s">
        <v>9</v>
      </c>
      <c r="E2347" s="3" t="s">
        <v>7168</v>
      </c>
      <c r="F2347" s="3" t="str">
        <f>"812-283-5620"</f>
        <v>812-283-5620</v>
      </c>
      <c r="G2347" s="3">
        <v>4931</v>
      </c>
      <c r="H2347" s="3" t="s">
        <v>7169</v>
      </c>
    </row>
    <row r="2348" spans="1:8" ht="115.5" x14ac:dyDescent="0.25">
      <c r="A2348" s="3" t="s">
        <v>7170</v>
      </c>
      <c r="B2348" s="3"/>
      <c r="C2348" s="3" t="s">
        <v>7171</v>
      </c>
      <c r="D2348" s="3" t="s">
        <v>7172</v>
      </c>
      <c r="E2348" s="3" t="s">
        <v>7173</v>
      </c>
      <c r="F2348" s="3" t="str">
        <f>"260-665-7101"</f>
        <v>260-665-7101</v>
      </c>
      <c r="G2348" s="3">
        <v>443112</v>
      </c>
      <c r="H2348" s="3" t="s">
        <v>3890</v>
      </c>
    </row>
    <row r="2349" spans="1:8" ht="51.75" x14ac:dyDescent="0.25">
      <c r="A2349" s="3" t="s">
        <v>7174</v>
      </c>
      <c r="B2349" s="3"/>
      <c r="C2349" s="3" t="str">
        <f>"D&amp;H HOME RESTORATION &amp; REMODELING, is a Residentail and Commercial Sub-Contractor, we will work for big company as well as public home owners."</f>
        <v>D&amp;H HOME RESTORATION &amp; REMODELING, is a Residentail and Commercial Sub-Contractor, we will work for big company as well as public home owners.</v>
      </c>
      <c r="D2349" s="3" t="s">
        <v>7175</v>
      </c>
      <c r="E2349" s="3" t="s">
        <v>7176</v>
      </c>
      <c r="F2349" s="3" t="str">
        <f>"317)549-0116/518-0529"</f>
        <v>317)549-0116/518-0529</v>
      </c>
      <c r="G2349" s="3">
        <v>23</v>
      </c>
      <c r="H2349" s="3" t="s">
        <v>133</v>
      </c>
    </row>
    <row r="2350" spans="1:8" ht="128.25" x14ac:dyDescent="0.25">
      <c r="A2350" s="3" t="s">
        <v>7177</v>
      </c>
      <c r="B2350" s="3"/>
      <c r="C2350" s="3" t="s">
        <v>7178</v>
      </c>
      <c r="D2350" s="3" t="s">
        <v>9</v>
      </c>
      <c r="E2350" s="3" t="s">
        <v>7179</v>
      </c>
      <c r="F2350" s="3" t="str">
        <f>"(317) 698-8837"</f>
        <v>(317) 698-8837</v>
      </c>
      <c r="G2350" s="3">
        <v>4542</v>
      </c>
      <c r="H2350" s="3" t="s">
        <v>2889</v>
      </c>
    </row>
    <row r="2351" spans="1:8" ht="26.25" x14ac:dyDescent="0.25">
      <c r="A2351" s="3" t="s">
        <v>7180</v>
      </c>
      <c r="B2351" s="3"/>
      <c r="C2351" s="3" t="str">
        <f>"electrical contracting"</f>
        <v>electrical contracting</v>
      </c>
      <c r="D2351" s="3" t="s">
        <v>7181</v>
      </c>
      <c r="E2351" s="3" t="s">
        <v>7182</v>
      </c>
      <c r="F2351" s="3" t="str">
        <f>"219-261-2538"</f>
        <v>219-261-2538</v>
      </c>
      <c r="G2351" s="3">
        <v>238210</v>
      </c>
      <c r="H2351" s="3" t="s">
        <v>306</v>
      </c>
    </row>
    <row r="2352" spans="1:8" ht="26.25" x14ac:dyDescent="0.25">
      <c r="A2352" s="3" t="s">
        <v>7183</v>
      </c>
      <c r="B2352" s="3"/>
      <c r="C2352" s="3" t="str">
        <f>"Third-party transportation. Call us for your transportation needs."</f>
        <v>Third-party transportation. Call us for your transportation needs.</v>
      </c>
      <c r="D2352" s="3" t="s">
        <v>9</v>
      </c>
      <c r="E2352" s="3" t="s">
        <v>7184</v>
      </c>
      <c r="F2352" s="3" t="str">
        <f>"219-462-7929"</f>
        <v>219-462-7929</v>
      </c>
      <c r="G2352" s="3">
        <v>484110</v>
      </c>
      <c r="H2352" s="3" t="s">
        <v>644</v>
      </c>
    </row>
    <row r="2353" spans="1:8" ht="26.25" x14ac:dyDescent="0.25">
      <c r="A2353" s="3" t="s">
        <v>7185</v>
      </c>
      <c r="B2353" s="3"/>
      <c r="C2353" s="3" t="str">
        <f>"Telecommunications, and Telecommunications Consultant"</f>
        <v>Telecommunications, and Telecommunications Consultant</v>
      </c>
      <c r="D2353" s="3" t="s">
        <v>9</v>
      </c>
      <c r="E2353" s="3" t="s">
        <v>7186</v>
      </c>
      <c r="F2353" s="3" t="str">
        <f>"260-449-7122"</f>
        <v>260-449-7122</v>
      </c>
      <c r="G2353" s="3">
        <v>561790</v>
      </c>
      <c r="H2353" s="3" t="s">
        <v>2113</v>
      </c>
    </row>
    <row r="2354" spans="1:8" ht="243" x14ac:dyDescent="0.25">
      <c r="A2354" s="3" t="s">
        <v>7187</v>
      </c>
      <c r="B2354" s="3"/>
      <c r="C2354" s="3" t="s">
        <v>7188</v>
      </c>
      <c r="D2354" s="3" t="s">
        <v>7189</v>
      </c>
      <c r="E2354" s="3" t="s">
        <v>7190</v>
      </c>
      <c r="F2354" s="3" t="str">
        <f>"317.430.4118"</f>
        <v>317.430.4118</v>
      </c>
      <c r="G2354" s="3">
        <v>541110</v>
      </c>
      <c r="H2354" s="3" t="s">
        <v>2978</v>
      </c>
    </row>
    <row r="2355" spans="1:8" ht="26.25" x14ac:dyDescent="0.25">
      <c r="A2355" s="3" t="s">
        <v>7191</v>
      </c>
      <c r="B2355" s="3"/>
      <c r="C2355" s="3" t="str">
        <f>" "</f>
        <v xml:space="preserve"> </v>
      </c>
      <c r="D2355" s="3" t="s">
        <v>9</v>
      </c>
      <c r="E2355" s="3" t="s">
        <v>7192</v>
      </c>
      <c r="F2355" s="3" t="str">
        <f>"3174929681"</f>
        <v>3174929681</v>
      </c>
      <c r="G2355" s="3">
        <v>541430</v>
      </c>
      <c r="H2355" s="3" t="s">
        <v>78</v>
      </c>
    </row>
    <row r="2356" spans="1:8" ht="319.5" x14ac:dyDescent="0.25">
      <c r="A2356" s="3" t="s">
        <v>7193</v>
      </c>
      <c r="B2356" s="3"/>
      <c r="C2356" s="3" t="s">
        <v>7194</v>
      </c>
      <c r="D2356" s="3" t="s">
        <v>7195</v>
      </c>
      <c r="E2356" s="3" t="s">
        <v>7196</v>
      </c>
      <c r="F2356" s="3" t="str">
        <f>"800-523-4545"</f>
        <v>800-523-4545</v>
      </c>
      <c r="G2356" s="3">
        <v>541890</v>
      </c>
      <c r="H2356" s="3" t="s">
        <v>401</v>
      </c>
    </row>
    <row r="2357" spans="1:8" ht="77.25" x14ac:dyDescent="0.25">
      <c r="A2357" s="3" t="s">
        <v>7197</v>
      </c>
      <c r="B2357" s="3"/>
      <c r="C2357" s="3" t="str">
        <f>"D-N-T Business &amp; Office Cleaning is a full service commercial janitorial company. We do everything from you weekly and daily cleaning, to carpet cleaning, to window cleaning, to floor buffing and strip and waxing."</f>
        <v>D-N-T Business &amp; Office Cleaning is a full service commercial janitorial company. We do everything from you weekly and daily cleaning, to carpet cleaning, to window cleaning, to floor buffing and strip and waxing.</v>
      </c>
      <c r="D2357" s="3" t="s">
        <v>7198</v>
      </c>
      <c r="E2357" s="3" t="s">
        <v>7199</v>
      </c>
      <c r="F2357" s="3" t="str">
        <f>"(317) 834-3581"</f>
        <v>(317) 834-3581</v>
      </c>
      <c r="G2357" s="3">
        <v>561720</v>
      </c>
      <c r="H2357" s="3" t="s">
        <v>222</v>
      </c>
    </row>
    <row r="2358" spans="1:8" ht="77.25" x14ac:dyDescent="0.25">
      <c r="A2358" s="3" t="s">
        <v>7200</v>
      </c>
      <c r="B2358" s="3"/>
      <c r="C2358" s="3" t="str">
        <f>"Local and regional trucking service hauling trash, demo materials, waste water, roll off boxes, and agricultural materials like corn, hominy, feed products. Will haul other material depending on availability of trailer. We can go nationwide."</f>
        <v>Local and regional trucking service hauling trash, demo materials, waste water, roll off boxes, and agricultural materials like corn, hominy, feed products. Will haul other material depending on availability of trailer. We can go nationwide.</v>
      </c>
      <c r="D2358" s="3" t="s">
        <v>9</v>
      </c>
      <c r="E2358" s="3" t="s">
        <v>7201</v>
      </c>
      <c r="F2358" s="3" t="str">
        <f>"317-745-2759"</f>
        <v>317-745-2759</v>
      </c>
      <c r="G2358" s="3">
        <v>484110</v>
      </c>
      <c r="H2358" s="3" t="s">
        <v>644</v>
      </c>
    </row>
    <row r="2359" spans="1:8" x14ac:dyDescent="0.25">
      <c r="A2359" s="3" t="s">
        <v>7202</v>
      </c>
      <c r="B2359" s="3"/>
      <c r="C2359" s="3" t="str">
        <f>" "</f>
        <v xml:space="preserve"> </v>
      </c>
      <c r="D2359" s="3" t="s">
        <v>9</v>
      </c>
      <c r="E2359" s="3" t="s">
        <v>46</v>
      </c>
      <c r="F2359" s="2"/>
      <c r="G2359" s="3">
        <v>52</v>
      </c>
      <c r="H2359" s="3" t="s">
        <v>50</v>
      </c>
    </row>
    <row r="2360" spans="1:8" ht="64.5" x14ac:dyDescent="0.25">
      <c r="A2360" s="3" t="s">
        <v>7203</v>
      </c>
      <c r="B2360" s="3"/>
      <c r="C2360" s="3" t="str">
        <f>"Real Estate Appraisal, Appraisal Review and Consulting. Land Acquisition. Service-Disabled Veteran-Owner Small-Business (SDVOSB) Veteran Owned Small Business (VOSB) Vietnam Era Veteran"</f>
        <v>Real Estate Appraisal, Appraisal Review and Consulting. Land Acquisition. Service-Disabled Veteran-Owner Small-Business (SDVOSB) Veteran Owned Small Business (VOSB) Vietnam Era Veteran</v>
      </c>
      <c r="D2360" s="3" t="s">
        <v>9</v>
      </c>
      <c r="E2360" s="3" t="s">
        <v>7204</v>
      </c>
      <c r="F2360" s="3" t="str">
        <f>"(317) 709-6762"</f>
        <v>(317) 709-6762</v>
      </c>
      <c r="G2360" s="3">
        <v>531320</v>
      </c>
      <c r="H2360" s="3" t="s">
        <v>34</v>
      </c>
    </row>
    <row r="2361" spans="1:8" ht="39" x14ac:dyDescent="0.25">
      <c r="A2361" s="3" t="s">
        <v>7205</v>
      </c>
      <c r="B2361" s="3"/>
      <c r="C2361" s="3" t="str">
        <f>"Heating contractor specializing in radiant and hydronic heating. We also have a snow removal and lawn care division."</f>
        <v>Heating contractor specializing in radiant and hydronic heating. We also have a snow removal and lawn care division.</v>
      </c>
      <c r="D2361" s="3" t="s">
        <v>9</v>
      </c>
      <c r="E2361" s="3" t="s">
        <v>7206</v>
      </c>
      <c r="F2361" s="3" t="str">
        <f>"219-362-7610"</f>
        <v>219-362-7610</v>
      </c>
      <c r="G2361" s="3">
        <v>238220</v>
      </c>
      <c r="H2361" s="3" t="s">
        <v>348</v>
      </c>
    </row>
    <row r="2362" spans="1:8" ht="294" x14ac:dyDescent="0.25">
      <c r="A2362" s="3" t="s">
        <v>7207</v>
      </c>
      <c r="B2362" s="3"/>
      <c r="C2362" s="3" t="s">
        <v>7208</v>
      </c>
      <c r="D2362" s="3" t="s">
        <v>7209</v>
      </c>
      <c r="E2362" s="3" t="s">
        <v>7210</v>
      </c>
      <c r="F2362" s="3" t="str">
        <f>"(219) 778-4302"</f>
        <v>(219) 778-4302</v>
      </c>
      <c r="G2362" s="3">
        <v>23511</v>
      </c>
      <c r="H2362" s="3" t="s">
        <v>892</v>
      </c>
    </row>
    <row r="2363" spans="1:8" ht="128.25" x14ac:dyDescent="0.25">
      <c r="A2363" s="3" t="s">
        <v>7211</v>
      </c>
      <c r="B2363" s="3"/>
      <c r="C2363" s="3" t="s">
        <v>7212</v>
      </c>
      <c r="D2363" s="3" t="s">
        <v>9</v>
      </c>
      <c r="E2363" s="3" t="s">
        <v>7213</v>
      </c>
      <c r="F2363" s="3" t="str">
        <f>"574-329-0298"</f>
        <v>574-329-0298</v>
      </c>
      <c r="G2363" s="3">
        <v>23</v>
      </c>
      <c r="H2363" s="3" t="s">
        <v>133</v>
      </c>
    </row>
    <row r="2364" spans="1:8" ht="39" x14ac:dyDescent="0.25">
      <c r="A2364" s="3" t="s">
        <v>7214</v>
      </c>
      <c r="B2364" s="3"/>
      <c r="C2364" s="3" t="str">
        <f>"Electrical contracting company. Serving northern Indiana. Industrial, residential,commercial, and agricultural"</f>
        <v>Electrical contracting company. Serving northern Indiana. Industrial, residential,commercial, and agricultural</v>
      </c>
      <c r="D2364" s="3" t="s">
        <v>9</v>
      </c>
      <c r="E2364" s="3" t="s">
        <v>7215</v>
      </c>
      <c r="F2364" s="3" t="str">
        <f>"269 273 4575"</f>
        <v>269 273 4575</v>
      </c>
      <c r="G2364" s="3">
        <v>2353</v>
      </c>
      <c r="H2364" s="3" t="s">
        <v>306</v>
      </c>
    </row>
    <row r="2365" spans="1:8" ht="39" x14ac:dyDescent="0.25">
      <c r="A2365" s="3" t="s">
        <v>7216</v>
      </c>
      <c r="B2365" s="3"/>
      <c r="C2365" s="3" t="str">
        <f>"Concrete forming, placing and finishing. We specialize in footers, slabs, sitwork and others forms of concrete flatwork."</f>
        <v>Concrete forming, placing and finishing. We specialize in footers, slabs, sitwork and others forms of concrete flatwork.</v>
      </c>
      <c r="D2365" s="3" t="s">
        <v>9</v>
      </c>
      <c r="E2365" s="3" t="s">
        <v>7217</v>
      </c>
      <c r="F2365" s="3" t="str">
        <f>"317-271-7111"</f>
        <v>317-271-7111</v>
      </c>
      <c r="G2365" s="3">
        <v>238110</v>
      </c>
      <c r="H2365" s="3" t="s">
        <v>156</v>
      </c>
    </row>
    <row r="2366" spans="1:8" ht="26.25" x14ac:dyDescent="0.25">
      <c r="A2366" s="3" t="s">
        <v>7218</v>
      </c>
      <c r="B2366" s="3"/>
      <c r="C2366" s="3" t="str">
        <f>"All types of ceramic tile setting. Tile, laminate and wood floor installations."</f>
        <v>All types of ceramic tile setting. Tile, laminate and wood floor installations.</v>
      </c>
      <c r="D2366" s="3" t="s">
        <v>9</v>
      </c>
      <c r="E2366" s="3" t="s">
        <v>7219</v>
      </c>
      <c r="F2366" s="3" t="str">
        <f>"317-590-8641"</f>
        <v>317-590-8641</v>
      </c>
      <c r="G2366" s="3">
        <v>238340</v>
      </c>
      <c r="H2366" s="3" t="s">
        <v>7220</v>
      </c>
    </row>
    <row r="2367" spans="1:8" ht="26.25" x14ac:dyDescent="0.25">
      <c r="A2367" s="3" t="s">
        <v>7221</v>
      </c>
      <c r="B2367" s="3"/>
      <c r="C2367" s="3" t="str">
        <f>"COMMERICAL AND RESIDENTIAL GRASS CUTTING AND LANDSCAPING"</f>
        <v>COMMERICAL AND RESIDENTIAL GRASS CUTTING AND LANDSCAPING</v>
      </c>
      <c r="D2367" s="3" t="s">
        <v>9</v>
      </c>
      <c r="E2367" s="3" t="s">
        <v>7222</v>
      </c>
      <c r="F2367" s="3" t="str">
        <f>"317-372-2982"</f>
        <v>317-372-2982</v>
      </c>
      <c r="G2367" s="3">
        <v>56173</v>
      </c>
      <c r="H2367" s="3" t="s">
        <v>65</v>
      </c>
    </row>
    <row r="2368" spans="1:8" ht="115.5" x14ac:dyDescent="0.25">
      <c r="A2368" s="3" t="s">
        <v>7223</v>
      </c>
      <c r="B2368" s="3"/>
      <c r="C2368" s="3" t="s">
        <v>7224</v>
      </c>
      <c r="D2368" s="3" t="s">
        <v>7225</v>
      </c>
      <c r="E2368" s="3" t="s">
        <v>7226</v>
      </c>
      <c r="F2368" s="3" t="str">
        <f>"574-258-0100"</f>
        <v>574-258-0100</v>
      </c>
      <c r="G2368" s="3">
        <v>541990</v>
      </c>
      <c r="H2368" s="3" t="s">
        <v>378</v>
      </c>
    </row>
    <row r="2369" spans="1:8" ht="64.5" x14ac:dyDescent="0.25">
      <c r="A2369" s="3" t="s">
        <v>7227</v>
      </c>
      <c r="B2369" s="3"/>
      <c r="C2369" s="3" t="str">
        <f>"Securities Dealer/Investment Consultant specializing in establishing and maintaining a wide variety of retirement and savings plans for individual, government, and corporate clients."</f>
        <v>Securities Dealer/Investment Consultant specializing in establishing and maintaining a wide variety of retirement and savings plans for individual, government, and corporate clients.</v>
      </c>
      <c r="D2369" s="3" t="s">
        <v>9</v>
      </c>
      <c r="E2369" s="3" t="s">
        <v>7228</v>
      </c>
      <c r="F2369" s="3" t="str">
        <f>"(219) 324-5566"</f>
        <v>(219) 324-5566</v>
      </c>
      <c r="G2369" s="3">
        <v>523120</v>
      </c>
      <c r="H2369" s="3" t="s">
        <v>5173</v>
      </c>
    </row>
    <row r="2370" spans="1:8" ht="26.25" x14ac:dyDescent="0.25">
      <c r="A2370" s="3" t="s">
        <v>7229</v>
      </c>
      <c r="B2370" s="3"/>
      <c r="C2370" s="3" t="str">
        <f>"Commercial wallcovering distributor."</f>
        <v>Commercial wallcovering distributor.</v>
      </c>
      <c r="D2370" s="3" t="s">
        <v>7230</v>
      </c>
      <c r="E2370" s="3" t="s">
        <v>7231</v>
      </c>
      <c r="F2370" s="3" t="str">
        <f>"800-433-0790"</f>
        <v>800-433-0790</v>
      </c>
      <c r="G2370" s="3">
        <v>424950</v>
      </c>
      <c r="H2370" s="3" t="s">
        <v>7232</v>
      </c>
    </row>
    <row r="2371" spans="1:8" ht="39" x14ac:dyDescent="0.25">
      <c r="A2371" s="3" t="s">
        <v>7233</v>
      </c>
      <c r="B2371" s="3"/>
      <c r="C2371" s="3" t="str">
        <f>"DL Roope Administrations Inc. administers Cosmetology State Board examination administration services."</f>
        <v>DL Roope Administrations Inc. administers Cosmetology State Board examination administration services.</v>
      </c>
      <c r="D2371" s="3" t="s">
        <v>7234</v>
      </c>
      <c r="E2371" s="3" t="s">
        <v>7235</v>
      </c>
      <c r="F2371" s="3" t="str">
        <f>"207-848-7720"</f>
        <v>207-848-7720</v>
      </c>
      <c r="G2371" s="3">
        <v>611710</v>
      </c>
      <c r="H2371" s="3" t="s">
        <v>508</v>
      </c>
    </row>
    <row r="2372" spans="1:8" ht="90" x14ac:dyDescent="0.25">
      <c r="A2372" s="3" t="s">
        <v>7236</v>
      </c>
      <c r="B2372" s="3"/>
      <c r="C2372" s="3" t="s">
        <v>7237</v>
      </c>
      <c r="D2372" s="3" t="s">
        <v>7238</v>
      </c>
      <c r="E2372" s="3" t="s">
        <v>7239</v>
      </c>
      <c r="F2372" s="3" t="str">
        <f>"317-344-2063"</f>
        <v>317-344-2063</v>
      </c>
      <c r="G2372" s="3">
        <v>5416</v>
      </c>
      <c r="H2372" s="3" t="s">
        <v>194</v>
      </c>
    </row>
    <row r="2373" spans="1:8" ht="51.75" x14ac:dyDescent="0.25">
      <c r="A2373" s="3" t="s">
        <v>7240</v>
      </c>
      <c r="B2373" s="3"/>
      <c r="C2373" s="3" t="str">
        <f>"Masonry,stone , Historial Restoration, Caulking ,Waterproofing , Epoxy injections, and general masonry,stone, and concrete building repairs."</f>
        <v>Masonry,stone , Historial Restoration, Caulking ,Waterproofing , Epoxy injections, and general masonry,stone, and concrete building repairs.</v>
      </c>
      <c r="D2373" s="3" t="s">
        <v>7241</v>
      </c>
      <c r="E2373" s="3" t="s">
        <v>7242</v>
      </c>
      <c r="F2373" s="3" t="str">
        <f>"8129239442"</f>
        <v>8129239442</v>
      </c>
      <c r="G2373" s="3">
        <v>23</v>
      </c>
      <c r="H2373" s="3" t="s">
        <v>133</v>
      </c>
    </row>
    <row r="2374" spans="1:8" ht="306.75" x14ac:dyDescent="0.25">
      <c r="A2374" s="3" t="s">
        <v>7243</v>
      </c>
      <c r="B2374" s="3"/>
      <c r="C2374" s="3" t="s">
        <v>7244</v>
      </c>
      <c r="D2374" s="3" t="s">
        <v>7245</v>
      </c>
      <c r="E2374" s="3" t="s">
        <v>7246</v>
      </c>
      <c r="F2374" s="3" t="str">
        <f>"765-748-4096"</f>
        <v>765-748-4096</v>
      </c>
      <c r="G2374" s="3">
        <v>611430</v>
      </c>
      <c r="H2374" s="3" t="s">
        <v>1224</v>
      </c>
    </row>
    <row r="2375" spans="1:8" ht="166.5" x14ac:dyDescent="0.25">
      <c r="A2375" s="3" t="s">
        <v>7247</v>
      </c>
      <c r="B2375" s="3"/>
      <c r="C2375" s="3" t="s">
        <v>7248</v>
      </c>
      <c r="D2375" s="3" t="s">
        <v>7249</v>
      </c>
      <c r="E2375" s="3" t="s">
        <v>7250</v>
      </c>
      <c r="F2375" s="3" t="str">
        <f>"8887124095"</f>
        <v>8887124095</v>
      </c>
      <c r="G2375" s="3">
        <v>441110</v>
      </c>
      <c r="H2375" s="3" t="s">
        <v>2588</v>
      </c>
    </row>
    <row r="2376" spans="1:8" ht="64.5" x14ac:dyDescent="0.25">
      <c r="A2376" s="3" t="s">
        <v>7251</v>
      </c>
      <c r="B2376" s="3"/>
      <c r="C2376" s="3" t="str">
        <f>"Award winning Vocalist of multiple Genres of music as well as a DISC JOCKEY with music that spans over 7 decades. Always ready to COVER just about ANY event that may require Music &amp; Live Entertainment!!!"</f>
        <v>Award winning Vocalist of multiple Genres of music as well as a DISC JOCKEY with music that spans over 7 decades. Always ready to COVER just about ANY event that may require Music &amp; Live Entertainment!!!</v>
      </c>
      <c r="D2376" s="3" t="s">
        <v>9</v>
      </c>
      <c r="E2376" s="3" t="s">
        <v>7252</v>
      </c>
      <c r="F2376" s="3" t="str">
        <f>"317 250 4993"</f>
        <v>317 250 4993</v>
      </c>
      <c r="G2376" s="3">
        <v>711510</v>
      </c>
      <c r="H2376" s="3" t="s">
        <v>1980</v>
      </c>
    </row>
    <row r="2377" spans="1:8" ht="26.25" x14ac:dyDescent="0.25">
      <c r="A2377" s="3" t="s">
        <v>7253</v>
      </c>
      <c r="B2377" s="3"/>
      <c r="C2377" s="3" t="str">
        <f>"Trucking/long haul and short haul. Dedicated freight."</f>
        <v>Trucking/long haul and short haul. Dedicated freight.</v>
      </c>
      <c r="D2377" s="3" t="s">
        <v>9</v>
      </c>
      <c r="E2377" s="3" t="s">
        <v>7254</v>
      </c>
      <c r="F2377" s="3" t="str">
        <f>"317 352-8729"</f>
        <v>317 352-8729</v>
      </c>
      <c r="G2377" s="3">
        <v>4841</v>
      </c>
      <c r="H2377" s="3" t="s">
        <v>3598</v>
      </c>
    </row>
    <row r="2378" spans="1:8" ht="230.25" x14ac:dyDescent="0.25">
      <c r="A2378" s="3" t="s">
        <v>7255</v>
      </c>
      <c r="B2378" s="3"/>
      <c r="C2378" s="3" t="s">
        <v>7256</v>
      </c>
      <c r="D2378" s="3" t="s">
        <v>7257</v>
      </c>
      <c r="E2378" s="3" t="s">
        <v>7258</v>
      </c>
      <c r="F2378" s="3" t="str">
        <f>"317-214-7266"</f>
        <v>317-214-7266</v>
      </c>
      <c r="G2378" s="3">
        <v>54133</v>
      </c>
      <c r="H2378" s="3" t="s">
        <v>82</v>
      </c>
    </row>
    <row r="2379" spans="1:8" ht="77.25" x14ac:dyDescent="0.25">
      <c r="A2379" s="3" t="s">
        <v>7259</v>
      </c>
      <c r="B2379" s="3"/>
      <c r="C2379" s="3" t="str">
        <f>"GENERAL MOTORS NEW CAR AND LIGHT TRUCK DEALERSHIP. OFFERING COMPLETE AUTOMOBILE MECHANICAL REPAIR SERVICE , BODY SHOP AND PARTS DEPARTMENT. ALONG WITH SALES OF NEW CHEVROLETS, BUICKS AND GMC TRUCKS."</f>
        <v>GENERAL MOTORS NEW CAR AND LIGHT TRUCK DEALERSHIP. OFFERING COMPLETE AUTOMOBILE MECHANICAL REPAIR SERVICE , BODY SHOP AND PARTS DEPARTMENT. ALONG WITH SALES OF NEW CHEVROLETS, BUICKS AND GMC TRUCKS.</v>
      </c>
      <c r="D2379" s="3" t="s">
        <v>7260</v>
      </c>
      <c r="E2379" s="3" t="s">
        <v>7261</v>
      </c>
      <c r="F2379" s="3" t="str">
        <f>"765-675-7434"</f>
        <v>765-675-7434</v>
      </c>
      <c r="G2379" s="3">
        <v>441110</v>
      </c>
      <c r="H2379" s="3" t="s">
        <v>2588</v>
      </c>
    </row>
    <row r="2380" spans="1:8" ht="39" x14ac:dyDescent="0.25">
      <c r="A2380" s="3" t="s">
        <v>7262</v>
      </c>
      <c r="B2380" s="3"/>
      <c r="C2380" s="3" t="str">
        <f>"retail sales of motorcycles,atvs,scooters,trailers,parts,accessories and service"</f>
        <v>retail sales of motorcycles,atvs,scooters,trailers,parts,accessories and service</v>
      </c>
      <c r="D2380" s="3" t="s">
        <v>7263</v>
      </c>
      <c r="E2380" s="3" t="s">
        <v>7264</v>
      </c>
      <c r="F2380" s="3" t="str">
        <f>"812-522-3449"</f>
        <v>812-522-3449</v>
      </c>
      <c r="G2380" s="3">
        <v>441221</v>
      </c>
      <c r="H2380" s="3" t="s">
        <v>3299</v>
      </c>
    </row>
    <row r="2381" spans="1:8" ht="26.25" x14ac:dyDescent="0.25">
      <c r="A2381" s="3" t="s">
        <v>7265</v>
      </c>
      <c r="B2381" s="3"/>
      <c r="C2381" s="3" t="str">
        <f>" "</f>
        <v xml:space="preserve"> </v>
      </c>
      <c r="D2381" s="3" t="s">
        <v>7266</v>
      </c>
      <c r="E2381" s="3" t="s">
        <v>7267</v>
      </c>
      <c r="F2381" s="3" t="str">
        <f>"219-838-3833"</f>
        <v>219-838-3833</v>
      </c>
      <c r="G2381" s="3">
        <v>541110</v>
      </c>
      <c r="H2381" s="3" t="s">
        <v>2978</v>
      </c>
    </row>
    <row r="2382" spans="1:8" ht="26.25" x14ac:dyDescent="0.25">
      <c r="A2382" s="3" t="s">
        <v>7268</v>
      </c>
      <c r="B2382" s="3"/>
      <c r="C2382" s="3" t="str">
        <f>"INSURANCE SERVICES- PROPERTY, CASULTY, LIFE, HEALTH &amp; BAIL BONDS"</f>
        <v>INSURANCE SERVICES- PROPERTY, CASULTY, LIFE, HEALTH &amp; BAIL BONDS</v>
      </c>
      <c r="D2382" s="3" t="s">
        <v>9</v>
      </c>
      <c r="E2382" s="3" t="s">
        <v>7269</v>
      </c>
      <c r="F2382" s="3" t="str">
        <f>"317-925-5557"</f>
        <v>317-925-5557</v>
      </c>
      <c r="G2382" s="3">
        <v>5242</v>
      </c>
      <c r="H2382" s="3" t="s">
        <v>7270</v>
      </c>
    </row>
    <row r="2383" spans="1:8" ht="306.75" x14ac:dyDescent="0.25">
      <c r="A2383" s="3" t="s">
        <v>7271</v>
      </c>
      <c r="B2383" s="3"/>
      <c r="C2383" s="3" t="s">
        <v>7272</v>
      </c>
      <c r="D2383" s="3" t="s">
        <v>9</v>
      </c>
      <c r="E2383" s="3" t="s">
        <v>46</v>
      </c>
      <c r="F2383" s="2"/>
      <c r="G2383" s="3">
        <v>62</v>
      </c>
      <c r="H2383" s="3" t="s">
        <v>1168</v>
      </c>
    </row>
    <row r="2384" spans="1:8" ht="179.25" x14ac:dyDescent="0.25">
      <c r="A2384" s="3" t="s">
        <v>7273</v>
      </c>
      <c r="B2384" s="3"/>
      <c r="C2384" s="3" t="s">
        <v>7274</v>
      </c>
      <c r="D2384" s="3" t="s">
        <v>7275</v>
      </c>
      <c r="E2384" s="3" t="s">
        <v>7276</v>
      </c>
      <c r="F2384" s="3" t="str">
        <f>"317-536-0711"</f>
        <v>317-536-0711</v>
      </c>
      <c r="G2384" s="3">
        <v>238210</v>
      </c>
      <c r="H2384" s="3" t="s">
        <v>306</v>
      </c>
    </row>
    <row r="2385" spans="1:8" ht="64.5" x14ac:dyDescent="0.25">
      <c r="A2385" s="3" t="s">
        <v>7277</v>
      </c>
      <c r="B2385" s="3"/>
      <c r="C2385" s="3" t="str">
        <f>"Dartmouth property inc. provides General Contracting services for a small project , We utilized prequalified subtrades who understand and comply with our standards for safety and quality assurance."</f>
        <v>Dartmouth property inc. provides General Contracting services for a small project , We utilized prequalified subtrades who understand and comply with our standards for safety and quality assurance.</v>
      </c>
      <c r="D2385" s="3" t="s">
        <v>9</v>
      </c>
      <c r="E2385" s="3" t="s">
        <v>46</v>
      </c>
      <c r="F2385" s="2"/>
      <c r="G2385" s="3">
        <v>23</v>
      </c>
      <c r="H2385" s="3" t="s">
        <v>133</v>
      </c>
    </row>
    <row r="2386" spans="1:8" ht="51.75" x14ac:dyDescent="0.25">
      <c r="A2386" s="3" t="s">
        <v>7278</v>
      </c>
      <c r="B2386" s="3"/>
      <c r="C2386" s="3" t="str">
        <f>"Business and Information Technology Consulting - a focus on strategy, measurement, assessment and process improvement"</f>
        <v>Business and Information Technology Consulting - a focus on strategy, measurement, assessment and process improvement</v>
      </c>
      <c r="D2386" s="3" t="s">
        <v>9</v>
      </c>
      <c r="E2386" s="3" t="s">
        <v>7279</v>
      </c>
      <c r="F2386" s="3" t="str">
        <f>"317-291-6241"</f>
        <v>317-291-6241</v>
      </c>
      <c r="G2386" s="3">
        <v>541611</v>
      </c>
      <c r="H2386" s="3" t="s">
        <v>278</v>
      </c>
    </row>
    <row r="2387" spans="1:8" ht="115.5" x14ac:dyDescent="0.25">
      <c r="A2387" s="3" t="s">
        <v>7280</v>
      </c>
      <c r="B2387" s="3"/>
      <c r="C2387" s="3" t="s">
        <v>7281</v>
      </c>
      <c r="D2387" s="3" t="s">
        <v>7282</v>
      </c>
      <c r="E2387" s="3" t="s">
        <v>7283</v>
      </c>
      <c r="F2387" s="3" t="str">
        <f>"317-241-0085"</f>
        <v>317-241-0085</v>
      </c>
      <c r="G2387" s="3">
        <v>492</v>
      </c>
      <c r="H2387" s="3" t="s">
        <v>7284</v>
      </c>
    </row>
    <row r="2388" spans="1:8" ht="64.5" x14ac:dyDescent="0.25">
      <c r="A2388" s="3" t="s">
        <v>7285</v>
      </c>
      <c r="B2388" s="3"/>
      <c r="C2388" s="3" t="str">
        <f>"On- Site Drug of Abuse Testing Laboratory with negative results provided in one hour of collections time. Specializing in Collections and Drug and Alcohol Testing Program Case Management"</f>
        <v>On- Site Drug of Abuse Testing Laboratory with negative results provided in one hour of collections time. Specializing in Collections and Drug and Alcohol Testing Program Case Management</v>
      </c>
      <c r="D2388" s="3" t="s">
        <v>9</v>
      </c>
      <c r="E2388" s="3" t="s">
        <v>7286</v>
      </c>
      <c r="F2388" s="3" t="str">
        <f>"219-924-0422"</f>
        <v>219-924-0422</v>
      </c>
      <c r="G2388" s="3">
        <v>621511</v>
      </c>
      <c r="H2388" s="3" t="s">
        <v>1240</v>
      </c>
    </row>
    <row r="2389" spans="1:8" ht="26.25" x14ac:dyDescent="0.25">
      <c r="A2389" s="3" t="s">
        <v>7287</v>
      </c>
      <c r="B2389" s="3"/>
      <c r="C2389" s="3" t="str">
        <f>"WE SPECIALIZE IN TERMITE AND ANT CONTROL."</f>
        <v>WE SPECIALIZE IN TERMITE AND ANT CONTROL.</v>
      </c>
      <c r="D2389" s="3" t="s">
        <v>9</v>
      </c>
      <c r="E2389" s="3" t="s">
        <v>46</v>
      </c>
      <c r="F2389" s="3" t="str">
        <f>"812-897-4008"</f>
        <v>812-897-4008</v>
      </c>
      <c r="G2389" s="3">
        <v>56171</v>
      </c>
      <c r="H2389" s="3" t="s">
        <v>946</v>
      </c>
    </row>
    <row r="2390" spans="1:8" ht="26.25" x14ac:dyDescent="0.25">
      <c r="A2390" s="3" t="s">
        <v>7288</v>
      </c>
      <c r="B2390" s="3"/>
      <c r="C2390" s="2"/>
      <c r="D2390" s="3" t="s">
        <v>9</v>
      </c>
      <c r="E2390" s="3" t="s">
        <v>46</v>
      </c>
      <c r="F2390" s="2"/>
      <c r="G2390" s="3">
        <v>621111</v>
      </c>
      <c r="H2390" s="3" t="s">
        <v>2002</v>
      </c>
    </row>
    <row r="2391" spans="1:8" ht="51.75" x14ac:dyDescent="0.25">
      <c r="A2391" s="3" t="s">
        <v>7289</v>
      </c>
      <c r="B2391" s="3"/>
      <c r="C2391" s="3" t="str">
        <f>"Commercial and Residential lawn care, maintenance, mowing, weed control, turf management, bush &amp; hedge trimming, other landscaping services."</f>
        <v>Commercial and Residential lawn care, maintenance, mowing, weed control, turf management, bush &amp; hedge trimming, other landscaping services.</v>
      </c>
      <c r="D2391" s="3" t="s">
        <v>9</v>
      </c>
      <c r="E2391" s="3" t="s">
        <v>7290</v>
      </c>
      <c r="F2391" s="3" t="str">
        <f>"317-730-0058"</f>
        <v>317-730-0058</v>
      </c>
      <c r="G2391" s="3">
        <v>56173</v>
      </c>
      <c r="H2391" s="3" t="s">
        <v>65</v>
      </c>
    </row>
    <row r="2392" spans="1:8" ht="26.25" x14ac:dyDescent="0.25">
      <c r="A2392" s="3" t="s">
        <v>7291</v>
      </c>
      <c r="B2392" s="3"/>
      <c r="C2392" s="3" t="str">
        <f>"AUTOBODY REPAIR"</f>
        <v>AUTOBODY REPAIR</v>
      </c>
      <c r="D2392" s="3" t="s">
        <v>9</v>
      </c>
      <c r="E2392" s="3" t="s">
        <v>46</v>
      </c>
      <c r="F2392" s="3" t="str">
        <f>"574-586-2839"</f>
        <v>574-586-2839</v>
      </c>
      <c r="G2392" s="3">
        <v>811</v>
      </c>
      <c r="H2392" s="3" t="s">
        <v>816</v>
      </c>
    </row>
    <row r="2393" spans="1:8" ht="153.75" x14ac:dyDescent="0.25">
      <c r="A2393" s="3" t="s">
        <v>7292</v>
      </c>
      <c r="B2393" s="3"/>
      <c r="C2393" s="3" t="s">
        <v>7293</v>
      </c>
      <c r="D2393" s="3" t="s">
        <v>7294</v>
      </c>
      <c r="E2393" s="3" t="s">
        <v>7295</v>
      </c>
      <c r="F2393" s="3" t="str">
        <f>"3172930619"</f>
        <v>3172930619</v>
      </c>
      <c r="G2393" s="3">
        <v>561210</v>
      </c>
      <c r="H2393" s="3" t="s">
        <v>1697</v>
      </c>
    </row>
    <row r="2394" spans="1:8" ht="90" x14ac:dyDescent="0.25">
      <c r="A2394" s="3" t="s">
        <v>7296</v>
      </c>
      <c r="B2394" s="3"/>
      <c r="C2394" s="3" t="str">
        <f>"We sell, service and provide parts for Outdoor Power Equipment. Massey Ferguson Utility and Compact Tractors - 100HP and down. We sell Toro Commercial and Residential equipment along with full line Stihl, Simplicity and Land Pride tractor attachments."</f>
        <v>We sell, service and provide parts for Outdoor Power Equipment. Massey Ferguson Utility and Compact Tractors - 100HP and down. We sell Toro Commercial and Residential equipment along with full line Stihl, Simplicity and Land Pride tractor attachments.</v>
      </c>
      <c r="D2394" s="3" t="s">
        <v>7297</v>
      </c>
      <c r="E2394" s="3" t="s">
        <v>7298</v>
      </c>
      <c r="F2394" s="3" t="str">
        <f>"2609251918"</f>
        <v>2609251918</v>
      </c>
      <c r="G2394" s="3">
        <v>444210</v>
      </c>
      <c r="H2394" s="3" t="s">
        <v>392</v>
      </c>
    </row>
    <row r="2395" spans="1:8" ht="26.25" x14ac:dyDescent="0.25">
      <c r="A2395" s="3" t="s">
        <v>7299</v>
      </c>
      <c r="B2395" s="3"/>
      <c r="C2395" s="3" t="str">
        <f>"Civil - Site, Structural, Water/Wastewater engineering and design"</f>
        <v>Civil - Site, Structural, Water/Wastewater engineering and design</v>
      </c>
      <c r="D2395" s="3" t="s">
        <v>9</v>
      </c>
      <c r="E2395" s="3" t="s">
        <v>7300</v>
      </c>
      <c r="F2395" s="3" t="str">
        <f>"(317) 414-6671"</f>
        <v>(317) 414-6671</v>
      </c>
      <c r="G2395" s="3">
        <v>541330</v>
      </c>
      <c r="H2395" s="3" t="s">
        <v>82</v>
      </c>
    </row>
    <row r="2396" spans="1:8" ht="102.75" x14ac:dyDescent="0.25">
      <c r="A2396" s="3" t="s">
        <v>7301</v>
      </c>
      <c r="B2396" s="3"/>
      <c r="C2396" s="3" t="s">
        <v>7302</v>
      </c>
      <c r="D2396" s="3" t="s">
        <v>9</v>
      </c>
      <c r="E2396" s="3" t="s">
        <v>7303</v>
      </c>
      <c r="F2396" s="3" t="str">
        <f>"317-688-7020"</f>
        <v>317-688-7020</v>
      </c>
      <c r="G2396" s="3">
        <v>54143</v>
      </c>
      <c r="H2396" s="3" t="s">
        <v>78</v>
      </c>
    </row>
    <row r="2397" spans="1:8" ht="26.25" x14ac:dyDescent="0.25">
      <c r="A2397" s="3" t="s">
        <v>7304</v>
      </c>
      <c r="B2397" s="3"/>
      <c r="C2397" s="3" t="str">
        <f>"Concrete brick laying and all remodeling for residential and commercial needs."</f>
        <v>Concrete brick laying and all remodeling for residential and commercial needs.</v>
      </c>
      <c r="D2397" s="3" t="s">
        <v>9</v>
      </c>
      <c r="E2397" s="3" t="s">
        <v>46</v>
      </c>
      <c r="F2397" s="3" t="str">
        <f>"317-604-0303"</f>
        <v>317-604-0303</v>
      </c>
      <c r="G2397" s="3">
        <v>212321</v>
      </c>
      <c r="H2397" s="3" t="s">
        <v>4979</v>
      </c>
    </row>
    <row r="2398" spans="1:8" ht="319.5" x14ac:dyDescent="0.25">
      <c r="A2398" s="3" t="s">
        <v>7305</v>
      </c>
      <c r="B2398" s="3"/>
      <c r="C2398" s="3" t="s">
        <v>7306</v>
      </c>
      <c r="D2398" s="3" t="s">
        <v>7307</v>
      </c>
      <c r="E2398" s="3" t="s">
        <v>7308</v>
      </c>
      <c r="F2398" s="3" t="str">
        <f>"574-527-9286"</f>
        <v>574-527-9286</v>
      </c>
      <c r="G2398" s="3">
        <v>541512</v>
      </c>
      <c r="H2398" s="3" t="s">
        <v>19</v>
      </c>
    </row>
    <row r="2399" spans="1:8" ht="141" x14ac:dyDescent="0.25">
      <c r="A2399" s="3" t="s">
        <v>7309</v>
      </c>
      <c r="B2399" s="3"/>
      <c r="C2399" s="3" t="s">
        <v>7310</v>
      </c>
      <c r="D2399" s="3" t="s">
        <v>7311</v>
      </c>
      <c r="E2399" s="3" t="s">
        <v>7312</v>
      </c>
      <c r="F2399" s="3" t="str">
        <f>"317-222-1671"</f>
        <v>317-222-1671</v>
      </c>
      <c r="G2399" s="3">
        <v>518111</v>
      </c>
      <c r="H2399" s="3" t="s">
        <v>2656</v>
      </c>
    </row>
    <row r="2400" spans="1:8" ht="179.25" x14ac:dyDescent="0.25">
      <c r="A2400" s="3" t="s">
        <v>7313</v>
      </c>
      <c r="B2400" s="3"/>
      <c r="C2400" s="3" t="s">
        <v>7314</v>
      </c>
      <c r="D2400" s="3" t="s">
        <v>9</v>
      </c>
      <c r="E2400" s="3" t="s">
        <v>7315</v>
      </c>
      <c r="F2400" s="3" t="str">
        <f>"219 322 6160"</f>
        <v>219 322 6160</v>
      </c>
      <c r="G2400" s="3">
        <v>5418</v>
      </c>
      <c r="H2400" s="3" t="s">
        <v>1337</v>
      </c>
    </row>
    <row r="2401" spans="1:8" ht="102.75" x14ac:dyDescent="0.25">
      <c r="A2401" s="3" t="s">
        <v>7316</v>
      </c>
      <c r="B2401" s="3"/>
      <c r="C2401" s="3" t="s">
        <v>7317</v>
      </c>
      <c r="D2401" s="3" t="s">
        <v>9</v>
      </c>
      <c r="E2401" s="3" t="s">
        <v>7318</v>
      </c>
      <c r="F2401" s="3" t="str">
        <f>"812-987-4095"</f>
        <v>812-987-4095</v>
      </c>
      <c r="G2401" s="3">
        <v>541330</v>
      </c>
      <c r="H2401" s="3" t="s">
        <v>82</v>
      </c>
    </row>
    <row r="2402" spans="1:8" x14ac:dyDescent="0.25">
      <c r="A2402" s="3" t="s">
        <v>7319</v>
      </c>
      <c r="B2402" s="3"/>
      <c r="C2402" s="3" t="str">
        <f>" "</f>
        <v xml:space="preserve"> </v>
      </c>
      <c r="D2402" s="3" t="s">
        <v>9</v>
      </c>
      <c r="E2402" s="3" t="s">
        <v>46</v>
      </c>
      <c r="F2402" s="2"/>
      <c r="G2402" s="3">
        <v>541219</v>
      </c>
      <c r="H2402" s="3" t="s">
        <v>2010</v>
      </c>
    </row>
    <row r="2403" spans="1:8" ht="26.25" x14ac:dyDescent="0.25">
      <c r="A2403" s="3" t="s">
        <v>7320</v>
      </c>
      <c r="B2403" s="3"/>
      <c r="C2403" s="2"/>
      <c r="D2403" s="3" t="s">
        <v>9</v>
      </c>
      <c r="E2403" s="3" t="s">
        <v>46</v>
      </c>
      <c r="F2403" s="2"/>
      <c r="G2403" s="3">
        <v>541690</v>
      </c>
      <c r="H2403" s="3" t="s">
        <v>652</v>
      </c>
    </row>
    <row r="2404" spans="1:8" ht="26.25" x14ac:dyDescent="0.25">
      <c r="A2404" s="3" t="s">
        <v>7321</v>
      </c>
      <c r="B2404" s="3"/>
      <c r="C2404" s="3" t="str">
        <f>"dump trucks-hauling for builders, contractors, for all you hauling needs"</f>
        <v>dump trucks-hauling for builders, contractors, for all you hauling needs</v>
      </c>
      <c r="D2404" s="3" t="s">
        <v>9</v>
      </c>
      <c r="E2404" s="3" t="s">
        <v>7322</v>
      </c>
      <c r="F2404" s="3" t="str">
        <f>"317-539-5855"</f>
        <v>317-539-5855</v>
      </c>
      <c r="G2404" s="3">
        <v>484220</v>
      </c>
      <c r="H2404" s="3" t="s">
        <v>11</v>
      </c>
    </row>
    <row r="2405" spans="1:8" ht="26.25" x14ac:dyDescent="0.25">
      <c r="A2405" s="3" t="s">
        <v>7323</v>
      </c>
      <c r="B2405" s="3"/>
      <c r="C2405" s="3" t="str">
        <f>" "</f>
        <v xml:space="preserve"> </v>
      </c>
      <c r="D2405" s="3" t="s">
        <v>9</v>
      </c>
      <c r="E2405" s="3" t="s">
        <v>7324</v>
      </c>
      <c r="F2405" s="3" t="str">
        <f>"260-318-0499"</f>
        <v>260-318-0499</v>
      </c>
      <c r="G2405" s="3">
        <v>541810</v>
      </c>
      <c r="H2405" s="3" t="s">
        <v>976</v>
      </c>
    </row>
    <row r="2406" spans="1:8" ht="90" x14ac:dyDescent="0.25">
      <c r="A2406" s="3" t="s">
        <v>7325</v>
      </c>
      <c r="B2406" s="3"/>
      <c r="C2406" s="3" t="s">
        <v>7326</v>
      </c>
      <c r="D2406" s="3" t="s">
        <v>9</v>
      </c>
      <c r="E2406" s="3" t="s">
        <v>7327</v>
      </c>
      <c r="F2406" s="3" t="str">
        <f>"317-724-8322"</f>
        <v>317-724-8322</v>
      </c>
      <c r="G2406" s="3">
        <v>812990</v>
      </c>
      <c r="H2406" s="3" t="s">
        <v>294</v>
      </c>
    </row>
    <row r="2407" spans="1:8" ht="64.5" x14ac:dyDescent="0.25">
      <c r="A2407" s="3" t="s">
        <v>7328</v>
      </c>
      <c r="B2407" s="3"/>
      <c r="C2407" s="3" t="str">
        <f>"DEATON'S MECHANICAL IS A COMMERCIAL &amp; RESIDENTIAL HEATING, COOLING, REFRIGERATION, AND PLUMBING COMPANY. WE DO REPLACEMENT SALES AND SERVICE. FAMILY OWNED AND OPERATED SINCE 1991."</f>
        <v>DEATON'S MECHANICAL IS A COMMERCIAL &amp; RESIDENTIAL HEATING, COOLING, REFRIGERATION, AND PLUMBING COMPANY. WE DO REPLACEMENT SALES AND SERVICE. FAMILY OWNED AND OPERATED SINCE 1991.</v>
      </c>
      <c r="D2407" s="3" t="s">
        <v>9</v>
      </c>
      <c r="E2407" s="3" t="s">
        <v>46</v>
      </c>
      <c r="F2407" s="3" t="str">
        <f>"317-357-6903"</f>
        <v>317-357-6903</v>
      </c>
      <c r="G2407" s="3">
        <v>5617</v>
      </c>
      <c r="H2407" s="3" t="s">
        <v>812</v>
      </c>
    </row>
    <row r="2408" spans="1:8" ht="166.5" x14ac:dyDescent="0.25">
      <c r="A2408" s="3" t="s">
        <v>7329</v>
      </c>
      <c r="B2408" s="3"/>
      <c r="C2408" s="3" t="s">
        <v>7330</v>
      </c>
      <c r="D2408" s="3" t="s">
        <v>9</v>
      </c>
      <c r="E2408" s="3" t="s">
        <v>7331</v>
      </c>
      <c r="F2408" s="3" t="str">
        <f>"574-293-6500"</f>
        <v>574-293-6500</v>
      </c>
      <c r="G2408" s="3">
        <v>811122</v>
      </c>
      <c r="H2408" s="3" t="s">
        <v>7332</v>
      </c>
    </row>
    <row r="2409" spans="1:8" ht="39" x14ac:dyDescent="0.25">
      <c r="A2409" s="3" t="s">
        <v>7333</v>
      </c>
      <c r="B2409" s="3"/>
      <c r="C2409" s="3" t="str">
        <f>"""Electrical Apparatus and Equipment, Wiring Supplies, and Related Equipment Merchant Wholesalers"""</f>
        <v>"Electrical Apparatus and Equipment, Wiring Supplies, and Related Equipment Merchant Wholesalers"</v>
      </c>
      <c r="D2409" s="3" t="s">
        <v>9</v>
      </c>
      <c r="E2409" s="3" t="s">
        <v>7334</v>
      </c>
      <c r="F2409" s="3" t="str">
        <f>"219-455-6960"</f>
        <v>219-455-6960</v>
      </c>
      <c r="G2409" s="3">
        <v>423610</v>
      </c>
      <c r="H2409" s="3" t="s">
        <v>2414</v>
      </c>
    </row>
    <row r="2410" spans="1:8" ht="141" x14ac:dyDescent="0.25">
      <c r="A2410" s="3" t="s">
        <v>7335</v>
      </c>
      <c r="B2410" s="3"/>
      <c r="C2410" s="3" t="s">
        <v>7336</v>
      </c>
      <c r="D2410" s="3" t="s">
        <v>7337</v>
      </c>
      <c r="E2410" s="3" t="s">
        <v>46</v>
      </c>
      <c r="F2410" s="3" t="str">
        <f>"866-422-3322"</f>
        <v>866-422-3322</v>
      </c>
      <c r="G2410" s="3">
        <v>561440</v>
      </c>
      <c r="H2410" s="3" t="s">
        <v>473</v>
      </c>
    </row>
    <row r="2411" spans="1:8" ht="294" x14ac:dyDescent="0.25">
      <c r="A2411" s="3" t="s">
        <v>7338</v>
      </c>
      <c r="B2411" s="3"/>
      <c r="C2411" s="3" t="s">
        <v>7339</v>
      </c>
      <c r="D2411" s="3" t="s">
        <v>9</v>
      </c>
      <c r="E2411" s="3" t="s">
        <v>7340</v>
      </c>
      <c r="F2411" s="3" t="str">
        <f>"812-376-6816"</f>
        <v>812-376-6816</v>
      </c>
      <c r="G2411" s="3">
        <v>238990</v>
      </c>
      <c r="H2411" s="3" t="s">
        <v>481</v>
      </c>
    </row>
    <row r="2412" spans="1:8" ht="90" x14ac:dyDescent="0.25">
      <c r="A2412" s="3" t="s">
        <v>7341</v>
      </c>
      <c r="B2412" s="3"/>
      <c r="C2412" s="3" t="s">
        <v>7342</v>
      </c>
      <c r="D2412" s="3" t="s">
        <v>7343</v>
      </c>
      <c r="E2412" s="3" t="s">
        <v>7344</v>
      </c>
      <c r="F2412" s="3" t="str">
        <f>"3178899290"</f>
        <v>3178899290</v>
      </c>
      <c r="G2412" s="3">
        <v>238320</v>
      </c>
      <c r="H2412" s="3" t="s">
        <v>462</v>
      </c>
    </row>
    <row r="2413" spans="1:8" ht="26.25" x14ac:dyDescent="0.25">
      <c r="A2413" s="3" t="s">
        <v>7345</v>
      </c>
      <c r="B2413" s="3"/>
      <c r="C2413" s="3" t="str">
        <f>"Electrical and Mechanical Subcontractor"</f>
        <v>Electrical and Mechanical Subcontractor</v>
      </c>
      <c r="D2413" s="3" t="s">
        <v>7346</v>
      </c>
      <c r="E2413" s="3" t="s">
        <v>46</v>
      </c>
      <c r="F2413" s="3" t="str">
        <f>"317-860-2990"</f>
        <v>317-860-2990</v>
      </c>
      <c r="G2413" s="3">
        <v>238220</v>
      </c>
      <c r="H2413" s="3" t="s">
        <v>348</v>
      </c>
    </row>
    <row r="2414" spans="1:8" ht="51.75" x14ac:dyDescent="0.25">
      <c r="A2414" s="3" t="s">
        <v>7347</v>
      </c>
      <c r="B2414" s="3"/>
      <c r="C2414" s="3" t="str">
        <f>"John Deere Dealer - selling and servicing John Deere Agriculture and Lawn and Garden Equipment. Locations in Seymour, Orleans, and Corydon, IN."</f>
        <v>John Deere Dealer - selling and servicing John Deere Agriculture and Lawn and Garden Equipment. Locations in Seymour, Orleans, and Corydon, IN.</v>
      </c>
      <c r="D2414" s="3" t="s">
        <v>7348</v>
      </c>
      <c r="E2414" s="3" t="s">
        <v>7349</v>
      </c>
      <c r="F2414" s="3" t="str">
        <f>"812-522-1922"</f>
        <v>812-522-1922</v>
      </c>
      <c r="G2414" s="3">
        <v>444210</v>
      </c>
      <c r="H2414" s="3" t="s">
        <v>392</v>
      </c>
    </row>
    <row r="2415" spans="1:8" ht="39" x14ac:dyDescent="0.25">
      <c r="A2415" s="3" t="s">
        <v>7350</v>
      </c>
      <c r="B2415" s="3"/>
      <c r="C2415" s="3" t="str">
        <f>"NEW CAR AND TRUCK DEALERSHIP FOR CHEVROLET, BUICK, GMC, DODGE, CHRYSLER, RAM AND JEEP"</f>
        <v>NEW CAR AND TRUCK DEALERSHIP FOR CHEVROLET, BUICK, GMC, DODGE, CHRYSLER, RAM AND JEEP</v>
      </c>
      <c r="D2415" s="3" t="s">
        <v>7351</v>
      </c>
      <c r="E2415" s="3" t="s">
        <v>7352</v>
      </c>
      <c r="F2415" s="3" t="str">
        <f>"317-462-5591"</f>
        <v>317-462-5591</v>
      </c>
      <c r="G2415" s="3">
        <v>441110</v>
      </c>
      <c r="H2415" s="3" t="s">
        <v>2588</v>
      </c>
    </row>
    <row r="2416" spans="1:8" ht="166.5" x14ac:dyDescent="0.25">
      <c r="A2416" s="3" t="s">
        <v>7353</v>
      </c>
      <c r="B2416" s="3"/>
      <c r="C2416" s="3" t="s">
        <v>7354</v>
      </c>
      <c r="D2416" s="3" t="s">
        <v>7355</v>
      </c>
      <c r="E2416" s="3" t="s">
        <v>7356</v>
      </c>
      <c r="F2416" s="3" t="str">
        <f>"317-791-6653"</f>
        <v>317-791-6653</v>
      </c>
      <c r="G2416" s="3">
        <v>23</v>
      </c>
      <c r="H2416" s="3" t="s">
        <v>133</v>
      </c>
    </row>
    <row r="2417" spans="1:8" ht="51.75" x14ac:dyDescent="0.25">
      <c r="A2417" s="3" t="s">
        <v>7357</v>
      </c>
      <c r="B2417" s="3"/>
      <c r="C2417" s="3" t="str">
        <f>"DELTA POINT LLP provides forensic accounting services to federal, state and local government entities as well as private business entities."</f>
        <v>DELTA POINT LLP provides forensic accounting services to federal, state and local government entities as well as private business entities.</v>
      </c>
      <c r="D2417" s="3" t="s">
        <v>9</v>
      </c>
      <c r="E2417" s="3" t="s">
        <v>7358</v>
      </c>
      <c r="F2417" s="3" t="str">
        <f>"(317) 413-0255"</f>
        <v>(317) 413-0255</v>
      </c>
      <c r="G2417" s="3">
        <v>541211</v>
      </c>
      <c r="H2417" s="3" t="s">
        <v>337</v>
      </c>
    </row>
    <row r="2418" spans="1:8" ht="39" x14ac:dyDescent="0.25">
      <c r="A2418" s="3" t="s">
        <v>7359</v>
      </c>
      <c r="B2418" s="3"/>
      <c r="C2418" s="3" t="str">
        <f>"MY COMPANY INSTALLS EXTERIOR INSULATION FINISH SYSTEM (E.I.F.S.) &amp; THIN COAT AND CONVENTIONAL PLASTER."</f>
        <v>MY COMPANY INSTALLS EXTERIOR INSULATION FINISH SYSTEM (E.I.F.S.) &amp; THIN COAT AND CONVENTIONAL PLASTER.</v>
      </c>
      <c r="D2418" s="3" t="s">
        <v>9</v>
      </c>
      <c r="E2418" s="3" t="s">
        <v>46</v>
      </c>
      <c r="F2418" s="3" t="str">
        <f>"765-288-1445"</f>
        <v>765-288-1445</v>
      </c>
      <c r="G2418" s="3">
        <v>23</v>
      </c>
      <c r="H2418" s="3" t="s">
        <v>133</v>
      </c>
    </row>
    <row r="2419" spans="1:8" ht="77.25" x14ac:dyDescent="0.25">
      <c r="A2419" s="3" t="s">
        <v>7360</v>
      </c>
      <c r="B2419" s="3"/>
      <c r="C2419" s="3" t="str">
        <f>"Manufacturer of pool tables, billiard lights, players chair units, and racks. ""1ST Official Table of the Professional Billiards Tournament Association"". Commercial line of pool tables, Home line of pool tables, and a Coin-operated line of pool tables."</f>
        <v>Manufacturer of pool tables, billiard lights, players chair units, and racks. "1ST Official Table of the Professional Billiards Tournament Association". Commercial line of pool tables, Home line of pool tables, and a Coin-operated line of pool tables.</v>
      </c>
      <c r="D2419" s="3" t="s">
        <v>7361</v>
      </c>
      <c r="E2419" s="3" t="s">
        <v>7362</v>
      </c>
      <c r="F2419" s="3" t="str">
        <f>"812-288-7665"</f>
        <v>812-288-7665</v>
      </c>
      <c r="G2419" s="3">
        <v>339920</v>
      </c>
      <c r="H2419" s="3" t="s">
        <v>7363</v>
      </c>
    </row>
    <row r="2420" spans="1:8" ht="64.5" x14ac:dyDescent="0.25">
      <c r="A2420" s="3" t="s">
        <v>7364</v>
      </c>
      <c r="B2420" s="3"/>
      <c r="C2420" s="3" t="str">
        <f>"Derby Dinner Playhouse is a dinner theatre offering concerts, musicals, mysteries &amp; comedies as well as children's musical theatre and delicious food &amp; desserts all under one roof. In business since 1974."</f>
        <v>Derby Dinner Playhouse is a dinner theatre offering concerts, musicals, mysteries &amp; comedies as well as children's musical theatre and delicious food &amp; desserts all under one roof. In business since 1974.</v>
      </c>
      <c r="D2420" s="3" t="s">
        <v>7365</v>
      </c>
      <c r="E2420" s="3" t="s">
        <v>7366</v>
      </c>
      <c r="F2420" s="3" t="str">
        <f>"812-288-2632"</f>
        <v>812-288-2632</v>
      </c>
      <c r="G2420" s="3">
        <v>711110</v>
      </c>
      <c r="H2420" s="3" t="s">
        <v>7367</v>
      </c>
    </row>
    <row r="2421" spans="1:8" ht="102.75" x14ac:dyDescent="0.25">
      <c r="A2421" s="3" t="s">
        <v>7368</v>
      </c>
      <c r="B2421" s="3"/>
      <c r="C2421" s="3" t="s">
        <v>7369</v>
      </c>
      <c r="D2421" s="3" t="s">
        <v>7370</v>
      </c>
      <c r="E2421" s="3" t="s">
        <v>7371</v>
      </c>
      <c r="F2421" s="3" t="str">
        <f>"574 - 262 - 0696"</f>
        <v>574 - 262 - 0696</v>
      </c>
      <c r="G2421" s="3">
        <v>541611</v>
      </c>
      <c r="H2421" s="3" t="s">
        <v>278</v>
      </c>
    </row>
    <row r="2422" spans="1:8" ht="128.25" x14ac:dyDescent="0.25">
      <c r="A2422" s="3" t="s">
        <v>7372</v>
      </c>
      <c r="B2422" s="3"/>
      <c r="C2422" s="3" t="s">
        <v>7373</v>
      </c>
      <c r="D2422" s="3" t="s">
        <v>7374</v>
      </c>
      <c r="E2422" s="3" t="s">
        <v>7375</v>
      </c>
      <c r="F2422" s="3" t="str">
        <f>"317-254-8668"</f>
        <v>317-254-8668</v>
      </c>
      <c r="G2422" s="3">
        <v>323119</v>
      </c>
      <c r="H2422" s="3" t="s">
        <v>6229</v>
      </c>
    </row>
    <row r="2423" spans="1:8" ht="26.25" x14ac:dyDescent="0.25">
      <c r="A2423" s="3" t="s">
        <v>7376</v>
      </c>
      <c r="B2423" s="3"/>
      <c r="C2423" s="3" t="str">
        <f>" "</f>
        <v xml:space="preserve"> </v>
      </c>
      <c r="D2423" s="3" t="s">
        <v>9</v>
      </c>
      <c r="E2423" s="3" t="s">
        <v>7377</v>
      </c>
      <c r="F2423" s="3" t="str">
        <f>"317-737-2582"</f>
        <v>317-737-2582</v>
      </c>
      <c r="G2423" s="3">
        <v>484121</v>
      </c>
      <c r="H2423" s="3" t="s">
        <v>342</v>
      </c>
    </row>
    <row r="2424" spans="1:8" ht="281.25" x14ac:dyDescent="0.25">
      <c r="A2424" s="3" t="s">
        <v>7378</v>
      </c>
      <c r="B2424" s="3"/>
      <c r="C2424" s="3" t="s">
        <v>7379</v>
      </c>
      <c r="D2424" s="3" t="s">
        <v>7380</v>
      </c>
      <c r="E2424" s="3" t="s">
        <v>7381</v>
      </c>
      <c r="F2424" s="3" t="str">
        <f>"317-738-4437"</f>
        <v>317-738-4437</v>
      </c>
      <c r="G2424" s="3">
        <v>561310</v>
      </c>
      <c r="H2424" s="3" t="s">
        <v>1720</v>
      </c>
    </row>
    <row r="2425" spans="1:8" ht="319.5" x14ac:dyDescent="0.25">
      <c r="A2425" s="3" t="s">
        <v>7382</v>
      </c>
      <c r="B2425" s="3"/>
      <c r="C2425" s="3" t="s">
        <v>7383</v>
      </c>
      <c r="D2425" s="3" t="s">
        <v>7384</v>
      </c>
      <c r="E2425" s="3" t="s">
        <v>7385</v>
      </c>
      <c r="F2425" s="3" t="str">
        <f>"317-405-9427"</f>
        <v>317-405-9427</v>
      </c>
      <c r="G2425" s="3">
        <v>334418</v>
      </c>
      <c r="H2425" s="3" t="s">
        <v>1848</v>
      </c>
    </row>
    <row r="2426" spans="1:8" ht="115.5" x14ac:dyDescent="0.25">
      <c r="A2426" s="3" t="s">
        <v>7386</v>
      </c>
      <c r="B2426" s="3"/>
      <c r="C2426" s="3" t="s">
        <v>7224</v>
      </c>
      <c r="D2426" s="3" t="s">
        <v>7225</v>
      </c>
      <c r="E2426" s="3" t="s">
        <v>7226</v>
      </c>
      <c r="F2426" s="3" t="str">
        <f>"574-258-0100"</f>
        <v>574-258-0100</v>
      </c>
      <c r="G2426" s="3">
        <v>541990</v>
      </c>
      <c r="H2426" s="3" t="s">
        <v>378</v>
      </c>
    </row>
    <row r="2427" spans="1:8" ht="204.75" x14ac:dyDescent="0.25">
      <c r="A2427" s="3" t="s">
        <v>7387</v>
      </c>
      <c r="B2427" s="3"/>
      <c r="C2427" s="3" t="s">
        <v>7388</v>
      </c>
      <c r="D2427" s="3" t="s">
        <v>7389</v>
      </c>
      <c r="E2427" s="3" t="s">
        <v>7390</v>
      </c>
      <c r="F2427" s="3" t="str">
        <f>"317-634-4447"</f>
        <v>317-634-4447</v>
      </c>
      <c r="G2427" s="3">
        <v>42374</v>
      </c>
      <c r="H2427" s="3" t="s">
        <v>7391</v>
      </c>
    </row>
    <row r="2428" spans="1:8" ht="306.75" x14ac:dyDescent="0.25">
      <c r="A2428" s="3" t="s">
        <v>7392</v>
      </c>
      <c r="B2428" s="3"/>
      <c r="C2428" s="3" t="s">
        <v>7393</v>
      </c>
      <c r="D2428" s="3" t="s">
        <v>7394</v>
      </c>
      <c r="E2428" s="3" t="s">
        <v>7395</v>
      </c>
      <c r="F2428" s="3" t="str">
        <f>"317 872-7700"</f>
        <v>317 872-7700</v>
      </c>
      <c r="G2428" s="3">
        <v>721110</v>
      </c>
      <c r="H2428" s="3" t="s">
        <v>872</v>
      </c>
    </row>
    <row r="2429" spans="1:8" ht="39" x14ac:dyDescent="0.25">
      <c r="A2429" s="3" t="s">
        <v>7396</v>
      </c>
      <c r="B2429" s="3"/>
      <c r="C2429" s="3" t="str">
        <f>"Commercial cleaning services. Such as: offices, manufacturing plants, carpets ,windows ,post construction."</f>
        <v>Commercial cleaning services. Such as: offices, manufacturing plants, carpets ,windows ,post construction.</v>
      </c>
      <c r="D2429" s="3" t="s">
        <v>7397</v>
      </c>
      <c r="E2429" s="3" t="s">
        <v>7398</v>
      </c>
      <c r="F2429" s="3" t="str">
        <f>"812-550-2510"</f>
        <v>812-550-2510</v>
      </c>
      <c r="G2429" s="3">
        <v>561720</v>
      </c>
      <c r="H2429" s="3" t="s">
        <v>222</v>
      </c>
    </row>
    <row r="2430" spans="1:8" ht="217.5" x14ac:dyDescent="0.25">
      <c r="A2430" s="3" t="s">
        <v>7399</v>
      </c>
      <c r="B2430" s="3"/>
      <c r="C2430" s="3" t="s">
        <v>7400</v>
      </c>
      <c r="D2430" s="3" t="s">
        <v>7401</v>
      </c>
      <c r="E2430" s="3" t="s">
        <v>7402</v>
      </c>
      <c r="F2430" s="3" t="str">
        <f>"3174562564"</f>
        <v>3174562564</v>
      </c>
      <c r="G2430" s="3">
        <v>541613</v>
      </c>
      <c r="H2430" s="3" t="s">
        <v>558</v>
      </c>
    </row>
    <row r="2431" spans="1:8" ht="26.25" x14ac:dyDescent="0.25">
      <c r="A2431" s="3" t="s">
        <v>7403</v>
      </c>
      <c r="B2431" s="3"/>
      <c r="C2431" s="3" t="str">
        <f>"construction,drywall,thermo and acoustical spray"</f>
        <v>construction,drywall,thermo and acoustical spray</v>
      </c>
      <c r="D2431" s="3" t="s">
        <v>9</v>
      </c>
      <c r="E2431" s="3" t="s">
        <v>7404</v>
      </c>
      <c r="F2431" s="3" t="str">
        <f>"317-407-4015"</f>
        <v>317-407-4015</v>
      </c>
      <c r="G2431" s="3">
        <v>23542</v>
      </c>
      <c r="H2431" s="3" t="s">
        <v>7405</v>
      </c>
    </row>
    <row r="2432" spans="1:8" ht="102.75" x14ac:dyDescent="0.25">
      <c r="A2432" s="3" t="s">
        <v>7406</v>
      </c>
      <c r="B2432" s="3"/>
      <c r="C2432" s="3" t="s">
        <v>7407</v>
      </c>
      <c r="D2432" s="3" t="s">
        <v>7408</v>
      </c>
      <c r="E2432" s="3" t="s">
        <v>7409</v>
      </c>
      <c r="F2432" s="3" t="str">
        <f>"260/471-4400"</f>
        <v>260/471-4400</v>
      </c>
      <c r="G2432" s="3">
        <v>323113</v>
      </c>
      <c r="H2432" s="3" t="s">
        <v>1606</v>
      </c>
    </row>
    <row r="2433" spans="1:8" ht="102.75" x14ac:dyDescent="0.25">
      <c r="A2433" s="3" t="s">
        <v>7410</v>
      </c>
      <c r="B2433" s="3"/>
      <c r="C2433" s="3" t="s">
        <v>7411</v>
      </c>
      <c r="D2433" s="3" t="s">
        <v>7412</v>
      </c>
      <c r="E2433" s="3" t="s">
        <v>7413</v>
      </c>
      <c r="F2433" s="3" t="str">
        <f>"3177093418"</f>
        <v>3177093418</v>
      </c>
      <c r="G2433" s="3">
        <v>541330</v>
      </c>
      <c r="H2433" s="3" t="s">
        <v>82</v>
      </c>
    </row>
    <row r="2434" spans="1:8" ht="26.25" x14ac:dyDescent="0.25">
      <c r="A2434" s="3" t="s">
        <v>7414</v>
      </c>
      <c r="B2434" s="3"/>
      <c r="C2434" s="3" t="str">
        <f>"Psychological consulting services"</f>
        <v>Psychological consulting services</v>
      </c>
      <c r="D2434" s="3" t="s">
        <v>7415</v>
      </c>
      <c r="E2434" s="3" t="s">
        <v>7416</v>
      </c>
      <c r="F2434" s="3" t="str">
        <f>"317-643-9901"</f>
        <v>317-643-9901</v>
      </c>
      <c r="G2434" s="3">
        <v>621112</v>
      </c>
      <c r="H2434" s="3" t="s">
        <v>1112</v>
      </c>
    </row>
    <row r="2435" spans="1:8" ht="102.75" x14ac:dyDescent="0.25">
      <c r="A2435" s="3" t="s">
        <v>7417</v>
      </c>
      <c r="B2435" s="3"/>
      <c r="C2435" s="3" t="s">
        <v>7418</v>
      </c>
      <c r="D2435" s="3" t="s">
        <v>7419</v>
      </c>
      <c r="E2435" s="3" t="s">
        <v>7420</v>
      </c>
      <c r="F2435" s="3" t="str">
        <f>"877 829 8022"</f>
        <v>877 829 8022</v>
      </c>
      <c r="G2435" s="3">
        <v>44</v>
      </c>
      <c r="H2435" s="3" t="s">
        <v>574</v>
      </c>
    </row>
    <row r="2436" spans="1:8" ht="26.25" x14ac:dyDescent="0.25">
      <c r="A2436" s="3" t="s">
        <v>7421</v>
      </c>
      <c r="B2436" s="3"/>
      <c r="C2436" s="3" t="str">
        <f>"Architecture, Engineering, Planning, Surveying, Construction Services"</f>
        <v>Architecture, Engineering, Planning, Surveying, Construction Services</v>
      </c>
      <c r="D2436" s="3" t="s">
        <v>7422</v>
      </c>
      <c r="E2436" s="3" t="s">
        <v>46</v>
      </c>
      <c r="F2436" s="3" t="str">
        <f>"574-236-4400"</f>
        <v>574-236-4400</v>
      </c>
      <c r="G2436" s="3">
        <v>5413</v>
      </c>
      <c r="H2436" s="3" t="s">
        <v>1116</v>
      </c>
    </row>
    <row r="2437" spans="1:8" ht="128.25" x14ac:dyDescent="0.25">
      <c r="A2437" s="3" t="s">
        <v>7423</v>
      </c>
      <c r="B2437" s="3"/>
      <c r="C2437" s="3" t="s">
        <v>7424</v>
      </c>
      <c r="D2437" s="3" t="s">
        <v>7425</v>
      </c>
      <c r="E2437" s="3" t="s">
        <v>7426</v>
      </c>
      <c r="F2437" s="2"/>
      <c r="G2437" s="3">
        <v>32311</v>
      </c>
      <c r="H2437" s="3" t="s">
        <v>531</v>
      </c>
    </row>
    <row r="2438" spans="1:8" ht="166.5" x14ac:dyDescent="0.25">
      <c r="A2438" s="3" t="s">
        <v>7427</v>
      </c>
      <c r="B2438" s="3"/>
      <c r="C2438" s="3" t="s">
        <v>7428</v>
      </c>
      <c r="D2438" s="3" t="s">
        <v>7429</v>
      </c>
      <c r="E2438" s="3" t="s">
        <v>7430</v>
      </c>
      <c r="F2438" s="3" t="str">
        <f>"3176410325"</f>
        <v>3176410325</v>
      </c>
      <c r="G2438" s="3">
        <v>444190</v>
      </c>
      <c r="H2438" s="3" t="s">
        <v>1188</v>
      </c>
    </row>
    <row r="2439" spans="1:8" ht="26.25" x14ac:dyDescent="0.25">
      <c r="A2439" s="3" t="s">
        <v>7431</v>
      </c>
      <c r="B2439" s="3"/>
      <c r="C2439" s="3" t="str">
        <f>"Metal Fabrication &amp; Installation"</f>
        <v>Metal Fabrication &amp; Installation</v>
      </c>
      <c r="D2439" s="3" t="s">
        <v>9</v>
      </c>
      <c r="E2439" s="3" t="s">
        <v>7432</v>
      </c>
      <c r="F2439" s="3" t="str">
        <f>"317-241-6230"</f>
        <v>317-241-6230</v>
      </c>
      <c r="G2439" s="3">
        <v>332322</v>
      </c>
      <c r="H2439" s="3" t="s">
        <v>2534</v>
      </c>
    </row>
    <row r="2440" spans="1:8" ht="51.75" x14ac:dyDescent="0.25">
      <c r="A2440" s="3" t="s">
        <v>7433</v>
      </c>
      <c r="B2440" s="3"/>
      <c r="C2440" s="3" t="str">
        <f>"Floorcovering distributors selling all types soft and hard surface flooring, supplies and tools. We service the retail, commercial and RV/mobile markets."</f>
        <v>Floorcovering distributors selling all types soft and hard surface flooring, supplies and tools. We service the retail, commercial and RV/mobile markets.</v>
      </c>
      <c r="D2440" s="3" t="s">
        <v>9</v>
      </c>
      <c r="E2440" s="3" t="s">
        <v>7434</v>
      </c>
      <c r="F2440" s="3" t="str">
        <f>"574-259-2012"</f>
        <v>574-259-2012</v>
      </c>
      <c r="G2440" s="3">
        <v>42199</v>
      </c>
      <c r="H2440" s="3" t="s">
        <v>7435</v>
      </c>
    </row>
    <row r="2441" spans="1:8" ht="192" x14ac:dyDescent="0.25">
      <c r="A2441" s="3" t="s">
        <v>7436</v>
      </c>
      <c r="B2441" s="3"/>
      <c r="C2441" s="3" t="s">
        <v>7437</v>
      </c>
      <c r="D2441" s="3" t="s">
        <v>9</v>
      </c>
      <c r="E2441" s="3" t="s">
        <v>46</v>
      </c>
      <c r="F2441" s="2"/>
      <c r="G2441" s="3">
        <v>54161</v>
      </c>
      <c r="H2441" s="3" t="s">
        <v>1221</v>
      </c>
    </row>
    <row r="2442" spans="1:8" ht="26.25" x14ac:dyDescent="0.25">
      <c r="A2442" s="3" t="s">
        <v>7438</v>
      </c>
      <c r="B2442" s="3"/>
      <c r="C2442" s="3" t="str">
        <f>"Community Development for rental properties for aging and income base."</f>
        <v>Community Development for rental properties for aging and income base.</v>
      </c>
      <c r="D2442" s="3" t="s">
        <v>9</v>
      </c>
      <c r="E2442" s="3" t="s">
        <v>46</v>
      </c>
      <c r="F2442" s="3" t="str">
        <f>"317-340-2375"</f>
        <v>317-340-2375</v>
      </c>
      <c r="G2442" s="3">
        <v>237210</v>
      </c>
      <c r="H2442" s="3" t="s">
        <v>3160</v>
      </c>
    </row>
    <row r="2443" spans="1:8" ht="306.75" x14ac:dyDescent="0.25">
      <c r="A2443" s="3" t="s">
        <v>7439</v>
      </c>
      <c r="B2443" s="3"/>
      <c r="C2443" s="3" t="s">
        <v>7440</v>
      </c>
      <c r="D2443" s="3" t="s">
        <v>7441</v>
      </c>
      <c r="E2443" s="3" t="s">
        <v>7442</v>
      </c>
      <c r="F2443" s="3" t="str">
        <f>"(877) 693-6572"</f>
        <v>(877) 693-6572</v>
      </c>
      <c r="G2443" s="3">
        <v>541690</v>
      </c>
      <c r="H2443" s="3" t="s">
        <v>652</v>
      </c>
    </row>
    <row r="2444" spans="1:8" ht="51.75" x14ac:dyDescent="0.25">
      <c r="A2444" s="3" t="s">
        <v>7443</v>
      </c>
      <c r="B2444" s="3"/>
      <c r="C2444" s="3" t="str">
        <f>"We are a full service document management company offering microfilm, imaging,document scanning and many fully customizable document solutions."</f>
        <v>We are a full service document management company offering microfilm, imaging,document scanning and many fully customizable document solutions.</v>
      </c>
      <c r="D2444" s="3" t="s">
        <v>7444</v>
      </c>
      <c r="E2444" s="3" t="s">
        <v>7445</v>
      </c>
      <c r="F2444" s="3" t="str">
        <f>"765 641-0110"</f>
        <v>765 641-0110</v>
      </c>
      <c r="G2444" s="3">
        <v>518210</v>
      </c>
      <c r="H2444" s="3" t="s">
        <v>3133</v>
      </c>
    </row>
    <row r="2445" spans="1:8" ht="26.25" x14ac:dyDescent="0.25">
      <c r="A2445" s="3" t="s">
        <v>7446</v>
      </c>
      <c r="B2445" s="3"/>
      <c r="C2445" s="3" t="str">
        <f>"Full line safety products distributor."</f>
        <v>Full line safety products distributor.</v>
      </c>
      <c r="D2445" s="3" t="s">
        <v>7447</v>
      </c>
      <c r="E2445" s="3" t="s">
        <v>7448</v>
      </c>
      <c r="F2445" s="3" t="str">
        <f>"317-786-2268"</f>
        <v>317-786-2268</v>
      </c>
      <c r="G2445" s="3">
        <v>441229</v>
      </c>
      <c r="H2445" s="3" t="s">
        <v>3721</v>
      </c>
    </row>
    <row r="2446" spans="1:8" ht="26.25" x14ac:dyDescent="0.25">
      <c r="A2446" s="3" t="s">
        <v>7449</v>
      </c>
      <c r="B2446" s="3"/>
      <c r="C2446" s="3" t="str">
        <f>" "</f>
        <v xml:space="preserve"> </v>
      </c>
      <c r="D2446" s="3" t="s">
        <v>7450</v>
      </c>
      <c r="E2446" s="3" t="s">
        <v>7451</v>
      </c>
      <c r="F2446" s="3" t="str">
        <f>"214-646-6525"</f>
        <v>214-646-6525</v>
      </c>
      <c r="G2446" s="3">
        <v>541512</v>
      </c>
      <c r="H2446" s="3" t="s">
        <v>19</v>
      </c>
    </row>
    <row r="2447" spans="1:8" ht="51.75" x14ac:dyDescent="0.25">
      <c r="A2447" s="3" t="s">
        <v>7452</v>
      </c>
      <c r="B2447" s="3"/>
      <c r="C2447" s="3" t="str">
        <f>"DQAT, INCORPORATED; holds Geometric Dimensionong and Tolerancing seminars, blueprint reading classes, and related dimensioning and tolerancing consulting."</f>
        <v>DQAT, INCORPORATED; holds Geometric Dimensionong and Tolerancing seminars, blueprint reading classes, and related dimensioning and tolerancing consulting.</v>
      </c>
      <c r="D2447" s="3" t="s">
        <v>7453</v>
      </c>
      <c r="E2447" s="3" t="s">
        <v>7454</v>
      </c>
      <c r="F2447" s="3" t="str">
        <f>"260-489-7712"</f>
        <v>260-489-7712</v>
      </c>
      <c r="G2447" s="3">
        <v>541310</v>
      </c>
      <c r="H2447" s="3" t="s">
        <v>446</v>
      </c>
    </row>
    <row r="2448" spans="1:8" ht="64.5" x14ac:dyDescent="0.25">
      <c r="A2448" s="3" t="s">
        <v>7455</v>
      </c>
      <c r="B2448" s="3"/>
      <c r="C2448" s="3" t="str">
        <f>"Healthcare management and consulting services - HR, accounting and bookkeeping, IT, EHR selection, implementation and training, workflow analysis and redesign, auditing, project management, compliance"</f>
        <v>Healthcare management and consulting services - HR, accounting and bookkeeping, IT, EHR selection, implementation and training, workflow analysis and redesign, auditing, project management, compliance</v>
      </c>
      <c r="D2448" s="3" t="s">
        <v>7456</v>
      </c>
      <c r="E2448" s="3" t="s">
        <v>7457</v>
      </c>
      <c r="F2448" s="3" t="str">
        <f>"260-490-8187"</f>
        <v>260-490-8187</v>
      </c>
      <c r="G2448" s="3">
        <v>541611</v>
      </c>
      <c r="H2448" s="3" t="s">
        <v>278</v>
      </c>
    </row>
    <row r="2449" spans="1:8" ht="26.25" x14ac:dyDescent="0.25">
      <c r="A2449" s="3" t="s">
        <v>7458</v>
      </c>
      <c r="B2449" s="3"/>
      <c r="C2449" s="3" t="str">
        <f>" "</f>
        <v xml:space="preserve"> </v>
      </c>
      <c r="D2449" s="3" t="s">
        <v>7459</v>
      </c>
      <c r="E2449" s="3" t="s">
        <v>7460</v>
      </c>
      <c r="F2449" s="3" t="str">
        <f>"317-222-5809"</f>
        <v>317-222-5809</v>
      </c>
      <c r="G2449" s="3">
        <v>561910</v>
      </c>
      <c r="H2449" s="3" t="s">
        <v>7461</v>
      </c>
    </row>
    <row r="2450" spans="1:8" ht="77.25" x14ac:dyDescent="0.25">
      <c r="A2450" s="3" t="s">
        <v>7462</v>
      </c>
      <c r="B2450" s="3"/>
      <c r="C2450" s="3" t="str">
        <f>"Drainage Solutions, Inc. is a supplier/distributor of pipe, fittings and accessories, valves, geotextiles and erosion control products. We also provide technical support for application and specification. State-wide delivery is now available."</f>
        <v>Drainage Solutions, Inc. is a supplier/distributor of pipe, fittings and accessories, valves, geotextiles and erosion control products. We also provide technical support for application and specification. State-wide delivery is now available.</v>
      </c>
      <c r="D2450" s="3" t="s">
        <v>7463</v>
      </c>
      <c r="E2450" s="3" t="s">
        <v>7464</v>
      </c>
      <c r="F2450" s="3" t="str">
        <f>"317-346-4110"</f>
        <v>317-346-4110</v>
      </c>
      <c r="G2450" s="3">
        <v>423720</v>
      </c>
      <c r="H2450" s="3" t="s">
        <v>2695</v>
      </c>
    </row>
    <row r="2451" spans="1:8" ht="39" x14ac:dyDescent="0.25">
      <c r="A2451" s="3" t="s">
        <v>7465</v>
      </c>
      <c r="B2451" s="3"/>
      <c r="C2451" s="3" t="str">
        <f>"SEWER AND DRAIN CLEANING, LATERAL REPLACEMENTS, AND OTHER CONTRACTOR SERVICES"</f>
        <v>SEWER AND DRAIN CLEANING, LATERAL REPLACEMENTS, AND OTHER CONTRACTOR SERVICES</v>
      </c>
      <c r="D2451" s="3" t="s">
        <v>9</v>
      </c>
      <c r="E2451" s="3" t="s">
        <v>7466</v>
      </c>
      <c r="F2451" s="3" t="str">
        <f>"317748940"</f>
        <v>317748940</v>
      </c>
      <c r="G2451" s="3">
        <v>233</v>
      </c>
      <c r="H2451" s="3" t="s">
        <v>131</v>
      </c>
    </row>
    <row r="2452" spans="1:8" ht="26.25" x14ac:dyDescent="0.25">
      <c r="A2452" s="3" t="s">
        <v>7467</v>
      </c>
      <c r="B2452" s="3"/>
      <c r="C2452" s="2"/>
      <c r="D2452" s="3" t="s">
        <v>9</v>
      </c>
      <c r="E2452" s="3" t="s">
        <v>46</v>
      </c>
      <c r="F2452" s="3" t="str">
        <f>"765-884-1792"</f>
        <v>765-884-1792</v>
      </c>
      <c r="G2452" s="3">
        <v>11115</v>
      </c>
      <c r="H2452" s="3" t="s">
        <v>7468</v>
      </c>
    </row>
    <row r="2453" spans="1:8" ht="128.25" x14ac:dyDescent="0.25">
      <c r="A2453" s="3" t="s">
        <v>7469</v>
      </c>
      <c r="B2453" s="3"/>
      <c r="C2453" s="3" t="s">
        <v>7470</v>
      </c>
      <c r="D2453" s="3" t="s">
        <v>7471</v>
      </c>
      <c r="E2453" s="3" t="s">
        <v>7472</v>
      </c>
      <c r="F2453" s="3" t="str">
        <f>"765-534-5152"</f>
        <v>765-534-5152</v>
      </c>
      <c r="G2453" s="3">
        <v>541310</v>
      </c>
      <c r="H2453" s="3" t="s">
        <v>446</v>
      </c>
    </row>
    <row r="2454" spans="1:8" ht="90" x14ac:dyDescent="0.25">
      <c r="A2454" s="3" t="s">
        <v>7473</v>
      </c>
      <c r="B2454" s="3"/>
      <c r="C2454" s="3" t="s">
        <v>7474</v>
      </c>
      <c r="D2454" s="3" t="s">
        <v>7475</v>
      </c>
      <c r="E2454" s="3" t="s">
        <v>7476</v>
      </c>
      <c r="F2454" s="3" t="str">
        <f>"317-639-7514"</f>
        <v>317-639-7514</v>
      </c>
      <c r="G2454" s="3">
        <v>5133</v>
      </c>
      <c r="H2454" s="3" t="s">
        <v>682</v>
      </c>
    </row>
    <row r="2455" spans="1:8" ht="166.5" x14ac:dyDescent="0.25">
      <c r="A2455" s="3" t="s">
        <v>7477</v>
      </c>
      <c r="B2455" s="3"/>
      <c r="C2455" s="3" t="s">
        <v>7478</v>
      </c>
      <c r="D2455" s="3" t="s">
        <v>7479</v>
      </c>
      <c r="E2455" s="3" t="s">
        <v>7480</v>
      </c>
      <c r="F2455" s="3" t="str">
        <f>"317-595-0658"</f>
        <v>317-595-0658</v>
      </c>
      <c r="G2455" s="3">
        <v>541611</v>
      </c>
      <c r="H2455" s="3" t="s">
        <v>278</v>
      </c>
    </row>
    <row r="2456" spans="1:8" ht="128.25" x14ac:dyDescent="0.25">
      <c r="A2456" s="3" t="s">
        <v>7481</v>
      </c>
      <c r="B2456" s="3"/>
      <c r="C2456" s="3" t="s">
        <v>7482</v>
      </c>
      <c r="D2456" s="3" t="s">
        <v>7483</v>
      </c>
      <c r="E2456" s="3" t="s">
        <v>7484</v>
      </c>
      <c r="F2456" s="3" t="str">
        <f>"317-722-2545"</f>
        <v>317-722-2545</v>
      </c>
      <c r="G2456" s="3">
        <v>541430</v>
      </c>
      <c r="H2456" s="3" t="s">
        <v>78</v>
      </c>
    </row>
    <row r="2457" spans="1:8" ht="77.25" x14ac:dyDescent="0.25">
      <c r="A2457" s="3" t="s">
        <v>7485</v>
      </c>
      <c r="B2457" s="3"/>
      <c r="C2457" s="3" t="str">
        <f>"DTL Solutions, LLC is a single source business supply dealer. We offer office supplies, janitorial supplies and facilities management supplies. DTL Solutions, LLC is a WBE certified by the State of Indiana and the City of Indianapolis."</f>
        <v>DTL Solutions, LLC is a single source business supply dealer. We offer office supplies, janitorial supplies and facilities management supplies. DTL Solutions, LLC is a WBE certified by the State of Indiana and the City of Indianapolis.</v>
      </c>
      <c r="D2457" s="3" t="s">
        <v>7486</v>
      </c>
      <c r="E2457" s="3" t="s">
        <v>7487</v>
      </c>
      <c r="F2457" s="3" t="str">
        <f>"(317)663-4792"</f>
        <v>(317)663-4792</v>
      </c>
      <c r="G2457" s="3">
        <v>424120</v>
      </c>
      <c r="H2457" s="3" t="s">
        <v>411</v>
      </c>
    </row>
    <row r="2458" spans="1:8" ht="39" x14ac:dyDescent="0.25">
      <c r="A2458" s="3" t="s">
        <v>7488</v>
      </c>
      <c r="B2458" s="3"/>
      <c r="C2458" s="3" t="str">
        <f>"We provide acquisition and disposition of real estate for clients. Additionally, real estate appraisal services are provided."</f>
        <v>We provide acquisition and disposition of real estate for clients. Additionally, real estate appraisal services are provided.</v>
      </c>
      <c r="D2458" s="3" t="s">
        <v>9</v>
      </c>
      <c r="E2458" s="3" t="s">
        <v>7489</v>
      </c>
      <c r="F2458" s="3" t="str">
        <f>"317.253.9905"</f>
        <v>317.253.9905</v>
      </c>
      <c r="G2458" s="3">
        <v>531210</v>
      </c>
      <c r="H2458" s="3" t="s">
        <v>1101</v>
      </c>
    </row>
    <row r="2459" spans="1:8" ht="255.75" x14ac:dyDescent="0.25">
      <c r="A2459" s="3" t="s">
        <v>7488</v>
      </c>
      <c r="B2459" s="3"/>
      <c r="C2459" s="3" t="s">
        <v>7490</v>
      </c>
      <c r="D2459" s="3" t="s">
        <v>7491</v>
      </c>
      <c r="E2459" s="3" t="s">
        <v>7492</v>
      </c>
      <c r="F2459" s="3" t="str">
        <f>"317-917-9905"</f>
        <v>317-917-9905</v>
      </c>
      <c r="G2459" s="3">
        <v>531120</v>
      </c>
      <c r="H2459" s="3" t="s">
        <v>2926</v>
      </c>
    </row>
    <row r="2460" spans="1:8" ht="26.25" x14ac:dyDescent="0.25">
      <c r="A2460" s="3" t="s">
        <v>7493</v>
      </c>
      <c r="B2460" s="3"/>
      <c r="C2460" s="3" t="str">
        <f>" "</f>
        <v xml:space="preserve"> </v>
      </c>
      <c r="D2460" s="3" t="s">
        <v>9</v>
      </c>
      <c r="E2460" s="3" t="s">
        <v>46</v>
      </c>
      <c r="F2460" s="2"/>
      <c r="G2460" s="3">
        <v>531120</v>
      </c>
      <c r="H2460" s="3" t="s">
        <v>2926</v>
      </c>
    </row>
    <row r="2461" spans="1:8" ht="39" x14ac:dyDescent="0.25">
      <c r="A2461" s="3" t="s">
        <v>7494</v>
      </c>
      <c r="B2461" s="3"/>
      <c r="C2461" s="3" t="str">
        <f>"WE INSTALL WINDOWS AND DOORS IN EXISTING STRUCTURES - RESIDENTIAL OR COMMERCIAL"</f>
        <v>WE INSTALL WINDOWS AND DOORS IN EXISTING STRUCTURES - RESIDENTIAL OR COMMERCIAL</v>
      </c>
      <c r="D2461" s="3" t="s">
        <v>9</v>
      </c>
      <c r="E2461" s="3" t="s">
        <v>46</v>
      </c>
      <c r="F2461" s="3" t="str">
        <f>"812-923-3848"</f>
        <v>812-923-3848</v>
      </c>
      <c r="G2461" s="3">
        <v>23551</v>
      </c>
      <c r="H2461" s="3" t="s">
        <v>3583</v>
      </c>
    </row>
    <row r="2462" spans="1:8" ht="90" x14ac:dyDescent="0.25">
      <c r="A2462" s="3" t="s">
        <v>7495</v>
      </c>
      <c r="B2462" s="3"/>
      <c r="C2462" s="3" t="s">
        <v>7496</v>
      </c>
      <c r="D2462" s="3" t="s">
        <v>9</v>
      </c>
      <c r="E2462" s="3" t="s">
        <v>7497</v>
      </c>
      <c r="F2462" s="3" t="str">
        <f>"317 831-6617"</f>
        <v>317 831-6617</v>
      </c>
      <c r="G2462" s="3">
        <v>332710</v>
      </c>
      <c r="H2462" s="3" t="s">
        <v>387</v>
      </c>
    </row>
    <row r="2463" spans="1:8" ht="64.5" x14ac:dyDescent="0.25">
      <c r="A2463" s="3" t="s">
        <v>7498</v>
      </c>
      <c r="B2463" s="3"/>
      <c r="C2463" s="3" t="str">
        <f>"Wholesale - Haeting, Cooling, Refrigeration, Ice Machines: Equipment, Parts &amp; Supplies. Product lines include: York HVAC, Copeland Compressors, Scotsman Ice Machines, Russell, Bohn/Heatcraft"</f>
        <v>Wholesale - Haeting, Cooling, Refrigeration, Ice Machines: Equipment, Parts &amp; Supplies. Product lines include: York HVAC, Copeland Compressors, Scotsman Ice Machines, Russell, Bohn/Heatcraft</v>
      </c>
      <c r="D2463" s="3" t="s">
        <v>7499</v>
      </c>
      <c r="E2463" s="3" t="s">
        <v>7500</v>
      </c>
      <c r="F2463" s="3" t="str">
        <f>"3176341335"</f>
        <v>3176341335</v>
      </c>
      <c r="G2463" s="3">
        <v>423740</v>
      </c>
      <c r="H2463" s="3" t="s">
        <v>7391</v>
      </c>
    </row>
    <row r="2464" spans="1:8" ht="77.25" x14ac:dyDescent="0.25">
      <c r="A2464" s="3" t="s">
        <v>7501</v>
      </c>
      <c r="B2464" s="3"/>
      <c r="C2464" s="3" t="str">
        <f>"Dunham Rubber and Belting Corporation is a distributor, fabricator and manufacturer of industrial rubber products, including but not limited to belts, hose and fittings, molded and extruded rubber parts, gaskets and mechanical seals."</f>
        <v>Dunham Rubber and Belting Corporation is a distributor, fabricator and manufacturer of industrial rubber products, including but not limited to belts, hose and fittings, molded and extruded rubber parts, gaskets and mechanical seals.</v>
      </c>
      <c r="D2464" s="3" t="s">
        <v>7502</v>
      </c>
      <c r="E2464" s="3" t="s">
        <v>7503</v>
      </c>
      <c r="F2464" s="3" t="str">
        <f>"317-888-3002"</f>
        <v>317-888-3002</v>
      </c>
      <c r="G2464" s="3">
        <v>326220</v>
      </c>
      <c r="H2464" s="3" t="s">
        <v>7504</v>
      </c>
    </row>
    <row r="2465" spans="1:8" ht="26.25" x14ac:dyDescent="0.25">
      <c r="A2465" s="3" t="s">
        <v>7505</v>
      </c>
      <c r="B2465" s="3"/>
      <c r="C2465" s="3" t="str">
        <f>"General and Mechanical Contractors"</f>
        <v>General and Mechanical Contractors</v>
      </c>
      <c r="D2465" s="3" t="s">
        <v>7506</v>
      </c>
      <c r="E2465" s="3" t="s">
        <v>7507</v>
      </c>
      <c r="F2465" s="3" t="str">
        <f>"8123763021"</f>
        <v>8123763021</v>
      </c>
      <c r="G2465" s="3">
        <v>236220</v>
      </c>
      <c r="H2465" s="3" t="s">
        <v>598</v>
      </c>
    </row>
    <row r="2466" spans="1:8" ht="26.25" x14ac:dyDescent="0.25">
      <c r="A2466" s="3" t="s">
        <v>7508</v>
      </c>
      <c r="B2466" s="3"/>
      <c r="C2466" s="3" t="str">
        <f>"Every Battery for Every Need"</f>
        <v>Every Battery for Every Need</v>
      </c>
      <c r="D2466" s="3" t="s">
        <v>7509</v>
      </c>
      <c r="E2466" s="3" t="s">
        <v>7510</v>
      </c>
      <c r="F2466" s="3" t="str">
        <f>"317-322-1818"</f>
        <v>317-322-1818</v>
      </c>
      <c r="G2466" s="3">
        <v>44131</v>
      </c>
      <c r="H2466" s="3" t="s">
        <v>1699</v>
      </c>
    </row>
    <row r="2467" spans="1:8" ht="128.25" x14ac:dyDescent="0.25">
      <c r="A2467" s="3" t="s">
        <v>7511</v>
      </c>
      <c r="B2467" s="3"/>
      <c r="C2467" s="3" t="s">
        <v>7512</v>
      </c>
      <c r="D2467" s="3" t="s">
        <v>7513</v>
      </c>
      <c r="E2467" s="3" t="s">
        <v>7514</v>
      </c>
      <c r="F2467" s="3" t="str">
        <f>"317-457-5036"</f>
        <v>317-457-5036</v>
      </c>
      <c r="G2467" s="3">
        <v>541611</v>
      </c>
      <c r="H2467" s="3" t="s">
        <v>278</v>
      </c>
    </row>
    <row r="2468" spans="1:8" ht="51.75" x14ac:dyDescent="0.25">
      <c r="A2468" s="3" t="s">
        <v>7515</v>
      </c>
      <c r="B2468" s="3"/>
      <c r="C2468" s="3" t="str">
        <f>"DWL Property Preservation provides quality landscaping where we create and preserve residential lawns and shrubs as well as commercial grounds."</f>
        <v>DWL Property Preservation provides quality landscaping where we create and preserve residential lawns and shrubs as well as commercial grounds.</v>
      </c>
      <c r="D2468" s="3" t="s">
        <v>9</v>
      </c>
      <c r="E2468" s="3" t="s">
        <v>7516</v>
      </c>
      <c r="F2468" s="3" t="str">
        <f>"765-490-9792"</f>
        <v>765-490-9792</v>
      </c>
      <c r="G2468" s="3">
        <v>561730</v>
      </c>
      <c r="H2468" s="3" t="s">
        <v>65</v>
      </c>
    </row>
    <row r="2469" spans="1:8" ht="39" x14ac:dyDescent="0.25">
      <c r="A2469" s="3" t="s">
        <v>7517</v>
      </c>
      <c r="B2469" s="3"/>
      <c r="C2469" s="3" t="str">
        <f>"Provides warehousing, logistics, quality services, and temporary staffing to customers"</f>
        <v>Provides warehousing, logistics, quality services, and temporary staffing to customers</v>
      </c>
      <c r="D2469" s="3" t="s">
        <v>7518</v>
      </c>
      <c r="E2469" s="3" t="s">
        <v>7519</v>
      </c>
      <c r="F2469" s="3" t="str">
        <f>"8123854272"</f>
        <v>8123854272</v>
      </c>
      <c r="G2469" s="3">
        <v>561320</v>
      </c>
      <c r="H2469" s="3" t="s">
        <v>15</v>
      </c>
    </row>
    <row r="2470" spans="1:8" ht="26.25" x14ac:dyDescent="0.25">
      <c r="A2470" s="3" t="s">
        <v>7520</v>
      </c>
      <c r="B2470" s="3"/>
      <c r="C2470" s="3" t="str">
        <f>"Lawn Care, Mulching, shrub trimming, light tree trimming, light hauling."</f>
        <v>Lawn Care, Mulching, shrub trimming, light tree trimming, light hauling.</v>
      </c>
      <c r="D2470" s="3" t="s">
        <v>7521</v>
      </c>
      <c r="E2470" s="3" t="s">
        <v>7522</v>
      </c>
      <c r="F2470" s="3" t="str">
        <f>"317-727-8552"</f>
        <v>317-727-8552</v>
      </c>
      <c r="G2470" s="3">
        <v>11</v>
      </c>
      <c r="H2470" s="3" t="s">
        <v>175</v>
      </c>
    </row>
    <row r="2471" spans="1:8" ht="26.25" x14ac:dyDescent="0.25">
      <c r="A2471" s="3" t="s">
        <v>7523</v>
      </c>
      <c r="B2471" s="3"/>
      <c r="C2471" s="3" t="str">
        <f>"Service and Sales of Offset Printing Equipment, and Supplies"</f>
        <v>Service and Sales of Offset Printing Equipment, and Supplies</v>
      </c>
      <c r="D2471" s="3" t="s">
        <v>7524</v>
      </c>
      <c r="E2471" s="3" t="s">
        <v>7525</v>
      </c>
      <c r="F2471" s="3" t="str">
        <f>"(574) 257-2971"</f>
        <v>(574) 257-2971</v>
      </c>
      <c r="G2471" s="3">
        <v>32312</v>
      </c>
      <c r="H2471" s="3" t="s">
        <v>7526</v>
      </c>
    </row>
    <row r="2472" spans="1:8" ht="294" x14ac:dyDescent="0.25">
      <c r="A2472" s="3" t="s">
        <v>7527</v>
      </c>
      <c r="B2472" s="3"/>
      <c r="C2472" s="3" t="s">
        <v>7528</v>
      </c>
      <c r="D2472" s="3" t="s">
        <v>7529</v>
      </c>
      <c r="E2472" s="3" t="s">
        <v>7530</v>
      </c>
      <c r="F2472" s="3" t="str">
        <f>"317-566-8320"</f>
        <v>317-566-8320</v>
      </c>
      <c r="G2472" s="3">
        <v>561320</v>
      </c>
      <c r="H2472" s="3" t="s">
        <v>15</v>
      </c>
    </row>
    <row r="2473" spans="1:8" ht="179.25" x14ac:dyDescent="0.25">
      <c r="A2473" s="3" t="s">
        <v>7531</v>
      </c>
      <c r="B2473" s="3"/>
      <c r="C2473" s="3" t="s">
        <v>7532</v>
      </c>
      <c r="D2473" s="3" t="s">
        <v>7533</v>
      </c>
      <c r="E2473" s="3" t="s">
        <v>7534</v>
      </c>
      <c r="F2473" s="3" t="str">
        <f>"219-988-5689"</f>
        <v>219-988-5689</v>
      </c>
      <c r="G2473" s="3">
        <v>424210</v>
      </c>
      <c r="H2473" s="3" t="s">
        <v>7535</v>
      </c>
    </row>
    <row r="2474" spans="1:8" ht="64.5" x14ac:dyDescent="0.25">
      <c r="A2474" s="3" t="s">
        <v>7536</v>
      </c>
      <c r="B2474" s="3"/>
      <c r="C2474" s="3" t="str">
        <f>"Manufacture and assembly of residential and commercial garage doors. Wholesale residential and commercial garage door openers, weather stripping, punched angle and accessories."</f>
        <v>Manufacture and assembly of residential and commercial garage doors. Wholesale residential and commercial garage door openers, weather stripping, punched angle and accessories.</v>
      </c>
      <c r="D2474" s="3" t="s">
        <v>7537</v>
      </c>
      <c r="E2474" s="3" t="s">
        <v>7538</v>
      </c>
      <c r="F2474" s="3" t="str">
        <f>"(574)936-5566"</f>
        <v>(574)936-5566</v>
      </c>
      <c r="G2474" s="3">
        <v>332321</v>
      </c>
      <c r="H2474" s="3" t="s">
        <v>7074</v>
      </c>
    </row>
    <row r="2475" spans="1:8" ht="51.75" x14ac:dyDescent="0.25">
      <c r="A2475" s="3" t="s">
        <v>7539</v>
      </c>
      <c r="B2475" s="3"/>
      <c r="C2475" s="3" t="str">
        <f>"Sales, Service &amp; Installation Of Commercial, Residential and Industrial Garage Doors, Garage Door Openers and Related Accessories"</f>
        <v>Sales, Service &amp; Installation Of Commercial, Residential and Industrial Garage Doors, Garage Door Openers and Related Accessories</v>
      </c>
      <c r="D2475" s="3" t="s">
        <v>9</v>
      </c>
      <c r="E2475" s="3" t="s">
        <v>7540</v>
      </c>
      <c r="F2475" s="3" t="str">
        <f>"574-772-9037"</f>
        <v>574-772-9037</v>
      </c>
      <c r="G2475" s="3">
        <v>238290</v>
      </c>
      <c r="H2475" s="3" t="s">
        <v>237</v>
      </c>
    </row>
    <row r="2476" spans="1:8" ht="204.75" x14ac:dyDescent="0.25">
      <c r="A2476" s="3" t="s">
        <v>7541</v>
      </c>
      <c r="B2476" s="3"/>
      <c r="C2476" s="3" t="s">
        <v>7542</v>
      </c>
      <c r="D2476" s="3" t="s">
        <v>7543</v>
      </c>
      <c r="E2476" s="3" t="s">
        <v>7544</v>
      </c>
      <c r="F2476" s="3" t="str">
        <f>"317/847-4140"</f>
        <v>317/847-4140</v>
      </c>
      <c r="G2476" s="3">
        <v>561720</v>
      </c>
      <c r="H2476" s="3" t="s">
        <v>222</v>
      </c>
    </row>
    <row r="2477" spans="1:8" ht="90" x14ac:dyDescent="0.25">
      <c r="A2477" s="3" t="s">
        <v>7545</v>
      </c>
      <c r="B2477" s="3"/>
      <c r="C2477" s="3" t="s">
        <v>7546</v>
      </c>
      <c r="D2477" s="3" t="s">
        <v>7547</v>
      </c>
      <c r="E2477" s="3" t="s">
        <v>7548</v>
      </c>
      <c r="F2477" s="3" t="str">
        <f>"260-436-0673"</f>
        <v>260-436-0673</v>
      </c>
      <c r="G2477" s="3">
        <v>453210</v>
      </c>
      <c r="H2477" s="3" t="s">
        <v>431</v>
      </c>
    </row>
    <row r="2478" spans="1:8" ht="39" x14ac:dyDescent="0.25">
      <c r="A2478" s="3" t="s">
        <v>7549</v>
      </c>
      <c r="B2478" s="3"/>
      <c r="C2478" s="3" t="str">
        <f>"Real Estate Rehabilitation, Property Management, Community Affordable Housing Programs"</f>
        <v>Real Estate Rehabilitation, Property Management, Community Affordable Housing Programs</v>
      </c>
      <c r="D2478" s="3" t="s">
        <v>9</v>
      </c>
      <c r="E2478" s="3" t="s">
        <v>46</v>
      </c>
      <c r="F2478" s="2"/>
      <c r="G2478" s="3">
        <v>53131</v>
      </c>
      <c r="H2478" s="3" t="s">
        <v>7550</v>
      </c>
    </row>
    <row r="2479" spans="1:8" ht="39" x14ac:dyDescent="0.25">
      <c r="A2479" s="3" t="s">
        <v>7551</v>
      </c>
      <c r="B2479" s="3"/>
      <c r="C2479" s="3" t="str">
        <f>"Vehicle Detailing, Body Repair and Painting, Mechanical Work, Classic Car Restoration, Water Transferring (Hydrographics)"</f>
        <v>Vehicle Detailing, Body Repair and Painting, Mechanical Work, Classic Car Restoration, Water Transferring (Hydrographics)</v>
      </c>
      <c r="D2479" s="3" t="s">
        <v>9</v>
      </c>
      <c r="E2479" s="3" t="s">
        <v>7552</v>
      </c>
      <c r="F2479" s="3" t="str">
        <f>"812-838-3000"</f>
        <v>812-838-3000</v>
      </c>
      <c r="G2479" s="3">
        <v>811121</v>
      </c>
      <c r="H2479" s="3" t="s">
        <v>1432</v>
      </c>
    </row>
    <row r="2480" spans="1:8" ht="115.5" x14ac:dyDescent="0.25">
      <c r="A2480" s="3" t="s">
        <v>7553</v>
      </c>
      <c r="B2480" s="3"/>
      <c r="C2480" s="3" t="s">
        <v>7554</v>
      </c>
      <c r="D2480" s="3" t="s">
        <v>7555</v>
      </c>
      <c r="E2480" s="3" t="s">
        <v>7556</v>
      </c>
      <c r="F2480" s="3" t="str">
        <f>"812-288-8541"</f>
        <v>812-288-8541</v>
      </c>
      <c r="G2480" s="3">
        <v>562910</v>
      </c>
      <c r="H2480" s="3" t="s">
        <v>2278</v>
      </c>
    </row>
    <row r="2481" spans="1:8" ht="77.25" x14ac:dyDescent="0.25">
      <c r="A2481" s="3" t="s">
        <v>7557</v>
      </c>
      <c r="B2481" s="3"/>
      <c r="C2481" s="3" t="str">
        <f>"Residential - Commercial - Industrial Electrcial Contractors If it involves electricity and/or wires - WE WILL DO IT! We operate nationwide with our industrial services Equipment moving and setting is a specialty!"</f>
        <v>Residential - Commercial - Industrial Electrcial Contractors If it involves electricity and/or wires - WE WILL DO IT! We operate nationwide with our industrial services Equipment moving and setting is a specialty!</v>
      </c>
      <c r="D2481" s="3" t="s">
        <v>7558</v>
      </c>
      <c r="E2481" s="3" t="s">
        <v>7559</v>
      </c>
      <c r="F2481" s="3" t="str">
        <f>"317-881-4866"</f>
        <v>317-881-4866</v>
      </c>
      <c r="G2481" s="3">
        <v>23531</v>
      </c>
      <c r="H2481" s="3" t="s">
        <v>306</v>
      </c>
    </row>
    <row r="2482" spans="1:8" ht="26.25" x14ac:dyDescent="0.25">
      <c r="A2482" s="3" t="s">
        <v>7560</v>
      </c>
      <c r="B2482" s="3"/>
      <c r="C2482" s="3" t="str">
        <f>"Commercial cleaning company - Fully Insured 12yrs.experience"</f>
        <v>Commercial cleaning company - Fully Insured 12yrs.experience</v>
      </c>
      <c r="D2482" s="3" t="s">
        <v>9</v>
      </c>
      <c r="E2482" s="3" t="s">
        <v>46</v>
      </c>
      <c r="F2482" s="3" t="str">
        <f>"812-275-4532"</f>
        <v>812-275-4532</v>
      </c>
      <c r="G2482" s="3">
        <v>812990</v>
      </c>
      <c r="H2482" s="3" t="s">
        <v>294</v>
      </c>
    </row>
    <row r="2483" spans="1:8" ht="39" x14ac:dyDescent="0.25">
      <c r="A2483" s="3" t="s">
        <v>7561</v>
      </c>
      <c r="B2483" s="3"/>
      <c r="C2483" s="3" t="str">
        <f>"Daleville Community Schools is a K-12 Public School District located in Daleville, Indiana."</f>
        <v>Daleville Community Schools is a K-12 Public School District located in Daleville, Indiana.</v>
      </c>
      <c r="D2483" s="3" t="s">
        <v>7562</v>
      </c>
      <c r="E2483" s="3" t="s">
        <v>7563</v>
      </c>
      <c r="F2483" s="3" t="str">
        <f>"765-378-3329"</f>
        <v>765-378-3329</v>
      </c>
      <c r="G2483" s="3">
        <v>611110</v>
      </c>
      <c r="H2483" s="3" t="s">
        <v>3876</v>
      </c>
    </row>
    <row r="2484" spans="1:8" ht="64.5" x14ac:dyDescent="0.25">
      <c r="A2484" s="3" t="s">
        <v>7564</v>
      </c>
      <c r="B2484" s="3"/>
      <c r="C2484" s="3" t="str">
        <f>"We are experts in recycling and remanufacturing ink, toner, copier, and fax supplies. We stand behind every product and work hard to earn and keep your business."</f>
        <v>We are experts in recycling and remanufacturing ink, toner, copier, and fax supplies. We stand behind every product and work hard to earn and keep your business.</v>
      </c>
      <c r="D2484" s="3" t="s">
        <v>9</v>
      </c>
      <c r="E2484" s="3" t="s">
        <v>7565</v>
      </c>
      <c r="F2484" s="3" t="str">
        <f>"765.448.4500"</f>
        <v>765.448.4500</v>
      </c>
      <c r="G2484" s="3">
        <v>541519</v>
      </c>
      <c r="H2484" s="3" t="s">
        <v>898</v>
      </c>
    </row>
    <row r="2485" spans="1:8" ht="51.75" x14ac:dyDescent="0.25">
      <c r="A2485" s="3" t="s">
        <v>7566</v>
      </c>
      <c r="B2485" s="3"/>
      <c r="C2485" s="3" t="str">
        <f>"General contractor specializing in commercial and institutional construction, including new work, additions and remodels. Design/Build capabilities."</f>
        <v>General contractor specializing in commercial and institutional construction, including new work, additions and remodels. Design/Build capabilities.</v>
      </c>
      <c r="D2485" s="3" t="s">
        <v>9</v>
      </c>
      <c r="E2485" s="3" t="s">
        <v>7567</v>
      </c>
      <c r="F2485" s="3" t="str">
        <f>"317-280-8940"</f>
        <v>317-280-8940</v>
      </c>
      <c r="G2485" s="3">
        <v>236220</v>
      </c>
      <c r="H2485" s="3" t="s">
        <v>598</v>
      </c>
    </row>
    <row r="2486" spans="1:8" ht="102.75" x14ac:dyDescent="0.25">
      <c r="A2486" s="3" t="s">
        <v>7568</v>
      </c>
      <c r="B2486" s="3"/>
      <c r="C2486" s="3" t="s">
        <v>7569</v>
      </c>
      <c r="D2486" s="3" t="s">
        <v>7570</v>
      </c>
      <c r="E2486" s="3" t="s">
        <v>7571</v>
      </c>
      <c r="F2486" s="3" t="str">
        <f>"800-669-9616"</f>
        <v>800-669-9616</v>
      </c>
      <c r="G2486" s="3">
        <v>524210</v>
      </c>
      <c r="H2486" s="3" t="s">
        <v>1183</v>
      </c>
    </row>
    <row r="2487" spans="1:8" ht="26.25" x14ac:dyDescent="0.25">
      <c r="A2487" s="3" t="s">
        <v>7572</v>
      </c>
      <c r="B2487" s="3"/>
      <c r="C2487" s="3" t="str">
        <f>" "</f>
        <v xml:space="preserve"> </v>
      </c>
      <c r="D2487" s="3" t="s">
        <v>7573</v>
      </c>
      <c r="E2487" s="3" t="s">
        <v>7574</v>
      </c>
      <c r="F2487" s="3" t="str">
        <f>"317-850-4408"</f>
        <v>317-850-4408</v>
      </c>
      <c r="G2487" s="3">
        <v>238220</v>
      </c>
      <c r="H2487" s="3" t="s">
        <v>348</v>
      </c>
    </row>
    <row r="2488" spans="1:8" ht="166.5" x14ac:dyDescent="0.25">
      <c r="A2488" s="3" t="s">
        <v>7575</v>
      </c>
      <c r="B2488" s="3"/>
      <c r="C2488" s="3" t="s">
        <v>7576</v>
      </c>
      <c r="D2488" s="3" t="s">
        <v>7577</v>
      </c>
      <c r="E2488" s="3" t="s">
        <v>7578</v>
      </c>
      <c r="F2488" s="3" t="str">
        <f>"317-896-5337"</f>
        <v>317-896-5337</v>
      </c>
      <c r="G2488" s="3">
        <v>323119</v>
      </c>
      <c r="H2488" s="3" t="s">
        <v>6229</v>
      </c>
    </row>
    <row r="2489" spans="1:8" ht="319.5" x14ac:dyDescent="0.25">
      <c r="A2489" s="3" t="s">
        <v>7579</v>
      </c>
      <c r="B2489" s="3"/>
      <c r="C2489" s="3" t="s">
        <v>7580</v>
      </c>
      <c r="D2489" s="3" t="s">
        <v>7581</v>
      </c>
      <c r="E2489" s="3" t="s">
        <v>7582</v>
      </c>
      <c r="F2489" s="3" t="str">
        <f>"317-856-5201"</f>
        <v>317-856-5201</v>
      </c>
      <c r="G2489" s="3">
        <v>623</v>
      </c>
      <c r="H2489" s="3" t="s">
        <v>7583</v>
      </c>
    </row>
    <row r="2490" spans="1:8" ht="64.5" x14ac:dyDescent="0.25">
      <c r="A2490" s="3" t="s">
        <v>7584</v>
      </c>
      <c r="B2490" s="3"/>
      <c r="C2490" s="3" t="str">
        <f>"Providing IT related services to individuals and companies in the Indianapolis Metropolitan Area. Systems design, computer services, data backup and recovery, custom-built computers, etc."</f>
        <v>Providing IT related services to individuals and companies in the Indianapolis Metropolitan Area. Systems design, computer services, data backup and recovery, custom-built computers, etc.</v>
      </c>
      <c r="D2490" s="3" t="s">
        <v>7585</v>
      </c>
      <c r="E2490" s="3" t="s">
        <v>7586</v>
      </c>
      <c r="F2490" s="3" t="str">
        <f>"317-985-3178"</f>
        <v>317-985-3178</v>
      </c>
      <c r="G2490" s="3">
        <v>5415</v>
      </c>
      <c r="H2490" s="3" t="s">
        <v>188</v>
      </c>
    </row>
    <row r="2491" spans="1:8" ht="153.75" x14ac:dyDescent="0.25">
      <c r="A2491" s="3" t="s">
        <v>7587</v>
      </c>
      <c r="B2491" s="3"/>
      <c r="C2491" s="3" t="s">
        <v>7588</v>
      </c>
      <c r="D2491" s="3" t="s">
        <v>7589</v>
      </c>
      <c r="E2491" s="3" t="s">
        <v>7590</v>
      </c>
      <c r="F2491" s="3" t="str">
        <f>"812-749-5111"</f>
        <v>812-749-5111</v>
      </c>
      <c r="G2491" s="3">
        <v>238990</v>
      </c>
      <c r="H2491" s="3" t="s">
        <v>481</v>
      </c>
    </row>
    <row r="2492" spans="1:8" ht="90" x14ac:dyDescent="0.25">
      <c r="A2492" s="3" t="s">
        <v>7591</v>
      </c>
      <c r="B2492" s="3"/>
      <c r="C2492" s="3" t="str">
        <f>"anco Roofing Services, Inc. is a full service roofing and sheet metal company specializing on low sloped roofing applications as well as specialty steep sloped roofing systems. We provide our services to commercial, industrial and institutional clients."</f>
        <v>anco Roofing Services, Inc. is a full service roofing and sheet metal company specializing on low sloped roofing applications as well as specialty steep sloped roofing systems. We provide our services to commercial, industrial and institutional clients.</v>
      </c>
      <c r="D2492" s="3" t="s">
        <v>7592</v>
      </c>
      <c r="E2492" s="3" t="s">
        <v>7593</v>
      </c>
      <c r="F2492" s="3" t="str">
        <f>"317-252-0022"</f>
        <v>317-252-0022</v>
      </c>
      <c r="G2492" s="3">
        <v>238160</v>
      </c>
      <c r="H2492" s="3" t="s">
        <v>144</v>
      </c>
    </row>
    <row r="2493" spans="1:8" ht="204.75" x14ac:dyDescent="0.25">
      <c r="A2493" s="3" t="s">
        <v>7594</v>
      </c>
      <c r="B2493" s="3"/>
      <c r="C2493" s="3" t="s">
        <v>7595</v>
      </c>
      <c r="D2493" s="3" t="s">
        <v>7596</v>
      </c>
      <c r="E2493" s="3" t="s">
        <v>7597</v>
      </c>
      <c r="F2493" s="3" t="str">
        <f>"317-745-7778"</f>
        <v>317-745-7778</v>
      </c>
      <c r="G2493" s="3">
        <v>541611</v>
      </c>
      <c r="H2493" s="3" t="s">
        <v>278</v>
      </c>
    </row>
    <row r="2494" spans="1:8" ht="39" x14ac:dyDescent="0.25">
      <c r="A2494" s="3" t="s">
        <v>7598</v>
      </c>
      <c r="B2494" s="3"/>
      <c r="C2494" s="3" t="str">
        <f>"We are an advertising and design agency dedicated to the client that has been in business for over 25 years."</f>
        <v>We are an advertising and design agency dedicated to the client that has been in business for over 25 years.</v>
      </c>
      <c r="D2494" s="3" t="s">
        <v>7599</v>
      </c>
      <c r="E2494" s="3" t="s">
        <v>7600</v>
      </c>
      <c r="F2494" s="3" t="str">
        <f>"8124260551"</f>
        <v>8124260551</v>
      </c>
      <c r="G2494" s="3">
        <v>54181</v>
      </c>
      <c r="H2494" s="3" t="s">
        <v>976</v>
      </c>
    </row>
    <row r="2495" spans="1:8" ht="64.5" x14ac:dyDescent="0.25">
      <c r="A2495" s="3" t="s">
        <v>7601</v>
      </c>
      <c r="B2495" s="3"/>
      <c r="C2495" s="3" t="str">
        <f>"Located in Culver, Indiana. We offer free estimates, 24 hour service, sales and installation for residential and light commercial heating and cooling needs. Insured and bonded."</f>
        <v>Located in Culver, Indiana. We offer free estimates, 24 hour service, sales and installation for residential and light commercial heating and cooling needs. Insured and bonded.</v>
      </c>
      <c r="D2495" s="3" t="s">
        <v>7602</v>
      </c>
      <c r="E2495" s="3" t="s">
        <v>7603</v>
      </c>
      <c r="F2495" s="3" t="str">
        <f>"574-542-2836"</f>
        <v>574-542-2836</v>
      </c>
      <c r="G2495" s="3">
        <v>23511</v>
      </c>
      <c r="H2495" s="3" t="s">
        <v>892</v>
      </c>
    </row>
    <row r="2496" spans="1:8" ht="204.75" x14ac:dyDescent="0.25">
      <c r="A2496" s="3" t="s">
        <v>7604</v>
      </c>
      <c r="B2496" s="3"/>
      <c r="C2496" s="3" t="s">
        <v>7605</v>
      </c>
      <c r="D2496" s="3" t="s">
        <v>9</v>
      </c>
      <c r="E2496" s="3" t="s">
        <v>7606</v>
      </c>
      <c r="F2496" s="3" t="str">
        <f>"(219) 763-9641"</f>
        <v>(219) 763-9641</v>
      </c>
      <c r="G2496" s="3">
        <v>541690</v>
      </c>
      <c r="H2496" s="3" t="s">
        <v>652</v>
      </c>
    </row>
    <row r="2497" spans="1:8" ht="306.75" x14ac:dyDescent="0.25">
      <c r="A2497" s="3" t="s">
        <v>7607</v>
      </c>
      <c r="B2497" s="3"/>
      <c r="C2497" s="3" t="s">
        <v>7608</v>
      </c>
      <c r="D2497" s="3" t="s">
        <v>7609</v>
      </c>
      <c r="E2497" s="3" t="s">
        <v>7610</v>
      </c>
      <c r="F2497" s="3" t="str">
        <f>"317-418-6166"</f>
        <v>317-418-6166</v>
      </c>
      <c r="G2497" s="3">
        <v>541930</v>
      </c>
      <c r="H2497" s="3" t="s">
        <v>971</v>
      </c>
    </row>
    <row r="2498" spans="1:8" ht="39" x14ac:dyDescent="0.25">
      <c r="A2498" s="3" t="s">
        <v>7611</v>
      </c>
      <c r="B2498" s="3"/>
      <c r="C2498" s="3" t="str">
        <f>"Provide computer and information systems consulting services, programming, design and outsourcing."</f>
        <v>Provide computer and information systems consulting services, programming, design and outsourcing.</v>
      </c>
      <c r="D2498" s="3" t="s">
        <v>7612</v>
      </c>
      <c r="E2498" s="3" t="s">
        <v>7613</v>
      </c>
      <c r="F2498" s="3" t="str">
        <f>"3176928830"</f>
        <v>3176928830</v>
      </c>
      <c r="G2498" s="3">
        <v>5415</v>
      </c>
      <c r="H2498" s="3" t="s">
        <v>188</v>
      </c>
    </row>
    <row r="2499" spans="1:8" ht="26.25" x14ac:dyDescent="0.25">
      <c r="A2499" s="3" t="s">
        <v>7614</v>
      </c>
      <c r="B2499" s="3"/>
      <c r="C2499" s="2"/>
      <c r="D2499" s="3" t="s">
        <v>9</v>
      </c>
      <c r="E2499" s="3" t="s">
        <v>46</v>
      </c>
      <c r="F2499" s="2"/>
      <c r="G2499" s="3">
        <v>621111</v>
      </c>
      <c r="H2499" s="3" t="s">
        <v>2002</v>
      </c>
    </row>
    <row r="2500" spans="1:8" ht="166.5" x14ac:dyDescent="0.25">
      <c r="A2500" s="3" t="s">
        <v>7615</v>
      </c>
      <c r="B2500" s="3"/>
      <c r="C2500" s="3" t="s">
        <v>7616</v>
      </c>
      <c r="D2500" s="3" t="s">
        <v>7617</v>
      </c>
      <c r="E2500" s="3" t="s">
        <v>7618</v>
      </c>
      <c r="F2500" s="3" t="str">
        <f>"317-745-5809"</f>
        <v>317-745-5809</v>
      </c>
      <c r="G2500" s="3">
        <v>441110</v>
      </c>
      <c r="H2500" s="3" t="s">
        <v>2588</v>
      </c>
    </row>
    <row r="2501" spans="1:8" ht="102.75" x14ac:dyDescent="0.25">
      <c r="A2501" s="3" t="s">
        <v>7619</v>
      </c>
      <c r="B2501" s="3"/>
      <c r="C2501" s="3" t="s">
        <v>7620</v>
      </c>
      <c r="D2501" s="3" t="s">
        <v>9</v>
      </c>
      <c r="E2501" s="3" t="s">
        <v>7621</v>
      </c>
      <c r="F2501" s="3" t="str">
        <f>"219-866-8645"</f>
        <v>219-866-8645</v>
      </c>
      <c r="G2501" s="3">
        <v>484110</v>
      </c>
      <c r="H2501" s="3" t="s">
        <v>644</v>
      </c>
    </row>
    <row r="2502" spans="1:8" ht="128.25" x14ac:dyDescent="0.25">
      <c r="A2502" s="3" t="s">
        <v>7622</v>
      </c>
      <c r="B2502" s="3"/>
      <c r="C2502" s="3" t="s">
        <v>7623</v>
      </c>
      <c r="D2502" s="3" t="s">
        <v>9</v>
      </c>
      <c r="E2502" s="3" t="s">
        <v>7624</v>
      </c>
      <c r="F2502" s="3" t="str">
        <f>"317-670-9631"</f>
        <v>317-670-9631</v>
      </c>
      <c r="G2502" s="3">
        <v>49</v>
      </c>
      <c r="H2502" s="3" t="s">
        <v>104</v>
      </c>
    </row>
    <row r="2503" spans="1:8" ht="255.75" x14ac:dyDescent="0.25">
      <c r="A2503" s="3" t="s">
        <v>7625</v>
      </c>
      <c r="B2503" s="3"/>
      <c r="C2503" s="3" t="s">
        <v>7626</v>
      </c>
      <c r="D2503" s="3" t="s">
        <v>9</v>
      </c>
      <c r="E2503" s="3" t="s">
        <v>7315</v>
      </c>
      <c r="F2503" s="3" t="str">
        <f>"219 322-6160"</f>
        <v>219 322-6160</v>
      </c>
      <c r="G2503" s="3">
        <v>5418</v>
      </c>
      <c r="H2503" s="3" t="s">
        <v>1337</v>
      </c>
    </row>
    <row r="2504" spans="1:8" ht="153.75" x14ac:dyDescent="0.25">
      <c r="A2504" s="3" t="s">
        <v>7627</v>
      </c>
      <c r="B2504" s="3"/>
      <c r="C2504" s="3" t="s">
        <v>7628</v>
      </c>
      <c r="D2504" s="3" t="s">
        <v>7629</v>
      </c>
      <c r="E2504" s="3" t="s">
        <v>7630</v>
      </c>
      <c r="F2504" s="2"/>
      <c r="G2504" s="3">
        <v>54182</v>
      </c>
      <c r="H2504" s="3" t="s">
        <v>795</v>
      </c>
    </row>
    <row r="2505" spans="1:8" ht="51.75" x14ac:dyDescent="0.25">
      <c r="A2505" s="3" t="s">
        <v>7631</v>
      </c>
      <c r="B2505" s="3"/>
      <c r="C2505" s="3" t="str">
        <f>"We provide professional cleaning to commercial hoods and fans. We also offer our pressure washing services to clean farm equipment, houses, and decks."</f>
        <v>We provide professional cleaning to commercial hoods and fans. We also offer our pressure washing services to clean farm equipment, houses, and decks.</v>
      </c>
      <c r="D2505" s="3" t="s">
        <v>7632</v>
      </c>
      <c r="E2505" s="3" t="s">
        <v>7633</v>
      </c>
      <c r="F2505" s="3" t="str">
        <f>"1-877-942-2400"</f>
        <v>1-877-942-2400</v>
      </c>
      <c r="G2505" s="3">
        <v>5617</v>
      </c>
      <c r="H2505" s="3" t="s">
        <v>812</v>
      </c>
    </row>
    <row r="2506" spans="1:8" ht="26.25" x14ac:dyDescent="0.25">
      <c r="A2506" s="3" t="s">
        <v>7634</v>
      </c>
      <c r="B2506" s="3"/>
      <c r="C2506" s="3" t="str">
        <f>"Interior Design services to enhance and coordinate with your brand."</f>
        <v>Interior Design services to enhance and coordinate with your brand.</v>
      </c>
      <c r="D2506" s="3" t="s">
        <v>7635</v>
      </c>
      <c r="E2506" s="3" t="s">
        <v>7636</v>
      </c>
      <c r="F2506" s="3" t="str">
        <f>"317-873-8100"</f>
        <v>317-873-8100</v>
      </c>
      <c r="G2506" s="3">
        <v>337212</v>
      </c>
      <c r="H2506" s="3" t="s">
        <v>2359</v>
      </c>
    </row>
    <row r="2507" spans="1:8" ht="306.75" x14ac:dyDescent="0.25">
      <c r="A2507" s="3" t="s">
        <v>7637</v>
      </c>
      <c r="B2507" s="3"/>
      <c r="C2507" s="3" t="s">
        <v>7638</v>
      </c>
      <c r="D2507" s="3" t="s">
        <v>7639</v>
      </c>
      <c r="E2507" s="3" t="s">
        <v>7640</v>
      </c>
      <c r="F2507" s="3" t="str">
        <f>"3174468407"</f>
        <v>3174468407</v>
      </c>
      <c r="G2507" s="3">
        <v>541910</v>
      </c>
      <c r="H2507" s="3" t="s">
        <v>510</v>
      </c>
    </row>
    <row r="2508" spans="1:8" ht="128.25" x14ac:dyDescent="0.25">
      <c r="A2508" s="3" t="s">
        <v>7641</v>
      </c>
      <c r="B2508" s="3"/>
      <c r="C2508" s="3" t="s">
        <v>7642</v>
      </c>
      <c r="D2508" s="3" t="s">
        <v>9</v>
      </c>
      <c r="E2508" s="3" t="s">
        <v>7640</v>
      </c>
      <c r="F2508" s="3" t="str">
        <f>"3174468407"</f>
        <v>3174468407</v>
      </c>
      <c r="G2508" s="3">
        <v>541910</v>
      </c>
      <c r="H2508" s="3" t="s">
        <v>510</v>
      </c>
    </row>
    <row r="2509" spans="1:8" ht="51.75" x14ac:dyDescent="0.25">
      <c r="A2509" s="3" t="s">
        <v>7643</v>
      </c>
      <c r="B2509" s="3"/>
      <c r="C2509" s="3" t="str">
        <f>"Information Technology Consulting including network &amp; database design /administration and web application development"</f>
        <v>Information Technology Consulting including network &amp; database design /administration and web application development</v>
      </c>
      <c r="D2509" s="3" t="s">
        <v>9</v>
      </c>
      <c r="E2509" s="3" t="s">
        <v>7644</v>
      </c>
      <c r="F2509" s="3" t="str">
        <f>"317 894 2623"</f>
        <v>317 894 2623</v>
      </c>
      <c r="G2509" s="3">
        <v>54151</v>
      </c>
      <c r="H2509" s="3" t="s">
        <v>188</v>
      </c>
    </row>
    <row r="2510" spans="1:8" ht="319.5" x14ac:dyDescent="0.25">
      <c r="A2510" s="3" t="s">
        <v>7645</v>
      </c>
      <c r="B2510" s="3"/>
      <c r="C2510" s="3" t="s">
        <v>7646</v>
      </c>
      <c r="D2510" s="3" t="s">
        <v>7647</v>
      </c>
      <c r="E2510" s="3" t="s">
        <v>7648</v>
      </c>
      <c r="F2510" s="3" t="str">
        <f>"800-526-1299X 716"</f>
        <v>800-526-1299X 716</v>
      </c>
      <c r="G2510" s="3">
        <v>423430</v>
      </c>
      <c r="H2510" s="3" t="s">
        <v>127</v>
      </c>
    </row>
    <row r="2511" spans="1:8" ht="51.75" x14ac:dyDescent="0.25">
      <c r="A2511" s="3" t="s">
        <v>7649</v>
      </c>
      <c r="B2511" s="3"/>
      <c r="C2511" s="3" t="str">
        <f>"Information Technology Services in the areas of software development, database and network design and administration, project management, staff augumentation."</f>
        <v>Information Technology Services in the areas of software development, database and network design and administration, project management, staff augumentation.</v>
      </c>
      <c r="D2511" s="3" t="s">
        <v>7650</v>
      </c>
      <c r="E2511" s="3" t="s">
        <v>7651</v>
      </c>
      <c r="F2511" s="3" t="str">
        <f>"317-848-1078"</f>
        <v>317-848-1078</v>
      </c>
      <c r="G2511" s="3">
        <v>541511</v>
      </c>
      <c r="H2511" s="3" t="s">
        <v>122</v>
      </c>
    </row>
    <row r="2512" spans="1:8" x14ac:dyDescent="0.25">
      <c r="A2512" s="3" t="s">
        <v>7652</v>
      </c>
      <c r="B2512" s="3"/>
      <c r="C2512" s="3" t="str">
        <f>" "</f>
        <v xml:space="preserve"> </v>
      </c>
      <c r="D2512" s="3" t="s">
        <v>9</v>
      </c>
      <c r="E2512" s="3" t="s">
        <v>46</v>
      </c>
      <c r="F2512" s="2"/>
      <c r="G2512" s="3">
        <v>541512</v>
      </c>
      <c r="H2512" s="3" t="s">
        <v>19</v>
      </c>
    </row>
    <row r="2513" spans="1:8" ht="230.25" x14ac:dyDescent="0.25">
      <c r="A2513" s="3" t="s">
        <v>7653</v>
      </c>
      <c r="B2513" s="3"/>
      <c r="C2513" s="3" t="s">
        <v>7654</v>
      </c>
      <c r="D2513" s="3" t="s">
        <v>7655</v>
      </c>
      <c r="E2513" s="3" t="s">
        <v>7656</v>
      </c>
      <c r="F2513" s="3" t="str">
        <f>"574-772-6100"</f>
        <v>574-772-6100</v>
      </c>
      <c r="G2513" s="3">
        <v>541512</v>
      </c>
      <c r="H2513" s="3" t="s">
        <v>19</v>
      </c>
    </row>
    <row r="2514" spans="1:8" ht="39" x14ac:dyDescent="0.25">
      <c r="A2514" s="3" t="s">
        <v>7657</v>
      </c>
      <c r="B2514" s="3"/>
      <c r="C2514" s="3" t="str">
        <f>"Desktop Support. Desktop Management. Helpdesk. Patch Management. Asset Inventory."</f>
        <v>Desktop Support. Desktop Management. Helpdesk. Patch Management. Asset Inventory.</v>
      </c>
      <c r="D2514" s="3" t="s">
        <v>7658</v>
      </c>
      <c r="E2514" s="3" t="s">
        <v>7659</v>
      </c>
      <c r="F2514" s="3" t="str">
        <f>"317-569-7485"</f>
        <v>317-569-7485</v>
      </c>
      <c r="G2514" s="3">
        <v>5415</v>
      </c>
      <c r="H2514" s="3" t="s">
        <v>188</v>
      </c>
    </row>
    <row r="2515" spans="1:8" ht="115.5" x14ac:dyDescent="0.25">
      <c r="A2515" s="3" t="s">
        <v>7660</v>
      </c>
      <c r="B2515" s="3"/>
      <c r="C2515" s="3" t="s">
        <v>7661</v>
      </c>
      <c r="D2515" s="3" t="s">
        <v>9</v>
      </c>
      <c r="E2515" s="3" t="s">
        <v>46</v>
      </c>
      <c r="F2515" s="3" t="str">
        <f>"317-291-4000"</f>
        <v>317-291-4000</v>
      </c>
      <c r="G2515" s="3">
        <v>541519</v>
      </c>
      <c r="H2515" s="3" t="s">
        <v>898</v>
      </c>
    </row>
    <row r="2516" spans="1:8" ht="128.25" x14ac:dyDescent="0.25">
      <c r="A2516" s="3" t="s">
        <v>7662</v>
      </c>
      <c r="B2516" s="3"/>
      <c r="C2516" s="3" t="s">
        <v>7663</v>
      </c>
      <c r="D2516" s="3" t="s">
        <v>7664</v>
      </c>
      <c r="E2516" s="3" t="s">
        <v>7665</v>
      </c>
      <c r="F2516" s="2"/>
      <c r="G2516" s="3">
        <v>54151</v>
      </c>
      <c r="H2516" s="3" t="s">
        <v>188</v>
      </c>
    </row>
    <row r="2517" spans="1:8" ht="90" x14ac:dyDescent="0.25">
      <c r="A2517" s="3" t="s">
        <v>7666</v>
      </c>
      <c r="B2517" s="3"/>
      <c r="C2517" s="3" t="s">
        <v>7667</v>
      </c>
      <c r="D2517" s="3" t="s">
        <v>7668</v>
      </c>
      <c r="E2517" s="3" t="s">
        <v>7669</v>
      </c>
      <c r="F2517" s="3" t="str">
        <f>"317-427-3410"</f>
        <v>317-427-3410</v>
      </c>
      <c r="G2517" s="3">
        <v>561720</v>
      </c>
      <c r="H2517" s="3" t="s">
        <v>222</v>
      </c>
    </row>
    <row r="2518" spans="1:8" ht="26.25" x14ac:dyDescent="0.25">
      <c r="A2518" s="3" t="s">
        <v>7670</v>
      </c>
      <c r="B2518" s="3"/>
      <c r="C2518" s="3" t="str">
        <f>" "</f>
        <v xml:space="preserve"> </v>
      </c>
      <c r="D2518" s="3" t="s">
        <v>7671</v>
      </c>
      <c r="E2518" s="3" t="s">
        <v>7672</v>
      </c>
      <c r="F2518" s="3" t="str">
        <f>"3176147555"</f>
        <v>3176147555</v>
      </c>
      <c r="G2518" s="3">
        <v>233</v>
      </c>
      <c r="H2518" s="3" t="s">
        <v>131</v>
      </c>
    </row>
    <row r="2519" spans="1:8" ht="26.25" x14ac:dyDescent="0.25">
      <c r="A2519" s="3" t="s">
        <v>7673</v>
      </c>
      <c r="B2519" s="3"/>
      <c r="C2519" s="3" t="str">
        <f>"Graphic art"</f>
        <v>Graphic art</v>
      </c>
      <c r="D2519" s="3" t="s">
        <v>9</v>
      </c>
      <c r="E2519" s="3" t="s">
        <v>7674</v>
      </c>
      <c r="F2519" s="3" t="str">
        <f>"317-849-8615"</f>
        <v>317-849-8615</v>
      </c>
      <c r="G2519" s="3">
        <v>54143</v>
      </c>
      <c r="H2519" s="3" t="s">
        <v>78</v>
      </c>
    </row>
    <row r="2520" spans="1:8" ht="39" x14ac:dyDescent="0.25">
      <c r="A2520" s="3" t="s">
        <v>7675</v>
      </c>
      <c r="B2520" s="3"/>
      <c r="C2520" s="3" t="str">
        <f>"Rebuild &amp; Install Injection Pumps and Injectors, Sell &amp; Install Exchange Turbos, Exhaust Systems &amp; High Flow Air Filters."</f>
        <v>Rebuild &amp; Install Injection Pumps and Injectors, Sell &amp; Install Exchange Turbos, Exhaust Systems &amp; High Flow Air Filters.</v>
      </c>
      <c r="D2520" s="3" t="s">
        <v>7676</v>
      </c>
      <c r="E2520" s="3" t="s">
        <v>7677</v>
      </c>
      <c r="F2520" s="3" t="str">
        <f>"765-286-0738"</f>
        <v>765-286-0738</v>
      </c>
      <c r="G2520" s="3">
        <v>811118</v>
      </c>
      <c r="H2520" s="3" t="s">
        <v>7678</v>
      </c>
    </row>
    <row r="2521" spans="1:8" ht="51.75" x14ac:dyDescent="0.25">
      <c r="A2521" s="3" t="s">
        <v>7679</v>
      </c>
      <c r="B2521" s="3"/>
      <c r="C2521" s="3" t="str">
        <f>"Real Estate Brokerage that I own and operate by myself. My principle activity for the past 10 years has been buying for INDOT in Land Acquisition."</f>
        <v>Real Estate Brokerage that I own and operate by myself. My principle activity for the past 10 years has been buying for INDOT in Land Acquisition.</v>
      </c>
      <c r="D2521" s="3" t="s">
        <v>9</v>
      </c>
      <c r="E2521" s="3" t="s">
        <v>7680</v>
      </c>
      <c r="F2521" s="3" t="str">
        <f>"812-944-2984"</f>
        <v>812-944-2984</v>
      </c>
      <c r="G2521" s="3">
        <v>2341</v>
      </c>
      <c r="H2521" s="3" t="s">
        <v>4867</v>
      </c>
    </row>
    <row r="2522" spans="1:8" ht="77.25" x14ac:dyDescent="0.25">
      <c r="A2522" s="3" t="s">
        <v>7681</v>
      </c>
      <c r="B2522" s="3"/>
      <c r="C2522" s="3" t="str">
        <f>"Tax preparation, accounting services, investment advice, insurance quotesfor property, casualty, life, health, business consultations and planning from setup to sell-out. retirement plan consultation and implementation"</f>
        <v>Tax preparation, accounting services, investment advice, insurance quotesfor property, casualty, life, health, business consultations and planning from setup to sell-out. retirement plan consultation and implementation</v>
      </c>
      <c r="D2522" s="3" t="s">
        <v>7682</v>
      </c>
      <c r="E2522" s="3" t="s">
        <v>7683</v>
      </c>
      <c r="F2522" s="3" t="str">
        <f>"317-392-2115"</f>
        <v>317-392-2115</v>
      </c>
      <c r="G2522" s="3">
        <v>54121</v>
      </c>
      <c r="H2522" s="3" t="s">
        <v>311</v>
      </c>
    </row>
    <row r="2523" spans="1:8" ht="39" x14ac:dyDescent="0.25">
      <c r="A2523" s="3" t="s">
        <v>7684</v>
      </c>
      <c r="B2523" s="3"/>
      <c r="C2523" s="3" t="str">
        <f>"Banners, Signs, Decals, Magnetic, Business Cards, Graphic Design, Flags &amp; Flag poles, Custom printed &amp; Yard signs"</f>
        <v>Banners, Signs, Decals, Magnetic, Business Cards, Graphic Design, Flags &amp; Flag poles, Custom printed &amp; Yard signs</v>
      </c>
      <c r="D2523" s="3" t="s">
        <v>7685</v>
      </c>
      <c r="E2523" s="3" t="s">
        <v>7686</v>
      </c>
      <c r="F2523" s="3" t="str">
        <f>"574-825-8070"</f>
        <v>574-825-8070</v>
      </c>
      <c r="G2523" s="3">
        <v>33995</v>
      </c>
      <c r="H2523" s="3" t="s">
        <v>68</v>
      </c>
    </row>
    <row r="2524" spans="1:8" ht="26.25" x14ac:dyDescent="0.25">
      <c r="A2524" s="3" t="s">
        <v>7687</v>
      </c>
      <c r="B2524" s="3"/>
      <c r="C2524" s="3" t="str">
        <f>"Real estate appraisal and consulting company."</f>
        <v>Real estate appraisal and consulting company.</v>
      </c>
      <c r="D2524" s="3" t="s">
        <v>7688</v>
      </c>
      <c r="E2524" s="3" t="s">
        <v>7689</v>
      </c>
      <c r="F2524" s="3" t="str">
        <f>"812-428-6000"</f>
        <v>812-428-6000</v>
      </c>
      <c r="G2524" s="3">
        <v>531320</v>
      </c>
      <c r="H2524" s="3" t="s">
        <v>34</v>
      </c>
    </row>
    <row r="2525" spans="1:8" ht="26.25" x14ac:dyDescent="0.25">
      <c r="A2525" s="3" t="s">
        <v>7690</v>
      </c>
      <c r="B2525" s="3"/>
      <c r="C2525" s="3" t="str">
        <f>" "</f>
        <v xml:space="preserve"> </v>
      </c>
      <c r="D2525" s="3" t="s">
        <v>7691</v>
      </c>
      <c r="E2525" s="3" t="s">
        <v>7692</v>
      </c>
      <c r="F2525" s="3" t="str">
        <f>"2197980395"</f>
        <v>2197980395</v>
      </c>
      <c r="G2525" s="3">
        <v>541310</v>
      </c>
      <c r="H2525" s="3" t="s">
        <v>446</v>
      </c>
    </row>
    <row r="2526" spans="1:8" ht="64.5" x14ac:dyDescent="0.25">
      <c r="A2526" s="3" t="s">
        <v>7693</v>
      </c>
      <c r="B2526" s="3"/>
      <c r="C2526" s="3" t="str">
        <f>"We provide electrical generators by Kohler,Baldor and Generac. We sell Retail and Wholesale and provide parts, service and rental units, long or short term. We will bid on any job for the state."</f>
        <v>We provide electrical generators by Kohler,Baldor and Generac. We sell Retail and Wholesale and provide parts, service and rental units, long or short term. We will bid on any job for the state.</v>
      </c>
      <c r="D2526" s="3" t="s">
        <v>7694</v>
      </c>
      <c r="E2526" s="3" t="s">
        <v>7695</v>
      </c>
      <c r="F2526" s="3" t="str">
        <f>"3175357788"</f>
        <v>3175357788</v>
      </c>
      <c r="G2526" s="3">
        <v>2211</v>
      </c>
      <c r="H2526" s="3" t="s">
        <v>7696</v>
      </c>
    </row>
    <row r="2527" spans="1:8" ht="26.25" x14ac:dyDescent="0.25">
      <c r="A2527" s="3" t="s">
        <v>7697</v>
      </c>
      <c r="B2527" s="3"/>
      <c r="C2527" s="3" t="str">
        <f>" "</f>
        <v xml:space="preserve"> </v>
      </c>
      <c r="D2527" s="3" t="s">
        <v>9</v>
      </c>
      <c r="E2527" s="3" t="s">
        <v>7698</v>
      </c>
      <c r="F2527" s="3" t="str">
        <f>"765 282 4317"</f>
        <v>765 282 4317</v>
      </c>
      <c r="G2527" s="3">
        <v>621330</v>
      </c>
      <c r="H2527" s="3" t="s">
        <v>2643</v>
      </c>
    </row>
    <row r="2528" spans="1:8" ht="26.25" x14ac:dyDescent="0.25">
      <c r="A2528" s="3" t="s">
        <v>7699</v>
      </c>
      <c r="B2528" s="3"/>
      <c r="C2528" s="3" t="str">
        <f>"Manufacturer of traffic marking paints as well as industrial paints."</f>
        <v>Manufacturer of traffic marking paints as well as industrial paints.</v>
      </c>
      <c r="D2528" s="3" t="s">
        <v>7700</v>
      </c>
      <c r="E2528" s="3" t="s">
        <v>7701</v>
      </c>
      <c r="F2528" s="3" t="str">
        <f>"219-933-0877"</f>
        <v>219-933-0877</v>
      </c>
      <c r="G2528" s="3">
        <v>32551</v>
      </c>
      <c r="H2528" s="3" t="s">
        <v>2050</v>
      </c>
    </row>
    <row r="2529" spans="1:8" ht="90" x14ac:dyDescent="0.25">
      <c r="A2529" s="3" t="s">
        <v>7702</v>
      </c>
      <c r="B2529" s="3"/>
      <c r="C2529" s="3" t="s">
        <v>7703</v>
      </c>
      <c r="D2529" s="3" t="s">
        <v>7704</v>
      </c>
      <c r="E2529" s="3" t="s">
        <v>7705</v>
      </c>
      <c r="F2529" s="3" t="str">
        <f>"812-486-4299"</f>
        <v>812-486-4299</v>
      </c>
      <c r="G2529" s="3">
        <v>236</v>
      </c>
      <c r="H2529" s="3" t="s">
        <v>291</v>
      </c>
    </row>
    <row r="2530" spans="1:8" ht="26.25" x14ac:dyDescent="0.25">
      <c r="A2530" s="3" t="s">
        <v>7706</v>
      </c>
      <c r="B2530" s="3"/>
      <c r="C2530" s="3" t="str">
        <f>"Barbering services"</f>
        <v>Barbering services</v>
      </c>
      <c r="D2530" s="3" t="s">
        <v>9</v>
      </c>
      <c r="E2530" s="3" t="s">
        <v>46</v>
      </c>
      <c r="F2530" s="3" t="str">
        <f>"765-457-9958"</f>
        <v>765-457-9958</v>
      </c>
      <c r="G2530" s="3">
        <v>812111</v>
      </c>
      <c r="H2530" s="3" t="s">
        <v>7707</v>
      </c>
    </row>
    <row r="2531" spans="1:8" ht="77.25" x14ac:dyDescent="0.25">
      <c r="A2531" s="3" t="s">
        <v>7708</v>
      </c>
      <c r="B2531" s="3"/>
      <c r="C2531" s="3" t="str">
        <f>"Davis Chocolate provides bakers and bar chocolate that is raw or roasted. We purchase many different beans and will custom process your chocolate needs. The company is located in Northern Indiana and is a family owned business."</f>
        <v>Davis Chocolate provides bakers and bar chocolate that is raw or roasted. We purchase many different beans and will custom process your chocolate needs. The company is located in Northern Indiana and is a family owned business.</v>
      </c>
      <c r="D2531" s="3" t="s">
        <v>7709</v>
      </c>
      <c r="E2531" s="3" t="s">
        <v>7710</v>
      </c>
      <c r="F2531" s="3" t="str">
        <f>"574.255.2366"</f>
        <v>574.255.2366</v>
      </c>
      <c r="G2531" s="3">
        <v>311320</v>
      </c>
      <c r="H2531" s="3" t="s">
        <v>7711</v>
      </c>
    </row>
    <row r="2532" spans="1:8" ht="39" x14ac:dyDescent="0.25">
      <c r="A2532" s="3" t="s">
        <v>7712</v>
      </c>
      <c r="B2532" s="3"/>
      <c r="C2532" s="3" t="str">
        <f>"Design of public policy and public systems to achieve the best performance and outcomes for people"</f>
        <v>Design of public policy and public systems to achieve the best performance and outcomes for people</v>
      </c>
      <c r="D2532" s="3" t="s">
        <v>7713</v>
      </c>
      <c r="E2532" s="3" t="s">
        <v>7714</v>
      </c>
      <c r="F2532" s="3" t="str">
        <f>"317-687-0504"</f>
        <v>317-687-0504</v>
      </c>
      <c r="G2532" s="3">
        <v>541512</v>
      </c>
      <c r="H2532" s="3" t="s">
        <v>19</v>
      </c>
    </row>
    <row r="2533" spans="1:8" ht="39" x14ac:dyDescent="0.25">
      <c r="A2533" s="3" t="s">
        <v>7715</v>
      </c>
      <c r="B2533" s="3"/>
      <c r="C2533" s="3" t="str">
        <f>"same day delivery, dedicated delivery. logistic 0-20,000pounds vans , straight truck operation.."</f>
        <v>same day delivery, dedicated delivery. logistic 0-20,000pounds vans , straight truck operation..</v>
      </c>
      <c r="D2533" s="3" t="s">
        <v>9</v>
      </c>
      <c r="E2533" s="3" t="s">
        <v>7716</v>
      </c>
      <c r="F2533" s="3" t="str">
        <f>"765-649-5706"</f>
        <v>765-649-5706</v>
      </c>
      <c r="G2533" s="3">
        <v>492</v>
      </c>
      <c r="H2533" s="3" t="s">
        <v>7284</v>
      </c>
    </row>
    <row r="2534" spans="1:8" ht="51.75" x14ac:dyDescent="0.25">
      <c r="A2534" s="3" t="s">
        <v>7717</v>
      </c>
      <c r="B2534" s="3"/>
      <c r="C2534" s="3" t="str">
        <f>"Davis Floor Worx provides and installs commercial flooring in northern Indiana. We install broadloom, carpet tile, resilient, ceramic and hardwood flooring."</f>
        <v>Davis Floor Worx provides and installs commercial flooring in northern Indiana. We install broadloom, carpet tile, resilient, ceramic and hardwood flooring.</v>
      </c>
      <c r="D2534" s="3" t="s">
        <v>9</v>
      </c>
      <c r="E2534" s="3" t="s">
        <v>7718</v>
      </c>
      <c r="F2534" s="3" t="str">
        <f>"260-410-8947"</f>
        <v>260-410-8947</v>
      </c>
      <c r="G2534" s="3">
        <v>238330</v>
      </c>
      <c r="H2534" s="3" t="s">
        <v>2995</v>
      </c>
    </row>
    <row r="2535" spans="1:8" ht="39" x14ac:dyDescent="0.25">
      <c r="A2535" s="3" t="s">
        <v>7719</v>
      </c>
      <c r="B2535" s="3"/>
      <c r="C2535" s="3" t="str">
        <f>"Building Automation System and Systems Integration for Commercial, Education, Industrial and Institution."</f>
        <v>Building Automation System and Systems Integration for Commercial, Education, Industrial and Institution.</v>
      </c>
      <c r="D2535" s="3" t="s">
        <v>7720</v>
      </c>
      <c r="E2535" s="3" t="s">
        <v>7721</v>
      </c>
      <c r="F2535" s="3" t="str">
        <f>"317-871-0103"</f>
        <v>317-871-0103</v>
      </c>
      <c r="G2535" s="3">
        <v>334512</v>
      </c>
      <c r="H2535" s="3" t="s">
        <v>7722</v>
      </c>
    </row>
    <row r="2536" spans="1:8" ht="26.25" x14ac:dyDescent="0.25">
      <c r="A2536" s="3" t="s">
        <v>7723</v>
      </c>
      <c r="B2536" s="3"/>
      <c r="C2536" s="3" t="str">
        <f>"saws, trimmers, mowers"</f>
        <v>saws, trimmers, mowers</v>
      </c>
      <c r="D2536" s="3" t="s">
        <v>9</v>
      </c>
      <c r="E2536" s="3" t="s">
        <v>7724</v>
      </c>
      <c r="F2536" s="3" t="str">
        <f>"812-294-1717"</f>
        <v>812-294-1717</v>
      </c>
      <c r="G2536" s="3">
        <v>1153</v>
      </c>
      <c r="H2536" s="3" t="s">
        <v>2505</v>
      </c>
    </row>
    <row r="2537" spans="1:8" ht="77.25" x14ac:dyDescent="0.25">
      <c r="A2537" s="3" t="s">
        <v>7725</v>
      </c>
      <c r="B2537" s="3"/>
      <c r="C2537" s="3" t="str">
        <f>"We sell Rivnut, Plusnut, and Hexnut internally threaded blind fasteners along with hand and power installation tools needed to upset Rivnut style fasteners. A Rivnut is a blind installed internally threaded rivet."</f>
        <v>We sell Rivnut, Plusnut, and Hexnut internally threaded blind fasteners along with hand and power installation tools needed to upset Rivnut style fasteners. A Rivnut is a blind installed internally threaded rivet.</v>
      </c>
      <c r="D2537" s="3" t="s">
        <v>9</v>
      </c>
      <c r="E2537" s="3" t="s">
        <v>7726</v>
      </c>
      <c r="F2537" s="3" t="str">
        <f>"317-773-6311"</f>
        <v>317-773-6311</v>
      </c>
      <c r="G2537" s="3">
        <v>332722</v>
      </c>
      <c r="H2537" s="3" t="s">
        <v>7727</v>
      </c>
    </row>
    <row r="2538" spans="1:8" x14ac:dyDescent="0.25">
      <c r="A2538" s="3" t="s">
        <v>7728</v>
      </c>
      <c r="B2538" s="3"/>
      <c r="C2538" s="3" t="str">
        <f>"Interior design services"</f>
        <v>Interior design services</v>
      </c>
      <c r="D2538" s="3" t="s">
        <v>9</v>
      </c>
      <c r="E2538" s="3" t="s">
        <v>7729</v>
      </c>
      <c r="F2538" s="2"/>
      <c r="G2538" s="3">
        <v>23599</v>
      </c>
      <c r="H2538" s="3" t="s">
        <v>248</v>
      </c>
    </row>
    <row r="2539" spans="1:8" ht="51.75" x14ac:dyDescent="0.25">
      <c r="A2539" s="3" t="s">
        <v>7730</v>
      </c>
      <c r="B2539" s="3"/>
      <c r="C2539" s="3" t="str">
        <f>"Retail/ wholesaler of agricultural supplies, erosion control products, soil stabilization products, seed and fertilizers. Installation of erosion control BMP's."</f>
        <v>Retail/ wholesaler of agricultural supplies, erosion control products, soil stabilization products, seed and fertilizers. Installation of erosion control BMP's.</v>
      </c>
      <c r="D2539" s="3" t="s">
        <v>7731</v>
      </c>
      <c r="E2539" s="3" t="s">
        <v>7732</v>
      </c>
      <c r="F2539" s="3" t="str">
        <f>"812-867-2463"</f>
        <v>812-867-2463</v>
      </c>
      <c r="G2539" s="3">
        <v>424910</v>
      </c>
      <c r="H2539" s="3" t="s">
        <v>1636</v>
      </c>
    </row>
    <row r="2540" spans="1:8" ht="90" x14ac:dyDescent="0.25">
      <c r="A2540" s="3" t="s">
        <v>7733</v>
      </c>
      <c r="B2540" s="3"/>
      <c r="C2540" s="3" t="s">
        <v>7734</v>
      </c>
      <c r="D2540" s="3" t="s">
        <v>7735</v>
      </c>
      <c r="E2540" s="3" t="s">
        <v>7736</v>
      </c>
      <c r="F2540" s="3" t="str">
        <f>"1-800-883-8057"</f>
        <v>1-800-883-8057</v>
      </c>
      <c r="G2540" s="3">
        <v>454390</v>
      </c>
      <c r="H2540" s="3" t="s">
        <v>1348</v>
      </c>
    </row>
    <row r="2541" spans="1:8" ht="204.75" x14ac:dyDescent="0.25">
      <c r="A2541" s="3" t="s">
        <v>7737</v>
      </c>
      <c r="B2541" s="3"/>
      <c r="C2541" s="3" t="s">
        <v>7738</v>
      </c>
      <c r="D2541" s="3" t="s">
        <v>7739</v>
      </c>
      <c r="E2541" s="3" t="s">
        <v>7740</v>
      </c>
      <c r="F2541" s="3" t="str">
        <f>"800-862-7302"</f>
        <v>800-862-7302</v>
      </c>
      <c r="G2541" s="3">
        <v>44831</v>
      </c>
      <c r="H2541" s="3" t="s">
        <v>7741</v>
      </c>
    </row>
    <row r="2542" spans="1:8" ht="217.5" x14ac:dyDescent="0.25">
      <c r="A2542" s="3" t="s">
        <v>7742</v>
      </c>
      <c r="B2542" s="3"/>
      <c r="C2542" s="3" t="s">
        <v>7743</v>
      </c>
      <c r="D2542" s="3" t="s">
        <v>7744</v>
      </c>
      <c r="E2542" s="3" t="s">
        <v>7745</v>
      </c>
      <c r="F2542" s="3" t="str">
        <f>"574/360-3901"</f>
        <v>574/360-3901</v>
      </c>
      <c r="G2542" s="3">
        <v>611420</v>
      </c>
      <c r="H2542" s="3" t="s">
        <v>39</v>
      </c>
    </row>
    <row r="2543" spans="1:8" ht="102.75" x14ac:dyDescent="0.25">
      <c r="A2543" s="3" t="s">
        <v>7746</v>
      </c>
      <c r="B2543" s="3"/>
      <c r="C2543" s="3" t="s">
        <v>7747</v>
      </c>
      <c r="D2543" s="3" t="s">
        <v>7748</v>
      </c>
      <c r="E2543" s="3" t="s">
        <v>7749</v>
      </c>
      <c r="F2543" s="3" t="str">
        <f>"219.365.2645"</f>
        <v>219.365.2645</v>
      </c>
      <c r="G2543" s="3">
        <v>423450</v>
      </c>
      <c r="H2543" s="3" t="s">
        <v>1406</v>
      </c>
    </row>
    <row r="2544" spans="1:8" ht="90" x14ac:dyDescent="0.25">
      <c r="A2544" s="3" t="s">
        <v>7750</v>
      </c>
      <c r="B2544" s="3"/>
      <c r="C2544" s="3" t="s">
        <v>7751</v>
      </c>
      <c r="D2544" s="3" t="s">
        <v>7752</v>
      </c>
      <c r="E2544" s="3" t="s">
        <v>7753</v>
      </c>
      <c r="F2544" s="3" t="str">
        <f>"574-340-4604"</f>
        <v>574-340-4604</v>
      </c>
      <c r="G2544" s="3">
        <v>56149</v>
      </c>
      <c r="H2544" s="3" t="s">
        <v>7754</v>
      </c>
    </row>
    <row r="2545" spans="1:8" ht="26.25" x14ac:dyDescent="0.25">
      <c r="A2545" s="3" t="s">
        <v>7755</v>
      </c>
      <c r="B2545" s="3"/>
      <c r="C2545" s="3" t="str">
        <f>"Educational and support services for families in need."</f>
        <v>Educational and support services for families in need.</v>
      </c>
      <c r="D2545" s="3" t="s">
        <v>7756</v>
      </c>
      <c r="E2545" s="3" t="s">
        <v>7757</v>
      </c>
      <c r="F2545" s="3" t="str">
        <f>"260-925-3865"</f>
        <v>260-925-3865</v>
      </c>
      <c r="G2545" s="3">
        <v>923130</v>
      </c>
      <c r="H2545" s="3" t="s">
        <v>724</v>
      </c>
    </row>
    <row r="2546" spans="1:8" ht="26.25" x14ac:dyDescent="0.25">
      <c r="A2546" s="3" t="s">
        <v>7758</v>
      </c>
      <c r="B2546" s="3"/>
      <c r="C2546" s="3" t="str">
        <f>"Management Consulting focused on business process reengineering techniques"</f>
        <v>Management Consulting focused on business process reengineering techniques</v>
      </c>
      <c r="D2546" s="3" t="s">
        <v>7759</v>
      </c>
      <c r="E2546" s="3" t="s">
        <v>7760</v>
      </c>
      <c r="F2546" s="3" t="str">
        <f>"3176262233"</f>
        <v>3176262233</v>
      </c>
      <c r="G2546" s="3">
        <v>54161</v>
      </c>
      <c r="H2546" s="3" t="s">
        <v>1221</v>
      </c>
    </row>
    <row r="2547" spans="1:8" ht="26.25" x14ac:dyDescent="0.25">
      <c r="A2547" s="3" t="s">
        <v>7761</v>
      </c>
      <c r="B2547" s="3"/>
      <c r="C2547" s="3" t="str">
        <f>"We provide excavating and sewage services."</f>
        <v>We provide excavating and sewage services.</v>
      </c>
      <c r="D2547" s="3" t="s">
        <v>9</v>
      </c>
      <c r="E2547" s="3" t="s">
        <v>7762</v>
      </c>
      <c r="F2547" s="3" t="str">
        <f>"574-946-4260"</f>
        <v>574-946-4260</v>
      </c>
      <c r="G2547" s="3">
        <v>23593</v>
      </c>
      <c r="H2547" s="3" t="s">
        <v>71</v>
      </c>
    </row>
    <row r="2548" spans="1:8" ht="306.75" x14ac:dyDescent="0.25">
      <c r="A2548" s="3" t="s">
        <v>7763</v>
      </c>
      <c r="B2548" s="3"/>
      <c r="C2548" s="3" t="s">
        <v>7764</v>
      </c>
      <c r="D2548" s="3" t="s">
        <v>7765</v>
      </c>
      <c r="E2548" s="3" t="s">
        <v>7766</v>
      </c>
      <c r="F2548" s="3" t="str">
        <f>"866-426-3007"</f>
        <v>866-426-3007</v>
      </c>
      <c r="G2548" s="3">
        <v>541930</v>
      </c>
      <c r="H2548" s="3" t="s">
        <v>971</v>
      </c>
    </row>
    <row r="2549" spans="1:8" ht="26.25" x14ac:dyDescent="0.25">
      <c r="A2549" s="3" t="s">
        <v>7767</v>
      </c>
      <c r="B2549" s="3"/>
      <c r="C2549" s="3" t="str">
        <f>"Insurance services firm specializing in employee health &amp; welfare plans."</f>
        <v>Insurance services firm specializing in employee health &amp; welfare plans.</v>
      </c>
      <c r="D2549" s="3" t="s">
        <v>7768</v>
      </c>
      <c r="E2549" s="3" t="s">
        <v>7769</v>
      </c>
      <c r="F2549" s="3" t="str">
        <f>"317-573-3850"</f>
        <v>317-573-3850</v>
      </c>
      <c r="G2549" s="3">
        <v>524210</v>
      </c>
      <c r="H2549" s="3" t="s">
        <v>1183</v>
      </c>
    </row>
    <row r="2550" spans="1:8" ht="26.25" x14ac:dyDescent="0.25">
      <c r="A2550" s="3" t="s">
        <v>7770</v>
      </c>
      <c r="B2550" s="3"/>
      <c r="C2550" s="3" t="str">
        <f>"General Contractor"</f>
        <v>General Contractor</v>
      </c>
      <c r="D2550" s="3" t="s">
        <v>7771</v>
      </c>
      <c r="E2550" s="3" t="s">
        <v>7772</v>
      </c>
      <c r="F2550" s="3" t="str">
        <f>"317-422-1654"</f>
        <v>317-422-1654</v>
      </c>
      <c r="G2550" s="3">
        <v>236220</v>
      </c>
      <c r="H2550" s="3" t="s">
        <v>598</v>
      </c>
    </row>
    <row r="2551" spans="1:8" ht="64.5" x14ac:dyDescent="0.25">
      <c r="A2551" s="3" t="s">
        <v>7773</v>
      </c>
      <c r="B2551" s="3"/>
      <c r="C2551" s="3" t="str">
        <f>"We install glass in autos, trucks, semi's, heavy equipment and farm equipment. We install on site as well as in our shop at 712 Widewater Dr. Lafayette,In.. All of our Glass Techs have over 16 years experience."</f>
        <v>We install glass in autos, trucks, semi's, heavy equipment and farm equipment. We install on site as well as in our shop at 712 Widewater Dr. Lafayette,In.. All of our Glass Techs have over 16 years experience.</v>
      </c>
      <c r="D2551" s="3" t="s">
        <v>7774</v>
      </c>
      <c r="E2551" s="3" t="s">
        <v>7775</v>
      </c>
      <c r="F2551" s="3" t="str">
        <f>"765-742-5081"</f>
        <v>765-742-5081</v>
      </c>
      <c r="G2551" s="3">
        <v>23815</v>
      </c>
      <c r="H2551" s="3" t="s">
        <v>2530</v>
      </c>
    </row>
    <row r="2552" spans="1:8" ht="51.75" x14ac:dyDescent="0.25">
      <c r="A2552" s="3" t="s">
        <v>7776</v>
      </c>
      <c r="B2552" s="3"/>
      <c r="C2552" s="3" t="str">
        <f>"The Women's Hospital is a speciality hospital devoted to women's health services including obstetrics, surgical services, and a Level III neonatal intensive care unit."</f>
        <v>The Women's Hospital is a speciality hospital devoted to women's health services including obstetrics, surgical services, and a Level III neonatal intensive care unit.</v>
      </c>
      <c r="D2552" s="3" t="s">
        <v>7777</v>
      </c>
      <c r="E2552" s="3" t="s">
        <v>46</v>
      </c>
      <c r="F2552" s="3" t="str">
        <f>"812-842-4200"</f>
        <v>812-842-4200</v>
      </c>
      <c r="G2552" s="3">
        <v>6223</v>
      </c>
      <c r="H2552" s="3" t="s">
        <v>7778</v>
      </c>
    </row>
    <row r="2553" spans="1:8" ht="77.25" x14ac:dyDescent="0.25">
      <c r="A2553" s="3" t="s">
        <v>7779</v>
      </c>
      <c r="B2553" s="3"/>
      <c r="C2553" s="3" t="str">
        <f>"Chevrolet dealership providing Fleet,Commercial and Municipal vehicles to businesses,municipalities and governmental agencies throughout Indiana, specializing in Chevrolet Law Enforcement Vehicles."</f>
        <v>Chevrolet dealership providing Fleet,Commercial and Municipal vehicles to businesses,municipalities and governmental agencies throughout Indiana, specializing in Chevrolet Law Enforcement Vehicles.</v>
      </c>
      <c r="D2553" s="3" t="s">
        <v>7780</v>
      </c>
      <c r="E2553" s="3" t="s">
        <v>7781</v>
      </c>
      <c r="F2553" s="3" t="str">
        <f>"260-484-5566"</f>
        <v>260-484-5566</v>
      </c>
      <c r="G2553" s="3">
        <v>441110</v>
      </c>
      <c r="H2553" s="3" t="s">
        <v>2588</v>
      </c>
    </row>
    <row r="2554" spans="1:8" ht="319.5" x14ac:dyDescent="0.25">
      <c r="A2554" s="3" t="s">
        <v>7782</v>
      </c>
      <c r="B2554" s="3"/>
      <c r="C2554" s="3" t="s">
        <v>7783</v>
      </c>
      <c r="D2554" s="3" t="s">
        <v>7784</v>
      </c>
      <c r="E2554" s="3" t="s">
        <v>7785</v>
      </c>
      <c r="F2554" s="3" t="str">
        <f>"317-927-9313"</f>
        <v>317-927-9313</v>
      </c>
      <c r="G2554" s="3">
        <v>5614</v>
      </c>
      <c r="H2554" s="3" t="s">
        <v>847</v>
      </c>
    </row>
    <row r="2555" spans="1:8" ht="179.25" x14ac:dyDescent="0.25">
      <c r="A2555" s="3" t="s">
        <v>7786</v>
      </c>
      <c r="B2555" s="3"/>
      <c r="C2555" s="3" t="s">
        <v>7787</v>
      </c>
      <c r="D2555" s="3" t="s">
        <v>7788</v>
      </c>
      <c r="E2555" s="3" t="s">
        <v>7789</v>
      </c>
      <c r="F2555" s="3" t="str">
        <f>"317.634.8020"</f>
        <v>317.634.8020</v>
      </c>
      <c r="G2555" s="3">
        <v>5418</v>
      </c>
      <c r="H2555" s="3" t="s">
        <v>1337</v>
      </c>
    </row>
    <row r="2556" spans="1:8" ht="102.75" x14ac:dyDescent="0.25">
      <c r="A2556" s="3" t="s">
        <v>7790</v>
      </c>
      <c r="B2556" s="3"/>
      <c r="C2556" s="3" t="s">
        <v>7791</v>
      </c>
      <c r="D2556" s="3" t="s">
        <v>9</v>
      </c>
      <c r="E2556" s="3" t="s">
        <v>46</v>
      </c>
      <c r="F2556" s="3" t="str">
        <f>"317-926-3308"</f>
        <v>317-926-3308</v>
      </c>
      <c r="G2556" s="3">
        <v>423810</v>
      </c>
      <c r="H2556" s="3" t="s">
        <v>4276</v>
      </c>
    </row>
    <row r="2557" spans="1:8" ht="77.25" x14ac:dyDescent="0.25">
      <c r="A2557" s="3" t="s">
        <v>7792</v>
      </c>
      <c r="B2557" s="3"/>
      <c r="C2557" s="3" t="str">
        <f>"Dearborn County Hospital provides quality health care services and associate services, as appropriate, to the residents of Southeastern Indiana and to the adjacent counties in Northern Kentucky and Southwestern Ohio."</f>
        <v>Dearborn County Hospital provides quality health care services and associate services, as appropriate, to the residents of Southeastern Indiana and to the adjacent counties in Northern Kentucky and Southwestern Ohio.</v>
      </c>
      <c r="D2557" s="3" t="s">
        <v>7793</v>
      </c>
      <c r="E2557" s="3" t="s">
        <v>7794</v>
      </c>
      <c r="F2557" s="3" t="str">
        <f>"812-537-1010"</f>
        <v>812-537-1010</v>
      </c>
      <c r="G2557" s="3">
        <v>622110</v>
      </c>
      <c r="H2557" s="3" t="s">
        <v>3335</v>
      </c>
    </row>
    <row r="2558" spans="1:8" ht="77.25" x14ac:dyDescent="0.25">
      <c r="A2558" s="3" t="s">
        <v>7795</v>
      </c>
      <c r="B2558" s="3"/>
      <c r="C2558" s="3" t="str">
        <f>"CPA firm which prepares individual and corporate income tax returns. We perform writeup work, compilations and reviews for small businesses. We have expertise in Quickbooks and Peachtree accounting software."</f>
        <v>CPA firm which prepares individual and corporate income tax returns. We perform writeup work, compilations and reviews for small businesses. We have expertise in Quickbooks and Peachtree accounting software.</v>
      </c>
      <c r="D2558" s="3" t="s">
        <v>9</v>
      </c>
      <c r="E2558" s="3" t="s">
        <v>46</v>
      </c>
      <c r="F2558" s="2"/>
      <c r="G2558" s="3">
        <v>541211</v>
      </c>
      <c r="H2558" s="3" t="s">
        <v>337</v>
      </c>
    </row>
    <row r="2559" spans="1:8" ht="281.25" x14ac:dyDescent="0.25">
      <c r="A2559" s="3" t="s">
        <v>7796</v>
      </c>
      <c r="B2559" s="3"/>
      <c r="C2559" s="3" t="s">
        <v>7797</v>
      </c>
      <c r="D2559" s="3" t="s">
        <v>7798</v>
      </c>
      <c r="E2559" s="3" t="s">
        <v>7799</v>
      </c>
      <c r="F2559" s="3" t="str">
        <f>"812-498-6685"</f>
        <v>812-498-6685</v>
      </c>
      <c r="G2559" s="3">
        <v>561720</v>
      </c>
      <c r="H2559" s="3" t="s">
        <v>222</v>
      </c>
    </row>
    <row r="2560" spans="1:8" ht="39" x14ac:dyDescent="0.25">
      <c r="A2560" s="3" t="s">
        <v>7800</v>
      </c>
      <c r="B2560" s="3"/>
      <c r="C2560" s="3" t="str">
        <f>"Real estate appraiser specializing in commercial, industrial, and right-of-way appraisal assignments."</f>
        <v>Real estate appraiser specializing in commercial, industrial, and right-of-way appraisal assignments.</v>
      </c>
      <c r="D2560" s="3" t="s">
        <v>7801</v>
      </c>
      <c r="E2560" s="3" t="s">
        <v>7802</v>
      </c>
      <c r="F2560" s="3" t="str">
        <f>"219-769-1335"</f>
        <v>219-769-1335</v>
      </c>
      <c r="G2560" s="3">
        <v>531320</v>
      </c>
      <c r="H2560" s="3" t="s">
        <v>34</v>
      </c>
    </row>
    <row r="2561" spans="1:8" ht="153.75" x14ac:dyDescent="0.25">
      <c r="A2561" s="3" t="s">
        <v>7803</v>
      </c>
      <c r="B2561" s="3"/>
      <c r="C2561" s="3" t="s">
        <v>7804</v>
      </c>
      <c r="D2561" s="3" t="s">
        <v>7805</v>
      </c>
      <c r="E2561" s="3" t="s">
        <v>7806</v>
      </c>
      <c r="F2561" s="3" t="str">
        <f>"765-429-5956"</f>
        <v>765-429-5956</v>
      </c>
      <c r="G2561" s="3">
        <v>541330</v>
      </c>
      <c r="H2561" s="3" t="s">
        <v>82</v>
      </c>
    </row>
    <row r="2562" spans="1:8" ht="51.75" x14ac:dyDescent="0.25">
      <c r="A2562" s="3" t="s">
        <v>7807</v>
      </c>
      <c r="B2562" s="3"/>
      <c r="C2562" s="3" t="str">
        <f>"We are a manufacturer's rep dealing in drainage related products that include steel, aluminum, plastic and concrete pipe and bridge products."</f>
        <v>We are a manufacturer's rep dealing in drainage related products that include steel, aluminum, plastic and concrete pipe and bridge products.</v>
      </c>
      <c r="D2562" s="3" t="s">
        <v>9</v>
      </c>
      <c r="E2562" s="3" t="s">
        <v>7808</v>
      </c>
      <c r="F2562" s="3" t="str">
        <f>"219-567-9439"</f>
        <v>219-567-9439</v>
      </c>
      <c r="G2562" s="3">
        <v>45439</v>
      </c>
      <c r="H2562" s="3" t="s">
        <v>1348</v>
      </c>
    </row>
    <row r="2563" spans="1:8" ht="204.75" x14ac:dyDescent="0.25">
      <c r="A2563" s="3" t="s">
        <v>7809</v>
      </c>
      <c r="B2563" s="3"/>
      <c r="C2563" s="3" t="s">
        <v>7810</v>
      </c>
      <c r="D2563" s="3" t="s">
        <v>7811</v>
      </c>
      <c r="E2563" s="3" t="s">
        <v>7812</v>
      </c>
      <c r="F2563" s="3" t="str">
        <f>"317-467-1017"</f>
        <v>317-467-1017</v>
      </c>
      <c r="G2563" s="3">
        <v>541219</v>
      </c>
      <c r="H2563" s="3" t="s">
        <v>2010</v>
      </c>
    </row>
    <row r="2564" spans="1:8" ht="128.25" x14ac:dyDescent="0.25">
      <c r="A2564" s="3" t="s">
        <v>7813</v>
      </c>
      <c r="B2564" s="3"/>
      <c r="C2564" s="3" t="s">
        <v>7814</v>
      </c>
      <c r="D2564" s="3" t="s">
        <v>7815</v>
      </c>
      <c r="E2564" s="3" t="s">
        <v>7816</v>
      </c>
      <c r="F2564" s="3" t="str">
        <f>"317-641-9029"</f>
        <v>317-641-9029</v>
      </c>
      <c r="G2564" s="3">
        <v>541611</v>
      </c>
      <c r="H2564" s="3" t="s">
        <v>278</v>
      </c>
    </row>
    <row r="2565" spans="1:8" ht="39" x14ac:dyDescent="0.25">
      <c r="A2565" s="3" t="s">
        <v>7817</v>
      </c>
      <c r="B2565" s="3"/>
      <c r="C2565" s="3" t="str">
        <f>"Strategic planning, organizational development, quality improvement including Lean and Six Sigma."</f>
        <v>Strategic planning, organizational development, quality improvement including Lean and Six Sigma.</v>
      </c>
      <c r="D2565" s="3" t="s">
        <v>7818</v>
      </c>
      <c r="E2565" s="3" t="s">
        <v>7819</v>
      </c>
      <c r="F2565" s="3" t="str">
        <f>"260-436-5064"</f>
        <v>260-436-5064</v>
      </c>
      <c r="G2565" s="3">
        <v>541611</v>
      </c>
      <c r="H2565" s="3" t="s">
        <v>278</v>
      </c>
    </row>
    <row r="2566" spans="1:8" ht="26.25" x14ac:dyDescent="0.25">
      <c r="A2566" s="3" t="s">
        <v>7820</v>
      </c>
      <c r="B2566" s="3"/>
      <c r="C2566" s="2"/>
      <c r="D2566" s="3" t="s">
        <v>9</v>
      </c>
      <c r="E2566" s="3" t="s">
        <v>7821</v>
      </c>
      <c r="F2566" s="3" t="str">
        <f>"765-776-0612"</f>
        <v>765-776-0612</v>
      </c>
      <c r="G2566" s="3">
        <v>23611</v>
      </c>
      <c r="H2566" s="3" t="s">
        <v>3466</v>
      </c>
    </row>
    <row r="2567" spans="1:8" ht="51.75" x14ac:dyDescent="0.25">
      <c r="A2567" s="3" t="s">
        <v>7822</v>
      </c>
      <c r="B2567" s="3"/>
      <c r="C2567" s="3" t="str">
        <f>"We are an HVAC company. We install &amp; repair and maintain: Furnaces, Air Conditioning units, Boilers, Humidifiers, Air Cleaners."</f>
        <v>We are an HVAC company. We install &amp; repair and maintain: Furnaces, Air Conditioning units, Boilers, Humidifiers, Air Cleaners.</v>
      </c>
      <c r="D2567" s="3" t="s">
        <v>7823</v>
      </c>
      <c r="E2567" s="3" t="s">
        <v>7824</v>
      </c>
      <c r="F2567" s="3" t="str">
        <f>"219-924-1103"</f>
        <v>219-924-1103</v>
      </c>
      <c r="G2567" s="3">
        <v>238220</v>
      </c>
      <c r="H2567" s="3" t="s">
        <v>348</v>
      </c>
    </row>
    <row r="2568" spans="1:8" ht="90" x14ac:dyDescent="0.25">
      <c r="A2568" s="3" t="s">
        <v>7825</v>
      </c>
      <c r="B2568" s="3"/>
      <c r="C2568" s="3" t="s">
        <v>7826</v>
      </c>
      <c r="D2568" s="3" t="s">
        <v>7827</v>
      </c>
      <c r="E2568" s="3" t="s">
        <v>7828</v>
      </c>
      <c r="F2568" s="3" t="str">
        <f>"(317) 536-5606"</f>
        <v>(317) 536-5606</v>
      </c>
      <c r="G2568" s="3">
        <v>541211</v>
      </c>
      <c r="H2568" s="3" t="s">
        <v>337</v>
      </c>
    </row>
    <row r="2569" spans="1:8" x14ac:dyDescent="0.25">
      <c r="A2569" s="3" t="s">
        <v>7829</v>
      </c>
      <c r="B2569" s="3"/>
      <c r="C2569" s="3" t="str">
        <f>" "</f>
        <v xml:space="preserve"> </v>
      </c>
      <c r="D2569" s="3" t="s">
        <v>9</v>
      </c>
      <c r="E2569" s="3" t="s">
        <v>46</v>
      </c>
      <c r="F2569" s="2"/>
      <c r="G2569" s="3">
        <v>611110</v>
      </c>
      <c r="H2569" s="3" t="s">
        <v>3876</v>
      </c>
    </row>
    <row r="2570" spans="1:8" ht="26.25" x14ac:dyDescent="0.25">
      <c r="A2570" s="3" t="s">
        <v>7830</v>
      </c>
      <c r="B2570" s="3"/>
      <c r="C2570" s="3" t="str">
        <f>"Solid Waste Landfill"</f>
        <v>Solid Waste Landfill</v>
      </c>
      <c r="D2570" s="3" t="s">
        <v>9</v>
      </c>
      <c r="E2570" s="3" t="s">
        <v>7831</v>
      </c>
      <c r="F2570" s="3" t="str">
        <f>"(812) 663-8799"</f>
        <v>(812) 663-8799</v>
      </c>
      <c r="G2570" s="3">
        <v>562212</v>
      </c>
      <c r="H2570" s="3" t="s">
        <v>7832</v>
      </c>
    </row>
    <row r="2571" spans="1:8" ht="64.5" x14ac:dyDescent="0.25">
      <c r="A2571" s="3" t="s">
        <v>7833</v>
      </c>
      <c r="B2571" s="3"/>
      <c r="C2571" s="3" t="str">
        <f>"Specializing in Machine Shop, Prototyping, Injection Molded Plastic, Foreign Trade Zone, Customs Broker, Engineering, Research &amp; Development, Contracted International Freight Logistics."</f>
        <v>Specializing in Machine Shop, Prototyping, Injection Molded Plastic, Foreign Trade Zone, Customs Broker, Engineering, Research &amp; Development, Contracted International Freight Logistics.</v>
      </c>
      <c r="D2571" s="3" t="s">
        <v>7834</v>
      </c>
      <c r="E2571" s="3" t="s">
        <v>46</v>
      </c>
      <c r="F2571" s="3" t="str">
        <f>"812 346-5188"</f>
        <v>812 346-5188</v>
      </c>
      <c r="G2571" s="3">
        <v>332710</v>
      </c>
      <c r="H2571" s="3" t="s">
        <v>387</v>
      </c>
    </row>
    <row r="2572" spans="1:8" ht="26.25" x14ac:dyDescent="0.25">
      <c r="A2572" s="3" t="s">
        <v>7835</v>
      </c>
      <c r="B2572" s="3"/>
      <c r="C2572" s="3" t="str">
        <f>"International Truck Dealership"</f>
        <v>International Truck Dealership</v>
      </c>
      <c r="D2572" s="3" t="s">
        <v>7836</v>
      </c>
      <c r="E2572" s="3" t="s">
        <v>46</v>
      </c>
      <c r="F2572" s="3" t="str">
        <f>"260-482-3000"</f>
        <v>260-482-3000</v>
      </c>
      <c r="G2572" s="3">
        <v>441</v>
      </c>
      <c r="H2572" s="3" t="s">
        <v>1556</v>
      </c>
    </row>
    <row r="2573" spans="1:8" ht="204.75" x14ac:dyDescent="0.25">
      <c r="A2573" s="3" t="s">
        <v>7837</v>
      </c>
      <c r="B2573" s="3"/>
      <c r="C2573" s="3" t="s">
        <v>7838</v>
      </c>
      <c r="D2573" s="3" t="s">
        <v>7839</v>
      </c>
      <c r="E2573" s="3" t="s">
        <v>7840</v>
      </c>
      <c r="F2573" s="3" t="str">
        <f>"317-570-8689"</f>
        <v>317-570-8689</v>
      </c>
      <c r="G2573" s="3">
        <v>541611</v>
      </c>
      <c r="H2573" s="3" t="s">
        <v>278</v>
      </c>
    </row>
    <row r="2574" spans="1:8" ht="153.75" x14ac:dyDescent="0.25">
      <c r="A2574" s="3" t="s">
        <v>7841</v>
      </c>
      <c r="B2574" s="3"/>
      <c r="C2574" s="3" t="s">
        <v>7842</v>
      </c>
      <c r="D2574" s="3" t="s">
        <v>7843</v>
      </c>
      <c r="E2574" s="3" t="s">
        <v>7844</v>
      </c>
      <c r="F2574" s="3" t="str">
        <f>"317 272-2577"</f>
        <v>317 272-2577</v>
      </c>
      <c r="G2574" s="3">
        <v>541330</v>
      </c>
      <c r="H2574" s="3" t="s">
        <v>82</v>
      </c>
    </row>
    <row r="2575" spans="1:8" ht="255.75" x14ac:dyDescent="0.25">
      <c r="A2575" s="3" t="s">
        <v>7845</v>
      </c>
      <c r="B2575" s="3"/>
      <c r="C2575" s="3" t="s">
        <v>7846</v>
      </c>
      <c r="D2575" s="3" t="s">
        <v>7847</v>
      </c>
      <c r="E2575" s="3" t="s">
        <v>7848</v>
      </c>
      <c r="F2575" s="3" t="str">
        <f>"317-634-0545"</f>
        <v>317-634-0545</v>
      </c>
      <c r="G2575" s="3">
        <v>541620</v>
      </c>
      <c r="H2575" s="3" t="s">
        <v>216</v>
      </c>
    </row>
    <row r="2576" spans="1:8" ht="39" x14ac:dyDescent="0.25">
      <c r="A2576" s="3" t="s">
        <v>7849</v>
      </c>
      <c r="B2576" s="3"/>
      <c r="C2576" s="3" t="str">
        <f>"I specialize in general home maintenance and repairs with a focus on HVAC service and installation."</f>
        <v>I specialize in general home maintenance and repairs with a focus on HVAC service and installation.</v>
      </c>
      <c r="D2576" s="3" t="s">
        <v>7850</v>
      </c>
      <c r="E2576" s="3" t="s">
        <v>7851</v>
      </c>
      <c r="F2576" s="3" t="str">
        <f>"260-748-7974"</f>
        <v>260-748-7974</v>
      </c>
      <c r="G2576" s="3">
        <v>238220</v>
      </c>
      <c r="H2576" s="3" t="s">
        <v>348</v>
      </c>
    </row>
    <row r="2577" spans="1:8" ht="281.25" x14ac:dyDescent="0.25">
      <c r="A2577" s="3" t="s">
        <v>7852</v>
      </c>
      <c r="B2577" s="3"/>
      <c r="C2577" s="3" t="s">
        <v>7853</v>
      </c>
      <c r="D2577" s="3" t="s">
        <v>7854</v>
      </c>
      <c r="E2577" s="3" t="s">
        <v>7855</v>
      </c>
      <c r="F2577" s="3" t="str">
        <f>"812-479-9700"</f>
        <v>812-479-9700</v>
      </c>
      <c r="G2577" s="3">
        <v>336211</v>
      </c>
      <c r="H2577" s="3" t="s">
        <v>6061</v>
      </c>
    </row>
    <row r="2578" spans="1:8" ht="268.5" x14ac:dyDescent="0.25">
      <c r="A2578" s="3" t="s">
        <v>7856</v>
      </c>
      <c r="B2578" s="3"/>
      <c r="C2578" s="3" t="s">
        <v>7857</v>
      </c>
      <c r="D2578" s="3" t="s">
        <v>7858</v>
      </c>
      <c r="E2578" s="3" t="s">
        <v>7859</v>
      </c>
      <c r="F2578" s="3" t="str">
        <f>"574-246-9232"</f>
        <v>574-246-9232</v>
      </c>
      <c r="G2578" s="3">
        <v>541511</v>
      </c>
      <c r="H2578" s="3" t="s">
        <v>122</v>
      </c>
    </row>
    <row r="2579" spans="1:8" ht="204.75" x14ac:dyDescent="0.25">
      <c r="A2579" s="3" t="s">
        <v>7860</v>
      </c>
      <c r="B2579" s="3"/>
      <c r="C2579" s="3" t="s">
        <v>7861</v>
      </c>
      <c r="D2579" s="3" t="s">
        <v>7862</v>
      </c>
      <c r="E2579" s="3" t="s">
        <v>7863</v>
      </c>
      <c r="F2579" s="3" t="str">
        <f>"(260)824-3334"</f>
        <v>(260)824-3334</v>
      </c>
      <c r="G2579" s="3">
        <v>33271</v>
      </c>
      <c r="H2579" s="3" t="s">
        <v>387</v>
      </c>
    </row>
    <row r="2580" spans="1:8" ht="90" x14ac:dyDescent="0.25">
      <c r="A2580" s="3" t="s">
        <v>7864</v>
      </c>
      <c r="B2580" s="3"/>
      <c r="C2580" s="3" t="str">
        <f>"We sell and install all types of flooring-carpet, laminate, hardwood, ceramic tile, vinyl. We are a Mohawk Floorscapes Dealer, therefore we receive all of Mohawks special deals. We have over 60 years experience, and we'll beat any legitimate price."</f>
        <v>We sell and install all types of flooring-carpet, laminate, hardwood, ceramic tile, vinyl. We are a Mohawk Floorscapes Dealer, therefore we receive all of Mohawks special deals. We have over 60 years experience, and we'll beat any legitimate price.</v>
      </c>
      <c r="D2580" s="3" t="s">
        <v>9</v>
      </c>
      <c r="E2580" s="3" t="s">
        <v>7865</v>
      </c>
      <c r="F2580" s="3" t="str">
        <f>"574-772-7088"</f>
        <v>574-772-7088</v>
      </c>
      <c r="G2580" s="3">
        <v>23552</v>
      </c>
      <c r="H2580" s="3" t="s">
        <v>955</v>
      </c>
    </row>
    <row r="2581" spans="1:8" ht="64.5" x14ac:dyDescent="0.25">
      <c r="A2581" s="3" t="s">
        <v>7866</v>
      </c>
      <c r="B2581" s="3"/>
      <c r="C2581" s="3" t="str">
        <f>"We are a complete marine surveying and consulting business. We consult in all aspects of the maritime field, including Homeland Security related issues for public and private enterprises."</f>
        <v>We are a complete marine surveying and consulting business. We consult in all aspects of the maritime field, including Homeland Security related issues for public and private enterprises.</v>
      </c>
      <c r="D2581" s="3" t="s">
        <v>7867</v>
      </c>
      <c r="E2581" s="3" t="s">
        <v>7868</v>
      </c>
      <c r="F2581" s="3" t="str">
        <f>"812-838-3117"</f>
        <v>812-838-3117</v>
      </c>
      <c r="G2581" s="3">
        <v>23</v>
      </c>
      <c r="H2581" s="3" t="s">
        <v>133</v>
      </c>
    </row>
    <row r="2582" spans="1:8" ht="153.75" x14ac:dyDescent="0.25">
      <c r="A2582" s="3" t="s">
        <v>7869</v>
      </c>
      <c r="B2582" s="3"/>
      <c r="C2582" s="3" t="s">
        <v>7870</v>
      </c>
      <c r="D2582" s="3" t="s">
        <v>7871</v>
      </c>
      <c r="E2582" s="3" t="s">
        <v>7872</v>
      </c>
      <c r="F2582" s="3" t="str">
        <f>"317-636-5500"</f>
        <v>317-636-5500</v>
      </c>
      <c r="G2582" s="3">
        <v>561612</v>
      </c>
      <c r="H2582" s="3" t="s">
        <v>362</v>
      </c>
    </row>
    <row r="2583" spans="1:8" ht="64.5" x14ac:dyDescent="0.25">
      <c r="A2583" s="3" t="s">
        <v>7873</v>
      </c>
      <c r="B2583" s="3"/>
      <c r="C2583" s="3" t="str">
        <f>"We rent canoes, kayaks and tubes on scenic Sugar Creek. Trips range from a short 5 mile trip to overnight 30 trips. We are near Shades and Turkey Run State Parks. Please let us know how we can help you!"</f>
        <v>We rent canoes, kayaks and tubes on scenic Sugar Creek. Trips range from a short 5 mile trip to overnight 30 trips. We are near Shades and Turkey Run State Parks. Please let us know how we can help you!</v>
      </c>
      <c r="D2583" s="3" t="s">
        <v>7874</v>
      </c>
      <c r="E2583" s="3" t="s">
        <v>7875</v>
      </c>
      <c r="F2583" s="3" t="str">
        <f>"765-435-2070"</f>
        <v>765-435-2070</v>
      </c>
      <c r="G2583" s="3">
        <v>532292</v>
      </c>
      <c r="H2583" s="3" t="s">
        <v>7876</v>
      </c>
    </row>
    <row r="2584" spans="1:8" ht="102.75" x14ac:dyDescent="0.25">
      <c r="A2584" s="3" t="s">
        <v>7877</v>
      </c>
      <c r="B2584" s="3"/>
      <c r="C2584" s="3" t="s">
        <v>7878</v>
      </c>
      <c r="D2584" s="3" t="s">
        <v>7879</v>
      </c>
      <c r="E2584" s="3" t="s">
        <v>7880</v>
      </c>
      <c r="F2584" s="3" t="str">
        <f>"260-432-0677"</f>
        <v>260-432-0677</v>
      </c>
      <c r="G2584" s="3">
        <v>441110</v>
      </c>
      <c r="H2584" s="3" t="s">
        <v>2588</v>
      </c>
    </row>
    <row r="2585" spans="1:8" ht="77.25" x14ac:dyDescent="0.25">
      <c r="A2585" s="3" t="s">
        <v>7881</v>
      </c>
      <c r="B2585" s="3"/>
      <c r="C2585" s="3" t="str">
        <f>"All phases of general construction (including demolition, excavation, sitework, utilities, concrete, steel erection, carpentry, painting and remodeling); electrical construction; and mechanical/plumbing construction."</f>
        <v>All phases of general construction (including demolition, excavation, sitework, utilities, concrete, steel erection, carpentry, painting and remodeling); electrical construction; and mechanical/plumbing construction.</v>
      </c>
      <c r="D2585" s="3" t="s">
        <v>7882</v>
      </c>
      <c r="E2585" s="3" t="s">
        <v>46</v>
      </c>
      <c r="F2585" s="3" t="str">
        <f>"812-423-4201"</f>
        <v>812-423-4201</v>
      </c>
      <c r="G2585" s="3">
        <v>2333</v>
      </c>
      <c r="H2585" s="3" t="s">
        <v>423</v>
      </c>
    </row>
    <row r="2586" spans="1:8" x14ac:dyDescent="0.25">
      <c r="A2586" s="3" t="s">
        <v>7883</v>
      </c>
      <c r="B2586" s="3"/>
      <c r="C2586" s="3" t="str">
        <f>" "</f>
        <v xml:space="preserve"> </v>
      </c>
      <c r="D2586" s="3" t="s">
        <v>9</v>
      </c>
      <c r="E2586" s="3" t="s">
        <v>46</v>
      </c>
      <c r="F2586" s="2"/>
      <c r="G2586" s="3">
        <v>611110</v>
      </c>
      <c r="H2586" s="3" t="s">
        <v>3876</v>
      </c>
    </row>
    <row r="2587" spans="1:8" ht="268.5" x14ac:dyDescent="0.25">
      <c r="A2587" s="3" t="s">
        <v>7884</v>
      </c>
      <c r="B2587" s="3"/>
      <c r="C2587" s="3" t="s">
        <v>7885</v>
      </c>
      <c r="D2587" s="3" t="s">
        <v>7886</v>
      </c>
      <c r="E2587" s="3" t="s">
        <v>7887</v>
      </c>
      <c r="F2587" s="3" t="str">
        <f>"765-490-6321"</f>
        <v>765-490-6321</v>
      </c>
      <c r="G2587" s="3">
        <v>541511</v>
      </c>
      <c r="H2587" s="3" t="s">
        <v>122</v>
      </c>
    </row>
    <row r="2588" spans="1:8" ht="102.75" x14ac:dyDescent="0.25">
      <c r="A2588" s="3" t="s">
        <v>7888</v>
      </c>
      <c r="B2588" s="3"/>
      <c r="C2588" s="3" t="s">
        <v>7889</v>
      </c>
      <c r="D2588" s="3" t="s">
        <v>7890</v>
      </c>
      <c r="E2588" s="3" t="s">
        <v>7891</v>
      </c>
      <c r="F2588" s="3" t="str">
        <f>"812-782-3400"</f>
        <v>812-782-3400</v>
      </c>
      <c r="G2588" s="3">
        <v>541330</v>
      </c>
      <c r="H2588" s="3" t="s">
        <v>82</v>
      </c>
    </row>
    <row r="2589" spans="1:8" ht="26.25" x14ac:dyDescent="0.25">
      <c r="A2589" s="3" t="s">
        <v>7892</v>
      </c>
      <c r="B2589" s="3"/>
      <c r="C2589" s="3" t="str">
        <f>"public health department"</f>
        <v>public health department</v>
      </c>
      <c r="D2589" s="3" t="s">
        <v>7893</v>
      </c>
      <c r="E2589" s="3" t="s">
        <v>7894</v>
      </c>
      <c r="F2589" s="3" t="str">
        <f>"765-747-7721"</f>
        <v>765-747-7721</v>
      </c>
      <c r="G2589" s="3">
        <v>923120</v>
      </c>
      <c r="H2589" s="3" t="s">
        <v>611</v>
      </c>
    </row>
    <row r="2590" spans="1:8" ht="26.25" x14ac:dyDescent="0.25">
      <c r="A2590" s="3" t="s">
        <v>7895</v>
      </c>
      <c r="B2590" s="3"/>
      <c r="C2590" s="3" t="str">
        <f>"Distribution of wholesale Italian food products."</f>
        <v>Distribution of wholesale Italian food products.</v>
      </c>
      <c r="D2590" s="3" t="s">
        <v>7896</v>
      </c>
      <c r="E2590" s="3" t="s">
        <v>46</v>
      </c>
      <c r="F2590" s="3" t="str">
        <f>"317/876-1951"</f>
        <v>317/876-1951</v>
      </c>
      <c r="G2590" s="3">
        <v>42</v>
      </c>
      <c r="H2590" s="3" t="s">
        <v>674</v>
      </c>
    </row>
    <row r="2591" spans="1:8" ht="90" x14ac:dyDescent="0.25">
      <c r="A2591" s="3" t="s">
        <v>7897</v>
      </c>
      <c r="B2591" s="3"/>
      <c r="C2591" s="3" t="str">
        <f>"Specialize in Deli type foods. Dine in, pickup, or have your meal delivered (minimum $40.00 purchase for delivery). Catering available. Operator has over 25 years experience in preparing food products. Great products and at reasonable prices."</f>
        <v>Specialize in Deli type foods. Dine in, pickup, or have your meal delivered (minimum $40.00 purchase for delivery). Catering available. Operator has over 25 years experience in preparing food products. Great products and at reasonable prices.</v>
      </c>
      <c r="D2591" s="3" t="s">
        <v>9</v>
      </c>
      <c r="E2591" s="3" t="s">
        <v>7898</v>
      </c>
      <c r="F2591" s="3" t="str">
        <f>"812-352-8316"</f>
        <v>812-352-8316</v>
      </c>
      <c r="G2591" s="3">
        <v>445299</v>
      </c>
      <c r="H2591" s="3" t="s">
        <v>7899</v>
      </c>
    </row>
    <row r="2592" spans="1:8" ht="39" x14ac:dyDescent="0.25">
      <c r="A2592" s="3" t="s">
        <v>7900</v>
      </c>
      <c r="B2592" s="3"/>
      <c r="C2592" s="3" t="str">
        <f>"We manufacture livestock equiptment and custom iron products in the ornamental iron industry"</f>
        <v>We manufacture livestock equiptment and custom iron products in the ornamental iron industry</v>
      </c>
      <c r="D2592" s="3" t="s">
        <v>7901</v>
      </c>
      <c r="E2592" s="3" t="s">
        <v>7902</v>
      </c>
      <c r="F2592" s="3" t="str">
        <f>"765 564 3752"</f>
        <v>765 564 3752</v>
      </c>
      <c r="G2592" s="3">
        <v>112</v>
      </c>
      <c r="H2592" s="3" t="s">
        <v>7903</v>
      </c>
    </row>
    <row r="2593" spans="1:8" ht="39" x14ac:dyDescent="0.25">
      <c r="A2593" s="3" t="s">
        <v>7904</v>
      </c>
      <c r="B2593" s="3"/>
      <c r="C2593" s="3" t="str">
        <f>"Provide Refrigerated equipment commercial or non commercial and parts"</f>
        <v>Provide Refrigerated equipment commercial or non commercial and parts</v>
      </c>
      <c r="D2593" s="3" t="s">
        <v>7905</v>
      </c>
      <c r="E2593" s="3" t="s">
        <v>46</v>
      </c>
      <c r="F2593" s="2"/>
      <c r="G2593" s="3">
        <v>333415</v>
      </c>
      <c r="H2593" s="3" t="s">
        <v>1731</v>
      </c>
    </row>
    <row r="2594" spans="1:8" ht="39" x14ac:dyDescent="0.25">
      <c r="A2594" s="3" t="s">
        <v>7906</v>
      </c>
      <c r="B2594" s="3"/>
      <c r="C2594" s="3" t="str">
        <f>"Produces custom Signs, Banners, Lettering and Graphics. Custom embroidery and printing on apparel."</f>
        <v>Produces custom Signs, Banners, Lettering and Graphics. Custom embroidery and printing on apparel.</v>
      </c>
      <c r="D2594" s="3" t="s">
        <v>7907</v>
      </c>
      <c r="E2594" s="3" t="s">
        <v>7908</v>
      </c>
      <c r="F2594" s="3" t="str">
        <f>"317-398-1081"</f>
        <v>317-398-1081</v>
      </c>
      <c r="G2594" s="3">
        <v>4481</v>
      </c>
      <c r="H2594" s="3" t="s">
        <v>7909</v>
      </c>
    </row>
    <row r="2595" spans="1:8" ht="39" x14ac:dyDescent="0.25">
      <c r="A2595" s="3" t="s">
        <v>7910</v>
      </c>
      <c r="B2595" s="3"/>
      <c r="C2595" s="3" t="str">
        <f>"Water Treatment Water Softeners - Installation and Service Commercial and Industrial"</f>
        <v>Water Treatment Water Softeners - Installation and Service Commercial and Industrial</v>
      </c>
      <c r="D2595" s="3" t="s">
        <v>9</v>
      </c>
      <c r="E2595" s="3" t="s">
        <v>7911</v>
      </c>
      <c r="F2595" s="3" t="str">
        <f>"317-852-8966"</f>
        <v>317-852-8966</v>
      </c>
      <c r="G2595" s="3">
        <v>238220</v>
      </c>
      <c r="H2595" s="3" t="s">
        <v>348</v>
      </c>
    </row>
    <row r="2596" spans="1:8" ht="90" x14ac:dyDescent="0.25">
      <c r="A2596" s="3" t="s">
        <v>7912</v>
      </c>
      <c r="B2596" s="3"/>
      <c r="C2596" s="3" t="s">
        <v>7913</v>
      </c>
      <c r="D2596" s="3" t="s">
        <v>9</v>
      </c>
      <c r="E2596" s="3" t="s">
        <v>7914</v>
      </c>
      <c r="F2596" s="3" t="str">
        <f>"317-332-3266"</f>
        <v>317-332-3266</v>
      </c>
      <c r="G2596" s="3">
        <v>561790</v>
      </c>
      <c r="H2596" s="3" t="s">
        <v>2113</v>
      </c>
    </row>
    <row r="2597" spans="1:8" ht="128.25" x14ac:dyDescent="0.25">
      <c r="A2597" s="3" t="s">
        <v>7915</v>
      </c>
      <c r="B2597" s="3"/>
      <c r="C2597" s="3" t="s">
        <v>7916</v>
      </c>
      <c r="D2597" s="3" t="s">
        <v>7917</v>
      </c>
      <c r="E2597" s="3" t="s">
        <v>7918</v>
      </c>
      <c r="F2597" s="2"/>
      <c r="G2597" s="3">
        <v>541820</v>
      </c>
      <c r="H2597" s="3" t="s">
        <v>795</v>
      </c>
    </row>
    <row r="2598" spans="1:8" x14ac:dyDescent="0.25">
      <c r="A2598" s="3" t="s">
        <v>7919</v>
      </c>
      <c r="B2598" s="3"/>
      <c r="C2598" s="3" t="str">
        <f>"Parking Management Company"</f>
        <v>Parking Management Company</v>
      </c>
      <c r="D2598" s="3" t="s">
        <v>9</v>
      </c>
      <c r="E2598" s="3" t="s">
        <v>46</v>
      </c>
      <c r="F2598" s="2"/>
      <c r="G2598" s="3">
        <v>812930</v>
      </c>
      <c r="H2598" s="3" t="s">
        <v>7920</v>
      </c>
    </row>
    <row r="2599" spans="1:8" ht="153.75" x14ac:dyDescent="0.25">
      <c r="A2599" s="3" t="s">
        <v>7921</v>
      </c>
      <c r="B2599" s="3"/>
      <c r="C2599" s="3" t="s">
        <v>7922</v>
      </c>
      <c r="D2599" s="3" t="s">
        <v>9</v>
      </c>
      <c r="E2599" s="3" t="s">
        <v>7923</v>
      </c>
      <c r="F2599" s="3" t="str">
        <f>"317-844-3841"</f>
        <v>317-844-3841</v>
      </c>
      <c r="G2599" s="3">
        <v>334419</v>
      </c>
      <c r="H2599" s="3" t="s">
        <v>7924</v>
      </c>
    </row>
    <row r="2600" spans="1:8" ht="39" x14ac:dyDescent="0.25">
      <c r="A2600" s="3" t="s">
        <v>7925</v>
      </c>
      <c r="B2600" s="3"/>
      <c r="C2600" s="3" t="str">
        <f>"Commercial and industrial coatings contractor to include fluid applyied roofing and pressure washing/steam cleaning"</f>
        <v>Commercial and industrial coatings contractor to include fluid applyied roofing and pressure washing/steam cleaning</v>
      </c>
      <c r="D2600" s="3" t="s">
        <v>9</v>
      </c>
      <c r="E2600" s="3" t="s">
        <v>7926</v>
      </c>
      <c r="F2600" s="3" t="str">
        <f>"877-572-4684"</f>
        <v>877-572-4684</v>
      </c>
      <c r="G2600" s="3">
        <v>238320</v>
      </c>
      <c r="H2600" s="3" t="s">
        <v>462</v>
      </c>
    </row>
    <row r="2601" spans="1:8" ht="26.25" x14ac:dyDescent="0.25">
      <c r="A2601" s="3" t="s">
        <v>7927</v>
      </c>
      <c r="B2601" s="3"/>
      <c r="C2601" s="2"/>
      <c r="D2601" s="3" t="s">
        <v>9</v>
      </c>
      <c r="E2601" s="3" t="s">
        <v>46</v>
      </c>
      <c r="F2601" s="3" t="str">
        <f>"8127388466"</f>
        <v>8127388466</v>
      </c>
      <c r="G2601" s="3">
        <v>11</v>
      </c>
      <c r="H2601" s="3" t="s">
        <v>175</v>
      </c>
    </row>
    <row r="2602" spans="1:8" x14ac:dyDescent="0.25">
      <c r="A2602" s="3" t="s">
        <v>7928</v>
      </c>
      <c r="B2602" s="3"/>
      <c r="C2602" s="3" t="str">
        <f>" "</f>
        <v xml:space="preserve"> </v>
      </c>
      <c r="D2602" s="3" t="s">
        <v>9</v>
      </c>
      <c r="E2602" s="3" t="s">
        <v>46</v>
      </c>
      <c r="F2602" s="2"/>
      <c r="G2602" s="3">
        <v>922160</v>
      </c>
      <c r="H2602" s="3" t="s">
        <v>2246</v>
      </c>
    </row>
    <row r="2603" spans="1:8" ht="77.25" x14ac:dyDescent="0.25">
      <c r="A2603" s="3" t="s">
        <v>7929</v>
      </c>
      <c r="B2603" s="3"/>
      <c r="C2603" s="3" t="str">
        <f>"Deploy is dedicated to serving the needs of small to mid-sized organizations by listening to a variety of perspectives while balancing vision, budget and schedule to ultimately provide personal and meaningful experiences that are radically appropriate."</f>
        <v>Deploy is dedicated to serving the needs of small to mid-sized organizations by listening to a variety of perspectives while balancing vision, budget and schedule to ultimately provide personal and meaningful experiences that are radically appropriate.</v>
      </c>
      <c r="D2603" s="3" t="s">
        <v>7930</v>
      </c>
      <c r="E2603" s="3" t="s">
        <v>7931</v>
      </c>
      <c r="F2603" s="3" t="str">
        <f>"317 443-3064"</f>
        <v>317 443-3064</v>
      </c>
      <c r="G2603" s="3">
        <v>712110</v>
      </c>
      <c r="H2603" s="3" t="s">
        <v>7932</v>
      </c>
    </row>
    <row r="2604" spans="1:8" ht="26.25" x14ac:dyDescent="0.25">
      <c r="A2604" s="3" t="s">
        <v>7933</v>
      </c>
      <c r="B2604" s="3"/>
      <c r="C2604" s="3" t="str">
        <f>"Heating and air conditioning installations and services"</f>
        <v>Heating and air conditioning installations and services</v>
      </c>
      <c r="D2604" s="3" t="s">
        <v>7934</v>
      </c>
      <c r="E2604" s="3" t="s">
        <v>7935</v>
      </c>
      <c r="F2604" s="3" t="str">
        <f>"812-897-2970"</f>
        <v>812-897-2970</v>
      </c>
      <c r="G2604" s="3">
        <v>238220</v>
      </c>
      <c r="H2604" s="3" t="s">
        <v>348</v>
      </c>
    </row>
    <row r="2605" spans="1:8" ht="179.25" x14ac:dyDescent="0.25">
      <c r="A2605" s="3" t="s">
        <v>7936</v>
      </c>
      <c r="B2605" s="3"/>
      <c r="C2605" s="3" t="s">
        <v>7937</v>
      </c>
      <c r="D2605" s="3" t="s">
        <v>7938</v>
      </c>
      <c r="E2605" s="3" t="s">
        <v>7939</v>
      </c>
      <c r="F2605" s="3" t="str">
        <f>"765-478-9393"</f>
        <v>765-478-9393</v>
      </c>
      <c r="G2605" s="3">
        <v>333515</v>
      </c>
      <c r="H2605" s="3" t="s">
        <v>7940</v>
      </c>
    </row>
    <row r="2606" spans="1:8" ht="153.75" x14ac:dyDescent="0.25">
      <c r="A2606" s="3" t="s">
        <v>7941</v>
      </c>
      <c r="B2606" s="3"/>
      <c r="C2606" s="3" t="s">
        <v>7942</v>
      </c>
      <c r="D2606" s="3" t="s">
        <v>7943</v>
      </c>
      <c r="E2606" s="3" t="s">
        <v>7944</v>
      </c>
      <c r="F2606" s="2"/>
      <c r="G2606" s="3">
        <v>541410</v>
      </c>
      <c r="H2606" s="3" t="s">
        <v>687</v>
      </c>
    </row>
    <row r="2607" spans="1:8" ht="115.5" x14ac:dyDescent="0.25">
      <c r="A2607" s="3" t="s">
        <v>7945</v>
      </c>
      <c r="B2607" s="3"/>
      <c r="C2607" s="3" t="s">
        <v>7946</v>
      </c>
      <c r="D2607" s="3" t="s">
        <v>7947</v>
      </c>
      <c r="E2607" s="3" t="s">
        <v>7948</v>
      </c>
      <c r="F2607" s="3" t="str">
        <f>"219-476-1400"</f>
        <v>219-476-1400</v>
      </c>
      <c r="G2607" s="3">
        <v>541310</v>
      </c>
      <c r="H2607" s="3" t="s">
        <v>446</v>
      </c>
    </row>
    <row r="2608" spans="1:8" ht="51.75" x14ac:dyDescent="0.25">
      <c r="A2608" s="3" t="s">
        <v>7949</v>
      </c>
      <c r="B2608" s="3"/>
      <c r="C2608" s="3" t="str">
        <f>"A residential and commerical interior design firm specializing in all phases of the design process. Able to handle large and small scale jobs."</f>
        <v>A residential and commerical interior design firm specializing in all phases of the design process. Able to handle large and small scale jobs.</v>
      </c>
      <c r="D2608" s="3" t="s">
        <v>9</v>
      </c>
      <c r="E2608" s="3" t="s">
        <v>7950</v>
      </c>
      <c r="F2608" s="3" t="str">
        <f>"812-743-2743"</f>
        <v>812-743-2743</v>
      </c>
      <c r="G2608" s="3">
        <v>541410</v>
      </c>
      <c r="H2608" s="3" t="s">
        <v>687</v>
      </c>
    </row>
    <row r="2609" spans="1:8" ht="51.75" x14ac:dyDescent="0.25">
      <c r="A2609" s="3" t="s">
        <v>7951</v>
      </c>
      <c r="B2609" s="3"/>
      <c r="C2609" s="3" t="str">
        <f>"A commercial and residential design firm. I am able to handle all phases of the design process from space planning to installation."</f>
        <v>A commercial and residential design firm. I am able to handle all phases of the design process from space planning to installation.</v>
      </c>
      <c r="D2609" s="3" t="s">
        <v>9</v>
      </c>
      <c r="E2609" s="3" t="s">
        <v>7952</v>
      </c>
      <c r="F2609" s="3" t="str">
        <f>"812-743-2743"</f>
        <v>812-743-2743</v>
      </c>
      <c r="G2609" s="3">
        <v>541410</v>
      </c>
      <c r="H2609" s="3" t="s">
        <v>687</v>
      </c>
    </row>
    <row r="2610" spans="1:8" ht="319.5" x14ac:dyDescent="0.25">
      <c r="A2610" s="3" t="s">
        <v>7953</v>
      </c>
      <c r="B2610" s="3"/>
      <c r="C2610" s="3" t="s">
        <v>7954</v>
      </c>
      <c r="D2610" s="3" t="s">
        <v>7955</v>
      </c>
      <c r="E2610" s="3" t="s">
        <v>7956</v>
      </c>
      <c r="F2610" s="3" t="str">
        <f>"812-546-5017"</f>
        <v>812-546-5017</v>
      </c>
      <c r="G2610" s="3">
        <v>541330</v>
      </c>
      <c r="H2610" s="3" t="s">
        <v>82</v>
      </c>
    </row>
    <row r="2611" spans="1:8" ht="281.25" x14ac:dyDescent="0.25">
      <c r="A2611" s="3" t="s">
        <v>7957</v>
      </c>
      <c r="B2611" s="3"/>
      <c r="C2611" s="3" t="s">
        <v>7958</v>
      </c>
      <c r="D2611" s="3" t="s">
        <v>7959</v>
      </c>
      <c r="E2611" s="3" t="s">
        <v>7960</v>
      </c>
      <c r="F2611" s="3" t="str">
        <f>"317-464-9090"</f>
        <v>317-464-9090</v>
      </c>
      <c r="G2611" s="3">
        <v>541330</v>
      </c>
      <c r="H2611" s="3" t="s">
        <v>82</v>
      </c>
    </row>
    <row r="2612" spans="1:8" ht="204.75" x14ac:dyDescent="0.25">
      <c r="A2612" s="3" t="s">
        <v>7961</v>
      </c>
      <c r="B2612" s="3"/>
      <c r="C2612" s="3" t="s">
        <v>7962</v>
      </c>
      <c r="D2612" s="3" t="s">
        <v>7963</v>
      </c>
      <c r="E2612" s="3" t="s">
        <v>7964</v>
      </c>
      <c r="F2612" s="3" t="str">
        <f>"317-572-8578"</f>
        <v>317-572-8578</v>
      </c>
      <c r="G2612" s="3">
        <v>541511</v>
      </c>
      <c r="H2612" s="3" t="s">
        <v>122</v>
      </c>
    </row>
    <row r="2613" spans="1:8" ht="77.25" x14ac:dyDescent="0.25">
      <c r="A2613" s="3" t="s">
        <v>7965</v>
      </c>
      <c r="B2613" s="3"/>
      <c r="C2613" s="3" t="str">
        <f>"Designplan is a commercial interior design and interior architecture firm. We specialize in listening to our clients, to design the environment that best suits their needs and budget, assisting in every phase of the project."</f>
        <v>Designplan is a commercial interior design and interior architecture firm. We specialize in listening to our clients, to design the environment that best suits their needs and budget, assisting in every phase of the project.</v>
      </c>
      <c r="D2613" s="3" t="s">
        <v>7966</v>
      </c>
      <c r="E2613" s="3" t="s">
        <v>7967</v>
      </c>
      <c r="F2613" s="3" t="str">
        <f>"317-843-1031"</f>
        <v>317-843-1031</v>
      </c>
      <c r="G2613" s="3">
        <v>541410</v>
      </c>
      <c r="H2613" s="3" t="s">
        <v>687</v>
      </c>
    </row>
    <row r="2614" spans="1:8" ht="64.5" x14ac:dyDescent="0.25">
      <c r="A2614" s="3" t="s">
        <v>7968</v>
      </c>
      <c r="B2614" s="3"/>
      <c r="C2614" s="3" t="str">
        <f>"Computer software training as well as technology workflow consulting for marketing, communications and graphic arts professionals including PDF, print production, web, email and mobile content."</f>
        <v>Computer software training as well as technology workflow consulting for marketing, communications and graphic arts professionals including PDF, print production, web, email and mobile content.</v>
      </c>
      <c r="D2614" s="3" t="s">
        <v>7969</v>
      </c>
      <c r="E2614" s="3" t="s">
        <v>7970</v>
      </c>
      <c r="F2614" s="3" t="str">
        <f>"3179559300"</f>
        <v>3179559300</v>
      </c>
      <c r="G2614" s="3">
        <v>611420</v>
      </c>
      <c r="H2614" s="3" t="s">
        <v>39</v>
      </c>
    </row>
    <row r="2615" spans="1:8" ht="51.75" x14ac:dyDescent="0.25">
      <c r="A2615" s="3" t="s">
        <v>7971</v>
      </c>
      <c r="B2615" s="3"/>
      <c r="C2615" s="3" t="str">
        <f>"Computer technical support and network design business. Windows, Macintosh, Unix. Product sales, manufacturer certifications."</f>
        <v>Computer technical support and network design business. Windows, Macintosh, Unix. Product sales, manufacturer certifications.</v>
      </c>
      <c r="D2615" s="3" t="s">
        <v>7972</v>
      </c>
      <c r="E2615" s="3" t="s">
        <v>7973</v>
      </c>
      <c r="F2615" s="3" t="str">
        <f>"3117-596-3650"</f>
        <v>3117-596-3650</v>
      </c>
      <c r="G2615" s="3">
        <v>541519</v>
      </c>
      <c r="H2615" s="3" t="s">
        <v>898</v>
      </c>
    </row>
    <row r="2616" spans="1:8" ht="39" x14ac:dyDescent="0.25">
      <c r="A2616" s="3" t="s">
        <v>7974</v>
      </c>
      <c r="B2616" s="3"/>
      <c r="C2616" s="3" t="str">
        <f>"Pastry shop which specializes in wedding/specialty cakes, gelato, ice cream, desserts, sandwhiches"</f>
        <v>Pastry shop which specializes in wedding/specialty cakes, gelato, ice cream, desserts, sandwhiches</v>
      </c>
      <c r="D2616" s="3" t="s">
        <v>7975</v>
      </c>
      <c r="E2616" s="3" t="s">
        <v>7976</v>
      </c>
      <c r="F2616" s="3" t="str">
        <f>"219-227-8772"</f>
        <v>219-227-8772</v>
      </c>
      <c r="G2616" s="3">
        <v>23599</v>
      </c>
      <c r="H2616" s="3" t="s">
        <v>248</v>
      </c>
    </row>
    <row r="2617" spans="1:8" ht="26.25" x14ac:dyDescent="0.25">
      <c r="A2617" s="3" t="s">
        <v>7977</v>
      </c>
      <c r="B2617" s="3"/>
      <c r="C2617" s="3" t="str">
        <f>" "</f>
        <v xml:space="preserve"> </v>
      </c>
      <c r="D2617" s="3" t="s">
        <v>9</v>
      </c>
      <c r="E2617" s="3" t="s">
        <v>7978</v>
      </c>
      <c r="F2617" s="3" t="str">
        <f>"317-852-0400"</f>
        <v>317-852-0400</v>
      </c>
      <c r="G2617" s="3">
        <v>484121</v>
      </c>
      <c r="H2617" s="3" t="s">
        <v>342</v>
      </c>
    </row>
    <row r="2618" spans="1:8" ht="26.25" x14ac:dyDescent="0.25">
      <c r="A2618" s="3" t="s">
        <v>7979</v>
      </c>
      <c r="B2618" s="3"/>
      <c r="C2618" s="3" t="str">
        <f>"Full service interior design firm specializing in healthcare and corporate interiors."</f>
        <v>Full service interior design firm specializing in healthcare and corporate interiors.</v>
      </c>
      <c r="D2618" s="3" t="s">
        <v>9</v>
      </c>
      <c r="E2618" s="3" t="s">
        <v>7980</v>
      </c>
      <c r="F2618" s="3" t="str">
        <f>"8122859861"</f>
        <v>8122859861</v>
      </c>
      <c r="G2618" s="3">
        <v>541410</v>
      </c>
      <c r="H2618" s="3" t="s">
        <v>687</v>
      </c>
    </row>
    <row r="2619" spans="1:8" ht="39" x14ac:dyDescent="0.25">
      <c r="A2619" s="3" t="s">
        <v>7981</v>
      </c>
      <c r="B2619" s="3"/>
      <c r="C2619" s="3" t="str">
        <f>"New and Used Trailer Dealer- Open, Enclosed, Dump, Deckover, Race, Concession"</f>
        <v>New and Used Trailer Dealer- Open, Enclosed, Dump, Deckover, Race, Concession</v>
      </c>
      <c r="D2619" s="3" t="s">
        <v>7982</v>
      </c>
      <c r="E2619" s="3" t="s">
        <v>7983</v>
      </c>
      <c r="F2619" s="3" t="str">
        <f>"800-407-6477"</f>
        <v>800-407-6477</v>
      </c>
      <c r="G2619" s="3">
        <v>441229</v>
      </c>
      <c r="H2619" s="3" t="s">
        <v>3721</v>
      </c>
    </row>
    <row r="2620" spans="1:8" ht="115.5" x14ac:dyDescent="0.25">
      <c r="A2620" s="3" t="s">
        <v>7984</v>
      </c>
      <c r="B2620" s="3"/>
      <c r="C2620" s="3" t="s">
        <v>7985</v>
      </c>
      <c r="D2620" s="3" t="s">
        <v>9</v>
      </c>
      <c r="E2620" s="3" t="s">
        <v>7986</v>
      </c>
      <c r="F2620" s="3" t="str">
        <f>"219-872-0341"</f>
        <v>219-872-0341</v>
      </c>
      <c r="G2620" s="3">
        <v>238110</v>
      </c>
      <c r="H2620" s="3" t="s">
        <v>156</v>
      </c>
    </row>
    <row r="2621" spans="1:8" ht="332.25" x14ac:dyDescent="0.25">
      <c r="A2621" s="3" t="s">
        <v>7987</v>
      </c>
      <c r="B2621" s="3"/>
      <c r="C2621" s="3" t="s">
        <v>7988</v>
      </c>
      <c r="D2621" s="3" t="s">
        <v>7989</v>
      </c>
      <c r="E2621" s="3" t="s">
        <v>7990</v>
      </c>
      <c r="F2621" s="3" t="str">
        <f>"317-262-9347"</f>
        <v>317-262-9347</v>
      </c>
      <c r="G2621" s="3">
        <v>541330</v>
      </c>
      <c r="H2621" s="3" t="s">
        <v>82</v>
      </c>
    </row>
    <row r="2622" spans="1:8" ht="306.75" x14ac:dyDescent="0.25">
      <c r="A2622" s="3" t="s">
        <v>7991</v>
      </c>
      <c r="B2622" s="3"/>
      <c r="C2622" s="3" t="s">
        <v>7992</v>
      </c>
      <c r="D2622" s="3" t="s">
        <v>7993</v>
      </c>
      <c r="E2622" s="3" t="s">
        <v>7994</v>
      </c>
      <c r="F2622" s="3" t="str">
        <f>"219.548.9999"</f>
        <v>219.548.9999</v>
      </c>
      <c r="G2622" s="3">
        <v>541611</v>
      </c>
      <c r="H2622" s="3" t="s">
        <v>278</v>
      </c>
    </row>
    <row r="2623" spans="1:8" ht="90" x14ac:dyDescent="0.25">
      <c r="A2623" s="3" t="s">
        <v>7995</v>
      </c>
      <c r="B2623" s="3"/>
      <c r="C2623" s="3" t="s">
        <v>7996</v>
      </c>
      <c r="D2623" s="3" t="s">
        <v>9</v>
      </c>
      <c r="E2623" s="3" t="s">
        <v>7997</v>
      </c>
      <c r="F2623" s="3" t="str">
        <f>"812/421-7273"</f>
        <v>812/421-7273</v>
      </c>
      <c r="G2623" s="3">
        <v>624120</v>
      </c>
      <c r="H2623" s="3" t="s">
        <v>22</v>
      </c>
    </row>
    <row r="2624" spans="1:8" ht="128.25" x14ac:dyDescent="0.25">
      <c r="A2624" s="3" t="s">
        <v>7998</v>
      </c>
      <c r="B2624" s="3"/>
      <c r="C2624" s="3" t="s">
        <v>7999</v>
      </c>
      <c r="D2624" s="3" t="s">
        <v>9</v>
      </c>
      <c r="E2624" s="3" t="s">
        <v>8000</v>
      </c>
      <c r="F2624" s="3" t="str">
        <f>"574-287-3373"</f>
        <v>574-287-3373</v>
      </c>
      <c r="G2624" s="3">
        <v>621330</v>
      </c>
      <c r="H2624" s="3" t="s">
        <v>2643</v>
      </c>
    </row>
    <row r="2625" spans="1:8" ht="64.5" x14ac:dyDescent="0.25">
      <c r="A2625" s="3" t="s">
        <v>8001</v>
      </c>
      <c r="B2625" s="3"/>
      <c r="C2625" s="3" t="str">
        <f>"The mission of Devnamics is to provide independent verification and validation (IV&amp;V) services to state government agencies that are involved with the development of new software applications."</f>
        <v>The mission of Devnamics is to provide independent verification and validation (IV&amp;V) services to state government agencies that are involved with the development of new software applications.</v>
      </c>
      <c r="D2625" s="3" t="s">
        <v>9</v>
      </c>
      <c r="E2625" s="3" t="s">
        <v>8002</v>
      </c>
      <c r="F2625" s="3" t="str">
        <f>"317-626-5201"</f>
        <v>317-626-5201</v>
      </c>
      <c r="G2625" s="3">
        <v>541511</v>
      </c>
      <c r="H2625" s="3" t="s">
        <v>122</v>
      </c>
    </row>
    <row r="2626" spans="1:8" ht="64.5" x14ac:dyDescent="0.25">
      <c r="A2626" s="3" t="s">
        <v>8003</v>
      </c>
      <c r="B2626" s="3"/>
      <c r="C2626" s="3" t="str">
        <f>"We have licensed and insured electricians to get the job done right, and with our prices you know that we ""dew"" it for you. We specialize in commercial and light industrial."</f>
        <v>We have licensed and insured electricians to get the job done right, and with our prices you know that we "dew" it for you. We specialize in commercial and light industrial.</v>
      </c>
      <c r="D2626" s="3" t="s">
        <v>8004</v>
      </c>
      <c r="E2626" s="3" t="s">
        <v>8005</v>
      </c>
      <c r="F2626" s="3" t="str">
        <f>"3173988999"</f>
        <v>3173988999</v>
      </c>
      <c r="G2626" s="3">
        <v>2353</v>
      </c>
      <c r="H2626" s="3" t="s">
        <v>306</v>
      </c>
    </row>
    <row r="2627" spans="1:8" ht="51.75" x14ac:dyDescent="0.25">
      <c r="A2627" s="3" t="s">
        <v>8006</v>
      </c>
      <c r="B2627" s="3"/>
      <c r="C2627" s="3" t="str">
        <f>"Dewey Const. Inc. is a general contracting corp. with experience in home remodeling, whole house renovations, and new home construction."</f>
        <v>Dewey Const. Inc. is a general contracting corp. with experience in home remodeling, whole house renovations, and new home construction.</v>
      </c>
      <c r="D2627" s="3" t="s">
        <v>9</v>
      </c>
      <c r="E2627" s="3" t="s">
        <v>8007</v>
      </c>
      <c r="F2627" s="3" t="str">
        <f>"574-259-5657"</f>
        <v>574-259-5657</v>
      </c>
      <c r="G2627" s="3">
        <v>236118</v>
      </c>
      <c r="H2627" s="3" t="s">
        <v>465</v>
      </c>
    </row>
    <row r="2628" spans="1:8" ht="39" x14ac:dyDescent="0.25">
      <c r="A2628" s="3" t="s">
        <v>8008</v>
      </c>
      <c r="B2628" s="3"/>
      <c r="C2628" s="3" t="str">
        <f>"water and wastewater treatment equipment supply. PLC and SCADA programming Troubleshooting PLC and SCADA sytems"</f>
        <v>water and wastewater treatment equipment supply. PLC and SCADA programming Troubleshooting PLC and SCADA sytems</v>
      </c>
      <c r="D2628" s="3" t="s">
        <v>9</v>
      </c>
      <c r="E2628" s="3" t="s">
        <v>8009</v>
      </c>
      <c r="F2628" s="3" t="str">
        <f>"219-464-1321"</f>
        <v>219-464-1321</v>
      </c>
      <c r="G2628" s="3">
        <v>924110</v>
      </c>
      <c r="H2628" s="3" t="s">
        <v>8010</v>
      </c>
    </row>
    <row r="2629" spans="1:8" ht="102.75" x14ac:dyDescent="0.25">
      <c r="A2629" s="3" t="s">
        <v>8011</v>
      </c>
      <c r="B2629" s="3"/>
      <c r="C2629" s="3" t="s">
        <v>8012</v>
      </c>
      <c r="D2629" s="3" t="s">
        <v>9</v>
      </c>
      <c r="E2629" s="3" t="s">
        <v>8013</v>
      </c>
      <c r="F2629" s="3" t="str">
        <f>"317-881-5700"</f>
        <v>317-881-5700</v>
      </c>
      <c r="G2629" s="3">
        <v>812310</v>
      </c>
      <c r="H2629" s="3" t="s">
        <v>8014</v>
      </c>
    </row>
    <row r="2630" spans="1:8" ht="26.25" x14ac:dyDescent="0.25">
      <c r="A2630" s="3" t="s">
        <v>8015</v>
      </c>
      <c r="B2630" s="3"/>
      <c r="C2630" s="3" t="str">
        <f>"Restaurant serving Mexican style food and beverage."</f>
        <v>Restaurant serving Mexican style food and beverage.</v>
      </c>
      <c r="D2630" s="3" t="s">
        <v>9</v>
      </c>
      <c r="E2630" s="3" t="s">
        <v>46</v>
      </c>
      <c r="F2630" s="2"/>
      <c r="G2630" s="3">
        <v>722211</v>
      </c>
      <c r="H2630" s="3" t="s">
        <v>527</v>
      </c>
    </row>
    <row r="2631" spans="1:8" ht="51.75" x14ac:dyDescent="0.25">
      <c r="A2631" s="3" t="s">
        <v>8016</v>
      </c>
      <c r="B2631" s="3"/>
      <c r="C2631" s="3" t="str">
        <f>"asbestos removal contractor including licensed inspectors for full building surveys and testing. Lead and Mold remediation including inspections"</f>
        <v>asbestos removal contractor including licensed inspectors for full building surveys and testing. Lead and Mold remediation including inspections</v>
      </c>
      <c r="D2631" s="3" t="s">
        <v>8017</v>
      </c>
      <c r="E2631" s="3" t="s">
        <v>8018</v>
      </c>
      <c r="F2631" s="3" t="str">
        <f>"574-246-9902"</f>
        <v>574-246-9902</v>
      </c>
      <c r="G2631" s="3">
        <v>562910</v>
      </c>
      <c r="H2631" s="3" t="s">
        <v>2278</v>
      </c>
    </row>
    <row r="2632" spans="1:8" ht="77.25" x14ac:dyDescent="0.25">
      <c r="A2632" s="3" t="s">
        <v>8019</v>
      </c>
      <c r="B2632" s="3"/>
      <c r="C2632" s="3" t="str">
        <f>"Diamond Shine Epoxy Flooring installs decorative industrial flooring for commercial and residential flooring needs such as food proccessing, schools, jails, bus garages, residential garages, kitchens, outside applications. Concrete repair."</f>
        <v>Diamond Shine Epoxy Flooring installs decorative industrial flooring for commercial and residential flooring needs such as food proccessing, schools, jails, bus garages, residential garages, kitchens, outside applications. Concrete repair.</v>
      </c>
      <c r="D2632" s="3" t="s">
        <v>8020</v>
      </c>
      <c r="E2632" s="3" t="s">
        <v>8021</v>
      </c>
      <c r="F2632" s="3" t="str">
        <f>"317-352-1145"</f>
        <v>317-352-1145</v>
      </c>
      <c r="G2632" s="3">
        <v>238190</v>
      </c>
      <c r="H2632" s="3" t="s">
        <v>1072</v>
      </c>
    </row>
    <row r="2633" spans="1:8" ht="26.25" x14ac:dyDescent="0.25">
      <c r="A2633" s="3" t="s">
        <v>8022</v>
      </c>
      <c r="B2633" s="3"/>
      <c r="C2633" s="3" t="str">
        <f>"Speciality Advertising/Promotional Items of all types; LOGO Any product or apparel"</f>
        <v>Speciality Advertising/Promotional Items of all types; LOGO Any product or apparel</v>
      </c>
      <c r="D2633" s="3" t="s">
        <v>8023</v>
      </c>
      <c r="E2633" s="3" t="s">
        <v>8024</v>
      </c>
      <c r="F2633" s="3" t="str">
        <f>"3175781462"</f>
        <v>3175781462</v>
      </c>
      <c r="G2633" s="3">
        <v>541890</v>
      </c>
      <c r="H2633" s="3" t="s">
        <v>401</v>
      </c>
    </row>
    <row r="2634" spans="1:8" ht="153.75" x14ac:dyDescent="0.25">
      <c r="A2634" s="3" t="s">
        <v>8025</v>
      </c>
      <c r="B2634" s="3"/>
      <c r="C2634" s="3" t="s">
        <v>8026</v>
      </c>
      <c r="D2634" s="3" t="s">
        <v>8027</v>
      </c>
      <c r="E2634" s="3" t="s">
        <v>8028</v>
      </c>
      <c r="F2634" s="3" t="str">
        <f>"765-215-4205"</f>
        <v>765-215-4205</v>
      </c>
      <c r="G2634" s="3">
        <v>541611</v>
      </c>
      <c r="H2634" s="3" t="s">
        <v>278</v>
      </c>
    </row>
    <row r="2635" spans="1:8" ht="51.75" x14ac:dyDescent="0.25">
      <c r="A2635" s="3" t="s">
        <v>8029</v>
      </c>
      <c r="B2635" s="3"/>
      <c r="C2635" s="3" t="str">
        <f>"New construction cleaning for residential and commercial contractors. Over 6 years in business. Worker's compensation insurnace, Liability Insurance and Bonded."</f>
        <v>New construction cleaning for residential and commercial contractors. Over 6 years in business. Worker's compensation insurnace, Liability Insurance and Bonded.</v>
      </c>
      <c r="D2635" s="3" t="s">
        <v>9</v>
      </c>
      <c r="E2635" s="3" t="s">
        <v>8030</v>
      </c>
      <c r="F2635" s="3" t="str">
        <f>"574-825-0134"</f>
        <v>574-825-0134</v>
      </c>
      <c r="G2635" s="3">
        <v>238390</v>
      </c>
      <c r="H2635" s="3" t="s">
        <v>2109</v>
      </c>
    </row>
    <row r="2636" spans="1:8" ht="39" x14ac:dyDescent="0.25">
      <c r="A2636" s="3" t="s">
        <v>8031</v>
      </c>
      <c r="B2636" s="3"/>
      <c r="C2636" s="3" t="str">
        <f>"Casino Consulting specializing in regulatory compliance, casino cage, countrooms and casino accounting with 24 years experience."</f>
        <v>Casino Consulting specializing in regulatory compliance, casino cage, countrooms and casino accounting with 24 years experience.</v>
      </c>
      <c r="D2636" s="3" t="s">
        <v>9</v>
      </c>
      <c r="E2636" s="3" t="s">
        <v>8032</v>
      </c>
      <c r="F2636" s="3" t="str">
        <f>"219-769-7079"</f>
        <v>219-769-7079</v>
      </c>
      <c r="G2636" s="3">
        <v>541990</v>
      </c>
      <c r="H2636" s="3" t="s">
        <v>378</v>
      </c>
    </row>
    <row r="2637" spans="1:8" ht="77.25" x14ac:dyDescent="0.25">
      <c r="A2637" s="3" t="s">
        <v>8033</v>
      </c>
      <c r="B2637" s="3"/>
      <c r="C2637" s="3" t="str">
        <f>"My business is dedicated to providing quality commercial and new residential cleaning services. We provide detailed, competative priced cleaning services for new industrial, commercial, and residential buildings."</f>
        <v>My business is dedicated to providing quality commercial and new residential cleaning services. We provide detailed, competative priced cleaning services for new industrial, commercial, and residential buildings.</v>
      </c>
      <c r="D2637" s="3" t="s">
        <v>9</v>
      </c>
      <c r="E2637" s="3" t="s">
        <v>8034</v>
      </c>
      <c r="F2637" s="3" t="str">
        <f>"812-490-0225"</f>
        <v>812-490-0225</v>
      </c>
      <c r="G2637" s="3">
        <v>561720</v>
      </c>
      <c r="H2637" s="3" t="s">
        <v>222</v>
      </c>
    </row>
    <row r="2638" spans="1:8" ht="153.75" x14ac:dyDescent="0.25">
      <c r="A2638" s="3" t="s">
        <v>8035</v>
      </c>
      <c r="B2638" s="3"/>
      <c r="C2638" s="3" t="s">
        <v>8036</v>
      </c>
      <c r="D2638" s="3" t="s">
        <v>8037</v>
      </c>
      <c r="E2638" s="3" t="s">
        <v>8038</v>
      </c>
      <c r="F2638" s="3" t="str">
        <f>"219-864-9197"</f>
        <v>219-864-9197</v>
      </c>
      <c r="G2638" s="3">
        <v>454390</v>
      </c>
      <c r="H2638" s="3" t="s">
        <v>1348</v>
      </c>
    </row>
    <row r="2639" spans="1:8" ht="51.75" x14ac:dyDescent="0.25">
      <c r="A2639" s="3" t="s">
        <v>8039</v>
      </c>
      <c r="B2639" s="3"/>
      <c r="C2639" s="3" t="str">
        <f>"DKC Wholesaler and Distributors of Premium Disposable Healthcare Products. DKC is located in Indianapolis and services customers all over Indiana."</f>
        <v>DKC Wholesaler and Distributors of Premium Disposable Healthcare Products. DKC is located in Indianapolis and services customers all over Indiana.</v>
      </c>
      <c r="D2639" s="3" t="s">
        <v>8040</v>
      </c>
      <c r="E2639" s="3" t="s">
        <v>8041</v>
      </c>
      <c r="F2639" s="3" t="str">
        <f>"317-924-2464"</f>
        <v>317-924-2464</v>
      </c>
      <c r="G2639" s="3">
        <v>446</v>
      </c>
      <c r="H2639" s="3" t="s">
        <v>1202</v>
      </c>
    </row>
    <row r="2640" spans="1:8" ht="102.75" x14ac:dyDescent="0.25">
      <c r="A2640" s="3" t="s">
        <v>8042</v>
      </c>
      <c r="B2640" s="3"/>
      <c r="C2640" s="3" t="s">
        <v>8043</v>
      </c>
      <c r="D2640" s="3" t="s">
        <v>9</v>
      </c>
      <c r="E2640" s="3" t="s">
        <v>8044</v>
      </c>
      <c r="F2640" s="3" t="str">
        <f>"765-457-7573"</f>
        <v>765-457-7573</v>
      </c>
      <c r="G2640" s="3">
        <v>531120</v>
      </c>
      <c r="H2640" s="3" t="s">
        <v>2926</v>
      </c>
    </row>
    <row r="2641" spans="1:8" ht="179.25" x14ac:dyDescent="0.25">
      <c r="A2641" s="3" t="s">
        <v>8045</v>
      </c>
      <c r="B2641" s="3"/>
      <c r="C2641" s="3" t="s">
        <v>8046</v>
      </c>
      <c r="D2641" s="3" t="s">
        <v>8047</v>
      </c>
      <c r="E2641" s="3" t="s">
        <v>8048</v>
      </c>
      <c r="F2641" s="3" t="str">
        <f>"317-844-3300"</f>
        <v>317-844-3300</v>
      </c>
      <c r="G2641" s="3">
        <v>812990</v>
      </c>
      <c r="H2641" s="3" t="s">
        <v>294</v>
      </c>
    </row>
    <row r="2642" spans="1:8" ht="166.5" x14ac:dyDescent="0.25">
      <c r="A2642" s="3" t="s">
        <v>8049</v>
      </c>
      <c r="B2642" s="3"/>
      <c r="C2642" s="3" t="s">
        <v>8050</v>
      </c>
      <c r="D2642" s="3" t="s">
        <v>8051</v>
      </c>
      <c r="E2642" s="3" t="s">
        <v>8052</v>
      </c>
      <c r="F2642" s="3" t="str">
        <f>"812 434-6745"</f>
        <v>812 434-6745</v>
      </c>
      <c r="G2642" s="3">
        <v>541720</v>
      </c>
      <c r="H2642" s="3" t="s">
        <v>1123</v>
      </c>
    </row>
    <row r="2643" spans="1:8" ht="166.5" x14ac:dyDescent="0.25">
      <c r="A2643" s="3" t="s">
        <v>8049</v>
      </c>
      <c r="B2643" s="3"/>
      <c r="C2643" s="3" t="s">
        <v>8053</v>
      </c>
      <c r="D2643" s="3" t="s">
        <v>8051</v>
      </c>
      <c r="E2643" s="3" t="s">
        <v>8054</v>
      </c>
      <c r="F2643" s="3" t="str">
        <f>"8124346745"</f>
        <v>8124346745</v>
      </c>
      <c r="G2643" s="3">
        <v>812990</v>
      </c>
      <c r="H2643" s="3" t="s">
        <v>294</v>
      </c>
    </row>
    <row r="2644" spans="1:8" ht="26.25" x14ac:dyDescent="0.25">
      <c r="A2644" s="3" t="s">
        <v>8055</v>
      </c>
      <c r="B2644" s="3"/>
      <c r="C2644" s="3" t="str">
        <f>"Sales &amp; Service of Lawn &amp; Garden power equipment."</f>
        <v>Sales &amp; Service of Lawn &amp; Garden power equipment.</v>
      </c>
      <c r="D2644" s="3" t="s">
        <v>9</v>
      </c>
      <c r="E2644" s="3" t="s">
        <v>8056</v>
      </c>
      <c r="F2644" s="3" t="str">
        <f>"(812) 346-3219"</f>
        <v>(812) 346-3219</v>
      </c>
      <c r="G2644" s="3">
        <v>4442</v>
      </c>
      <c r="H2644" s="3" t="s">
        <v>852</v>
      </c>
    </row>
    <row r="2645" spans="1:8" ht="128.25" x14ac:dyDescent="0.25">
      <c r="A2645" s="3" t="s">
        <v>8057</v>
      </c>
      <c r="B2645" s="3"/>
      <c r="C2645" s="3" t="s">
        <v>8058</v>
      </c>
      <c r="D2645" s="3" t="s">
        <v>9</v>
      </c>
      <c r="E2645" s="3" t="s">
        <v>8059</v>
      </c>
      <c r="F2645" s="3" t="str">
        <f>"219-922-1848"</f>
        <v>219-922-1848</v>
      </c>
      <c r="G2645" s="3">
        <v>423610</v>
      </c>
      <c r="H2645" s="3" t="s">
        <v>2414</v>
      </c>
    </row>
    <row r="2646" spans="1:8" ht="64.5" x14ac:dyDescent="0.25">
      <c r="A2646" s="3" t="s">
        <v>8060</v>
      </c>
      <c r="B2646" s="3"/>
      <c r="C2646" s="3" t="str">
        <f>"Specializing in custom concrete, walks,patios, driveways, waterfalls, blacktop, concrete sealing and home maintenance including interior and exterior painting."</f>
        <v>Specializing in custom concrete, walks,patios, driveways, waterfalls, blacktop, concrete sealing and home maintenance including interior and exterior painting.</v>
      </c>
      <c r="D2646" s="3" t="s">
        <v>9</v>
      </c>
      <c r="E2646" s="3" t="s">
        <v>8061</v>
      </c>
      <c r="F2646" s="3" t="str">
        <f>"317-862-3808"</f>
        <v>317-862-3808</v>
      </c>
      <c r="G2646" s="3">
        <v>2389</v>
      </c>
      <c r="H2646" s="3" t="s">
        <v>1236</v>
      </c>
    </row>
    <row r="2647" spans="1:8" ht="128.25" x14ac:dyDescent="0.25">
      <c r="A2647" s="3" t="s">
        <v>8062</v>
      </c>
      <c r="B2647" s="3"/>
      <c r="C2647" s="3" t="s">
        <v>8063</v>
      </c>
      <c r="D2647" s="3" t="s">
        <v>8064</v>
      </c>
      <c r="E2647" s="3" t="s">
        <v>8065</v>
      </c>
      <c r="F2647" s="3" t="str">
        <f>"317-979-0079"</f>
        <v>317-979-0079</v>
      </c>
      <c r="G2647" s="3">
        <v>561990</v>
      </c>
      <c r="H2647" s="3" t="s">
        <v>219</v>
      </c>
    </row>
    <row r="2648" spans="1:8" ht="64.5" x14ac:dyDescent="0.25">
      <c r="A2648" s="3" t="s">
        <v>8066</v>
      </c>
      <c r="B2648" s="3"/>
      <c r="C2648" s="3" t="str">
        <f>"Digital Craftsmen Incorporated develops creative software for practical business solutions including custom software development, web page development and IT administration."</f>
        <v>Digital Craftsmen Incorporated develops creative software for practical business solutions including custom software development, web page development and IT administration.</v>
      </c>
      <c r="D2648" s="3" t="s">
        <v>8067</v>
      </c>
      <c r="E2648" s="3" t="s">
        <v>8068</v>
      </c>
      <c r="F2648" s="3" t="str">
        <f>"866-778-9450"</f>
        <v>866-778-9450</v>
      </c>
      <c r="G2648" s="3">
        <v>541511</v>
      </c>
      <c r="H2648" s="3" t="s">
        <v>122</v>
      </c>
    </row>
    <row r="2649" spans="1:8" ht="26.25" x14ac:dyDescent="0.25">
      <c r="A2649" s="3" t="s">
        <v>8069</v>
      </c>
      <c r="B2649" s="3"/>
      <c r="C2649" s="3" t="str">
        <f>"large format printing of banners, signage, point-of-purchase displays and tradeshows."</f>
        <v>large format printing of banners, signage, point-of-purchase displays and tradeshows.</v>
      </c>
      <c r="D2649" s="3" t="s">
        <v>8070</v>
      </c>
      <c r="E2649" s="3" t="s">
        <v>8071</v>
      </c>
      <c r="F2649" s="3" t="str">
        <f>"317.598.1125"</f>
        <v>317.598.1125</v>
      </c>
      <c r="G2649" s="3">
        <v>323115</v>
      </c>
      <c r="H2649" s="3" t="s">
        <v>5281</v>
      </c>
    </row>
    <row r="2650" spans="1:8" ht="77.25" x14ac:dyDescent="0.25">
      <c r="A2650" s="3" t="s">
        <v>8072</v>
      </c>
      <c r="B2650" s="3"/>
      <c r="C2650" s="3" t="str">
        <f>"Computer forensics services for businesses, government agencies, law enforcement, and law firms who need assistance in finding or preserving digital/computer information and maintaining the ""chain of custody"" of digital/computer information."</f>
        <v>Computer forensics services for businesses, government agencies, law enforcement, and law firms who need assistance in finding or preserving digital/computer information and maintaining the "chain of custody" of digital/computer information.</v>
      </c>
      <c r="D2650" s="3" t="s">
        <v>8073</v>
      </c>
      <c r="E2650" s="3" t="s">
        <v>8074</v>
      </c>
      <c r="F2650" s="3" t="str">
        <f>"317-878-5431"</f>
        <v>317-878-5431</v>
      </c>
      <c r="G2650" s="3">
        <v>5416</v>
      </c>
      <c r="H2650" s="3" t="s">
        <v>194</v>
      </c>
    </row>
    <row r="2651" spans="1:8" ht="39" x14ac:dyDescent="0.25">
      <c r="A2651" s="3" t="s">
        <v>8075</v>
      </c>
      <c r="B2651" s="3"/>
      <c r="C2651" s="3" t="str">
        <f>"Since 1977, DDI writes custom software programs for Pharmacy and sells computer networking services."</f>
        <v>Since 1977, DDI writes custom software programs for Pharmacy and sells computer networking services.</v>
      </c>
      <c r="D2651" s="3" t="s">
        <v>8076</v>
      </c>
      <c r="E2651" s="3" t="s">
        <v>8077</v>
      </c>
      <c r="F2651" s="3" t="str">
        <f>"317-337-1620"</f>
        <v>317-337-1620</v>
      </c>
      <c r="G2651" s="3">
        <v>541511</v>
      </c>
      <c r="H2651" s="3" t="s">
        <v>122</v>
      </c>
    </row>
    <row r="2652" spans="1:8" ht="77.25" x14ac:dyDescent="0.25">
      <c r="A2652" s="3" t="s">
        <v>8078</v>
      </c>
      <c r="B2652" s="3"/>
      <c r="C2652" s="3" t="str">
        <f>"Digital Hill is a full service web design and digital marketing company. We have over 700 clients and have been in business 17 years. We have offices in Goshen, IN and Indianapolis IN. Contact us to find out how we can help you with your online needs."</f>
        <v>Digital Hill is a full service web design and digital marketing company. We have over 700 clients and have been in business 17 years. We have offices in Goshen, IN and Indianapolis IN. Contact us to find out how we can help you with your online needs.</v>
      </c>
      <c r="D2652" s="3" t="s">
        <v>8079</v>
      </c>
      <c r="E2652" s="3" t="s">
        <v>8080</v>
      </c>
      <c r="F2652" s="3" t="str">
        <f>"1 888 537-0703"</f>
        <v>1 888 537-0703</v>
      </c>
      <c r="G2652" s="3">
        <v>511210</v>
      </c>
      <c r="H2652" s="3" t="s">
        <v>315</v>
      </c>
    </row>
    <row r="2653" spans="1:8" ht="51.75" x14ac:dyDescent="0.25">
      <c r="A2653" s="3" t="s">
        <v>8081</v>
      </c>
      <c r="B2653" s="3"/>
      <c r="C2653" s="3" t="str">
        <f>"IGT is a large format, grand size printer specializing in retail posters, signage, backdrops, POS images, billboards and all types of large color printing"</f>
        <v>IGT is a large format, grand size printer specializing in retail posters, signage, backdrops, POS images, billboards and all types of large color printing</v>
      </c>
      <c r="D2653" s="3" t="s">
        <v>8082</v>
      </c>
      <c r="E2653" s="3" t="s">
        <v>8083</v>
      </c>
      <c r="F2653" s="3" t="str">
        <f>"317-227-8770"</f>
        <v>317-227-8770</v>
      </c>
      <c r="G2653" s="3">
        <v>323115</v>
      </c>
      <c r="H2653" s="3" t="s">
        <v>5281</v>
      </c>
    </row>
    <row r="2654" spans="1:8" ht="26.25" x14ac:dyDescent="0.25">
      <c r="A2654" s="3" t="s">
        <v>8084</v>
      </c>
      <c r="B2654" s="3"/>
      <c r="C2654" s="3" t="str">
        <f>"Specialize in large and grand format digital printing."</f>
        <v>Specialize in large and grand format digital printing.</v>
      </c>
      <c r="D2654" s="3" t="s">
        <v>9</v>
      </c>
      <c r="E2654" s="3" t="s">
        <v>8085</v>
      </c>
      <c r="F2654" s="2"/>
      <c r="G2654" s="3">
        <v>32311</v>
      </c>
      <c r="H2654" s="3" t="s">
        <v>531</v>
      </c>
    </row>
    <row r="2655" spans="1:8" ht="102.75" x14ac:dyDescent="0.25">
      <c r="A2655" s="3" t="s">
        <v>8086</v>
      </c>
      <c r="B2655" s="3"/>
      <c r="C2655" s="3" t="s">
        <v>8087</v>
      </c>
      <c r="D2655" s="3" t="s">
        <v>9</v>
      </c>
      <c r="E2655" s="3" t="s">
        <v>8088</v>
      </c>
      <c r="F2655" s="2"/>
      <c r="G2655" s="3">
        <v>541613</v>
      </c>
      <c r="H2655" s="3" t="s">
        <v>558</v>
      </c>
    </row>
    <row r="2656" spans="1:8" ht="306.75" x14ac:dyDescent="0.25">
      <c r="A2656" s="3" t="s">
        <v>8089</v>
      </c>
      <c r="B2656" s="3"/>
      <c r="C2656" s="3" t="s">
        <v>8090</v>
      </c>
      <c r="D2656" s="3" t="s">
        <v>8091</v>
      </c>
      <c r="E2656" s="3" t="s">
        <v>8092</v>
      </c>
      <c r="F2656" s="3" t="str">
        <f>"317 409 8820"</f>
        <v>317 409 8820</v>
      </c>
      <c r="G2656" s="3">
        <v>541513</v>
      </c>
      <c r="H2656" s="3" t="s">
        <v>2401</v>
      </c>
    </row>
    <row r="2657" spans="1:8" ht="255.75" x14ac:dyDescent="0.25">
      <c r="A2657" s="3" t="s">
        <v>8093</v>
      </c>
      <c r="B2657" s="3"/>
      <c r="C2657" s="3" t="s">
        <v>8094</v>
      </c>
      <c r="D2657" s="3" t="s">
        <v>8095</v>
      </c>
      <c r="E2657" s="3" t="s">
        <v>8096</v>
      </c>
      <c r="F2657" s="3" t="str">
        <f>"8123338099"</f>
        <v>8123338099</v>
      </c>
      <c r="G2657" s="3">
        <v>541810</v>
      </c>
      <c r="H2657" s="3" t="s">
        <v>976</v>
      </c>
    </row>
    <row r="2658" spans="1:8" ht="166.5" x14ac:dyDescent="0.25">
      <c r="A2658" s="3" t="s">
        <v>8097</v>
      </c>
      <c r="B2658" s="3"/>
      <c r="C2658" s="3" t="s">
        <v>8098</v>
      </c>
      <c r="D2658" s="3" t="s">
        <v>8099</v>
      </c>
      <c r="E2658" s="3" t="s">
        <v>8100</v>
      </c>
      <c r="F2658" s="3" t="str">
        <f>"574.274.9701"</f>
        <v>574.274.9701</v>
      </c>
      <c r="G2658" s="3">
        <v>812990</v>
      </c>
      <c r="H2658" s="3" t="s">
        <v>294</v>
      </c>
    </row>
    <row r="2659" spans="1:8" ht="77.25" x14ac:dyDescent="0.25">
      <c r="A2659" s="3" t="s">
        <v>8101</v>
      </c>
      <c r="B2659" s="3"/>
      <c r="C2659" s="3" t="str">
        <f>"Our Business provides innovative technology in Digital Office Products. We carry Canon, Gestetner, and Minolta Products, along with many other supplies for all of these lines, plus Hewitt Packard, Xerox, Brother...etc.."</f>
        <v>Our Business provides innovative technology in Digital Office Products. We carry Canon, Gestetner, and Minolta Products, along with many other supplies for all of these lines, plus Hewitt Packard, Xerox, Brother...etc..</v>
      </c>
      <c r="D2659" s="3" t="s">
        <v>8102</v>
      </c>
      <c r="E2659" s="3" t="s">
        <v>8103</v>
      </c>
      <c r="F2659" s="3" t="str">
        <f>"260-484-0451"</f>
        <v>260-484-0451</v>
      </c>
      <c r="G2659" s="3">
        <v>541990</v>
      </c>
      <c r="H2659" s="3" t="s">
        <v>378</v>
      </c>
    </row>
    <row r="2660" spans="1:8" ht="77.25" x14ac:dyDescent="0.25">
      <c r="A2660" s="3" t="s">
        <v>8104</v>
      </c>
      <c r="B2660" s="3"/>
      <c r="C2660" s="3" t="str">
        <f>"Digital Pie is an authorized agent of Sprint/Nextel. We provide Sprint/Nextel wireless products and services with a particular focus on emerging techologies such as wireless email and wireless broadband service."</f>
        <v>Digital Pie is an authorized agent of Sprint/Nextel. We provide Sprint/Nextel wireless products and services with a particular focus on emerging techologies such as wireless email and wireless broadband service.</v>
      </c>
      <c r="D2660" s="3" t="s">
        <v>8105</v>
      </c>
      <c r="E2660" s="3" t="s">
        <v>8106</v>
      </c>
      <c r="F2660" s="3" t="str">
        <f>"317-536-7300"</f>
        <v>317-536-7300</v>
      </c>
      <c r="G2660" s="3">
        <v>517212</v>
      </c>
      <c r="H2660" s="3" t="s">
        <v>6947</v>
      </c>
    </row>
    <row r="2661" spans="1:8" ht="77.25" x14ac:dyDescent="0.25">
      <c r="A2661" s="3" t="s">
        <v>8107</v>
      </c>
      <c r="B2661" s="3"/>
      <c r="C2661" s="3" t="str">
        <f>"We are a large format reprographic store offering bond printing, color graphics, and high speed duplicating. We sell engineering and plotter supplies. We are a KIP reseller of Digital Systems and offer service on engineering copiers."</f>
        <v>We are a large format reprographic store offering bond printing, color graphics, and high speed duplicating. We sell engineering and plotter supplies. We are a KIP reseller of Digital Systems and offer service on engineering copiers.</v>
      </c>
      <c r="D2661" s="3" t="s">
        <v>8108</v>
      </c>
      <c r="E2661" s="3" t="s">
        <v>8109</v>
      </c>
      <c r="F2661" s="3" t="str">
        <f>"260-483-8066"</f>
        <v>260-483-8066</v>
      </c>
      <c r="G2661" s="3">
        <v>323115</v>
      </c>
      <c r="H2661" s="3" t="s">
        <v>5281</v>
      </c>
    </row>
    <row r="2662" spans="1:8" ht="51.75" x14ac:dyDescent="0.25">
      <c r="A2662" s="3" t="s">
        <v>8110</v>
      </c>
      <c r="B2662" s="3"/>
      <c r="C2662" s="3" t="str">
        <f>"Telecommunications company specializing in residential and commercial satellite, telco, networking, local and citywide wireless internet connectivity."</f>
        <v>Telecommunications company specializing in residential and commercial satellite, telco, networking, local and citywide wireless internet connectivity.</v>
      </c>
      <c r="D2662" s="3" t="s">
        <v>8111</v>
      </c>
      <c r="E2662" s="3" t="s">
        <v>8112</v>
      </c>
      <c r="F2662" s="3" t="str">
        <f>"800-657-1589"</f>
        <v>800-657-1589</v>
      </c>
      <c r="G2662" s="3">
        <v>518111</v>
      </c>
      <c r="H2662" s="3" t="s">
        <v>2656</v>
      </c>
    </row>
    <row r="2663" spans="1:8" ht="217.5" x14ac:dyDescent="0.25">
      <c r="A2663" s="3" t="s">
        <v>8113</v>
      </c>
      <c r="B2663" s="3"/>
      <c r="C2663" s="3" t="s">
        <v>8114</v>
      </c>
      <c r="D2663" s="3" t="s">
        <v>8115</v>
      </c>
      <c r="E2663" s="3" t="s">
        <v>8116</v>
      </c>
      <c r="F2663" s="3" t="str">
        <f>"866.791.1273"</f>
        <v>866.791.1273</v>
      </c>
      <c r="G2663" s="3">
        <v>5182</v>
      </c>
      <c r="H2663" s="3" t="s">
        <v>3133</v>
      </c>
    </row>
    <row r="2664" spans="1:8" ht="51.75" x14ac:dyDescent="0.25">
      <c r="A2664" s="3" t="s">
        <v>8117</v>
      </c>
      <c r="B2664" s="3"/>
      <c r="C2664" s="3" t="str">
        <f>"We make other companies paperless offices by scanning their documents and putting the information on the Web, CD, DVD,Film or Fiche."</f>
        <v>We make other companies paperless offices by scanning their documents and putting the information on the Web, CD, DVD,Film or Fiche.</v>
      </c>
      <c r="D2664" s="3" t="s">
        <v>8118</v>
      </c>
      <c r="E2664" s="3" t="s">
        <v>8119</v>
      </c>
      <c r="F2664" s="3" t="str">
        <f>"317-578-1543"</f>
        <v>317-578-1543</v>
      </c>
      <c r="G2664" s="3">
        <v>518</v>
      </c>
      <c r="H2664" s="3" t="s">
        <v>1003</v>
      </c>
    </row>
    <row r="2665" spans="1:8" ht="26.25" x14ac:dyDescent="0.25">
      <c r="A2665" s="3" t="s">
        <v>8120</v>
      </c>
      <c r="B2665" s="3"/>
      <c r="C2665" s="3" t="str">
        <f>"Wholesale Food distribution"</f>
        <v>Wholesale Food distribution</v>
      </c>
      <c r="D2665" s="3" t="s">
        <v>9</v>
      </c>
      <c r="E2665" s="3" t="s">
        <v>46</v>
      </c>
      <c r="F2665" s="3" t="str">
        <f>"(260) 422-7531"</f>
        <v>(260) 422-7531</v>
      </c>
      <c r="G2665" s="3">
        <v>424420</v>
      </c>
      <c r="H2665" s="3" t="s">
        <v>8121</v>
      </c>
    </row>
    <row r="2666" spans="1:8" ht="64.5" x14ac:dyDescent="0.25">
      <c r="A2666" s="3" t="s">
        <v>8122</v>
      </c>
      <c r="B2666" s="3"/>
      <c r="C2666" s="3" t="str">
        <f>"Diligent Services is a professional cleaning service which I started recently. I'm insured and bonded. We specialize in commercial and residential . Green cleaning products can be used upon request."</f>
        <v>Diligent Services is a professional cleaning service which I started recently. I'm insured and bonded. We specialize in commercial and residential . Green cleaning products can be used upon request.</v>
      </c>
      <c r="D2666" s="3" t="s">
        <v>9</v>
      </c>
      <c r="E2666" s="3" t="s">
        <v>8123</v>
      </c>
      <c r="F2666" s="3" t="str">
        <f>"317-283-5083"</f>
        <v>317-283-5083</v>
      </c>
      <c r="G2666" s="3">
        <v>561720</v>
      </c>
      <c r="H2666" s="3" t="s">
        <v>222</v>
      </c>
    </row>
    <row r="2667" spans="1:8" ht="64.5" x14ac:dyDescent="0.25">
      <c r="A2667" s="3" t="s">
        <v>8124</v>
      </c>
      <c r="B2667" s="3"/>
      <c r="C2667" s="3" t="str">
        <f>"Dillterra, LLC is a WBE, small business focusing on environmental issues such as wetland delineations, wetland permitting, Phase I investigations, erosion control and stormwater management."</f>
        <v>Dillterra, LLC is a WBE, small business focusing on environmental issues such as wetland delineations, wetland permitting, Phase I investigations, erosion control and stormwater management.</v>
      </c>
      <c r="D2667" s="3" t="s">
        <v>8125</v>
      </c>
      <c r="E2667" s="3" t="s">
        <v>8126</v>
      </c>
      <c r="F2667" s="3" t="str">
        <f>"765-479-8018"</f>
        <v>765-479-8018</v>
      </c>
      <c r="G2667" s="3">
        <v>541620</v>
      </c>
      <c r="H2667" s="3" t="s">
        <v>216</v>
      </c>
    </row>
    <row r="2668" spans="1:8" ht="39" x14ac:dyDescent="0.25">
      <c r="A2668" s="3" t="s">
        <v>8127</v>
      </c>
      <c r="B2668" s="3"/>
      <c r="C2668" s="3" t="str">
        <f>"Sells office supplies, computer supplies and office furniture to businesses, government and not-for-profits"</f>
        <v>Sells office supplies, computer supplies and office furniture to businesses, government and not-for-profits</v>
      </c>
      <c r="D2668" s="3" t="s">
        <v>8128</v>
      </c>
      <c r="E2668" s="3" t="s">
        <v>8129</v>
      </c>
      <c r="F2668" s="3" t="str">
        <f>"317-637-7117"</f>
        <v>317-637-7117</v>
      </c>
      <c r="G2668" s="3">
        <v>424120</v>
      </c>
      <c r="H2668" s="3" t="s">
        <v>411</v>
      </c>
    </row>
    <row r="2669" spans="1:8" ht="77.25" x14ac:dyDescent="0.25">
      <c r="A2669" s="3" t="s">
        <v>8130</v>
      </c>
      <c r="B2669" s="3"/>
      <c r="C2669" s="3" t="str">
        <f>"We provide pest control exterminating services for residential and commercial structures. This includes all summer general pest, termites, mosquitos mole baiting and stinging insects. Areas included are interior and exterior of structures."</f>
        <v>We provide pest control exterminating services for residential and commercial structures. This includes all summer general pest, termites, mosquitos mole baiting and stinging insects. Areas included are interior and exterior of structures.</v>
      </c>
      <c r="D2669" s="3" t="s">
        <v>9</v>
      </c>
      <c r="E2669" s="3" t="s">
        <v>46</v>
      </c>
      <c r="F2669" s="3" t="str">
        <f>"260-637-3440"</f>
        <v>260-637-3440</v>
      </c>
      <c r="G2669" s="3">
        <v>561710</v>
      </c>
      <c r="H2669" s="3" t="s">
        <v>946</v>
      </c>
    </row>
    <row r="2670" spans="1:8" ht="39" x14ac:dyDescent="0.25">
      <c r="A2670" s="3" t="s">
        <v>8131</v>
      </c>
      <c r="B2670" s="3"/>
      <c r="C2670" s="3" t="str">
        <f>"Our company deliveries packages large and small in the Indiana and surrounding state area."</f>
        <v>Our company deliveries packages large and small in the Indiana and surrounding state area.</v>
      </c>
      <c r="D2670" s="3" t="s">
        <v>8132</v>
      </c>
      <c r="E2670" s="3" t="s">
        <v>8133</v>
      </c>
      <c r="F2670" s="3" t="str">
        <f>"317-353-1111"</f>
        <v>317-353-1111</v>
      </c>
      <c r="G2670" s="3">
        <v>492210</v>
      </c>
      <c r="H2670" s="3" t="s">
        <v>8134</v>
      </c>
    </row>
    <row r="2671" spans="1:8" ht="166.5" x14ac:dyDescent="0.25">
      <c r="A2671" s="3" t="s">
        <v>8135</v>
      </c>
      <c r="B2671" s="3"/>
      <c r="C2671" s="3" t="s">
        <v>8136</v>
      </c>
      <c r="D2671" s="3" t="s">
        <v>8137</v>
      </c>
      <c r="E2671" s="3" t="s">
        <v>8138</v>
      </c>
      <c r="F2671" s="3" t="str">
        <f>"317.605.4163"</f>
        <v>317.605.4163</v>
      </c>
      <c r="G2671" s="3">
        <v>541611</v>
      </c>
      <c r="H2671" s="3" t="s">
        <v>278</v>
      </c>
    </row>
    <row r="2672" spans="1:8" ht="26.25" x14ac:dyDescent="0.25">
      <c r="A2672" s="3" t="s">
        <v>8139</v>
      </c>
      <c r="B2672" s="3"/>
      <c r="C2672" s="3" t="str">
        <f>"Direct Selling Network Business to Business Products, Supplies and Toiletries"</f>
        <v>Direct Selling Network Business to Business Products, Supplies and Toiletries</v>
      </c>
      <c r="D2672" s="3" t="s">
        <v>8140</v>
      </c>
      <c r="E2672" s="3" t="s">
        <v>46</v>
      </c>
      <c r="F2672" s="2"/>
      <c r="G2672" s="3">
        <v>2359</v>
      </c>
      <c r="H2672" s="3" t="s">
        <v>631</v>
      </c>
    </row>
    <row r="2673" spans="1:8" ht="243" x14ac:dyDescent="0.25">
      <c r="A2673" s="3" t="s">
        <v>8141</v>
      </c>
      <c r="B2673" s="3"/>
      <c r="C2673" s="3" t="s">
        <v>8142</v>
      </c>
      <c r="D2673" s="3" t="s">
        <v>8143</v>
      </c>
      <c r="E2673" s="3" t="s">
        <v>8144</v>
      </c>
      <c r="F2673" s="3" t="str">
        <f>"317-874-9000"</f>
        <v>317-874-9000</v>
      </c>
      <c r="G2673" s="3">
        <v>518112</v>
      </c>
      <c r="H2673" s="3" t="s">
        <v>8145</v>
      </c>
    </row>
    <row r="2674" spans="1:8" ht="39" x14ac:dyDescent="0.25">
      <c r="A2674" s="3" t="s">
        <v>8146</v>
      </c>
      <c r="B2674" s="3"/>
      <c r="C2674" s="3" t="str">
        <f>"Advertising Specialities, Wearables (Screen Printed &amp; Embroidered), Premiums and Incentive Programs"</f>
        <v>Advertising Specialities, Wearables (Screen Printed &amp; Embroidered), Premiums and Incentive Programs</v>
      </c>
      <c r="D2674" s="3" t="s">
        <v>8147</v>
      </c>
      <c r="E2674" s="3" t="s">
        <v>8148</v>
      </c>
      <c r="F2674" s="3" t="str">
        <f>"812-547-7380"</f>
        <v>812-547-7380</v>
      </c>
      <c r="G2674" s="3">
        <v>323113</v>
      </c>
      <c r="H2674" s="3" t="s">
        <v>1606</v>
      </c>
    </row>
    <row r="2675" spans="1:8" ht="26.25" x14ac:dyDescent="0.25">
      <c r="A2675" s="3" t="s">
        <v>8149</v>
      </c>
      <c r="B2675" s="3"/>
      <c r="C2675" s="2"/>
      <c r="D2675" s="3" t="s">
        <v>9</v>
      </c>
      <c r="E2675" s="3" t="s">
        <v>46</v>
      </c>
      <c r="F2675" s="3" t="str">
        <f>"(812) 886-5714"</f>
        <v>(812) 886-5714</v>
      </c>
      <c r="G2675" s="3">
        <v>541211</v>
      </c>
      <c r="H2675" s="3" t="s">
        <v>337</v>
      </c>
    </row>
    <row r="2676" spans="1:8" ht="115.5" x14ac:dyDescent="0.25">
      <c r="A2676" s="3" t="s">
        <v>8150</v>
      </c>
      <c r="B2676" s="3"/>
      <c r="C2676" s="3" t="s">
        <v>8151</v>
      </c>
      <c r="D2676" s="3" t="s">
        <v>8152</v>
      </c>
      <c r="E2676" s="3" t="s">
        <v>8153</v>
      </c>
      <c r="F2676" s="3" t="str">
        <f>"(317) 759-3475"</f>
        <v>(317) 759-3475</v>
      </c>
      <c r="G2676" s="3">
        <v>54169</v>
      </c>
      <c r="H2676" s="3" t="s">
        <v>652</v>
      </c>
    </row>
    <row r="2677" spans="1:8" ht="294" x14ac:dyDescent="0.25">
      <c r="A2677" s="3" t="s">
        <v>8154</v>
      </c>
      <c r="B2677" s="3"/>
      <c r="C2677" s="3" t="s">
        <v>8155</v>
      </c>
      <c r="D2677" s="3" t="s">
        <v>8156</v>
      </c>
      <c r="E2677" s="3" t="s">
        <v>8157</v>
      </c>
      <c r="F2677" s="3" t="str">
        <f>"800.669.4472"</f>
        <v>800.669.4472</v>
      </c>
      <c r="G2677" s="3">
        <v>339950</v>
      </c>
      <c r="H2677" s="3" t="s">
        <v>68</v>
      </c>
    </row>
    <row r="2678" spans="1:8" ht="26.25" x14ac:dyDescent="0.25">
      <c r="A2678" s="3" t="s">
        <v>8158</v>
      </c>
      <c r="B2678" s="3"/>
      <c r="C2678" s="3" t="str">
        <f>"Workstation furniture systems. Sit-to-stand and custom."</f>
        <v>Workstation furniture systems. Sit-to-stand and custom.</v>
      </c>
      <c r="D2678" s="3" t="s">
        <v>9</v>
      </c>
      <c r="E2678" s="3" t="s">
        <v>8159</v>
      </c>
      <c r="F2678" s="3" t="str">
        <f>"260-665-7961"</f>
        <v>260-665-7961</v>
      </c>
      <c r="G2678" s="3">
        <v>42121</v>
      </c>
      <c r="H2678" s="3" t="s">
        <v>8160</v>
      </c>
    </row>
    <row r="2679" spans="1:8" ht="64.5" x14ac:dyDescent="0.25">
      <c r="A2679" s="3" t="s">
        <v>8161</v>
      </c>
      <c r="B2679" s="3"/>
      <c r="C2679" s="3" t="str">
        <f>"Paint dealer of Benjamin Moore paints. Supplier of architectural,industrial, commercial coatings. Supplier of window treatments and wallcoverings. Offer complete design service."</f>
        <v>Paint dealer of Benjamin Moore paints. Supplier of architectural,industrial, commercial coatings. Supplier of window treatments and wallcoverings. Offer complete design service.</v>
      </c>
      <c r="D2679" s="3" t="s">
        <v>9</v>
      </c>
      <c r="E2679" s="3" t="s">
        <v>8162</v>
      </c>
      <c r="F2679" s="3" t="str">
        <f>"812 853 6109"</f>
        <v>812 853 6109</v>
      </c>
      <c r="G2679" s="3">
        <v>44412</v>
      </c>
      <c r="H2679" s="3" t="s">
        <v>6158</v>
      </c>
    </row>
    <row r="2680" spans="1:8" ht="51.75" x14ac:dyDescent="0.25">
      <c r="A2680" s="3" t="s">
        <v>8163</v>
      </c>
      <c r="B2680" s="3"/>
      <c r="C2680" s="3" t="str">
        <f>"Event management and staffing company that specializes in event operations, staffing,fan festivals, hospitality services, mobile marketing and talent coordination."</f>
        <v>Event management and staffing company that specializes in event operations, staffing,fan festivals, hospitality services, mobile marketing and talent coordination.</v>
      </c>
      <c r="D2680" s="3" t="s">
        <v>8164</v>
      </c>
      <c r="E2680" s="3" t="s">
        <v>8165</v>
      </c>
      <c r="F2680" s="3" t="str">
        <f>"1-630-660-0197"</f>
        <v>1-630-660-0197</v>
      </c>
      <c r="G2680" s="3">
        <v>541613</v>
      </c>
      <c r="H2680" s="3" t="s">
        <v>558</v>
      </c>
    </row>
    <row r="2681" spans="1:8" x14ac:dyDescent="0.25">
      <c r="A2681" s="3" t="s">
        <v>8166</v>
      </c>
      <c r="B2681" s="3"/>
      <c r="C2681" s="3" t="str">
        <f>" "</f>
        <v xml:space="preserve"> </v>
      </c>
      <c r="D2681" s="3" t="s">
        <v>9</v>
      </c>
      <c r="E2681" s="3" t="s">
        <v>46</v>
      </c>
      <c r="F2681" s="2"/>
      <c r="G2681" s="3">
        <v>624230</v>
      </c>
      <c r="H2681" s="3" t="s">
        <v>1984</v>
      </c>
    </row>
    <row r="2682" spans="1:8" ht="39" x14ac:dyDescent="0.25">
      <c r="A2682" s="3" t="s">
        <v>8167</v>
      </c>
      <c r="B2682" s="3"/>
      <c r="C2682" s="3" t="str">
        <f>"Indiana Not-for-profit Corporation formed for the benefit of Hospitals located in Indiana Preparedness District #9."</f>
        <v>Indiana Not-for-profit Corporation formed for the benefit of Hospitals located in Indiana Preparedness District #9.</v>
      </c>
      <c r="D2682" s="3" t="s">
        <v>9</v>
      </c>
      <c r="E2682" s="3" t="s">
        <v>46</v>
      </c>
      <c r="F2682" s="3" t="str">
        <f>"812-948-6741"</f>
        <v>812-948-6741</v>
      </c>
      <c r="G2682" s="3">
        <v>922190</v>
      </c>
      <c r="H2682" s="3" t="s">
        <v>8168</v>
      </c>
    </row>
    <row r="2683" spans="1:8" ht="39" x14ac:dyDescent="0.25">
      <c r="A2683" s="3" t="s">
        <v>8169</v>
      </c>
      <c r="B2683" s="3"/>
      <c r="C2683" s="3" t="str">
        <f>"Ditto Sales, Inc. d/b/a Versteel is a quality manufacturer of tables and chairs produced with metal bases and frames."</f>
        <v>Ditto Sales, Inc. d/b/a Versteel is a quality manufacturer of tables and chairs produced with metal bases and frames.</v>
      </c>
      <c r="D2683" s="3" t="s">
        <v>8170</v>
      </c>
      <c r="E2683" s="3" t="s">
        <v>8171</v>
      </c>
      <c r="F2683" s="3" t="str">
        <f>"800-876-2120"</f>
        <v>800-876-2120</v>
      </c>
      <c r="G2683" s="3">
        <v>337</v>
      </c>
      <c r="H2683" s="3" t="s">
        <v>6695</v>
      </c>
    </row>
    <row r="2684" spans="1:8" ht="51.75" x14ac:dyDescent="0.25">
      <c r="A2684" s="3" t="s">
        <v>8172</v>
      </c>
      <c r="B2684" s="3"/>
      <c r="C2684" s="3" t="str">
        <f>"SCUBA instruction from entry level to instructor, equipment sales, repair, rental All services for recreational, technical and public safety divers."</f>
        <v>SCUBA instruction from entry level to instructor, equipment sales, repair, rental All services for recreational, technical and public safety divers.</v>
      </c>
      <c r="D2684" s="3" t="s">
        <v>8173</v>
      </c>
      <c r="E2684" s="3" t="s">
        <v>8174</v>
      </c>
      <c r="F2684" s="3" t="str">
        <f>"219-477-4454"</f>
        <v>219-477-4454</v>
      </c>
      <c r="G2684" s="3">
        <v>451110</v>
      </c>
      <c r="H2684" s="3" t="s">
        <v>3110</v>
      </c>
    </row>
    <row r="2685" spans="1:8" ht="230.25" x14ac:dyDescent="0.25">
      <c r="A2685" s="3" t="s">
        <v>8175</v>
      </c>
      <c r="B2685" s="3"/>
      <c r="C2685" s="3" t="s">
        <v>8176</v>
      </c>
      <c r="D2685" s="3" t="s">
        <v>9</v>
      </c>
      <c r="E2685" s="3" t="s">
        <v>8177</v>
      </c>
      <c r="F2685" s="3" t="str">
        <f>"888-895-9806"</f>
        <v>888-895-9806</v>
      </c>
      <c r="G2685" s="3">
        <v>5614</v>
      </c>
      <c r="H2685" s="3" t="s">
        <v>847</v>
      </c>
    </row>
    <row r="2686" spans="1:8" ht="141" x14ac:dyDescent="0.25">
      <c r="A2686" s="3" t="s">
        <v>8178</v>
      </c>
      <c r="B2686" s="3"/>
      <c r="C2686" s="3" t="s">
        <v>8179</v>
      </c>
      <c r="D2686" s="3" t="s">
        <v>8180</v>
      </c>
      <c r="E2686" s="3" t="s">
        <v>8181</v>
      </c>
      <c r="F2686" s="3" t="str">
        <f>"317-979-3397"</f>
        <v>317-979-3397</v>
      </c>
      <c r="G2686" s="3">
        <v>541611</v>
      </c>
      <c r="H2686" s="3" t="s">
        <v>278</v>
      </c>
    </row>
    <row r="2687" spans="1:8" ht="64.5" x14ac:dyDescent="0.25">
      <c r="A2687" s="3" t="s">
        <v>8182</v>
      </c>
      <c r="B2687" s="3"/>
      <c r="C2687" s="3" t="str">
        <f>"Nationwide Facility Maintenance is a full service FACILITY MANAGEMENT that specializes in real estate and asset management for residential and commercial companies."</f>
        <v>Nationwide Facility Maintenance is a full service FACILITY MANAGEMENT that specializes in real estate and asset management for residential and commercial companies.</v>
      </c>
      <c r="D2687" s="3" t="s">
        <v>8183</v>
      </c>
      <c r="E2687" s="3" t="s">
        <v>8184</v>
      </c>
      <c r="F2687" s="3" t="str">
        <f>"317-581-6129"</f>
        <v>317-581-6129</v>
      </c>
      <c r="G2687" s="3">
        <v>23542</v>
      </c>
      <c r="H2687" s="3" t="s">
        <v>7405</v>
      </c>
    </row>
    <row r="2688" spans="1:8" ht="217.5" x14ac:dyDescent="0.25">
      <c r="A2688" s="3" t="s">
        <v>8185</v>
      </c>
      <c r="B2688" s="3"/>
      <c r="C2688" s="3" t="s">
        <v>8186</v>
      </c>
      <c r="D2688" s="3" t="s">
        <v>8187</v>
      </c>
      <c r="E2688" s="3" t="s">
        <v>8188</v>
      </c>
      <c r="F2688" s="3" t="str">
        <f>"317-524-5700"</f>
        <v>317-524-5700</v>
      </c>
      <c r="G2688" s="3">
        <v>541511</v>
      </c>
      <c r="H2688" s="3" t="s">
        <v>122</v>
      </c>
    </row>
    <row r="2689" spans="1:8" ht="153.75" x14ac:dyDescent="0.25">
      <c r="A2689" s="3" t="s">
        <v>8189</v>
      </c>
      <c r="B2689" s="3"/>
      <c r="C2689" s="3" t="s">
        <v>8190</v>
      </c>
      <c r="D2689" s="3" t="s">
        <v>8191</v>
      </c>
      <c r="E2689" s="3" t="s">
        <v>8192</v>
      </c>
      <c r="F2689" s="3" t="str">
        <f>"317-218-3852"</f>
        <v>317-218-3852</v>
      </c>
      <c r="G2689" s="3">
        <v>488490</v>
      </c>
      <c r="H2689" s="3" t="s">
        <v>4862</v>
      </c>
    </row>
    <row r="2690" spans="1:8" ht="217.5" x14ac:dyDescent="0.25">
      <c r="A2690" s="3" t="s">
        <v>8193</v>
      </c>
      <c r="B2690" s="3"/>
      <c r="C2690" s="3" t="s">
        <v>8194</v>
      </c>
      <c r="D2690" s="3" t="s">
        <v>8195</v>
      </c>
      <c r="E2690" s="3" t="s">
        <v>8196</v>
      </c>
      <c r="F2690" s="3" t="str">
        <f>"219-345-3473"</f>
        <v>219-345-3473</v>
      </c>
      <c r="G2690" s="3">
        <v>611710</v>
      </c>
      <c r="H2690" s="3" t="s">
        <v>508</v>
      </c>
    </row>
    <row r="2691" spans="1:8" ht="51.75" x14ac:dyDescent="0.25">
      <c r="A2691" s="3" t="s">
        <v>8197</v>
      </c>
      <c r="B2691" s="3"/>
      <c r="C2691" s="3" t="str">
        <f>"Not-for-profit providing social assistance, education, and training to individuals, families (youth and adults),communities and local businesses"</f>
        <v>Not-for-profit providing social assistance, education, and training to individuals, families (youth and adults),communities and local businesses</v>
      </c>
      <c r="D2691" s="3" t="s">
        <v>9</v>
      </c>
      <c r="E2691" s="3" t="s">
        <v>8198</v>
      </c>
      <c r="F2691" s="3" t="str">
        <f>"317-244-3048"</f>
        <v>317-244-3048</v>
      </c>
      <c r="G2691" s="3">
        <v>624190</v>
      </c>
      <c r="H2691" s="3" t="s">
        <v>54</v>
      </c>
    </row>
    <row r="2692" spans="1:8" ht="77.25" x14ac:dyDescent="0.25">
      <c r="A2692" s="3" t="s">
        <v>8199</v>
      </c>
      <c r="B2692" s="3"/>
      <c r="C2692" s="3" t="str">
        <f>"Manufacture string wound and bonded melt-blown polypropylene cartridge filters. Available in 10""- 72"" lengths with all of the end cap and core options available. Micron ratings from .05 - 200. Thousands in stock with immediate delivery."</f>
        <v>Manufacture string wound and bonded melt-blown polypropylene cartridge filters. Available in 10"- 72" lengths with all of the end cap and core options available. Micron ratings from .05 - 200. Thousands in stock with immediate delivery.</v>
      </c>
      <c r="D2692" s="3" t="s">
        <v>8200</v>
      </c>
      <c r="E2692" s="3" t="s">
        <v>8201</v>
      </c>
      <c r="F2692" s="3" t="str">
        <f>"219-866-4444"</f>
        <v>219-866-4444</v>
      </c>
      <c r="G2692" s="3">
        <v>33999</v>
      </c>
      <c r="H2692" s="3" t="s">
        <v>2044</v>
      </c>
    </row>
    <row r="2693" spans="1:8" ht="90" x14ac:dyDescent="0.25">
      <c r="A2693" s="3" t="s">
        <v>8202</v>
      </c>
      <c r="B2693" s="3"/>
      <c r="C2693" s="3" t="s">
        <v>8203</v>
      </c>
      <c r="D2693" s="3" t="s">
        <v>8204</v>
      </c>
      <c r="E2693" s="3" t="s">
        <v>8205</v>
      </c>
      <c r="F2693" s="3" t="str">
        <f>"317.512.7687"</f>
        <v>317.512.7687</v>
      </c>
      <c r="G2693" s="3">
        <v>5416</v>
      </c>
      <c r="H2693" s="3" t="s">
        <v>194</v>
      </c>
    </row>
    <row r="2694" spans="1:8" ht="26.25" x14ac:dyDescent="0.25">
      <c r="A2694" s="3" t="s">
        <v>8206</v>
      </c>
      <c r="B2694" s="3"/>
      <c r="C2694" s="3" t="str">
        <f>"Repair service and parts of medical equipment and medical centrifuges."</f>
        <v>Repair service and parts of medical equipment and medical centrifuges.</v>
      </c>
      <c r="D2694" s="3" t="s">
        <v>8207</v>
      </c>
      <c r="E2694" s="3" t="s">
        <v>8208</v>
      </c>
      <c r="F2694" s="3" t="str">
        <f>"(812) 401-7767"</f>
        <v>(812) 401-7767</v>
      </c>
      <c r="G2694" s="3">
        <v>423450</v>
      </c>
      <c r="H2694" s="3" t="s">
        <v>1406</v>
      </c>
    </row>
    <row r="2695" spans="1:8" ht="64.5" x14ac:dyDescent="0.25">
      <c r="A2695" s="3" t="s">
        <v>8209</v>
      </c>
      <c r="B2695" s="3"/>
      <c r="C2695" s="3" t="str">
        <f>"Core Business: Design, manufacture, modification and repair of metal and plastic containers and racks including dunnage. Secondary: Small parts assembly, sorting, measuring and warehousing."</f>
        <v>Core Business: Design, manufacture, modification and repair of metal and plastic containers and racks including dunnage. Secondary: Small parts assembly, sorting, measuring and warehousing.</v>
      </c>
      <c r="D2695" s="3" t="s">
        <v>9</v>
      </c>
      <c r="E2695" s="3" t="s">
        <v>8210</v>
      </c>
      <c r="F2695" s="3" t="str">
        <f>"765-644-7712"</f>
        <v>765-644-7712</v>
      </c>
      <c r="G2695" s="3">
        <v>33299</v>
      </c>
      <c r="H2695" s="3" t="s">
        <v>8211</v>
      </c>
    </row>
    <row r="2696" spans="1:8" ht="90" x14ac:dyDescent="0.25">
      <c r="A2696" s="3" t="s">
        <v>8212</v>
      </c>
      <c r="B2696" s="3"/>
      <c r="C2696" s="3" t="str">
        <f>"DRD, LLC is an Information Management Specialist. We store paper and electronic documents, convert paper documents to electronic and provide IT support in configuring offices for computer, building computers and supplier for electronic equipment."</f>
        <v>DRD, LLC is an Information Management Specialist. We store paper and electronic documents, convert paper documents to electronic and provide IT support in configuring offices for computer, building computers and supplier for electronic equipment.</v>
      </c>
      <c r="D2696" s="3" t="s">
        <v>8213</v>
      </c>
      <c r="E2696" s="3" t="s">
        <v>8214</v>
      </c>
      <c r="F2696" s="3" t="str">
        <f>"219-617-2635"</f>
        <v>219-617-2635</v>
      </c>
      <c r="G2696" s="3">
        <v>518210</v>
      </c>
      <c r="H2696" s="3" t="s">
        <v>3133</v>
      </c>
    </row>
    <row r="2697" spans="1:8" ht="90" x14ac:dyDescent="0.25">
      <c r="A2697" s="3" t="s">
        <v>8215</v>
      </c>
      <c r="B2697" s="3"/>
      <c r="C2697" s="3" t="s">
        <v>8216</v>
      </c>
      <c r="D2697" s="3" t="s">
        <v>9</v>
      </c>
      <c r="E2697" s="3" t="s">
        <v>8217</v>
      </c>
      <c r="F2697" s="3" t="str">
        <f>"219-230-7565"</f>
        <v>219-230-7565</v>
      </c>
      <c r="G2697" s="3">
        <v>23599</v>
      </c>
      <c r="H2697" s="3" t="s">
        <v>248</v>
      </c>
    </row>
    <row r="2698" spans="1:8" ht="77.25" x14ac:dyDescent="0.25">
      <c r="A2698" s="3" t="s">
        <v>8218</v>
      </c>
      <c r="B2698" s="3"/>
      <c r="C2698" s="3" t="str">
        <f>"Providing Lawn care services at affordable prices. Services include but not limited to lawn maintance, leaf &amp; snow removal, fertilization, hedge &amp; shrub trimming, aerating, brick paving, landscape lighting &amp; hauling."</f>
        <v>Providing Lawn care services at affordable prices. Services include but not limited to lawn maintance, leaf &amp; snow removal, fertilization, hedge &amp; shrub trimming, aerating, brick paving, landscape lighting &amp; hauling.</v>
      </c>
      <c r="D2698" s="3" t="s">
        <v>8219</v>
      </c>
      <c r="E2698" s="3" t="s">
        <v>8220</v>
      </c>
      <c r="F2698" s="3" t="str">
        <f>"317-201-7698"</f>
        <v>317-201-7698</v>
      </c>
      <c r="G2698" s="3">
        <v>561730</v>
      </c>
      <c r="H2698" s="3" t="s">
        <v>65</v>
      </c>
    </row>
    <row r="2699" spans="1:8" ht="115.5" x14ac:dyDescent="0.25">
      <c r="A2699" s="3" t="s">
        <v>8221</v>
      </c>
      <c r="B2699" s="3"/>
      <c r="C2699" s="3" t="s">
        <v>8222</v>
      </c>
      <c r="D2699" s="3" t="s">
        <v>8223</v>
      </c>
      <c r="E2699" s="3" t="s">
        <v>8224</v>
      </c>
      <c r="F2699" s="3" t="str">
        <f>"260/420-3200"</f>
        <v>260/420-3200</v>
      </c>
      <c r="G2699" s="3">
        <v>511110</v>
      </c>
      <c r="H2699" s="3" t="s">
        <v>8225</v>
      </c>
    </row>
    <row r="2700" spans="1:8" ht="166.5" x14ac:dyDescent="0.25">
      <c r="A2700" s="3" t="s">
        <v>8226</v>
      </c>
      <c r="B2700" s="3"/>
      <c r="C2700" s="3" t="s">
        <v>8227</v>
      </c>
      <c r="D2700" s="3" t="s">
        <v>8228</v>
      </c>
      <c r="E2700" s="3" t="s">
        <v>8229</v>
      </c>
      <c r="F2700" s="3" t="str">
        <f>"317.289.9861"</f>
        <v>317.289.9861</v>
      </c>
      <c r="G2700" s="3">
        <v>323</v>
      </c>
      <c r="H2700" s="3" t="s">
        <v>302</v>
      </c>
    </row>
    <row r="2701" spans="1:8" ht="115.5" x14ac:dyDescent="0.25">
      <c r="A2701" s="3" t="s">
        <v>8230</v>
      </c>
      <c r="B2701" s="3"/>
      <c r="C2701" s="3" t="s">
        <v>8231</v>
      </c>
      <c r="D2701" s="3" t="s">
        <v>8232</v>
      </c>
      <c r="E2701" s="3" t="s">
        <v>8233</v>
      </c>
      <c r="F2701" s="3" t="str">
        <f>"317-289-9861"</f>
        <v>317-289-9861</v>
      </c>
      <c r="G2701" s="3">
        <v>32311</v>
      </c>
      <c r="H2701" s="3" t="s">
        <v>531</v>
      </c>
    </row>
    <row r="2702" spans="1:8" ht="141" x14ac:dyDescent="0.25">
      <c r="A2702" s="3" t="s">
        <v>8234</v>
      </c>
      <c r="B2702" s="3"/>
      <c r="C2702" s="3" t="s">
        <v>8235</v>
      </c>
      <c r="D2702" s="3" t="s">
        <v>8236</v>
      </c>
      <c r="E2702" s="3" t="s">
        <v>8237</v>
      </c>
      <c r="F2702" s="3" t="str">
        <f>"317-408-7458"</f>
        <v>317-408-7458</v>
      </c>
      <c r="G2702" s="3">
        <v>484121</v>
      </c>
      <c r="H2702" s="3" t="s">
        <v>342</v>
      </c>
    </row>
    <row r="2703" spans="1:8" ht="39" x14ac:dyDescent="0.25">
      <c r="A2703" s="3" t="s">
        <v>8238</v>
      </c>
      <c r="B2703" s="3"/>
      <c r="C2703" s="3" t="str">
        <f>"Dixon Coatings Inc. does the complete installation of epoxy, resinous, decorative quartz flooring systems."</f>
        <v>Dixon Coatings Inc. does the complete installation of epoxy, resinous, decorative quartz flooring systems.</v>
      </c>
      <c r="D2703" s="3" t="s">
        <v>9</v>
      </c>
      <c r="E2703" s="3" t="s">
        <v>8239</v>
      </c>
      <c r="F2703" s="3" t="str">
        <f>"812-376-0230"</f>
        <v>812-376-0230</v>
      </c>
      <c r="G2703" s="3">
        <v>325510</v>
      </c>
      <c r="H2703" s="3" t="s">
        <v>2050</v>
      </c>
    </row>
    <row r="2704" spans="1:8" ht="90" x14ac:dyDescent="0.25">
      <c r="A2704" s="3" t="s">
        <v>8240</v>
      </c>
      <c r="B2704" s="3"/>
      <c r="C2704" s="3" t="str">
        <f>"Dixon Phone Place is a small, woman owned Indiana business. Authorized Plantronics Headset Reseller; Polycom Conferencing Equipment: Engenius Long Range Cordless Phones; Cordless Phones; Single Line and Four Line Phones; Misc. Telephone Equipment"</f>
        <v>Dixon Phone Place is a small, woman owned Indiana business. Authorized Plantronics Headset Reseller; Polycom Conferencing Equipment: Engenius Long Range Cordless Phones; Cordless Phones; Single Line and Four Line Phones; Misc. Telephone Equipment</v>
      </c>
      <c r="D2704" s="3" t="s">
        <v>9</v>
      </c>
      <c r="E2704" s="3" t="s">
        <v>8241</v>
      </c>
      <c r="F2704" s="3" t="str">
        <f>"317-251-3504"</f>
        <v>317-251-3504</v>
      </c>
      <c r="G2704" s="3">
        <v>238210</v>
      </c>
      <c r="H2704" s="3" t="s">
        <v>306</v>
      </c>
    </row>
    <row r="2705" spans="1:8" ht="90" x14ac:dyDescent="0.25">
      <c r="A2705" s="3" t="s">
        <v>8242</v>
      </c>
      <c r="B2705" s="3"/>
      <c r="C2705" s="3" t="str">
        <f>"We would like to serve you with all you electrical needs. We do commercial, residential, industrial. We have several repeat contractors and customers. We are licensed, bonded and insured. Please give us a call for any electrical needs you may have."</f>
        <v>We would like to serve you with all you electrical needs. We do commercial, residential, industrial. We have several repeat contractors and customers. We are licensed, bonded and insured. Please give us a call for any electrical needs you may have.</v>
      </c>
      <c r="D2705" s="3" t="s">
        <v>9</v>
      </c>
      <c r="E2705" s="3" t="s">
        <v>46</v>
      </c>
      <c r="F2705" s="3" t="str">
        <f>"317 322 5944"</f>
        <v>317 322 5944</v>
      </c>
      <c r="G2705" s="3">
        <v>238210</v>
      </c>
      <c r="H2705" s="3" t="s">
        <v>306</v>
      </c>
    </row>
    <row r="2706" spans="1:8" ht="26.25" x14ac:dyDescent="0.25">
      <c r="A2706" s="3" t="s">
        <v>8243</v>
      </c>
      <c r="B2706" s="3"/>
      <c r="C2706" s="3" t="str">
        <f>"Document Imaging Data Entry Data Processing"</f>
        <v>Document Imaging Data Entry Data Processing</v>
      </c>
      <c r="D2706" s="3" t="s">
        <v>8244</v>
      </c>
      <c r="E2706" s="3" t="s">
        <v>8245</v>
      </c>
      <c r="F2706" s="3" t="str">
        <f>"3173198789"</f>
        <v>3173198789</v>
      </c>
      <c r="G2706" s="3">
        <v>518210</v>
      </c>
      <c r="H2706" s="3" t="s">
        <v>3133</v>
      </c>
    </row>
    <row r="2707" spans="1:8" ht="51.75" x14ac:dyDescent="0.25">
      <c r="A2707" s="3" t="s">
        <v>8246</v>
      </c>
      <c r="B2707" s="3"/>
      <c r="C2707" s="3" t="str">
        <f>"Providing total document solutions, utilizing technology developed in the copier, printer, fax, scanning, and document management industry."</f>
        <v>Providing total document solutions, utilizing technology developed in the copier, printer, fax, scanning, and document management industry.</v>
      </c>
      <c r="D2707" s="3" t="s">
        <v>9</v>
      </c>
      <c r="E2707" s="3" t="s">
        <v>8247</v>
      </c>
      <c r="F2707" s="3" t="str">
        <f>"3178583055"</f>
        <v>3178583055</v>
      </c>
      <c r="G2707" s="3">
        <v>238</v>
      </c>
      <c r="H2707" s="3" t="s">
        <v>397</v>
      </c>
    </row>
    <row r="2708" spans="1:8" ht="204.75" x14ac:dyDescent="0.25">
      <c r="A2708" s="3" t="s">
        <v>8248</v>
      </c>
      <c r="B2708" s="3"/>
      <c r="C2708" s="3" t="s">
        <v>8249</v>
      </c>
      <c r="D2708" s="3" t="s">
        <v>8250</v>
      </c>
      <c r="E2708" s="3" t="s">
        <v>8251</v>
      </c>
      <c r="F2708" s="3" t="str">
        <f>"866-680-3555"</f>
        <v>866-680-3555</v>
      </c>
      <c r="G2708" s="3">
        <v>518210</v>
      </c>
      <c r="H2708" s="3" t="s">
        <v>3133</v>
      </c>
    </row>
    <row r="2709" spans="1:8" ht="77.25" x14ac:dyDescent="0.25">
      <c r="A2709" s="3" t="s">
        <v>8252</v>
      </c>
      <c r="B2709" s="3"/>
      <c r="C2709" s="3" t="str">
        <f>"Full Service real estate title company for residential and commercial properties providing title search, title insurance, insured closings for the transfer of real estate title and escrow services including new construction transactions."</f>
        <v>Full Service real estate title company for residential and commercial properties providing title search, title insurance, insured closings for the transfer of real estate title and escrow services including new construction transactions.</v>
      </c>
      <c r="D2709" s="3" t="s">
        <v>8253</v>
      </c>
      <c r="E2709" s="3" t="s">
        <v>8254</v>
      </c>
      <c r="F2709" s="3" t="str">
        <f>"317-580-9301"</f>
        <v>317-580-9301</v>
      </c>
      <c r="G2709" s="3">
        <v>541191</v>
      </c>
      <c r="H2709" s="3" t="s">
        <v>1146</v>
      </c>
    </row>
    <row r="2710" spans="1:8" ht="26.25" x14ac:dyDescent="0.25">
      <c r="A2710" s="3" t="s">
        <v>8255</v>
      </c>
      <c r="B2710" s="3"/>
      <c r="C2710" s="3" t="str">
        <f>"Sales, Transportation, Installation, and Service of Manufactured Homes"</f>
        <v>Sales, Transportation, Installation, and Service of Manufactured Homes</v>
      </c>
      <c r="D2710" s="3" t="s">
        <v>9</v>
      </c>
      <c r="E2710" s="3" t="s">
        <v>8256</v>
      </c>
      <c r="F2710" s="3" t="str">
        <f>"812-824-6646"</f>
        <v>812-824-6646</v>
      </c>
      <c r="G2710" s="3">
        <v>453930</v>
      </c>
      <c r="H2710" s="3" t="s">
        <v>8257</v>
      </c>
    </row>
    <row r="2711" spans="1:8" ht="128.25" x14ac:dyDescent="0.25">
      <c r="A2711" s="3" t="s">
        <v>8258</v>
      </c>
      <c r="B2711" s="3"/>
      <c r="C2711" s="3" t="s">
        <v>8259</v>
      </c>
      <c r="D2711" s="3" t="s">
        <v>8260</v>
      </c>
      <c r="E2711" s="3" t="s">
        <v>8261</v>
      </c>
      <c r="F2711" s="3" t="str">
        <f>"317-568-0135"</f>
        <v>317-568-0135</v>
      </c>
      <c r="G2711" s="3">
        <v>99999</v>
      </c>
      <c r="H2711" s="3" t="s">
        <v>8262</v>
      </c>
    </row>
    <row r="2712" spans="1:8" x14ac:dyDescent="0.25">
      <c r="A2712" s="3" t="s">
        <v>8263</v>
      </c>
      <c r="B2712" s="3"/>
      <c r="C2712" s="3" t="str">
        <f>" "</f>
        <v xml:space="preserve"> </v>
      </c>
      <c r="D2712" s="3" t="s">
        <v>9</v>
      </c>
      <c r="E2712" s="3" t="s">
        <v>46</v>
      </c>
      <c r="F2712" s="2"/>
      <c r="G2712" s="3">
        <v>238990</v>
      </c>
      <c r="H2712" s="3" t="s">
        <v>481</v>
      </c>
    </row>
    <row r="2713" spans="1:8" ht="64.5" x14ac:dyDescent="0.25">
      <c r="A2713" s="3" t="s">
        <v>8263</v>
      </c>
      <c r="B2713" s="3"/>
      <c r="C2713" s="3" t="str">
        <f>"I am a subcontractor located in Indianapolis, Indiana. My company subcontract EIFS(exterior insulation and finish system) comercial and residential from General Contractors."</f>
        <v>I am a subcontractor located in Indianapolis, Indiana. My company subcontract EIFS(exterior insulation and finish system) comercial and residential from General Contractors.</v>
      </c>
      <c r="D2713" s="3" t="s">
        <v>9</v>
      </c>
      <c r="E2713" s="3" t="s">
        <v>8264</v>
      </c>
      <c r="F2713" s="3" t="str">
        <f>"317-371-8433"</f>
        <v>317-371-8433</v>
      </c>
      <c r="G2713" s="3">
        <v>238990</v>
      </c>
      <c r="H2713" s="3" t="s">
        <v>481</v>
      </c>
    </row>
    <row r="2714" spans="1:8" ht="26.25" x14ac:dyDescent="0.25">
      <c r="A2714" s="3" t="s">
        <v>8265</v>
      </c>
      <c r="B2714" s="3"/>
      <c r="C2714" s="3" t="str">
        <f>"Professional architectural, interior design and planning services."</f>
        <v>Professional architectural, interior design and planning services.</v>
      </c>
      <c r="D2714" s="3" t="s">
        <v>8266</v>
      </c>
      <c r="E2714" s="3" t="s">
        <v>8267</v>
      </c>
      <c r="F2714" s="3" t="str">
        <f>"317-630-5456"</f>
        <v>317-630-5456</v>
      </c>
      <c r="G2714" s="3">
        <v>8712</v>
      </c>
      <c r="H2714" s="2"/>
    </row>
    <row r="2715" spans="1:8" ht="26.25" x14ac:dyDescent="0.25">
      <c r="A2715" s="3" t="s">
        <v>8268</v>
      </c>
      <c r="B2715" s="3"/>
      <c r="C2715" s="3" t="str">
        <f>"Expert Services for Carpet and Upholstery Cleaning"</f>
        <v>Expert Services for Carpet and Upholstery Cleaning</v>
      </c>
      <c r="D2715" s="3" t="s">
        <v>9</v>
      </c>
      <c r="E2715" s="3" t="s">
        <v>8269</v>
      </c>
      <c r="F2715" s="3" t="str">
        <f>"812-547-4566"</f>
        <v>812-547-4566</v>
      </c>
      <c r="G2715" s="3">
        <v>56174</v>
      </c>
      <c r="H2715" s="3" t="s">
        <v>241</v>
      </c>
    </row>
    <row r="2716" spans="1:8" ht="26.25" x14ac:dyDescent="0.25">
      <c r="A2716" s="3" t="s">
        <v>8270</v>
      </c>
      <c r="B2716" s="3"/>
      <c r="C2716" s="3" t="str">
        <f>"Outdoor power equipment including lawn mowers, utitlity tractors, implements"</f>
        <v>Outdoor power equipment including lawn mowers, utitlity tractors, implements</v>
      </c>
      <c r="D2716" s="3" t="s">
        <v>8271</v>
      </c>
      <c r="E2716" s="3" t="s">
        <v>8272</v>
      </c>
      <c r="F2716" s="3" t="str">
        <f>"219-696-7361"</f>
        <v>219-696-7361</v>
      </c>
      <c r="G2716" s="3">
        <v>44421</v>
      </c>
      <c r="H2716" s="3" t="s">
        <v>392</v>
      </c>
    </row>
    <row r="2717" spans="1:8" ht="64.5" x14ac:dyDescent="0.25">
      <c r="A2717" s="3" t="s">
        <v>8273</v>
      </c>
      <c r="B2717" s="3"/>
      <c r="C2717" s="3" t="str">
        <f>"Sales and service all lines of insurance products such as Business, Liability, Personal Auto and Home, Business and Personal Life, Group and Personal Health Insurance."</f>
        <v>Sales and service all lines of insurance products such as Business, Liability, Personal Auto and Home, Business and Personal Life, Group and Personal Health Insurance.</v>
      </c>
      <c r="D2717" s="3" t="s">
        <v>8274</v>
      </c>
      <c r="E2717" s="3" t="s">
        <v>8275</v>
      </c>
      <c r="F2717" s="3" t="str">
        <f>"317-298-3888"</f>
        <v>317-298-3888</v>
      </c>
      <c r="G2717" s="3">
        <v>524210</v>
      </c>
      <c r="H2717" s="3" t="s">
        <v>1183</v>
      </c>
    </row>
    <row r="2718" spans="1:8" ht="39" x14ac:dyDescent="0.25">
      <c r="A2718" s="3" t="s">
        <v>8276</v>
      </c>
      <c r="B2718" s="3"/>
      <c r="C2718" s="3" t="str">
        <f>"Don Gress Construction is an excavating, grading, sewer and waterline contractor located in Washington, IN."</f>
        <v>Don Gress Construction is an excavating, grading, sewer and waterline contractor located in Washington, IN.</v>
      </c>
      <c r="D2718" s="3" t="s">
        <v>8277</v>
      </c>
      <c r="E2718" s="3" t="s">
        <v>8278</v>
      </c>
      <c r="F2718" s="3" t="str">
        <f>"812-254-0330"</f>
        <v>812-254-0330</v>
      </c>
      <c r="G2718" s="3">
        <v>23593</v>
      </c>
      <c r="H2718" s="3" t="s">
        <v>71</v>
      </c>
    </row>
    <row r="2719" spans="1:8" ht="26.25" x14ac:dyDescent="0.25">
      <c r="A2719" s="3" t="s">
        <v>8279</v>
      </c>
      <c r="B2719" s="3"/>
      <c r="C2719" s="3" t="str">
        <f>"We mainly deal with group health, life, and disability insurance."</f>
        <v>We mainly deal with group health, life, and disability insurance.</v>
      </c>
      <c r="D2719" s="3" t="s">
        <v>9</v>
      </c>
      <c r="E2719" s="3" t="s">
        <v>8280</v>
      </c>
      <c r="F2719" s="3" t="str">
        <f>"812-346-4433"</f>
        <v>812-346-4433</v>
      </c>
      <c r="G2719" s="3">
        <v>52411</v>
      </c>
      <c r="H2719" s="3" t="s">
        <v>8281</v>
      </c>
    </row>
    <row r="2720" spans="1:8" ht="77.25" x14ac:dyDescent="0.25">
      <c r="A2720" s="3" t="s">
        <v>8282</v>
      </c>
      <c r="B2720" s="3"/>
      <c r="C2720" s="3" t="str">
        <f>"Don Payne, Inc has been in the advertising specialty business since the early 50's. We are open 8:30 to 5:30, Monday thru Friday, with a current staff of 8 employees &amp; will be happy to handle your promotional product needs"</f>
        <v>Don Payne, Inc has been in the advertising specialty business since the early 50's. We are open 8:30 to 5:30, Monday thru Friday, with a current staff of 8 employees &amp; will be happy to handle your promotional product needs</v>
      </c>
      <c r="D2720" s="3" t="s">
        <v>9</v>
      </c>
      <c r="E2720" s="3" t="s">
        <v>8283</v>
      </c>
      <c r="F2720" s="3" t="str">
        <f>"317-257-1536"</f>
        <v>317-257-1536</v>
      </c>
      <c r="G2720" s="3">
        <v>541870</v>
      </c>
      <c r="H2720" s="3" t="s">
        <v>657</v>
      </c>
    </row>
    <row r="2721" spans="1:8" ht="39" x14ac:dyDescent="0.25">
      <c r="A2721" s="3" t="s">
        <v>8284</v>
      </c>
      <c r="B2721" s="3"/>
      <c r="C2721" s="3" t="str">
        <f>"We provide sales and service of Land Moible Radio 2-way communications and also sales and service of CCTV."</f>
        <v>We provide sales and service of Land Moible Radio 2-way communications and also sales and service of CCTV.</v>
      </c>
      <c r="D2721" s="3" t="s">
        <v>9</v>
      </c>
      <c r="E2721" s="3" t="s">
        <v>46</v>
      </c>
      <c r="F2721" s="3" t="str">
        <f>"812-424-5140"</f>
        <v>812-424-5140</v>
      </c>
      <c r="G2721" s="3">
        <v>443112</v>
      </c>
      <c r="H2721" s="3" t="s">
        <v>3890</v>
      </c>
    </row>
    <row r="2722" spans="1:8" ht="64.5" x14ac:dyDescent="0.25">
      <c r="A2722" s="3" t="s">
        <v>8285</v>
      </c>
      <c r="B2722" s="3"/>
      <c r="C2722" s="3" t="str">
        <f>"Excavate: Ponds, ditches, tile, basements, sewer lines &amp; septics, demolition, fence row, snow plowing &amp; removal, land clearing. Operating in Marshall Co. Indiana for over 15 years."</f>
        <v>Excavate: Ponds, ditches, tile, basements, sewer lines &amp; septics, demolition, fence row, snow plowing &amp; removal, land clearing. Operating in Marshall Co. Indiana for over 15 years.</v>
      </c>
      <c r="D2722" s="3" t="s">
        <v>9</v>
      </c>
      <c r="E2722" s="3" t="s">
        <v>8286</v>
      </c>
      <c r="F2722" s="3" t="str">
        <f>"574-936-6100"</f>
        <v>574-936-6100</v>
      </c>
      <c r="G2722" s="3">
        <v>238910</v>
      </c>
      <c r="H2722" s="3" t="s">
        <v>886</v>
      </c>
    </row>
    <row r="2723" spans="1:8" ht="102.75" x14ac:dyDescent="0.25">
      <c r="A2723" s="3" t="s">
        <v>8287</v>
      </c>
      <c r="B2723" s="3"/>
      <c r="C2723" s="3" t="s">
        <v>8288</v>
      </c>
      <c r="D2723" s="3" t="s">
        <v>9</v>
      </c>
      <c r="E2723" s="3" t="s">
        <v>8289</v>
      </c>
      <c r="F2723" s="3" t="str">
        <f>"765-760-7116"</f>
        <v>765-760-7116</v>
      </c>
      <c r="G2723" s="3">
        <v>81111</v>
      </c>
      <c r="H2723" s="3" t="s">
        <v>96</v>
      </c>
    </row>
    <row r="2724" spans="1:8" ht="90" x14ac:dyDescent="0.25">
      <c r="A2724" s="3" t="s">
        <v>8290</v>
      </c>
      <c r="B2724" s="3"/>
      <c r="C2724" s="3" t="s">
        <v>8291</v>
      </c>
      <c r="D2724" s="3" t="s">
        <v>8292</v>
      </c>
      <c r="E2724" s="3" t="s">
        <v>8293</v>
      </c>
      <c r="F2724" s="3" t="str">
        <f>"219-464-2178"</f>
        <v>219-464-2178</v>
      </c>
      <c r="G2724" s="3">
        <v>561492</v>
      </c>
      <c r="H2724" s="3" t="s">
        <v>904</v>
      </c>
    </row>
    <row r="2725" spans="1:8" ht="102.75" x14ac:dyDescent="0.25">
      <c r="A2725" s="3" t="s">
        <v>8294</v>
      </c>
      <c r="B2725" s="3"/>
      <c r="C2725" s="3" t="s">
        <v>8295</v>
      </c>
      <c r="D2725" s="3" t="s">
        <v>9</v>
      </c>
      <c r="E2725" s="3" t="s">
        <v>8296</v>
      </c>
      <c r="F2725" s="3" t="str">
        <f>"317-884-3020"</f>
        <v>317-884-3020</v>
      </c>
      <c r="G2725" s="3">
        <v>541370</v>
      </c>
      <c r="H2725" s="3" t="s">
        <v>160</v>
      </c>
    </row>
    <row r="2726" spans="1:8" ht="64.5" x14ac:dyDescent="0.25">
      <c r="A2726" s="3" t="s">
        <v>8297</v>
      </c>
      <c r="B2726" s="3"/>
      <c r="C2726" s="3" t="str">
        <f>"Review of psychological medical evidence for purpose of disability determination. Psychological assessment and diagnosis of adults. Psychological assessment of adult for purposes of vocational placement."</f>
        <v>Review of psychological medical evidence for purpose of disability determination. Psychological assessment and diagnosis of adults. Psychological assessment of adult for purposes of vocational placement.</v>
      </c>
      <c r="D2726" s="3" t="s">
        <v>9</v>
      </c>
      <c r="E2726" s="3" t="s">
        <v>8298</v>
      </c>
      <c r="F2726" s="3" t="str">
        <f>"317-714-0062"</f>
        <v>317-714-0062</v>
      </c>
      <c r="G2726" s="3">
        <v>621330</v>
      </c>
      <c r="H2726" s="3" t="s">
        <v>2643</v>
      </c>
    </row>
    <row r="2727" spans="1:8" ht="26.25" x14ac:dyDescent="0.25">
      <c r="A2727" s="3" t="s">
        <v>8299</v>
      </c>
      <c r="B2727" s="3"/>
      <c r="C2727" s="3" t="str">
        <f>"Woman-owned architecture firm providing architecture and interior design services."</f>
        <v>Woman-owned architecture firm providing architecture and interior design services.</v>
      </c>
      <c r="D2727" s="3" t="s">
        <v>9</v>
      </c>
      <c r="E2727" s="3" t="s">
        <v>8300</v>
      </c>
      <c r="F2727" s="3" t="str">
        <f>"317-363-0441"</f>
        <v>317-363-0441</v>
      </c>
      <c r="G2727" s="3">
        <v>5413</v>
      </c>
      <c r="H2727" s="3" t="s">
        <v>1116</v>
      </c>
    </row>
    <row r="2728" spans="1:8" ht="166.5" x14ac:dyDescent="0.25">
      <c r="A2728" s="3" t="s">
        <v>8301</v>
      </c>
      <c r="B2728" s="3"/>
      <c r="C2728" s="3" t="s">
        <v>8302</v>
      </c>
      <c r="D2728" s="3" t="s">
        <v>8303</v>
      </c>
      <c r="E2728" s="3" t="s">
        <v>8304</v>
      </c>
      <c r="F2728" s="3" t="str">
        <f>"317-841-1358"</f>
        <v>317-841-1358</v>
      </c>
      <c r="G2728" s="3">
        <v>811490</v>
      </c>
      <c r="H2728" s="3" t="s">
        <v>1539</v>
      </c>
    </row>
    <row r="2729" spans="1:8" ht="319.5" x14ac:dyDescent="0.25">
      <c r="A2729" s="3" t="s">
        <v>8305</v>
      </c>
      <c r="B2729" s="3"/>
      <c r="C2729" s="3" t="s">
        <v>8306</v>
      </c>
      <c r="D2729" s="3" t="s">
        <v>8307</v>
      </c>
      <c r="E2729" s="3" t="s">
        <v>8308</v>
      </c>
      <c r="F2729" s="3" t="str">
        <f>"(800) 232-3776"</f>
        <v>(800) 232-3776</v>
      </c>
      <c r="G2729" s="3">
        <v>541511</v>
      </c>
      <c r="H2729" s="3" t="s">
        <v>122</v>
      </c>
    </row>
    <row r="2730" spans="1:8" ht="217.5" x14ac:dyDescent="0.25">
      <c r="A2730" s="3" t="s">
        <v>8309</v>
      </c>
      <c r="B2730" s="3"/>
      <c r="C2730" s="3" t="s">
        <v>8310</v>
      </c>
      <c r="D2730" s="3" t="s">
        <v>8311</v>
      </c>
      <c r="E2730" s="3" t="s">
        <v>8312</v>
      </c>
      <c r="F2730" s="3" t="str">
        <f>"317-356-7266"</f>
        <v>317-356-7266</v>
      </c>
      <c r="G2730" s="3">
        <v>5313</v>
      </c>
      <c r="H2730" s="3" t="s">
        <v>8313</v>
      </c>
    </row>
    <row r="2731" spans="1:8" ht="26.25" x14ac:dyDescent="0.25">
      <c r="A2731" s="3" t="s">
        <v>8314</v>
      </c>
      <c r="B2731" s="3"/>
      <c r="C2731" s="3" t="str">
        <f>" "</f>
        <v xml:space="preserve"> </v>
      </c>
      <c r="D2731" s="3" t="s">
        <v>9</v>
      </c>
      <c r="E2731" s="3" t="s">
        <v>8315</v>
      </c>
      <c r="F2731" s="3" t="str">
        <f>"(317)359-5538"</f>
        <v>(317)359-5538</v>
      </c>
      <c r="G2731" s="3">
        <v>2359</v>
      </c>
      <c r="H2731" s="3" t="s">
        <v>631</v>
      </c>
    </row>
    <row r="2732" spans="1:8" ht="39" x14ac:dyDescent="0.25">
      <c r="A2732" s="3" t="s">
        <v>8316</v>
      </c>
      <c r="B2732" s="3"/>
      <c r="C2732" s="3" t="str">
        <f>"We provide commercial hollow metal doors and frames, wood doors and architectural builders hardware."</f>
        <v>We provide commercial hollow metal doors and frames, wood doors and architectural builders hardware.</v>
      </c>
      <c r="D2732" s="3" t="s">
        <v>9</v>
      </c>
      <c r="E2732" s="3" t="s">
        <v>8317</v>
      </c>
      <c r="F2732" s="3" t="str">
        <f>"317-780-3800"</f>
        <v>317-780-3800</v>
      </c>
      <c r="G2732" s="3">
        <v>321911</v>
      </c>
      <c r="H2732" s="3" t="s">
        <v>8318</v>
      </c>
    </row>
    <row r="2733" spans="1:8" ht="26.25" x14ac:dyDescent="0.25">
      <c r="A2733" s="3" t="s">
        <v>8319</v>
      </c>
      <c r="B2733" s="3"/>
      <c r="C2733" s="3" t="str">
        <f>"We provide, reliable, safe, and personable transportation one door at a time."</f>
        <v>We provide, reliable, safe, and personable transportation one door at a time.</v>
      </c>
      <c r="D2733" s="3" t="s">
        <v>8320</v>
      </c>
      <c r="E2733" s="3" t="s">
        <v>8321</v>
      </c>
      <c r="F2733" s="3" t="str">
        <f>"3172841273"</f>
        <v>3172841273</v>
      </c>
      <c r="G2733" s="3">
        <v>485999</v>
      </c>
      <c r="H2733" s="3" t="s">
        <v>5643</v>
      </c>
    </row>
    <row r="2734" spans="1:8" ht="115.5" x14ac:dyDescent="0.25">
      <c r="A2734" s="3" t="s">
        <v>8322</v>
      </c>
      <c r="B2734" s="3"/>
      <c r="C2734" s="3" t="s">
        <v>8323</v>
      </c>
      <c r="D2734" s="3" t="s">
        <v>9</v>
      </c>
      <c r="E2734" s="3" t="s">
        <v>8324</v>
      </c>
      <c r="F2734" s="3" t="str">
        <f>"317-440-2112"</f>
        <v>317-440-2112</v>
      </c>
      <c r="G2734" s="3">
        <v>624190</v>
      </c>
      <c r="H2734" s="3" t="s">
        <v>54</v>
      </c>
    </row>
    <row r="2735" spans="1:8" ht="51.75" x14ac:dyDescent="0.25">
      <c r="A2735" s="3" t="s">
        <v>8325</v>
      </c>
      <c r="B2735" s="3"/>
      <c r="C2735" s="3" t="str">
        <f>"We provide city tours &amp; area orientations for corporate clients new hires &amp; employment candidates that are relocating to the area."</f>
        <v>We provide city tours &amp; area orientations for corporate clients new hires &amp; employment candidates that are relocating to the area.</v>
      </c>
      <c r="D2735" s="3" t="s">
        <v>8326</v>
      </c>
      <c r="E2735" s="3" t="s">
        <v>8327</v>
      </c>
      <c r="F2735" s="3" t="str">
        <f>"317-209-2025"</f>
        <v>317-209-2025</v>
      </c>
      <c r="G2735" s="3">
        <v>541612</v>
      </c>
      <c r="H2735" s="3" t="s">
        <v>1923</v>
      </c>
    </row>
    <row r="2736" spans="1:8" ht="39" x14ac:dyDescent="0.25">
      <c r="A2736" s="3" t="s">
        <v>8328</v>
      </c>
      <c r="B2736" s="3"/>
      <c r="C2736" s="3" t="str">
        <f>"Painting of interior and exterior residential and commercial projects. Dorman Painting offers pressure washing and staining."</f>
        <v>Painting of interior and exterior residential and commercial projects. Dorman Painting offers pressure washing and staining.</v>
      </c>
      <c r="D2736" s="3" t="s">
        <v>9</v>
      </c>
      <c r="E2736" s="3" t="s">
        <v>8329</v>
      </c>
      <c r="F2736" s="3" t="str">
        <f>"502-298-7593"</f>
        <v>502-298-7593</v>
      </c>
      <c r="G2736" s="3">
        <v>238320</v>
      </c>
      <c r="H2736" s="3" t="s">
        <v>462</v>
      </c>
    </row>
    <row r="2737" spans="1:8" ht="51.75" x14ac:dyDescent="0.25">
      <c r="A2737" s="3" t="s">
        <v>8330</v>
      </c>
      <c r="B2737" s="3"/>
      <c r="C2737" s="3" t="str">
        <f>"Agricultural retail of fertilizers, handling, storing, and merchandising grain, all types of interstate hauling of equipment, grain, both liquid and dry fertilizers."</f>
        <v>Agricultural retail of fertilizers, handling, storing, and merchandising grain, all types of interstate hauling of equipment, grain, both liquid and dry fertilizers.</v>
      </c>
      <c r="D2737" s="3" t="s">
        <v>8331</v>
      </c>
      <c r="E2737" s="3" t="s">
        <v>8332</v>
      </c>
      <c r="F2737" s="3" t="str">
        <f>"317559412"</f>
        <v>317559412</v>
      </c>
      <c r="G2737" s="3">
        <v>42491</v>
      </c>
      <c r="H2737" s="3" t="s">
        <v>1636</v>
      </c>
    </row>
    <row r="2738" spans="1:8" ht="26.25" x14ac:dyDescent="0.25">
      <c r="A2738" s="3" t="s">
        <v>8333</v>
      </c>
      <c r="B2738" s="3"/>
      <c r="C2738" s="3" t="str">
        <f>"Trucking, Site Preparation, Water, Sewer, Demolition, grading"</f>
        <v>Trucking, Site Preparation, Water, Sewer, Demolition, grading</v>
      </c>
      <c r="D2738" s="3" t="s">
        <v>8334</v>
      </c>
      <c r="E2738" s="3" t="s">
        <v>8335</v>
      </c>
      <c r="F2738" s="3" t="str">
        <f>"3178522692"</f>
        <v>3178522692</v>
      </c>
      <c r="G2738" s="3">
        <v>23</v>
      </c>
      <c r="H2738" s="3" t="s">
        <v>133</v>
      </c>
    </row>
    <row r="2739" spans="1:8" ht="26.25" x14ac:dyDescent="0.25">
      <c r="A2739" s="3" t="s">
        <v>8336</v>
      </c>
      <c r="B2739" s="3"/>
      <c r="C2739" s="3" t="str">
        <f>"Directional Drilling, utilities, general construction"</f>
        <v>Directional Drilling, utilities, general construction</v>
      </c>
      <c r="D2739" s="3" t="s">
        <v>9</v>
      </c>
      <c r="E2739" s="3" t="s">
        <v>8337</v>
      </c>
      <c r="F2739" s="3" t="str">
        <f>"317-852-2692"</f>
        <v>317-852-2692</v>
      </c>
      <c r="G2739" s="3">
        <v>237110</v>
      </c>
      <c r="H2739" s="3" t="s">
        <v>901</v>
      </c>
    </row>
    <row r="2740" spans="1:8" ht="115.5" x14ac:dyDescent="0.25">
      <c r="A2740" s="3" t="s">
        <v>8338</v>
      </c>
      <c r="B2740" s="3"/>
      <c r="C2740" s="3" t="s">
        <v>8339</v>
      </c>
      <c r="D2740" s="3" t="s">
        <v>8340</v>
      </c>
      <c r="E2740" s="3" t="s">
        <v>8341</v>
      </c>
      <c r="F2740" s="3" t="str">
        <f>"317-800-0849"</f>
        <v>317-800-0849</v>
      </c>
      <c r="G2740" s="3">
        <v>5415</v>
      </c>
      <c r="H2740" s="3" t="s">
        <v>188</v>
      </c>
    </row>
    <row r="2741" spans="1:8" ht="39" x14ac:dyDescent="0.25">
      <c r="A2741" s="3" t="s">
        <v>8342</v>
      </c>
      <c r="B2741" s="3"/>
      <c r="C2741" s="3" t="str">
        <f>"Graphic Arts Prepress Services, Imagesetting services, type, desktop publishing services"</f>
        <v>Graphic Arts Prepress Services, Imagesetting services, type, desktop publishing services</v>
      </c>
      <c r="D2741" s="3" t="s">
        <v>9</v>
      </c>
      <c r="E2741" s="3" t="s">
        <v>8343</v>
      </c>
      <c r="F2741" s="3" t="str">
        <f>"317-921-2220"</f>
        <v>317-921-2220</v>
      </c>
      <c r="G2741" s="3">
        <v>238</v>
      </c>
      <c r="H2741" s="3" t="s">
        <v>397</v>
      </c>
    </row>
    <row r="2742" spans="1:8" ht="26.25" x14ac:dyDescent="0.25">
      <c r="A2742" s="3" t="s">
        <v>8344</v>
      </c>
      <c r="B2742" s="3"/>
      <c r="C2742" s="3" t="str">
        <f>"Construction &amp; Industrial Supply Company"</f>
        <v>Construction &amp; Industrial Supply Company</v>
      </c>
      <c r="D2742" s="3" t="s">
        <v>9</v>
      </c>
      <c r="E2742" s="3" t="s">
        <v>46</v>
      </c>
      <c r="F2742" s="3" t="str">
        <f>"812-547-0081"</f>
        <v>812-547-0081</v>
      </c>
      <c r="G2742" s="3">
        <v>23621</v>
      </c>
      <c r="H2742" s="3" t="s">
        <v>1418</v>
      </c>
    </row>
    <row r="2743" spans="1:8" ht="64.5" x14ac:dyDescent="0.25">
      <c r="A2743" s="3" t="s">
        <v>8345</v>
      </c>
      <c r="B2743" s="3"/>
      <c r="C2743" s="3" t="str">
        <f>"We provide landscape and lawncare services. Including Maintenance, Installation, Restoration, Hardscapes, Bush Hogging,Parking lot maintenance and Hydroseeding."</f>
        <v>We provide landscape and lawncare services. Including Maintenance, Installation, Restoration, Hardscapes, Bush Hogging,Parking lot maintenance and Hydroseeding.</v>
      </c>
      <c r="D2743" s="3" t="s">
        <v>9</v>
      </c>
      <c r="E2743" s="3" t="s">
        <v>46</v>
      </c>
      <c r="F2743" s="3" t="str">
        <f>"317-890-1611"</f>
        <v>317-890-1611</v>
      </c>
      <c r="G2743" s="3">
        <v>2359</v>
      </c>
      <c r="H2743" s="3" t="s">
        <v>631</v>
      </c>
    </row>
    <row r="2744" spans="1:8" ht="64.5" x14ac:dyDescent="0.25">
      <c r="A2744" s="3" t="s">
        <v>8346</v>
      </c>
      <c r="B2744" s="3"/>
      <c r="C2744" s="3" t="str">
        <f>"Custom Built Countertops and Cabinets Plastic Laminate and Solid Surface Medicine Cabinets High Pressure Laminate and Wood Products Serving Customers Since 1974"</f>
        <v>Custom Built Countertops and Cabinets Plastic Laminate and Solid Surface Medicine Cabinets High Pressure Laminate and Wood Products Serving Customers Since 1974</v>
      </c>
      <c r="D2744" s="3" t="s">
        <v>8347</v>
      </c>
      <c r="E2744" s="3" t="s">
        <v>8348</v>
      </c>
      <c r="F2744" s="3" t="str">
        <f>"574-262-1340"</f>
        <v>574-262-1340</v>
      </c>
      <c r="G2744" s="3">
        <v>337110</v>
      </c>
      <c r="H2744" s="3" t="s">
        <v>6044</v>
      </c>
    </row>
    <row r="2745" spans="1:8" ht="102.75" x14ac:dyDescent="0.25">
      <c r="A2745" s="3" t="s">
        <v>8349</v>
      </c>
      <c r="B2745" s="3"/>
      <c r="C2745" s="3" t="s">
        <v>8350</v>
      </c>
      <c r="D2745" s="3" t="s">
        <v>8351</v>
      </c>
      <c r="E2745" s="3" t="s">
        <v>8352</v>
      </c>
      <c r="F2745" s="3" t="str">
        <f>"334-714-9532"</f>
        <v>334-714-9532</v>
      </c>
      <c r="G2745" s="3">
        <v>492</v>
      </c>
      <c r="H2745" s="3" t="s">
        <v>7284</v>
      </c>
    </row>
    <row r="2746" spans="1:8" ht="26.25" x14ac:dyDescent="0.25">
      <c r="A2746" s="3" t="s">
        <v>8353</v>
      </c>
      <c r="B2746" s="3"/>
      <c r="C2746" s="3" t="str">
        <f>" "</f>
        <v xml:space="preserve"> </v>
      </c>
      <c r="D2746" s="3" t="s">
        <v>9</v>
      </c>
      <c r="E2746" s="3" t="s">
        <v>46</v>
      </c>
      <c r="F2746" s="2"/>
      <c r="G2746" s="3">
        <v>238110</v>
      </c>
      <c r="H2746" s="3" t="s">
        <v>156</v>
      </c>
    </row>
    <row r="2747" spans="1:8" ht="26.25" x14ac:dyDescent="0.25">
      <c r="A2747" s="3" t="s">
        <v>8354</v>
      </c>
      <c r="B2747" s="3"/>
      <c r="C2747" s="3" t="str">
        <f>" "</f>
        <v xml:space="preserve"> </v>
      </c>
      <c r="D2747" s="3" t="s">
        <v>9</v>
      </c>
      <c r="E2747" s="3" t="s">
        <v>8355</v>
      </c>
      <c r="F2747" s="3" t="str">
        <f>"574-595-7165"</f>
        <v>574-595-7165</v>
      </c>
      <c r="G2747" s="3">
        <v>811</v>
      </c>
      <c r="H2747" s="3" t="s">
        <v>816</v>
      </c>
    </row>
    <row r="2748" spans="1:8" ht="51.75" x14ac:dyDescent="0.25">
      <c r="A2748" s="3" t="s">
        <v>8356</v>
      </c>
      <c r="B2748" s="3"/>
      <c r="C2748" s="3" t="str">
        <f>"FWB Capital Groups helps find working capital for growth or survival to companies providing goods or services to other businesses and/or to government agencies."</f>
        <v>FWB Capital Groups helps find working capital for growth or survival to companies providing goods or services to other businesses and/or to government agencies.</v>
      </c>
      <c r="D2748" s="3" t="s">
        <v>8357</v>
      </c>
      <c r="E2748" s="3" t="s">
        <v>8358</v>
      </c>
      <c r="F2748" s="3" t="str">
        <f>"317-797-0572"</f>
        <v>317-797-0572</v>
      </c>
      <c r="G2748" s="3">
        <v>52</v>
      </c>
      <c r="H2748" s="3" t="s">
        <v>50</v>
      </c>
    </row>
    <row r="2749" spans="1:8" ht="64.5" x14ac:dyDescent="0.25">
      <c r="A2749" s="3" t="s">
        <v>8359</v>
      </c>
      <c r="B2749" s="3"/>
      <c r="C2749" s="3" t="str">
        <f>"We provide Computer Repair services, parts and maintenance. We have parts for desktop, laptops. Provide Servers and Cisco Switches. We also provide data retrieval and virus protection and removal."</f>
        <v>We provide Computer Repair services, parts and maintenance. We have parts for desktop, laptops. Provide Servers and Cisco Switches. We also provide data retrieval and virus protection and removal.</v>
      </c>
      <c r="D2749" s="3" t="s">
        <v>8360</v>
      </c>
      <c r="E2749" s="3" t="s">
        <v>46</v>
      </c>
      <c r="F2749" s="3" t="str">
        <f>"317-229-6070"</f>
        <v>317-229-6070</v>
      </c>
      <c r="G2749" s="3">
        <v>23599</v>
      </c>
      <c r="H2749" s="3" t="s">
        <v>248</v>
      </c>
    </row>
    <row r="2750" spans="1:8" ht="115.5" x14ac:dyDescent="0.25">
      <c r="A2750" s="3" t="s">
        <v>8361</v>
      </c>
      <c r="B2750" s="3"/>
      <c r="C2750" s="3" t="s">
        <v>8362</v>
      </c>
      <c r="D2750" s="3" t="s">
        <v>8363</v>
      </c>
      <c r="E2750" s="3" t="s">
        <v>8364</v>
      </c>
      <c r="F2750" s="3" t="str">
        <f>"800-445-5438 X655"</f>
        <v>800-445-5438 X655</v>
      </c>
      <c r="G2750" s="3">
        <v>333921</v>
      </c>
      <c r="H2750" s="3" t="s">
        <v>8365</v>
      </c>
    </row>
    <row r="2751" spans="1:8" ht="26.25" x14ac:dyDescent="0.25">
      <c r="A2751" s="3" t="s">
        <v>8366</v>
      </c>
      <c r="B2751" s="3"/>
      <c r="C2751" s="3" t="str">
        <f>" "</f>
        <v xml:space="preserve"> </v>
      </c>
      <c r="D2751" s="3" t="s">
        <v>8367</v>
      </c>
      <c r="E2751" s="3" t="s">
        <v>8368</v>
      </c>
      <c r="F2751" s="3" t="str">
        <f>"317-862-5370"</f>
        <v>317-862-5370</v>
      </c>
      <c r="G2751" s="3">
        <v>23531</v>
      </c>
      <c r="H2751" s="3" t="s">
        <v>306</v>
      </c>
    </row>
    <row r="2752" spans="1:8" ht="39" x14ac:dyDescent="0.25">
      <c r="A2752" s="3" t="s">
        <v>8369</v>
      </c>
      <c r="B2752" s="3"/>
      <c r="C2752" s="3" t="str">
        <f>"Dowell Baker, P.C. is a law firm specializing in patent, copyright and trademark law and commercial litigation."</f>
        <v>Dowell Baker, P.C. is a law firm specializing in patent, copyright and trademark law and commercial litigation.</v>
      </c>
      <c r="D2752" s="3" t="s">
        <v>8370</v>
      </c>
      <c r="E2752" s="3" t="s">
        <v>8371</v>
      </c>
      <c r="F2752" s="3" t="str">
        <f>"765-429-4004"</f>
        <v>765-429-4004</v>
      </c>
      <c r="G2752" s="3">
        <v>541110</v>
      </c>
      <c r="H2752" s="3" t="s">
        <v>2978</v>
      </c>
    </row>
    <row r="2753" spans="1:8" ht="166.5" x14ac:dyDescent="0.25">
      <c r="A2753" s="3" t="s">
        <v>8372</v>
      </c>
      <c r="B2753" s="3"/>
      <c r="C2753" s="3" t="s">
        <v>8373</v>
      </c>
      <c r="D2753" s="3" t="s">
        <v>8374</v>
      </c>
      <c r="E2753" s="3" t="s">
        <v>8375</v>
      </c>
      <c r="F2753" s="3" t="str">
        <f>"317-965-9011"</f>
        <v>317-965-9011</v>
      </c>
      <c r="G2753" s="3">
        <v>711510</v>
      </c>
      <c r="H2753" s="3" t="s">
        <v>1980</v>
      </c>
    </row>
    <row r="2754" spans="1:8" ht="26.25" x14ac:dyDescent="0.25">
      <c r="A2754" s="3" t="s">
        <v>8376</v>
      </c>
      <c r="B2754" s="3"/>
      <c r="C2754" s="3" t="str">
        <f>" "</f>
        <v xml:space="preserve"> </v>
      </c>
      <c r="D2754" s="3" t="s">
        <v>9</v>
      </c>
      <c r="E2754" s="3" t="s">
        <v>8377</v>
      </c>
      <c r="F2754" s="3" t="str">
        <f>"(317) 213-4387"</f>
        <v>(317) 213-4387</v>
      </c>
      <c r="G2754" s="3">
        <v>236118</v>
      </c>
      <c r="H2754" s="3" t="s">
        <v>465</v>
      </c>
    </row>
    <row r="2755" spans="1:8" ht="26.25" x14ac:dyDescent="0.25">
      <c r="A2755" s="3" t="s">
        <v>8378</v>
      </c>
      <c r="B2755" s="3"/>
      <c r="C2755" s="3" t="str">
        <f>"Residential &amp; Commercial plumbing repair &amp; services"</f>
        <v>Residential &amp; Commercial plumbing repair &amp; services</v>
      </c>
      <c r="D2755" s="3" t="s">
        <v>8379</v>
      </c>
      <c r="E2755" s="3" t="s">
        <v>8380</v>
      </c>
      <c r="F2755" s="3" t="str">
        <f>"219-924-5640"</f>
        <v>219-924-5640</v>
      </c>
      <c r="G2755" s="3">
        <v>238220</v>
      </c>
      <c r="H2755" s="3" t="s">
        <v>348</v>
      </c>
    </row>
    <row r="2756" spans="1:8" ht="26.25" x14ac:dyDescent="0.25">
      <c r="A2756" s="3" t="s">
        <v>8381</v>
      </c>
      <c r="B2756" s="3"/>
      <c r="C2756" s="3" t="str">
        <f>"New and used lawnmower sales and service"</f>
        <v>New and used lawnmower sales and service</v>
      </c>
      <c r="D2756" s="3" t="s">
        <v>9</v>
      </c>
      <c r="E2756" s="3" t="s">
        <v>8382</v>
      </c>
      <c r="F2756" s="3" t="str">
        <f>"812-609-4240"</f>
        <v>812-609-4240</v>
      </c>
      <c r="G2756" s="3">
        <v>4442</v>
      </c>
      <c r="H2756" s="3" t="s">
        <v>852</v>
      </c>
    </row>
    <row r="2757" spans="1:8" ht="319.5" x14ac:dyDescent="0.25">
      <c r="A2757" s="3" t="s">
        <v>8383</v>
      </c>
      <c r="B2757" s="3"/>
      <c r="C2757" s="3" t="s">
        <v>8384</v>
      </c>
      <c r="D2757" s="3" t="s">
        <v>8385</v>
      </c>
      <c r="E2757" s="3" t="s">
        <v>8386</v>
      </c>
      <c r="F2757" s="3" t="str">
        <f>"317-536-8812"</f>
        <v>317-536-8812</v>
      </c>
      <c r="G2757" s="3">
        <v>561110</v>
      </c>
      <c r="H2757" s="3" t="s">
        <v>4383</v>
      </c>
    </row>
    <row r="2758" spans="1:8" ht="64.5" x14ac:dyDescent="0.25">
      <c r="A2758" s="3" t="s">
        <v>8387</v>
      </c>
      <c r="B2758" s="3"/>
      <c r="C2758" s="3" t="str">
        <f>"Doyle Myers Concrete Walls is a full service foundation company. We pour footings, walls and foors for all types of construction. We also waterproof below grade structures."</f>
        <v>Doyle Myers Concrete Walls is a full service foundation company. We pour footings, walls and foors for all types of construction. We also waterproof below grade structures.</v>
      </c>
      <c r="D2758" s="3" t="s">
        <v>9</v>
      </c>
      <c r="E2758" s="3" t="s">
        <v>8388</v>
      </c>
      <c r="F2758" s="3" t="str">
        <f>"812 346 8226"</f>
        <v>812 346 8226</v>
      </c>
      <c r="G2758" s="3">
        <v>238110</v>
      </c>
      <c r="H2758" s="3" t="s">
        <v>156</v>
      </c>
    </row>
    <row r="2759" spans="1:8" ht="230.25" x14ac:dyDescent="0.25">
      <c r="A2759" s="3" t="s">
        <v>8389</v>
      </c>
      <c r="B2759" s="3"/>
      <c r="C2759" s="3" t="s">
        <v>8390</v>
      </c>
      <c r="D2759" s="3" t="s">
        <v>8391</v>
      </c>
      <c r="E2759" s="3" t="s">
        <v>8392</v>
      </c>
      <c r="F2759" s="3" t="str">
        <f>"260-432-6552"</f>
        <v>260-432-6552</v>
      </c>
      <c r="G2759" s="3">
        <v>541611</v>
      </c>
      <c r="H2759" s="3" t="s">
        <v>278</v>
      </c>
    </row>
    <row r="2760" spans="1:8" ht="39" x14ac:dyDescent="0.25">
      <c r="A2760" s="3" t="s">
        <v>8393</v>
      </c>
      <c r="B2760" s="3"/>
      <c r="C2760" s="3" t="str">
        <f>"We provide structural steel detail drawings for steel fabrication. Services in auto-cad for buildings, homes and roofing."</f>
        <v>We provide structural steel detail drawings for steel fabrication. Services in auto-cad for buildings, homes and roofing.</v>
      </c>
      <c r="D2760" s="3" t="s">
        <v>9</v>
      </c>
      <c r="E2760" s="3" t="s">
        <v>8394</v>
      </c>
      <c r="F2760" s="3" t="str">
        <f>"219-663-9013"</f>
        <v>219-663-9013</v>
      </c>
      <c r="G2760" s="3">
        <v>541310</v>
      </c>
      <c r="H2760" s="3" t="s">
        <v>446</v>
      </c>
    </row>
    <row r="2761" spans="1:8" ht="102.75" x14ac:dyDescent="0.25">
      <c r="A2761" s="3" t="s">
        <v>8395</v>
      </c>
      <c r="B2761" s="3"/>
      <c r="C2761" s="3" t="s">
        <v>8396</v>
      </c>
      <c r="D2761" s="3" t="s">
        <v>8397</v>
      </c>
      <c r="E2761" s="3" t="s">
        <v>8398</v>
      </c>
      <c r="F2761" s="3" t="str">
        <f>"(765) 987-7999"</f>
        <v>(765) 987-7999</v>
      </c>
      <c r="G2761" s="3">
        <v>333315</v>
      </c>
      <c r="H2761" s="3" t="s">
        <v>8399</v>
      </c>
    </row>
    <row r="2762" spans="1:8" ht="64.5" x14ac:dyDescent="0.25">
      <c r="A2762" s="3" t="s">
        <v>8400</v>
      </c>
      <c r="B2762" s="3"/>
      <c r="C2762" s="3" t="str">
        <f>"Marketing specialists for small service companies. Services and products include: design services, vehicle graphics, signage, promotional items (postcards, business cards, etc.)"</f>
        <v>Marketing specialists for small service companies. Services and products include: design services, vehicle graphics, signage, promotional items (postcards, business cards, etc.)</v>
      </c>
      <c r="D2762" s="3" t="s">
        <v>8401</v>
      </c>
      <c r="E2762" s="3" t="s">
        <v>8402</v>
      </c>
      <c r="F2762" s="3" t="str">
        <f>"317-784-7775"</f>
        <v>317-784-7775</v>
      </c>
      <c r="G2762" s="3">
        <v>54143</v>
      </c>
      <c r="H2762" s="3" t="s">
        <v>78</v>
      </c>
    </row>
    <row r="2763" spans="1:8" ht="39" x14ac:dyDescent="0.25">
      <c r="A2763" s="3" t="s">
        <v>8403</v>
      </c>
      <c r="B2763" s="3"/>
      <c r="C2763" s="3" t="str">
        <f>"All aspects of Grounds Maintenance, Landscaping, Hydro-Seeding, Commercial, Residential, Plus install Irrigation."</f>
        <v>All aspects of Grounds Maintenance, Landscaping, Hydro-Seeding, Commercial, Residential, Plus install Irrigation.</v>
      </c>
      <c r="D2763" s="3" t="s">
        <v>9</v>
      </c>
      <c r="E2763" s="3" t="s">
        <v>8404</v>
      </c>
      <c r="F2763" s="3" t="str">
        <f>"(812)232-3852"</f>
        <v>(812)232-3852</v>
      </c>
      <c r="G2763" s="3">
        <v>561730</v>
      </c>
      <c r="H2763" s="3" t="s">
        <v>65</v>
      </c>
    </row>
    <row r="2764" spans="1:8" ht="26.25" x14ac:dyDescent="0.25">
      <c r="A2764" s="3" t="s">
        <v>8405</v>
      </c>
      <c r="B2764" s="3"/>
      <c r="C2764" s="3" t="str">
        <f>" "</f>
        <v xml:space="preserve"> </v>
      </c>
      <c r="D2764" s="3" t="s">
        <v>9</v>
      </c>
      <c r="E2764" s="3" t="s">
        <v>46</v>
      </c>
      <c r="F2764" s="2"/>
      <c r="G2764" s="3">
        <v>621420</v>
      </c>
      <c r="H2764" s="3" t="s">
        <v>990</v>
      </c>
    </row>
    <row r="2765" spans="1:8" ht="64.5" x14ac:dyDescent="0.25">
      <c r="A2765" s="3" t="s">
        <v>8406</v>
      </c>
      <c r="B2765" s="3"/>
      <c r="C2765" s="3" t="str">
        <f>"Distributor of equipment for law enforcement and military agencies. Products include body armor, night vision, thermal imagers, surveillance equipment, gps tracking systems."</f>
        <v>Distributor of equipment for law enforcement and military agencies. Products include body armor, night vision, thermal imagers, surveillance equipment, gps tracking systems.</v>
      </c>
      <c r="D2765" s="3" t="s">
        <v>8407</v>
      </c>
      <c r="E2765" s="3" t="s">
        <v>8408</v>
      </c>
      <c r="F2765" s="3" t="str">
        <f>"800-888-4002"</f>
        <v>800-888-4002</v>
      </c>
      <c r="G2765" s="3">
        <v>334290</v>
      </c>
      <c r="H2765" s="3" t="s">
        <v>3119</v>
      </c>
    </row>
    <row r="2766" spans="1:8" ht="26.25" x14ac:dyDescent="0.25">
      <c r="A2766" s="3" t="s">
        <v>8409</v>
      </c>
      <c r="B2766" s="3"/>
      <c r="C2766" s="3" t="str">
        <f>" "</f>
        <v xml:space="preserve"> </v>
      </c>
      <c r="D2766" s="3" t="s">
        <v>8410</v>
      </c>
      <c r="E2766" s="3" t="s">
        <v>46</v>
      </c>
      <c r="F2766" s="3" t="str">
        <f>"317-885-4800"</f>
        <v>317-885-4800</v>
      </c>
      <c r="G2766" s="3">
        <v>44111</v>
      </c>
      <c r="H2766" s="3" t="s">
        <v>2588</v>
      </c>
    </row>
    <row r="2767" spans="1:8" ht="39" x14ac:dyDescent="0.25">
      <c r="A2767" s="3" t="s">
        <v>8411</v>
      </c>
      <c r="B2767" s="3"/>
      <c r="C2767" s="3" t="str">
        <f>"General Contractor - Industrial, Commercial, Institutional, Apartment, Hotel, Motel, Churches"</f>
        <v>General Contractor - Industrial, Commercial, Institutional, Apartment, Hotel, Motel, Churches</v>
      </c>
      <c r="D2767" s="3" t="s">
        <v>8412</v>
      </c>
      <c r="E2767" s="3" t="s">
        <v>8413</v>
      </c>
      <c r="F2767" s="3" t="str">
        <f>"812-526-2200"</f>
        <v>812-526-2200</v>
      </c>
      <c r="G2767" s="3">
        <v>236210</v>
      </c>
      <c r="H2767" s="3" t="s">
        <v>1418</v>
      </c>
    </row>
    <row r="2768" spans="1:8" ht="39" x14ac:dyDescent="0.25">
      <c r="A2768" s="3" t="s">
        <v>8414</v>
      </c>
      <c r="B2768" s="3"/>
      <c r="C2768" s="3" t="str">
        <f>"Class A and Class B driver leasing. Long term or short term. Driver recruiting for permanent positions."</f>
        <v>Class A and Class B driver leasing. Long term or short term. Driver recruiting for permanent positions.</v>
      </c>
      <c r="D2768" s="3" t="s">
        <v>8415</v>
      </c>
      <c r="E2768" s="3" t="s">
        <v>8416</v>
      </c>
      <c r="F2768" s="3" t="str">
        <f>"(317) 352-0306"</f>
        <v>(317) 352-0306</v>
      </c>
      <c r="G2768" s="3">
        <v>5613</v>
      </c>
      <c r="H2768" s="3" t="s">
        <v>1882</v>
      </c>
    </row>
    <row r="2769" spans="1:8" ht="77.25" x14ac:dyDescent="0.25">
      <c r="A2769" s="3" t="s">
        <v>8417</v>
      </c>
      <c r="B2769" s="3"/>
      <c r="C2769" s="3" t="str">
        <f>"The Drug and Alcohol Consortium of Allen County, Inc. provides an effective network to coordinate resources and efforts to reduce/erase alcohol, tobacco, and other drug (ATOD) abuse and problems that it brings to the community of Allen County."</f>
        <v>The Drug and Alcohol Consortium of Allen County, Inc. provides an effective network to coordinate resources and efforts to reduce/erase alcohol, tobacco, and other drug (ATOD) abuse and problems that it brings to the community of Allen County.</v>
      </c>
      <c r="D2769" s="3" t="s">
        <v>8418</v>
      </c>
      <c r="E2769" s="3" t="s">
        <v>8419</v>
      </c>
      <c r="F2769" s="3" t="str">
        <f>"(260) 422-8412"</f>
        <v>(260) 422-8412</v>
      </c>
      <c r="G2769" s="3">
        <v>8134</v>
      </c>
      <c r="H2769" s="3" t="s">
        <v>8420</v>
      </c>
    </row>
    <row r="2770" spans="1:8" ht="64.5" x14ac:dyDescent="0.25">
      <c r="A2770" s="3" t="s">
        <v>8421</v>
      </c>
      <c r="B2770" s="3"/>
      <c r="C2770" s="3" t="str">
        <f>"A firm providing personalized business consulting services for companies in a honest and objective manner that result in customized solutions to maximize your business potential."</f>
        <v>A firm providing personalized business consulting services for companies in a honest and objective manner that result in customized solutions to maximize your business potential.</v>
      </c>
      <c r="D2770" s="3" t="s">
        <v>8422</v>
      </c>
      <c r="E2770" s="3" t="s">
        <v>8423</v>
      </c>
      <c r="F2770" s="3" t="str">
        <f>"219-764-4332"</f>
        <v>219-764-4332</v>
      </c>
      <c r="G2770" s="3">
        <v>541611</v>
      </c>
      <c r="H2770" s="3" t="s">
        <v>278</v>
      </c>
    </row>
    <row r="2771" spans="1:8" ht="51.75" x14ac:dyDescent="0.25">
      <c r="A2771" s="3" t="s">
        <v>8424</v>
      </c>
      <c r="B2771" s="3"/>
      <c r="C2771" s="3" t="str">
        <f>"Dubois County - local government The Dubois County Health Department is a public health agency providing services to residents of Dubois County"</f>
        <v>Dubois County - local government The Dubois County Health Department is a public health agency providing services to residents of Dubois County</v>
      </c>
      <c r="D2771" s="3" t="s">
        <v>8425</v>
      </c>
      <c r="E2771" s="3" t="s">
        <v>8426</v>
      </c>
      <c r="F2771" s="3" t="str">
        <f>"812-481-7000"</f>
        <v>812-481-7000</v>
      </c>
      <c r="G2771" s="3">
        <v>237310</v>
      </c>
      <c r="H2771" s="3" t="s">
        <v>768</v>
      </c>
    </row>
    <row r="2772" spans="1:8" ht="26.25" x14ac:dyDescent="0.25">
      <c r="A2772" s="3" t="s">
        <v>8427</v>
      </c>
      <c r="B2772" s="3"/>
      <c r="C2772" s="3" t="str">
        <f>"Tire Sales &amp; Service, 24 Hour Tire Service, Alignments, Oil Changes"</f>
        <v>Tire Sales &amp; Service, 24 Hour Tire Service, Alignments, Oil Changes</v>
      </c>
      <c r="D2772" s="3" t="s">
        <v>8428</v>
      </c>
      <c r="E2772" s="3" t="s">
        <v>8429</v>
      </c>
      <c r="F2772" s="3" t="str">
        <f>"812-482-2020"</f>
        <v>812-482-2020</v>
      </c>
      <c r="G2772" s="3">
        <v>4413</v>
      </c>
      <c r="H2772" s="3" t="s">
        <v>1210</v>
      </c>
    </row>
    <row r="2773" spans="1:8" ht="115.5" x14ac:dyDescent="0.25">
      <c r="A2773" s="3" t="s">
        <v>8430</v>
      </c>
      <c r="B2773" s="3"/>
      <c r="C2773" s="3" t="s">
        <v>8431</v>
      </c>
      <c r="D2773" s="3" t="s">
        <v>8432</v>
      </c>
      <c r="E2773" s="3" t="s">
        <v>8433</v>
      </c>
      <c r="F2773" s="3" t="str">
        <f>"812-683-3772"</f>
        <v>812-683-3772</v>
      </c>
      <c r="G2773" s="3">
        <v>42291</v>
      </c>
      <c r="H2773" s="3" t="s">
        <v>4322</v>
      </c>
    </row>
    <row r="2774" spans="1:8" ht="90" x14ac:dyDescent="0.25">
      <c r="A2774" s="3" t="s">
        <v>8434</v>
      </c>
      <c r="B2774" s="3"/>
      <c r="C2774" s="3" t="s">
        <v>8435</v>
      </c>
      <c r="D2774" s="3" t="s">
        <v>9</v>
      </c>
      <c r="E2774" s="3" t="s">
        <v>46</v>
      </c>
      <c r="F2774" s="3" t="str">
        <f>"812-482-2233"</f>
        <v>812-482-2233</v>
      </c>
      <c r="G2774" s="3">
        <v>624</v>
      </c>
      <c r="H2774" s="3" t="s">
        <v>6524</v>
      </c>
    </row>
    <row r="2775" spans="1:8" ht="90" x14ac:dyDescent="0.25">
      <c r="A2775" s="3" t="s">
        <v>8436</v>
      </c>
      <c r="B2775" s="3"/>
      <c r="C2775" s="3" t="s">
        <v>8437</v>
      </c>
      <c r="D2775" s="3" t="s">
        <v>8438</v>
      </c>
      <c r="E2775" s="3" t="s">
        <v>8439</v>
      </c>
      <c r="F2775" s="3" t="str">
        <f>"574-234-7912"</f>
        <v>574-234-7912</v>
      </c>
      <c r="G2775" s="3">
        <v>23561</v>
      </c>
      <c r="H2775" s="3" t="s">
        <v>365</v>
      </c>
    </row>
    <row r="2776" spans="1:8" ht="26.25" x14ac:dyDescent="0.25">
      <c r="A2776" s="3" t="s">
        <v>8440</v>
      </c>
      <c r="B2776" s="3"/>
      <c r="C2776" s="3" t="str">
        <f>"Legal services"</f>
        <v>Legal services</v>
      </c>
      <c r="D2776" s="3" t="s">
        <v>8441</v>
      </c>
      <c r="E2776" s="3" t="s">
        <v>8442</v>
      </c>
      <c r="F2776" s="3" t="str">
        <f>"(219) 864-9922"</f>
        <v>(219) 864-9922</v>
      </c>
      <c r="G2776" s="3">
        <v>11</v>
      </c>
      <c r="H2776" s="3" t="s">
        <v>175</v>
      </c>
    </row>
    <row r="2777" spans="1:8" ht="115.5" x14ac:dyDescent="0.25">
      <c r="A2777" s="3" t="s">
        <v>8443</v>
      </c>
      <c r="B2777" s="3"/>
      <c r="C2777" s="3" t="s">
        <v>8444</v>
      </c>
      <c r="D2777" s="3" t="s">
        <v>8445</v>
      </c>
      <c r="E2777" s="3" t="s">
        <v>8446</v>
      </c>
      <c r="F2777" s="3" t="str">
        <f>"317-841-0700"</f>
        <v>317-841-0700</v>
      </c>
      <c r="G2777" s="3">
        <v>517310</v>
      </c>
      <c r="H2777" s="3" t="s">
        <v>540</v>
      </c>
    </row>
    <row r="2778" spans="1:8" ht="39" x14ac:dyDescent="0.25">
      <c r="A2778" s="3" t="s">
        <v>8447</v>
      </c>
      <c r="B2778" s="3"/>
      <c r="C2778" s="3" t="str">
        <f>"We are a small company with tri-axle dump trucks and will haul any bulk material that you might need."</f>
        <v>We are a small company with tri-axle dump trucks and will haul any bulk material that you might need.</v>
      </c>
      <c r="D2778" s="3" t="s">
        <v>9</v>
      </c>
      <c r="E2778" s="3" t="s">
        <v>8448</v>
      </c>
      <c r="F2778" s="3" t="str">
        <f>"3174591955"</f>
        <v>3174591955</v>
      </c>
      <c r="G2778" s="3">
        <v>484110</v>
      </c>
      <c r="H2778" s="3" t="s">
        <v>644</v>
      </c>
    </row>
    <row r="2779" spans="1:8" ht="39" x14ac:dyDescent="0.25">
      <c r="A2779" s="3" t="s">
        <v>8449</v>
      </c>
      <c r="B2779" s="3"/>
      <c r="C2779" s="3" t="str">
        <f>"Commercial Real Estate Development, Construction, Owner, Leasing and Management."</f>
        <v>Commercial Real Estate Development, Construction, Owner, Leasing and Management.</v>
      </c>
      <c r="D2779" s="3" t="s">
        <v>8450</v>
      </c>
      <c r="E2779" s="3" t="s">
        <v>46</v>
      </c>
      <c r="F2779" s="3" t="str">
        <f>"317-808-6000"</f>
        <v>317-808-6000</v>
      </c>
      <c r="G2779" s="3">
        <v>531210</v>
      </c>
      <c r="H2779" s="3" t="s">
        <v>1101</v>
      </c>
    </row>
    <row r="2780" spans="1:8" ht="64.5" x14ac:dyDescent="0.25">
      <c r="A2780" s="3" t="s">
        <v>8451</v>
      </c>
      <c r="B2780" s="3"/>
      <c r="C2780" s="3" t="str">
        <f>"Dukes Memorial Hospital is an acute care hospital providing in-patient and out-patient medical services to the residents of Miami County, Indiana and the surrounding communities."</f>
        <v>Dukes Memorial Hospital is an acute care hospital providing in-patient and out-patient medical services to the residents of Miami County, Indiana and the surrounding communities.</v>
      </c>
      <c r="D2780" s="3" t="s">
        <v>8452</v>
      </c>
      <c r="E2780" s="3" t="s">
        <v>8453</v>
      </c>
      <c r="F2780" s="3" t="str">
        <f>"(765) 472-8000"</f>
        <v>(765) 472-8000</v>
      </c>
      <c r="G2780" s="3">
        <v>622110</v>
      </c>
      <c r="H2780" s="3" t="s">
        <v>3335</v>
      </c>
    </row>
    <row r="2781" spans="1:8" ht="39" x14ac:dyDescent="0.25">
      <c r="A2781" s="3" t="s">
        <v>8454</v>
      </c>
      <c r="B2781" s="3"/>
      <c r="C2781" s="3" t="str">
        <f>"Video/Computer equipment sales, integration and service"</f>
        <v>Video/Computer equipment sales, integration and service</v>
      </c>
      <c r="D2781" s="3" t="s">
        <v>8455</v>
      </c>
      <c r="E2781" s="3" t="s">
        <v>46</v>
      </c>
      <c r="F2781" s="3" t="str">
        <f>"317-815-6300"</f>
        <v>317-815-6300</v>
      </c>
      <c r="G2781" s="3">
        <v>334220</v>
      </c>
      <c r="H2781" s="3" t="s">
        <v>8456</v>
      </c>
    </row>
    <row r="2782" spans="1:8" ht="281.25" x14ac:dyDescent="0.25">
      <c r="A2782" s="3" t="s">
        <v>8457</v>
      </c>
      <c r="B2782" s="3"/>
      <c r="C2782" s="3" t="s">
        <v>8458</v>
      </c>
      <c r="D2782" s="3" t="s">
        <v>8459</v>
      </c>
      <c r="E2782" s="3" t="s">
        <v>8460</v>
      </c>
      <c r="F2782" s="3" t="str">
        <f>"2199261007"</f>
        <v>2199261007</v>
      </c>
      <c r="G2782" s="3">
        <v>541330</v>
      </c>
      <c r="H2782" s="3" t="s">
        <v>82</v>
      </c>
    </row>
    <row r="2783" spans="1:8" ht="26.25" x14ac:dyDescent="0.25">
      <c r="A2783" s="3" t="s">
        <v>8461</v>
      </c>
      <c r="B2783" s="3"/>
      <c r="C2783" s="3" t="str">
        <f>"Residential development of envioronmentally-sustainable communities."</f>
        <v>Residential development of envioronmentally-sustainable communities.</v>
      </c>
      <c r="D2783" s="3" t="s">
        <v>8462</v>
      </c>
      <c r="E2783" s="3" t="s">
        <v>8463</v>
      </c>
      <c r="F2783" s="3" t="str">
        <f>"219/395-8888"</f>
        <v>219/395-8888</v>
      </c>
      <c r="G2783" s="3">
        <v>236116</v>
      </c>
      <c r="H2783" s="3" t="s">
        <v>438</v>
      </c>
    </row>
    <row r="2784" spans="1:8" ht="255.75" x14ac:dyDescent="0.25">
      <c r="A2784" s="3" t="s">
        <v>8464</v>
      </c>
      <c r="B2784" s="3"/>
      <c r="C2784" s="3" t="s">
        <v>8465</v>
      </c>
      <c r="D2784" s="3" t="s">
        <v>8466</v>
      </c>
      <c r="E2784" s="3" t="s">
        <v>8467</v>
      </c>
      <c r="F2784" s="3" t="str">
        <f>"(888) 848-2956 EXT. 101"</f>
        <v>(888) 848-2956 EXT. 101</v>
      </c>
      <c r="G2784" s="3">
        <v>611430</v>
      </c>
      <c r="H2784" s="3" t="s">
        <v>1224</v>
      </c>
    </row>
    <row r="2785" spans="1:8" ht="128.25" x14ac:dyDescent="0.25">
      <c r="A2785" s="3" t="s">
        <v>8468</v>
      </c>
      <c r="B2785" s="3"/>
      <c r="C2785" s="3" t="s">
        <v>8469</v>
      </c>
      <c r="D2785" s="3" t="s">
        <v>8470</v>
      </c>
      <c r="E2785" s="3" t="s">
        <v>8471</v>
      </c>
      <c r="F2785" s="3" t="str">
        <f>"317-842-6325"</f>
        <v>317-842-6325</v>
      </c>
      <c r="G2785" s="3">
        <v>541211</v>
      </c>
      <c r="H2785" s="3" t="s">
        <v>337</v>
      </c>
    </row>
    <row r="2786" spans="1:8" ht="51.75" x14ac:dyDescent="0.25">
      <c r="A2786" s="3" t="s">
        <v>8472</v>
      </c>
      <c r="B2786" s="3"/>
      <c r="C2786" s="3" t="str">
        <f>"Manufacturers representative of playground, site, shelter, metal grating and recycled plastic alternative to concrete/asphalt sidewalks"</f>
        <v>Manufacturers representative of playground, site, shelter, metal grating and recycled plastic alternative to concrete/asphalt sidewalks</v>
      </c>
      <c r="D2786" s="3" t="s">
        <v>9</v>
      </c>
      <c r="E2786" s="3" t="s">
        <v>8473</v>
      </c>
      <c r="F2786" s="3" t="str">
        <f>"317-888-2071"</f>
        <v>317-888-2071</v>
      </c>
      <c r="G2786" s="3">
        <v>423990</v>
      </c>
      <c r="H2786" s="3" t="s">
        <v>983</v>
      </c>
    </row>
    <row r="2787" spans="1:8" ht="26.25" x14ac:dyDescent="0.25">
      <c r="A2787" s="3" t="s">
        <v>8474</v>
      </c>
      <c r="B2787" s="3"/>
      <c r="C2787" s="2"/>
      <c r="D2787" s="3" t="s">
        <v>8475</v>
      </c>
      <c r="E2787" s="3" t="s">
        <v>8476</v>
      </c>
      <c r="F2787" s="3" t="str">
        <f>"3178754577"</f>
        <v>3178754577</v>
      </c>
      <c r="G2787" s="3">
        <v>238290</v>
      </c>
      <c r="H2787" s="3" t="s">
        <v>237</v>
      </c>
    </row>
    <row r="2788" spans="1:8" ht="90" x14ac:dyDescent="0.25">
      <c r="A2788" s="3" t="s">
        <v>8477</v>
      </c>
      <c r="B2788" s="3"/>
      <c r="C2788" s="3" t="str">
        <f>"Duramold is an engineering and manufacturing firm providing value through product innovations, process and sourcing efficiencies, and supply chain services. Our customers include the Government as well as companies in the non-automotive industries."</f>
        <v>Duramold is an engineering and manufacturing firm providing value through product innovations, process and sourcing efficiencies, and supply chain services. Our customers include the Government as well as companies in the non-automotive industries.</v>
      </c>
      <c r="D2788" s="3" t="s">
        <v>9</v>
      </c>
      <c r="E2788" s="3" t="s">
        <v>46</v>
      </c>
      <c r="F2788" s="3" t="str">
        <f>"574-251-1111"</f>
        <v>574-251-1111</v>
      </c>
      <c r="G2788" s="3">
        <v>336120</v>
      </c>
      <c r="H2788" s="3" t="s">
        <v>8478</v>
      </c>
    </row>
    <row r="2789" spans="1:8" ht="128.25" x14ac:dyDescent="0.25">
      <c r="A2789" s="3" t="s">
        <v>8479</v>
      </c>
      <c r="B2789" s="3"/>
      <c r="C2789" s="3" t="s">
        <v>8480</v>
      </c>
      <c r="D2789" s="3" t="s">
        <v>9</v>
      </c>
      <c r="E2789" s="3" t="s">
        <v>8481</v>
      </c>
      <c r="F2789" s="3" t="str">
        <f>"317-370-2991"</f>
        <v>317-370-2991</v>
      </c>
      <c r="G2789" s="3">
        <v>236118</v>
      </c>
      <c r="H2789" s="3" t="s">
        <v>465</v>
      </c>
    </row>
    <row r="2790" spans="1:8" ht="26.25" x14ac:dyDescent="0.25">
      <c r="A2790" s="3" t="s">
        <v>8482</v>
      </c>
      <c r="B2790" s="3"/>
      <c r="C2790" s="3" t="str">
        <f>"Mechanical, Electrical, Plumbing, Fire Protection, Technology Engineering services."</f>
        <v>Mechanical, Electrical, Plumbing, Fire Protection, Technology Engineering services.</v>
      </c>
      <c r="D2790" s="3" t="s">
        <v>8483</v>
      </c>
      <c r="E2790" s="3" t="s">
        <v>46</v>
      </c>
      <c r="F2790" s="3" t="str">
        <f>"317-472-3883"</f>
        <v>317-472-3883</v>
      </c>
      <c r="G2790" s="3">
        <v>541330</v>
      </c>
      <c r="H2790" s="3" t="s">
        <v>82</v>
      </c>
    </row>
    <row r="2791" spans="1:8" ht="26.25" x14ac:dyDescent="0.25">
      <c r="A2791" s="3" t="s">
        <v>8484</v>
      </c>
      <c r="B2791" s="3"/>
      <c r="C2791" s="3" t="str">
        <f>"Organize and clean homes and businesses."</f>
        <v>Organize and clean homes and businesses.</v>
      </c>
      <c r="D2791" s="3" t="s">
        <v>9</v>
      </c>
      <c r="E2791" s="3" t="s">
        <v>8485</v>
      </c>
      <c r="F2791" s="3" t="str">
        <f>"317-945-4197"</f>
        <v>317-945-4197</v>
      </c>
      <c r="G2791" s="3">
        <v>561720</v>
      </c>
      <c r="H2791" s="3" t="s">
        <v>222</v>
      </c>
    </row>
    <row r="2792" spans="1:8" ht="26.25" x14ac:dyDescent="0.25">
      <c r="A2792" s="3" t="s">
        <v>8486</v>
      </c>
      <c r="B2792" s="3"/>
      <c r="C2792" s="3" t="str">
        <f>"Ag and Lawn &amp; Garden retailer, service &amp; parts"</f>
        <v>Ag and Lawn &amp; Garden retailer, service &amp; parts</v>
      </c>
      <c r="D2792" s="3" t="s">
        <v>8487</v>
      </c>
      <c r="E2792" s="3" t="s">
        <v>8488</v>
      </c>
      <c r="F2792" s="3" t="str">
        <f>"317-738-9022"</f>
        <v>317-738-9022</v>
      </c>
      <c r="G2792" s="3">
        <v>444210</v>
      </c>
      <c r="H2792" s="3" t="s">
        <v>392</v>
      </c>
    </row>
    <row r="2793" spans="1:8" ht="26.25" x14ac:dyDescent="0.25">
      <c r="A2793" s="3" t="s">
        <v>8489</v>
      </c>
      <c r="B2793" s="3"/>
      <c r="C2793" s="3" t="str">
        <f>"Computer Sales and service"</f>
        <v>Computer Sales and service</v>
      </c>
      <c r="D2793" s="3" t="s">
        <v>9</v>
      </c>
      <c r="E2793" s="3" t="s">
        <v>8490</v>
      </c>
      <c r="F2793" s="3" t="str">
        <f>"2600-927-8921"</f>
        <v>2600-927-8921</v>
      </c>
      <c r="G2793" s="3">
        <v>811212</v>
      </c>
      <c r="H2793" s="3" t="s">
        <v>1632</v>
      </c>
    </row>
    <row r="2794" spans="1:8" ht="26.25" x14ac:dyDescent="0.25">
      <c r="A2794" s="3" t="s">
        <v>8491</v>
      </c>
      <c r="B2794" s="3"/>
      <c r="C2794" s="3" t="str">
        <f>"Retail Lumber, Hardware, and Building Material"</f>
        <v>Retail Lumber, Hardware, and Building Material</v>
      </c>
      <c r="D2794" s="3" t="s">
        <v>9</v>
      </c>
      <c r="E2794" s="3" t="s">
        <v>46</v>
      </c>
      <c r="F2794" s="3" t="str">
        <f>"(800)552-2275"</f>
        <v>(800)552-2275</v>
      </c>
      <c r="G2794" s="3">
        <v>444130</v>
      </c>
      <c r="H2794" s="3" t="s">
        <v>2597</v>
      </c>
    </row>
    <row r="2795" spans="1:8" ht="39" x14ac:dyDescent="0.25">
      <c r="A2795" s="3" t="s">
        <v>8492</v>
      </c>
      <c r="B2795" s="3"/>
      <c r="C2795" s="3" t="str">
        <f>"Dyer Environmental Services prepares environmental impact studies for federal-aid transportation projects."</f>
        <v>Dyer Environmental Services prepares environmental impact studies for federal-aid transportation projects.</v>
      </c>
      <c r="D2795" s="3" t="s">
        <v>9</v>
      </c>
      <c r="E2795" s="3" t="s">
        <v>8493</v>
      </c>
      <c r="F2795" s="3" t="str">
        <f>"317-422-8805"</f>
        <v>317-422-8805</v>
      </c>
      <c r="G2795" s="3">
        <v>541620</v>
      </c>
      <c r="H2795" s="3" t="s">
        <v>216</v>
      </c>
    </row>
    <row r="2796" spans="1:8" ht="64.5" x14ac:dyDescent="0.25">
      <c r="A2796" s="3" t="s">
        <v>8494</v>
      </c>
      <c r="B2796" s="3"/>
      <c r="C2796" s="3" t="str">
        <f>"Dynaloy manufactures specialty cleaning products for removing materials such as urethanes, silicones, epoxies, and acrylics. We also have a full line of general cleaners for removing oils, greases, dirt, and asphalt."</f>
        <v>Dynaloy manufactures specialty cleaning products for removing materials such as urethanes, silicones, epoxies, and acrylics. We also have a full line of general cleaners for removing oils, greases, dirt, and asphalt.</v>
      </c>
      <c r="D2796" s="3" t="s">
        <v>8495</v>
      </c>
      <c r="E2796" s="3" t="s">
        <v>8496</v>
      </c>
      <c r="F2796" s="3" t="str">
        <f>"317-788-5694"</f>
        <v>317-788-5694</v>
      </c>
      <c r="G2796" s="3">
        <v>325998</v>
      </c>
      <c r="H2796" s="3" t="s">
        <v>7066</v>
      </c>
    </row>
    <row r="2797" spans="1:8" ht="192" x14ac:dyDescent="0.25">
      <c r="A2797" s="3" t="s">
        <v>8497</v>
      </c>
      <c r="B2797" s="3"/>
      <c r="C2797" s="3" t="s">
        <v>8498</v>
      </c>
      <c r="D2797" s="3" t="s">
        <v>8499</v>
      </c>
      <c r="E2797" s="3" t="s">
        <v>8500</v>
      </c>
      <c r="F2797" s="3" t="str">
        <f>"317-236-8383"</f>
        <v>317-236-8383</v>
      </c>
      <c r="G2797" s="3">
        <v>323114</v>
      </c>
      <c r="H2797" s="3" t="s">
        <v>1068</v>
      </c>
    </row>
    <row r="2798" spans="1:8" x14ac:dyDescent="0.25">
      <c r="A2798" s="3" t="s">
        <v>8501</v>
      </c>
      <c r="B2798" s="3"/>
      <c r="C2798" s="3" t="str">
        <f>"My business is primarly a janitorial service"</f>
        <v>My business is primarly a janitorial service</v>
      </c>
      <c r="D2798" s="3" t="s">
        <v>9</v>
      </c>
      <c r="E2798" s="3" t="s">
        <v>46</v>
      </c>
      <c r="F2798" s="2"/>
      <c r="G2798" s="3">
        <v>561720</v>
      </c>
      <c r="H2798" s="3" t="s">
        <v>222</v>
      </c>
    </row>
    <row r="2799" spans="1:8" ht="26.25" x14ac:dyDescent="0.25">
      <c r="A2799" s="3" t="s">
        <v>8502</v>
      </c>
      <c r="B2799" s="3"/>
      <c r="C2799" s="3" t="str">
        <f>"Facility design services"</f>
        <v>Facility design services</v>
      </c>
      <c r="D2799" s="3" t="s">
        <v>8503</v>
      </c>
      <c r="E2799" s="3" t="s">
        <v>8504</v>
      </c>
      <c r="F2799" s="3" t="str">
        <f>"317-396-0904"</f>
        <v>317-396-0904</v>
      </c>
      <c r="G2799" s="3">
        <v>541330</v>
      </c>
      <c r="H2799" s="3" t="s">
        <v>82</v>
      </c>
    </row>
    <row r="2800" spans="1:8" ht="77.25" x14ac:dyDescent="0.25">
      <c r="A2800" s="3" t="s">
        <v>8505</v>
      </c>
      <c r="B2800" s="3"/>
      <c r="C2800" s="3" t="str">
        <f>"a business devoted to its customers that is very knowledgeable with all types of construction from grading, asphalt work. concrete work, and even retaining walls. let us help you with all of your construction needs."</f>
        <v>a business devoted to its customers that is very knowledgeable with all types of construction from grading, asphalt work. concrete work, and even retaining walls. let us help you with all of your construction needs.</v>
      </c>
      <c r="D2800" s="3" t="s">
        <v>8506</v>
      </c>
      <c r="E2800" s="3" t="s">
        <v>8507</v>
      </c>
      <c r="F2800" s="3" t="str">
        <f>"317-409-3487"</f>
        <v>317-409-3487</v>
      </c>
      <c r="G2800" s="3">
        <v>234</v>
      </c>
      <c r="H2800" s="3" t="s">
        <v>1414</v>
      </c>
    </row>
    <row r="2801" spans="1:8" ht="90" x14ac:dyDescent="0.25">
      <c r="A2801" s="3" t="s">
        <v>8508</v>
      </c>
      <c r="B2801" s="3"/>
      <c r="C2801" s="3" t="s">
        <v>8509</v>
      </c>
      <c r="D2801" s="3" t="s">
        <v>8510</v>
      </c>
      <c r="E2801" s="3" t="s">
        <v>8511</v>
      </c>
      <c r="F2801" s="3" t="str">
        <f>"3174323788"</f>
        <v>3174323788</v>
      </c>
      <c r="G2801" s="3">
        <v>54151</v>
      </c>
      <c r="H2801" s="3" t="s">
        <v>188</v>
      </c>
    </row>
    <row r="2802" spans="1:8" ht="39" x14ac:dyDescent="0.25">
      <c r="A2802" s="3" t="s">
        <v>8512</v>
      </c>
      <c r="B2802" s="3"/>
      <c r="C2802" s="3" t="str">
        <f>"Consulting services to clients seeking the procurement of medical supplies and products”"</f>
        <v>Consulting services to clients seeking the procurement of medical supplies and products”</v>
      </c>
      <c r="D2802" s="3" t="s">
        <v>9</v>
      </c>
      <c r="E2802" s="3" t="s">
        <v>8513</v>
      </c>
      <c r="F2802" s="3" t="str">
        <f>"574-234-9888"</f>
        <v>574-234-9888</v>
      </c>
      <c r="G2802" s="3">
        <v>541611</v>
      </c>
      <c r="H2802" s="3" t="s">
        <v>278</v>
      </c>
    </row>
    <row r="2803" spans="1:8" ht="39" x14ac:dyDescent="0.25">
      <c r="A2803" s="3" t="s">
        <v>8514</v>
      </c>
      <c r="B2803" s="3"/>
      <c r="C2803" s="3" t="str">
        <f>"An Indiana company that specializes in schoolwide planning, school support, and leadership development."</f>
        <v>An Indiana company that specializes in schoolwide planning, school support, and leadership development.</v>
      </c>
      <c r="D2803" s="3" t="s">
        <v>8515</v>
      </c>
      <c r="E2803" s="3" t="s">
        <v>8516</v>
      </c>
      <c r="F2803" s="3" t="str">
        <f>"317-547-4977"</f>
        <v>317-547-4977</v>
      </c>
      <c r="G2803" s="3">
        <v>611710</v>
      </c>
      <c r="H2803" s="3" t="s">
        <v>508</v>
      </c>
    </row>
    <row r="2804" spans="1:8" ht="90" x14ac:dyDescent="0.25">
      <c r="A2804" s="3" t="s">
        <v>8517</v>
      </c>
      <c r="B2804" s="3"/>
      <c r="C2804" s="3" t="str">
        <f>"Providing management and organizational consulting services in the areas of business development, funding sources, organizational design, human resource management, talent management, staff training &amp; development, and performance management."</f>
        <v>Providing management and organizational consulting services in the areas of business development, funding sources, organizational design, human resource management, talent management, staff training &amp; development, and performance management.</v>
      </c>
      <c r="D2804" s="3" t="s">
        <v>9</v>
      </c>
      <c r="E2804" s="3" t="s">
        <v>8518</v>
      </c>
      <c r="F2804" s="3" t="str">
        <f>"317-517-3088"</f>
        <v>317-517-3088</v>
      </c>
      <c r="G2804" s="3">
        <v>54161</v>
      </c>
      <c r="H2804" s="3" t="s">
        <v>1221</v>
      </c>
    </row>
    <row r="2805" spans="1:8" ht="26.25" x14ac:dyDescent="0.25">
      <c r="A2805" s="3" t="s">
        <v>8519</v>
      </c>
      <c r="B2805" s="3"/>
      <c r="C2805" s="3" t="str">
        <f>"Asphalt &amp; Concrete Paving"</f>
        <v>Asphalt &amp; Concrete Paving</v>
      </c>
      <c r="D2805" s="3" t="s">
        <v>8520</v>
      </c>
      <c r="E2805" s="3" t="s">
        <v>8521</v>
      </c>
      <c r="F2805" s="3" t="str">
        <f>"765-643-5358"</f>
        <v>765-643-5358</v>
      </c>
      <c r="G2805" s="3">
        <v>237310</v>
      </c>
      <c r="H2805" s="3" t="s">
        <v>768</v>
      </c>
    </row>
    <row r="2806" spans="1:8" ht="26.25" x14ac:dyDescent="0.25">
      <c r="A2806" s="3" t="s">
        <v>8522</v>
      </c>
      <c r="B2806" s="3"/>
      <c r="C2806" s="3" t="str">
        <f>"Commercial and Industrial Waste Service"</f>
        <v>Commercial and Industrial Waste Service</v>
      </c>
      <c r="D2806" s="3" t="s">
        <v>8523</v>
      </c>
      <c r="E2806" s="3" t="s">
        <v>8524</v>
      </c>
      <c r="F2806" s="3" t="str">
        <f>"812-288-7778"</f>
        <v>812-288-7778</v>
      </c>
      <c r="G2806" s="3">
        <v>562</v>
      </c>
      <c r="H2806" s="3" t="s">
        <v>2798</v>
      </c>
    </row>
    <row r="2807" spans="1:8" ht="26.25" x14ac:dyDescent="0.25">
      <c r="A2807" s="3" t="s">
        <v>8525</v>
      </c>
      <c r="B2807" s="3"/>
      <c r="C2807" s="3" t="str">
        <f>"Tree trimming and tree removal"</f>
        <v>Tree trimming and tree removal</v>
      </c>
      <c r="D2807" s="3" t="s">
        <v>9</v>
      </c>
      <c r="E2807" s="3" t="s">
        <v>8526</v>
      </c>
      <c r="F2807" s="3" t="str">
        <f>"765-362-8088"</f>
        <v>765-362-8088</v>
      </c>
      <c r="G2807" s="3">
        <v>113</v>
      </c>
      <c r="H2807" s="3" t="s">
        <v>4581</v>
      </c>
    </row>
    <row r="2808" spans="1:8" ht="294" x14ac:dyDescent="0.25">
      <c r="A2808" s="3" t="s">
        <v>8527</v>
      </c>
      <c r="B2808" s="3"/>
      <c r="C2808" s="3" t="s">
        <v>8528</v>
      </c>
      <c r="D2808" s="3" t="s">
        <v>8529</v>
      </c>
      <c r="E2808" s="3" t="s">
        <v>8530</v>
      </c>
      <c r="F2808" s="3" t="str">
        <f>"317-926-4663"</f>
        <v>317-926-4663</v>
      </c>
      <c r="G2808" s="3">
        <v>423330</v>
      </c>
      <c r="H2808" s="3" t="s">
        <v>8531</v>
      </c>
    </row>
    <row r="2809" spans="1:8" ht="26.25" x14ac:dyDescent="0.25">
      <c r="A2809" s="3" t="s">
        <v>8532</v>
      </c>
      <c r="B2809" s="3"/>
      <c r="C2809" s="3" t="str">
        <f>"Electrical Contractor"</f>
        <v>Electrical Contractor</v>
      </c>
      <c r="D2809" s="3" t="s">
        <v>9</v>
      </c>
      <c r="E2809" s="3" t="s">
        <v>8533</v>
      </c>
      <c r="F2809" s="3" t="str">
        <f>"317-407-6502"</f>
        <v>317-407-6502</v>
      </c>
      <c r="G2809" s="3">
        <v>238210</v>
      </c>
      <c r="H2809" s="3" t="s">
        <v>306</v>
      </c>
    </row>
    <row r="2810" spans="1:8" ht="77.25" x14ac:dyDescent="0.25">
      <c r="A2810" s="3" t="s">
        <v>8534</v>
      </c>
      <c r="B2810" s="3"/>
      <c r="C2810" s="3" t="str">
        <f>"We have been in business for over 30 years. We are a commerical and light industrial general carpenter. We produce quality work, on time. We have never failed to complete a contract and take immense pride in our work."</f>
        <v>We have been in business for over 30 years. We are a commerical and light industrial general carpenter. We produce quality work, on time. We have never failed to complete a contract and take immense pride in our work.</v>
      </c>
      <c r="D2810" s="3" t="s">
        <v>8535</v>
      </c>
      <c r="E2810" s="3" t="s">
        <v>8536</v>
      </c>
      <c r="F2810" s="3" t="str">
        <f>"260-747-3941"</f>
        <v>260-747-3941</v>
      </c>
      <c r="G2810" s="3">
        <v>23332</v>
      </c>
      <c r="H2810" s="3" t="s">
        <v>598</v>
      </c>
    </row>
    <row r="2811" spans="1:8" ht="153.75" x14ac:dyDescent="0.25">
      <c r="A2811" s="3" t="s">
        <v>8537</v>
      </c>
      <c r="B2811" s="3"/>
      <c r="C2811" s="3" t="s">
        <v>8538</v>
      </c>
      <c r="D2811" s="3" t="s">
        <v>8539</v>
      </c>
      <c r="E2811" s="3" t="s">
        <v>8540</v>
      </c>
      <c r="F2811" s="3" t="str">
        <f>"317.252.5850"</f>
        <v>317.252.5850</v>
      </c>
      <c r="G2811" s="3">
        <v>453220</v>
      </c>
      <c r="H2811" s="3" t="s">
        <v>274</v>
      </c>
    </row>
    <row r="2812" spans="1:8" ht="26.25" x14ac:dyDescent="0.25">
      <c r="A2812" s="3" t="s">
        <v>8541</v>
      </c>
      <c r="B2812" s="3"/>
      <c r="C2812" s="3" t="str">
        <f>"Residential and commercial concrete and excavating work."</f>
        <v>Residential and commercial concrete and excavating work.</v>
      </c>
      <c r="D2812" s="3" t="s">
        <v>9</v>
      </c>
      <c r="E2812" s="3" t="s">
        <v>8542</v>
      </c>
      <c r="F2812" s="3" t="str">
        <f>"574-606-7402"</f>
        <v>574-606-7402</v>
      </c>
      <c r="G2812" s="3">
        <v>23</v>
      </c>
      <c r="H2812" s="3" t="s">
        <v>133</v>
      </c>
    </row>
    <row r="2813" spans="1:8" x14ac:dyDescent="0.25">
      <c r="A2813" s="3" t="s">
        <v>8543</v>
      </c>
      <c r="B2813" s="3"/>
      <c r="C2813" s="3" t="str">
        <f>" "</f>
        <v xml:space="preserve"> </v>
      </c>
      <c r="D2813" s="3" t="s">
        <v>9</v>
      </c>
      <c r="E2813" s="3" t="s">
        <v>46</v>
      </c>
      <c r="F2813" s="2"/>
      <c r="G2813" s="3">
        <v>561720</v>
      </c>
      <c r="H2813" s="3" t="s">
        <v>222</v>
      </c>
    </row>
    <row r="2814" spans="1:8" ht="39" x14ac:dyDescent="0.25">
      <c r="A2814" s="3" t="s">
        <v>8544</v>
      </c>
      <c r="B2814" s="3"/>
      <c r="C2814" s="3" t="str">
        <f>"Interstate and intrastate freight expediting using cargo vans and pick-ups. Non-hazardous material only. USDOT &amp; MC #."</f>
        <v>Interstate and intrastate freight expediting using cargo vans and pick-ups. Non-hazardous material only. USDOT &amp; MC #.</v>
      </c>
      <c r="D2814" s="3" t="s">
        <v>9</v>
      </c>
      <c r="E2814" s="3" t="s">
        <v>8545</v>
      </c>
      <c r="F2814" s="3" t="str">
        <f>"502-262-3231"</f>
        <v>502-262-3231</v>
      </c>
      <c r="G2814" s="3">
        <v>484122</v>
      </c>
      <c r="H2814" s="3" t="s">
        <v>8546</v>
      </c>
    </row>
    <row r="2815" spans="1:8" ht="51.75" x14ac:dyDescent="0.25">
      <c r="A2815" s="3" t="s">
        <v>8547</v>
      </c>
      <c r="B2815" s="3"/>
      <c r="C2815" s="3" t="str">
        <f>"Carpet retail outlet and all flooring including hardwood, laminates, tile, ceramic, sheet vinyl. Also, cutlery and other collectible items."</f>
        <v>Carpet retail outlet and all flooring including hardwood, laminates, tile, ceramic, sheet vinyl. Also, cutlery and other collectible items.</v>
      </c>
      <c r="D2815" s="3" t="s">
        <v>9</v>
      </c>
      <c r="E2815" s="3" t="s">
        <v>46</v>
      </c>
      <c r="F2815" s="3" t="str">
        <f>"317-881-2959"</f>
        <v>317-881-2959</v>
      </c>
      <c r="G2815" s="3">
        <v>442210</v>
      </c>
      <c r="H2815" s="3" t="s">
        <v>2301</v>
      </c>
    </row>
    <row r="2816" spans="1:8" ht="90" x14ac:dyDescent="0.25">
      <c r="A2816" s="3" t="s">
        <v>8548</v>
      </c>
      <c r="B2816" s="3"/>
      <c r="C2816" s="3" t="str">
        <f>"E-gineering, LLC provides excellence and expertise with integrity and character. We offer Software Architecture &amp; Design, Senior Skills, e-Business Integration, Business Analysis, Project Management and Career Development. Visit us at www.e-gineering.com"</f>
        <v>E-gineering, LLC provides excellence and expertise with integrity and character. We offer Software Architecture &amp; Design, Senior Skills, e-Business Integration, Business Analysis, Project Management and Career Development. Visit us at www.e-gineering.com</v>
      </c>
      <c r="D2816" s="3" t="s">
        <v>8549</v>
      </c>
      <c r="E2816" s="3" t="s">
        <v>8550</v>
      </c>
      <c r="F2816" s="3" t="str">
        <f>"3173481780"</f>
        <v>3173481780</v>
      </c>
      <c r="G2816" s="3">
        <v>5415</v>
      </c>
      <c r="H2816" s="3" t="s">
        <v>188</v>
      </c>
    </row>
    <row r="2817" spans="1:8" ht="39" x14ac:dyDescent="0.25">
      <c r="A2817" s="3" t="s">
        <v>8551</v>
      </c>
      <c r="B2817" s="3"/>
      <c r="C2817" s="3" t="str">
        <f>"E. C. Ortiz &amp; Co., LLP offers professional services on three core areas: Assurance, Accounting and Tax."</f>
        <v>E. C. Ortiz &amp; Co., LLP offers professional services on three core areas: Assurance, Accounting and Tax.</v>
      </c>
      <c r="D2817" s="3" t="s">
        <v>8552</v>
      </c>
      <c r="E2817" s="3" t="s">
        <v>46</v>
      </c>
      <c r="F2817" s="3" t="str">
        <f>"317-789-1040"</f>
        <v>317-789-1040</v>
      </c>
      <c r="G2817" s="3">
        <v>541211</v>
      </c>
      <c r="H2817" s="3" t="s">
        <v>337</v>
      </c>
    </row>
    <row r="2818" spans="1:8" ht="26.25" x14ac:dyDescent="0.25">
      <c r="A2818" s="3" t="s">
        <v>8553</v>
      </c>
      <c r="B2818" s="3"/>
      <c r="C2818" s="3" t="str">
        <f>" "</f>
        <v xml:space="preserve"> </v>
      </c>
      <c r="D2818" s="3" t="s">
        <v>8554</v>
      </c>
      <c r="E2818" s="3" t="s">
        <v>8555</v>
      </c>
      <c r="F2818" s="3" t="str">
        <f>"317-299-1500"</f>
        <v>317-299-1500</v>
      </c>
      <c r="G2818" s="3">
        <v>23821</v>
      </c>
      <c r="H2818" s="3" t="s">
        <v>306</v>
      </c>
    </row>
    <row r="2819" spans="1:8" ht="77.25" x14ac:dyDescent="0.25">
      <c r="A2819" s="3" t="s">
        <v>8556</v>
      </c>
      <c r="B2819" s="3"/>
      <c r="C2819" s="3" t="str">
        <f>"RESIDENTIAL &amp; COMMERCIAL HVAC, (Heating, Ventilation, and Air Conditioning), SERVICE &amp; SALES- All Makes &amp; Models. Commercial Refrigeration, Commercial Kitchen Equipment, Exhaust hoods, and Make-up Air Systems."</f>
        <v>RESIDENTIAL &amp; COMMERCIAL HVAC, (Heating, Ventilation, and Air Conditioning), SERVICE &amp; SALES- All Makes &amp; Models. Commercial Refrigeration, Commercial Kitchen Equipment, Exhaust hoods, and Make-up Air Systems.</v>
      </c>
      <c r="D2819" s="3" t="s">
        <v>8557</v>
      </c>
      <c r="E2819" s="3" t="s">
        <v>8558</v>
      </c>
      <c r="F2819" s="3" t="str">
        <f>"8124220101"</f>
        <v>8124220101</v>
      </c>
      <c r="G2819" s="3">
        <v>238220</v>
      </c>
      <c r="H2819" s="3" t="s">
        <v>348</v>
      </c>
    </row>
    <row r="2820" spans="1:8" ht="128.25" x14ac:dyDescent="0.25">
      <c r="A2820" s="3" t="s">
        <v>8559</v>
      </c>
      <c r="B2820" s="3"/>
      <c r="C2820" s="3" t="s">
        <v>8560</v>
      </c>
      <c r="D2820" s="3" t="s">
        <v>8561</v>
      </c>
      <c r="E2820" s="3" t="s">
        <v>8562</v>
      </c>
      <c r="F2820" s="3" t="str">
        <f>"317-894-6484"</f>
        <v>317-894-6484</v>
      </c>
      <c r="G2820" s="3">
        <v>561730</v>
      </c>
      <c r="H2820" s="3" t="s">
        <v>65</v>
      </c>
    </row>
    <row r="2821" spans="1:8" ht="141" x14ac:dyDescent="0.25">
      <c r="A2821" s="3" t="s">
        <v>8563</v>
      </c>
      <c r="B2821" s="3"/>
      <c r="C2821" s="3" t="s">
        <v>8564</v>
      </c>
      <c r="D2821" s="3" t="s">
        <v>8565</v>
      </c>
      <c r="E2821" s="3" t="s">
        <v>8566</v>
      </c>
      <c r="F2821" s="3" t="str">
        <f>"317-917-9817"</f>
        <v>317-917-9817</v>
      </c>
      <c r="G2821" s="3">
        <v>541219</v>
      </c>
      <c r="H2821" s="3" t="s">
        <v>2010</v>
      </c>
    </row>
    <row r="2822" spans="1:8" ht="115.5" x14ac:dyDescent="0.25">
      <c r="A2822" s="3" t="s">
        <v>8567</v>
      </c>
      <c r="B2822" s="3"/>
      <c r="C2822" s="3" t="s">
        <v>8568</v>
      </c>
      <c r="D2822" s="3" t="s">
        <v>8569</v>
      </c>
      <c r="E2822" s="3" t="s">
        <v>8570</v>
      </c>
      <c r="F2822" s="3" t="str">
        <f>"800-325-5746"</f>
        <v>800-325-5746</v>
      </c>
      <c r="G2822" s="3">
        <v>424690</v>
      </c>
      <c r="H2822" s="3" t="s">
        <v>2494</v>
      </c>
    </row>
    <row r="2823" spans="1:8" ht="51.75" x14ac:dyDescent="0.25">
      <c r="A2823" s="3" t="s">
        <v>8571</v>
      </c>
      <c r="B2823" s="3"/>
      <c r="C2823" s="3" t="str">
        <f>"Provider of business telecommunications products, including internet access, hosted VoIP phone systems, and private networking (WAN/LAN) solutions."</f>
        <v>Provider of business telecommunications products, including internet access, hosted VoIP phone systems, and private networking (WAN/LAN) solutions.</v>
      </c>
      <c r="D2823" s="3" t="s">
        <v>8572</v>
      </c>
      <c r="E2823" s="3" t="s">
        <v>8573</v>
      </c>
      <c r="F2823" s="3" t="str">
        <f>"3175692800"</f>
        <v>3175692800</v>
      </c>
      <c r="G2823" s="3">
        <v>517110</v>
      </c>
      <c r="H2823" s="3" t="s">
        <v>8574</v>
      </c>
    </row>
    <row r="2824" spans="1:8" ht="319.5" x14ac:dyDescent="0.25">
      <c r="A2824" s="3" t="s">
        <v>8575</v>
      </c>
      <c r="B2824" s="3"/>
      <c r="C2824" s="3" t="s">
        <v>8576</v>
      </c>
      <c r="D2824" s="3" t="s">
        <v>8577</v>
      </c>
      <c r="E2824" s="3" t="s">
        <v>8578</v>
      </c>
      <c r="F2824" s="3" t="str">
        <f>"5138891361"</f>
        <v>5138891361</v>
      </c>
      <c r="G2824" s="3">
        <v>238350</v>
      </c>
      <c r="H2824" s="3" t="s">
        <v>270</v>
      </c>
    </row>
    <row r="2825" spans="1:8" ht="26.25" x14ac:dyDescent="0.25">
      <c r="A2825" s="3" t="s">
        <v>8579</v>
      </c>
      <c r="B2825" s="3"/>
      <c r="C2825" s="3" t="str">
        <f>"Custom embroidered and silkscreen apparel."</f>
        <v>Custom embroidered and silkscreen apparel.</v>
      </c>
      <c r="D2825" s="3" t="s">
        <v>8580</v>
      </c>
      <c r="E2825" s="3" t="s">
        <v>8581</v>
      </c>
      <c r="F2825" s="3" t="str">
        <f>"800 288 8643"</f>
        <v>800 288 8643</v>
      </c>
      <c r="G2825" s="3">
        <v>448</v>
      </c>
      <c r="H2825" s="3" t="s">
        <v>2198</v>
      </c>
    </row>
    <row r="2826" spans="1:8" ht="26.25" x14ac:dyDescent="0.25">
      <c r="A2826" s="3" t="s">
        <v>8582</v>
      </c>
      <c r="B2826" s="3"/>
      <c r="C2826" s="3" t="str">
        <f>"Administrative Management Services"</f>
        <v>Administrative Management Services</v>
      </c>
      <c r="D2826" s="3" t="s">
        <v>9</v>
      </c>
      <c r="E2826" s="3" t="s">
        <v>8583</v>
      </c>
      <c r="F2826" s="3" t="str">
        <f>"317-608-6674"</f>
        <v>317-608-6674</v>
      </c>
      <c r="G2826" s="3">
        <v>561110</v>
      </c>
      <c r="H2826" s="3" t="s">
        <v>4383</v>
      </c>
    </row>
    <row r="2827" spans="1:8" ht="51.75" x14ac:dyDescent="0.25">
      <c r="A2827" s="3" t="s">
        <v>8584</v>
      </c>
      <c r="B2827" s="3"/>
      <c r="C2827" s="3" t="str">
        <f>"Flat rolled Steel Service Center and Processor. Steel Slitting, Warehousing, Barge Stevedoring, Logistics NMSDC certified MBE"</f>
        <v>Flat rolled Steel Service Center and Processor. Steel Slitting, Warehousing, Barge Stevedoring, Logistics NMSDC certified MBE</v>
      </c>
      <c r="D2827" s="3" t="s">
        <v>8585</v>
      </c>
      <c r="E2827" s="3" t="s">
        <v>8586</v>
      </c>
      <c r="F2827" s="3" t="str">
        <f>"812-282-4770"</f>
        <v>812-282-4770</v>
      </c>
      <c r="G2827" s="3">
        <v>49311</v>
      </c>
      <c r="H2827" s="3" t="s">
        <v>8587</v>
      </c>
    </row>
    <row r="2828" spans="1:8" ht="51.75" x14ac:dyDescent="0.25">
      <c r="A2828" s="3" t="s">
        <v>8588</v>
      </c>
      <c r="B2828" s="3"/>
      <c r="C2828" s="3" t="str">
        <f>"Employee Benefit Managers, Inc. of America has developed an Association based self-funded single employer trust program for Group Health Benefits."</f>
        <v>Employee Benefit Managers, Inc. of America has developed an Association based self-funded single employer trust program for Group Health Benefits.</v>
      </c>
      <c r="D2828" s="3" t="s">
        <v>8589</v>
      </c>
      <c r="E2828" s="3" t="s">
        <v>8590</v>
      </c>
      <c r="F2828" s="3" t="str">
        <f>"260-424-8737"</f>
        <v>260-424-8737</v>
      </c>
      <c r="G2828" s="3">
        <v>524210</v>
      </c>
      <c r="H2828" s="3" t="s">
        <v>1183</v>
      </c>
    </row>
    <row r="2829" spans="1:8" ht="39" x14ac:dyDescent="0.25">
      <c r="A2829" s="3" t="s">
        <v>8591</v>
      </c>
      <c r="B2829" s="3"/>
      <c r="C2829" s="3" t="str">
        <f>"EC Sales &amp; Services provides distribution and technical services for the lighting and controls industry."</f>
        <v>EC Sales &amp; Services provides distribution and technical services for the lighting and controls industry.</v>
      </c>
      <c r="D2829" s="3" t="s">
        <v>8592</v>
      </c>
      <c r="E2829" s="3" t="s">
        <v>8593</v>
      </c>
      <c r="F2829" s="3" t="str">
        <f>"513-703-4097"</f>
        <v>513-703-4097</v>
      </c>
      <c r="G2829" s="3">
        <v>423610</v>
      </c>
      <c r="H2829" s="3" t="s">
        <v>2414</v>
      </c>
    </row>
    <row r="2830" spans="1:8" ht="77.25" x14ac:dyDescent="0.25">
      <c r="A2830" s="3" t="s">
        <v>8594</v>
      </c>
      <c r="B2830" s="3"/>
      <c r="C2830" s="3" t="str">
        <f>"Applied Metals is a 24 hour emergency job shop providing repairs and maintenance support with onsite machining. Our services include press repair, hydraulics, balancing, certified welding, sheet metal, metallizing and large capacity on site machining."</f>
        <v>Applied Metals is a 24 hour emergency job shop providing repairs and maintenance support with onsite machining. Our services include press repair, hydraulics, balancing, certified welding, sheet metal, metallizing and large capacity on site machining.</v>
      </c>
      <c r="D2830" s="3" t="s">
        <v>8595</v>
      </c>
      <c r="E2830" s="3" t="s">
        <v>8596</v>
      </c>
      <c r="F2830" s="3" t="str">
        <f>"260-424-4834"</f>
        <v>260-424-4834</v>
      </c>
      <c r="G2830" s="3">
        <v>8113</v>
      </c>
      <c r="H2830" s="3" t="s">
        <v>1895</v>
      </c>
    </row>
    <row r="2831" spans="1:8" ht="51.75" x14ac:dyDescent="0.25">
      <c r="A2831" s="3" t="s">
        <v>8597</v>
      </c>
      <c r="B2831" s="3"/>
      <c r="C2831" s="3" t="str">
        <f>"Installer of low voltage cable, conduit, devices and control panels for the following systems: Temperature Controls, Fire Alarm, Security and Card Access Systems"</f>
        <v>Installer of low voltage cable, conduit, devices and control panels for the following systems: Temperature Controls, Fire Alarm, Security and Card Access Systems</v>
      </c>
      <c r="D2831" s="3" t="s">
        <v>9</v>
      </c>
      <c r="E2831" s="3" t="s">
        <v>8598</v>
      </c>
      <c r="F2831" s="3" t="str">
        <f>"317 255 2473"</f>
        <v>317 255 2473</v>
      </c>
      <c r="G2831" s="3">
        <v>23531</v>
      </c>
      <c r="H2831" s="3" t="s">
        <v>306</v>
      </c>
    </row>
    <row r="2832" spans="1:8" ht="26.25" x14ac:dyDescent="0.25">
      <c r="A2832" s="3" t="s">
        <v>8599</v>
      </c>
      <c r="B2832" s="3"/>
      <c r="C2832" s="3" t="str">
        <f>"We install and service telephone systems. We also install data and voice cable."</f>
        <v>We install and service telephone systems. We also install data and voice cable.</v>
      </c>
      <c r="D2832" s="3" t="s">
        <v>9</v>
      </c>
      <c r="E2832" s="3" t="s">
        <v>8600</v>
      </c>
      <c r="F2832" s="3" t="str">
        <f>"317-865-0224"</f>
        <v>317-865-0224</v>
      </c>
      <c r="G2832" s="3">
        <v>238210</v>
      </c>
      <c r="H2832" s="3" t="s">
        <v>306</v>
      </c>
    </row>
    <row r="2833" spans="1:8" ht="39" x14ac:dyDescent="0.25">
      <c r="A2833" s="3" t="s">
        <v>8601</v>
      </c>
      <c r="B2833" s="3"/>
      <c r="C2833" s="3" t="str">
        <f>"Provide staff for casinos, hotels,and hospitality facilities in Indiana and the Midwest."</f>
        <v>Provide staff for casinos, hotels,and hospitality facilities in Indiana and the Midwest.</v>
      </c>
      <c r="D2833" s="3" t="s">
        <v>9</v>
      </c>
      <c r="E2833" s="3" t="s">
        <v>46</v>
      </c>
      <c r="F2833" s="3" t="str">
        <f>"(317) 918-7585"</f>
        <v>(317) 918-7585</v>
      </c>
      <c r="G2833" s="3">
        <v>561720</v>
      </c>
      <c r="H2833" s="3" t="s">
        <v>222</v>
      </c>
    </row>
    <row r="2834" spans="1:8" ht="77.25" x14ac:dyDescent="0.25">
      <c r="A2834" s="3" t="s">
        <v>8602</v>
      </c>
      <c r="B2834" s="3"/>
      <c r="C2834" s="3" t="str">
        <f>"GENERAL CONTRACTORS OF INDIANAPOLIS WITH AN ELITE POOL OF CERTIFIED SUB-CONTRACTORS SPECIALIZING IN RESIDENTIAL, COMMERCIAL, MULTI-DWELLING AND HISTORIC RESTORATION. WHERE DISTINCTION MEETS AFFORDABILITY."</f>
        <v>GENERAL CONTRACTORS OF INDIANAPOLIS WITH AN ELITE POOL OF CERTIFIED SUB-CONTRACTORS SPECIALIZING IN RESIDENTIAL, COMMERCIAL, MULTI-DWELLING AND HISTORIC RESTORATION. WHERE DISTINCTION MEETS AFFORDABILITY.</v>
      </c>
      <c r="D2834" s="3" t="s">
        <v>8603</v>
      </c>
      <c r="E2834" s="3" t="s">
        <v>8604</v>
      </c>
      <c r="F2834" s="3" t="str">
        <f>"317 522-6416"</f>
        <v>317 522-6416</v>
      </c>
      <c r="G2834" s="3">
        <v>561790</v>
      </c>
      <c r="H2834" s="3" t="s">
        <v>2113</v>
      </c>
    </row>
    <row r="2835" spans="1:8" ht="153.75" x14ac:dyDescent="0.25">
      <c r="A2835" s="3" t="s">
        <v>8605</v>
      </c>
      <c r="B2835" s="3"/>
      <c r="C2835" s="3" t="s">
        <v>8606</v>
      </c>
      <c r="D2835" s="3" t="s">
        <v>8607</v>
      </c>
      <c r="E2835" s="3" t="s">
        <v>46</v>
      </c>
      <c r="F2835" s="3" t="str">
        <f>"317-396-9001"</f>
        <v>317-396-9001</v>
      </c>
      <c r="G2835" s="3">
        <v>518210</v>
      </c>
      <c r="H2835" s="3" t="s">
        <v>3133</v>
      </c>
    </row>
    <row r="2836" spans="1:8" ht="26.25" x14ac:dyDescent="0.25">
      <c r="A2836" s="3" t="s">
        <v>8608</v>
      </c>
      <c r="B2836" s="3"/>
      <c r="C2836" s="3" t="str">
        <f>"EE Powell Realty assists companies in buying and selling of real estate."</f>
        <v>EE Powell Realty assists companies in buying and selling of real estate.</v>
      </c>
      <c r="D2836" s="3" t="s">
        <v>8609</v>
      </c>
      <c r="E2836" s="3" t="s">
        <v>8610</v>
      </c>
      <c r="F2836" s="3" t="str">
        <f>"317-501-4570"</f>
        <v>317-501-4570</v>
      </c>
      <c r="G2836" s="3">
        <v>531210</v>
      </c>
      <c r="H2836" s="3" t="s">
        <v>1101</v>
      </c>
    </row>
    <row r="2837" spans="1:8" ht="102.75" x14ac:dyDescent="0.25">
      <c r="A2837" s="3" t="s">
        <v>8611</v>
      </c>
      <c r="B2837" s="3"/>
      <c r="C2837" s="3" t="s">
        <v>8612</v>
      </c>
      <c r="D2837" s="3" t="s">
        <v>8613</v>
      </c>
      <c r="E2837" s="3" t="s">
        <v>8614</v>
      </c>
      <c r="F2837" s="3" t="str">
        <f>"812-426-2224"</f>
        <v>812-426-2224</v>
      </c>
      <c r="G2837" s="3">
        <v>81131</v>
      </c>
      <c r="H2837" s="3" t="s">
        <v>1895</v>
      </c>
    </row>
    <row r="2838" spans="1:8" ht="166.5" x14ac:dyDescent="0.25">
      <c r="A2838" s="3" t="s">
        <v>8615</v>
      </c>
      <c r="B2838" s="3"/>
      <c r="C2838" s="3" t="s">
        <v>8616</v>
      </c>
      <c r="D2838" s="3" t="s">
        <v>8617</v>
      </c>
      <c r="E2838" s="3" t="s">
        <v>8618</v>
      </c>
      <c r="F2838" s="3" t="str">
        <f>"812-284-2993"</f>
        <v>812-284-2993</v>
      </c>
      <c r="G2838" s="3">
        <v>611430</v>
      </c>
      <c r="H2838" s="3" t="s">
        <v>1224</v>
      </c>
    </row>
    <row r="2839" spans="1:8" ht="26.25" x14ac:dyDescent="0.25">
      <c r="A2839" s="3" t="s">
        <v>8619</v>
      </c>
      <c r="B2839" s="3"/>
      <c r="C2839" s="2"/>
      <c r="D2839" s="3" t="s">
        <v>8620</v>
      </c>
      <c r="E2839" s="3" t="s">
        <v>8621</v>
      </c>
      <c r="F2839" s="3" t="str">
        <f>"765-298-7233"</f>
        <v>765-298-7233</v>
      </c>
      <c r="G2839" s="3">
        <v>561110</v>
      </c>
      <c r="H2839" s="3" t="s">
        <v>4383</v>
      </c>
    </row>
    <row r="2840" spans="1:8" ht="51.75" x14ac:dyDescent="0.25">
      <c r="A2840" s="3" t="s">
        <v>8622</v>
      </c>
      <c r="B2840" s="3"/>
      <c r="C2840" s="3" t="str">
        <f>"Landscape and Lawn care services, snow removal, mulching, trimming, spring clean up, leaves removal, flower programs, fall clean up, etc."</f>
        <v>Landscape and Lawn care services, snow removal, mulching, trimming, spring clean up, leaves removal, flower programs, fall clean up, etc.</v>
      </c>
      <c r="D2840" s="3" t="s">
        <v>8623</v>
      </c>
      <c r="E2840" s="3" t="s">
        <v>8624</v>
      </c>
      <c r="F2840" s="3" t="str">
        <f>"3174088193"</f>
        <v>3174088193</v>
      </c>
      <c r="G2840" s="3">
        <v>561730</v>
      </c>
      <c r="H2840" s="3" t="s">
        <v>65</v>
      </c>
    </row>
    <row r="2841" spans="1:8" ht="115.5" x14ac:dyDescent="0.25">
      <c r="A2841" s="3" t="s">
        <v>8625</v>
      </c>
      <c r="B2841" s="3"/>
      <c r="C2841" s="3" t="s">
        <v>8626</v>
      </c>
      <c r="D2841" s="3" t="s">
        <v>8627</v>
      </c>
      <c r="E2841" s="3" t="s">
        <v>8628</v>
      </c>
      <c r="F2841" s="3" t="str">
        <f>"(812) 854-0006 X225"</f>
        <v>(812) 854-0006 X225</v>
      </c>
      <c r="G2841" s="3">
        <v>541</v>
      </c>
      <c r="H2841" s="3" t="s">
        <v>179</v>
      </c>
    </row>
    <row r="2842" spans="1:8" ht="39" x14ac:dyDescent="0.25">
      <c r="A2842" s="3" t="s">
        <v>8629</v>
      </c>
      <c r="B2842" s="3"/>
      <c r="C2842" s="3" t="str">
        <f>"Manufacturer and distributor of clinically effective products for the prevention and healing of pressure ulcers."</f>
        <v>Manufacturer and distributor of clinically effective products for the prevention and healing of pressure ulcers.</v>
      </c>
      <c r="D2842" s="3" t="s">
        <v>8630</v>
      </c>
      <c r="E2842" s="3" t="s">
        <v>8631</v>
      </c>
      <c r="F2842" s="3" t="str">
        <f>"317-972-4600"</f>
        <v>317-972-4600</v>
      </c>
      <c r="G2842" s="3">
        <v>339111</v>
      </c>
      <c r="H2842" s="3" t="s">
        <v>8632</v>
      </c>
    </row>
    <row r="2843" spans="1:8" x14ac:dyDescent="0.25">
      <c r="A2843" s="3" t="s">
        <v>8633</v>
      </c>
      <c r="B2843" s="3"/>
      <c r="C2843" s="3" t="str">
        <f>" "</f>
        <v xml:space="preserve"> </v>
      </c>
      <c r="D2843" s="3" t="s">
        <v>8634</v>
      </c>
      <c r="E2843" s="3" t="s">
        <v>8635</v>
      </c>
      <c r="F2843" s="2"/>
      <c r="G2843" s="3">
        <v>54133</v>
      </c>
      <c r="H2843" s="3" t="s">
        <v>82</v>
      </c>
    </row>
    <row r="2844" spans="1:8" ht="179.25" x14ac:dyDescent="0.25">
      <c r="A2844" s="3" t="s">
        <v>8636</v>
      </c>
      <c r="B2844" s="3"/>
      <c r="C2844" s="3" t="s">
        <v>8637</v>
      </c>
      <c r="D2844" s="3" t="s">
        <v>8638</v>
      </c>
      <c r="E2844" s="3" t="s">
        <v>8639</v>
      </c>
      <c r="F2844" s="3" t="str">
        <f>"765-775-2121"</f>
        <v>765-775-2121</v>
      </c>
      <c r="G2844" s="3">
        <v>541512</v>
      </c>
      <c r="H2844" s="3" t="s">
        <v>19</v>
      </c>
    </row>
    <row r="2845" spans="1:8" ht="115.5" x14ac:dyDescent="0.25">
      <c r="A2845" s="3" t="s">
        <v>8640</v>
      </c>
      <c r="B2845" s="3"/>
      <c r="C2845" s="3" t="s">
        <v>8641</v>
      </c>
      <c r="D2845" s="3" t="s">
        <v>8642</v>
      </c>
      <c r="E2845" s="3" t="s">
        <v>8643</v>
      </c>
      <c r="F2845" s="3" t="str">
        <f>"317.585.8282"</f>
        <v>317.585.8282</v>
      </c>
      <c r="G2845" s="3">
        <v>541519</v>
      </c>
      <c r="H2845" s="3" t="s">
        <v>898</v>
      </c>
    </row>
    <row r="2846" spans="1:8" ht="77.25" x14ac:dyDescent="0.25">
      <c r="A2846" s="3" t="s">
        <v>8644</v>
      </c>
      <c r="B2846" s="3"/>
      <c r="C2846" s="3" t="str">
        <f>"Minority Women-Owned Business Enterprise specializing in renovation of underground water infrastructure, asset management and trenchless technology. Our primary services include cleaning and televising water and sewer lines."</f>
        <v>Minority Women-Owned Business Enterprise specializing in renovation of underground water infrastructure, asset management and trenchless technology. Our primary services include cleaning and televising water and sewer lines.</v>
      </c>
      <c r="D2846" s="3" t="s">
        <v>8645</v>
      </c>
      <c r="E2846" s="3" t="s">
        <v>8646</v>
      </c>
      <c r="F2846" s="3" t="str">
        <f>"317-362-3659"</f>
        <v>317-362-3659</v>
      </c>
      <c r="G2846" s="3">
        <v>237110</v>
      </c>
      <c r="H2846" s="3" t="s">
        <v>901</v>
      </c>
    </row>
    <row r="2847" spans="1:8" x14ac:dyDescent="0.25">
      <c r="A2847" s="3" t="s">
        <v>8647</v>
      </c>
      <c r="B2847" s="3"/>
      <c r="C2847" s="2"/>
      <c r="D2847" s="3" t="s">
        <v>9</v>
      </c>
      <c r="E2847" s="3" t="s">
        <v>46</v>
      </c>
      <c r="F2847" s="2"/>
      <c r="G2847" s="3">
        <v>2353</v>
      </c>
      <c r="H2847" s="3" t="s">
        <v>306</v>
      </c>
    </row>
    <row r="2848" spans="1:8" ht="26.25" x14ac:dyDescent="0.25">
      <c r="A2848" s="3" t="s">
        <v>8648</v>
      </c>
      <c r="B2848" s="3"/>
      <c r="C2848" s="3" t="str">
        <f>"Company providing parking and transportation management services"</f>
        <v>Company providing parking and transportation management services</v>
      </c>
      <c r="D2848" s="3" t="s">
        <v>9</v>
      </c>
      <c r="E2848" s="3" t="s">
        <v>8649</v>
      </c>
      <c r="F2848" s="3" t="str">
        <f>"954-732-6286"</f>
        <v>954-732-6286</v>
      </c>
      <c r="G2848" s="3">
        <v>812930</v>
      </c>
      <c r="H2848" s="3" t="s">
        <v>7920</v>
      </c>
    </row>
    <row r="2849" spans="1:8" ht="26.25" x14ac:dyDescent="0.25">
      <c r="A2849" s="3" t="s">
        <v>8650</v>
      </c>
      <c r="B2849" s="3"/>
      <c r="C2849" s="2"/>
      <c r="D2849" s="3" t="s">
        <v>9</v>
      </c>
      <c r="E2849" s="3" t="s">
        <v>8651</v>
      </c>
      <c r="F2849" s="3" t="str">
        <f>"317-340-3152"</f>
        <v>317-340-3152</v>
      </c>
      <c r="G2849" s="3">
        <v>2359</v>
      </c>
      <c r="H2849" s="3" t="s">
        <v>631</v>
      </c>
    </row>
    <row r="2850" spans="1:8" ht="77.25" x14ac:dyDescent="0.25">
      <c r="A2850" s="3" t="s">
        <v>8652</v>
      </c>
      <c r="B2850" s="3"/>
      <c r="C2850" s="3" t="str">
        <f>"Elite Services provides services to include the following: roofing, landscaping and lawn care, home rehabilitation, snow removal, winterizations, janitorial, property maintenance, plumbing, and minor electrical."</f>
        <v>Elite Services provides services to include the following: roofing, landscaping and lawn care, home rehabilitation, snow removal, winterizations, janitorial, property maintenance, plumbing, and minor electrical.</v>
      </c>
      <c r="D2850" s="3" t="s">
        <v>9</v>
      </c>
      <c r="E2850" s="3" t="s">
        <v>8653</v>
      </c>
      <c r="F2850" s="3" t="str">
        <f>"317-679-1600"</f>
        <v>317-679-1600</v>
      </c>
      <c r="G2850" s="3">
        <v>238290</v>
      </c>
      <c r="H2850" s="3" t="s">
        <v>237</v>
      </c>
    </row>
    <row r="2851" spans="1:8" ht="26.25" x14ac:dyDescent="0.25">
      <c r="A2851" s="3" t="s">
        <v>8654</v>
      </c>
      <c r="B2851" s="3"/>
      <c r="C2851" s="3" t="str">
        <f>"RECYCLE USED TIRES"</f>
        <v>RECYCLE USED TIRES</v>
      </c>
      <c r="D2851" s="3" t="s">
        <v>9</v>
      </c>
      <c r="E2851" s="3" t="s">
        <v>8655</v>
      </c>
      <c r="F2851" s="3" t="str">
        <f>"574-296-7909"</f>
        <v>574-296-7909</v>
      </c>
      <c r="G2851" s="3">
        <v>333220</v>
      </c>
      <c r="H2851" s="3" t="s">
        <v>8656</v>
      </c>
    </row>
    <row r="2852" spans="1:8" ht="268.5" x14ac:dyDescent="0.25">
      <c r="A2852" s="3" t="s">
        <v>8657</v>
      </c>
      <c r="B2852" s="3"/>
      <c r="C2852" s="3" t="s">
        <v>8658</v>
      </c>
      <c r="D2852" s="3" t="s">
        <v>8659</v>
      </c>
      <c r="E2852" s="3" t="s">
        <v>8660</v>
      </c>
      <c r="F2852" s="3" t="str">
        <f>"317-542-1473"</f>
        <v>317-542-1473</v>
      </c>
      <c r="G2852" s="3">
        <v>621330</v>
      </c>
      <c r="H2852" s="3" t="s">
        <v>2643</v>
      </c>
    </row>
    <row r="2853" spans="1:8" ht="51.75" x14ac:dyDescent="0.25">
      <c r="A2853" s="3" t="s">
        <v>8661</v>
      </c>
      <c r="B2853" s="3"/>
      <c r="C2853" s="3" t="str">
        <f>"Indiana corporation established in 1947. Distributer of industrial fluid handling and pump equipment as well as traffic signal and sign material."</f>
        <v>Indiana corporation established in 1947. Distributer of industrial fluid handling and pump equipment as well as traffic signal and sign material.</v>
      </c>
      <c r="D2853" s="3" t="s">
        <v>8662</v>
      </c>
      <c r="E2853" s="3" t="s">
        <v>8663</v>
      </c>
      <c r="F2853" s="3" t="str">
        <f>"317-271-3065"</f>
        <v>317-271-3065</v>
      </c>
      <c r="G2853" s="3">
        <v>23411</v>
      </c>
      <c r="H2853" s="3" t="s">
        <v>2406</v>
      </c>
    </row>
    <row r="2854" spans="1:8" ht="64.5" x14ac:dyDescent="0.25">
      <c r="A2854" s="3" t="s">
        <v>8664</v>
      </c>
      <c r="B2854" s="3"/>
      <c r="C2854" s="3" t="str">
        <f>"Full Service Electrical Contractor serving the Residential, Commercial, Institutional and Industriial users capable of handling projects in the range of $5,000.00 to $50,000,000.00."</f>
        <v>Full Service Electrical Contractor serving the Residential, Commercial, Institutional and Industriial users capable of handling projects in the range of $5,000.00 to $50,000,000.00.</v>
      </c>
      <c r="D2854" s="3" t="s">
        <v>8665</v>
      </c>
      <c r="E2854" s="3" t="s">
        <v>46</v>
      </c>
      <c r="F2854" s="3" t="str">
        <f>"219-923-6100"</f>
        <v>219-923-6100</v>
      </c>
      <c r="G2854" s="3">
        <v>238210</v>
      </c>
      <c r="H2854" s="3" t="s">
        <v>306</v>
      </c>
    </row>
    <row r="2855" spans="1:8" ht="141" x14ac:dyDescent="0.25">
      <c r="A2855" s="3" t="s">
        <v>8666</v>
      </c>
      <c r="B2855" s="3"/>
      <c r="C2855" s="3" t="s">
        <v>8667</v>
      </c>
      <c r="D2855" s="3" t="s">
        <v>8668</v>
      </c>
      <c r="E2855" s="3" t="s">
        <v>8669</v>
      </c>
      <c r="F2855" s="3" t="str">
        <f>"3178690740 8006544748"</f>
        <v>3178690740 8006544748</v>
      </c>
      <c r="G2855" s="3">
        <v>451211</v>
      </c>
      <c r="H2855" s="3" t="s">
        <v>3964</v>
      </c>
    </row>
    <row r="2856" spans="1:8" x14ac:dyDescent="0.25">
      <c r="A2856" s="3" t="s">
        <v>8670</v>
      </c>
      <c r="B2856" s="3"/>
      <c r="C2856" s="2"/>
      <c r="D2856" s="3" t="s">
        <v>9</v>
      </c>
      <c r="E2856" s="3" t="s">
        <v>46</v>
      </c>
      <c r="F2856" s="2"/>
      <c r="G2856" s="3">
        <v>541330</v>
      </c>
      <c r="H2856" s="3" t="s">
        <v>82</v>
      </c>
    </row>
    <row r="2857" spans="1:8" ht="26.25" x14ac:dyDescent="0.25">
      <c r="A2857" s="3" t="s">
        <v>8671</v>
      </c>
      <c r="B2857" s="3"/>
      <c r="C2857" s="3" t="str">
        <f>"SALES AND SERVICE OF AUOMOTIVE EQUIPMENT AND TOOLS"</f>
        <v>SALES AND SERVICE OF AUOMOTIVE EQUIPMENT AND TOOLS</v>
      </c>
      <c r="D2857" s="3" t="s">
        <v>9</v>
      </c>
      <c r="E2857" s="3" t="s">
        <v>8672</v>
      </c>
      <c r="F2857" s="3" t="str">
        <f>"317-882-4366"</f>
        <v>317-882-4366</v>
      </c>
      <c r="G2857" s="3">
        <v>423120</v>
      </c>
      <c r="H2857" s="3" t="s">
        <v>1033</v>
      </c>
    </row>
    <row r="2858" spans="1:8" ht="141" x14ac:dyDescent="0.25">
      <c r="A2858" s="3" t="s">
        <v>8673</v>
      </c>
      <c r="B2858" s="3"/>
      <c r="C2858" s="3" t="s">
        <v>8674</v>
      </c>
      <c r="D2858" s="3" t="s">
        <v>8675</v>
      </c>
      <c r="E2858" s="3" t="s">
        <v>8676</v>
      </c>
      <c r="F2858" s="3" t="str">
        <f>"317-867-7600"</f>
        <v>317-867-7600</v>
      </c>
      <c r="G2858" s="3">
        <v>334119</v>
      </c>
      <c r="H2858" s="3" t="s">
        <v>6977</v>
      </c>
    </row>
    <row r="2859" spans="1:8" ht="153.75" x14ac:dyDescent="0.25">
      <c r="A2859" s="3" t="s">
        <v>8677</v>
      </c>
      <c r="B2859" s="3"/>
      <c r="C2859" s="3" t="s">
        <v>8678</v>
      </c>
      <c r="D2859" s="3" t="s">
        <v>9</v>
      </c>
      <c r="E2859" s="3" t="s">
        <v>8679</v>
      </c>
      <c r="F2859" s="3" t="str">
        <f>"260-804-0958"</f>
        <v>260-804-0958</v>
      </c>
      <c r="G2859" s="3">
        <v>541930</v>
      </c>
      <c r="H2859" s="3" t="s">
        <v>971</v>
      </c>
    </row>
    <row r="2860" spans="1:8" ht="39" x14ac:dyDescent="0.25">
      <c r="A2860" s="3" t="s">
        <v>8680</v>
      </c>
      <c r="B2860" s="3"/>
      <c r="C2860" s="2"/>
      <c r="D2860" s="3" t="s">
        <v>8681</v>
      </c>
      <c r="E2860" s="3" t="s">
        <v>8682</v>
      </c>
      <c r="F2860" s="3" t="str">
        <f>"317-436-8877"</f>
        <v>317-436-8877</v>
      </c>
      <c r="G2860" s="3">
        <v>926130</v>
      </c>
      <c r="H2860" s="3" t="s">
        <v>8683</v>
      </c>
    </row>
    <row r="2861" spans="1:8" ht="243" x14ac:dyDescent="0.25">
      <c r="A2861" s="3" t="s">
        <v>8684</v>
      </c>
      <c r="B2861" s="3"/>
      <c r="C2861" s="3" t="s">
        <v>8685</v>
      </c>
      <c r="D2861" s="3" t="s">
        <v>9</v>
      </c>
      <c r="E2861" s="3" t="s">
        <v>46</v>
      </c>
      <c r="F2861" s="2"/>
      <c r="G2861" s="3">
        <v>336212</v>
      </c>
      <c r="H2861" s="3" t="s">
        <v>8686</v>
      </c>
    </row>
    <row r="2862" spans="1:8" ht="141" x14ac:dyDescent="0.25">
      <c r="A2862" s="3" t="s">
        <v>8687</v>
      </c>
      <c r="B2862" s="3"/>
      <c r="C2862" s="3" t="s">
        <v>8688</v>
      </c>
      <c r="D2862" s="3" t="s">
        <v>9</v>
      </c>
      <c r="E2862" s="3" t="s">
        <v>8689</v>
      </c>
      <c r="F2862" s="3" t="str">
        <f>"765-538-3509"</f>
        <v>765-538-3509</v>
      </c>
      <c r="G2862" s="3">
        <v>484220</v>
      </c>
      <c r="H2862" s="3" t="s">
        <v>11</v>
      </c>
    </row>
    <row r="2863" spans="1:8" ht="115.5" x14ac:dyDescent="0.25">
      <c r="A2863" s="3" t="s">
        <v>8690</v>
      </c>
      <c r="B2863" s="3"/>
      <c r="C2863" s="3" t="s">
        <v>8691</v>
      </c>
      <c r="D2863" s="3" t="s">
        <v>8692</v>
      </c>
      <c r="E2863" s="3" t="s">
        <v>8693</v>
      </c>
      <c r="F2863" s="3" t="str">
        <f>"317-452-0305"</f>
        <v>317-452-0305</v>
      </c>
      <c r="G2863" s="3">
        <v>561612</v>
      </c>
      <c r="H2863" s="3" t="s">
        <v>362</v>
      </c>
    </row>
    <row r="2864" spans="1:8" ht="64.5" x14ac:dyDescent="0.25">
      <c r="A2864" s="3" t="s">
        <v>8694</v>
      </c>
      <c r="B2864" s="3"/>
      <c r="C2864" s="3" t="str">
        <f>"We are a manufacturing of crushed stone, sand and gravel with two plants located in Cass County. We also have a stone yard located in Michigantown, IN called Michigantown Stone Co."</f>
        <v>We are a manufacturing of crushed stone, sand and gravel with two plants located in Cass County. We also have a stone yard located in Michigantown, IN called Michigantown Stone Co.</v>
      </c>
      <c r="D2864" s="3" t="s">
        <v>9</v>
      </c>
      <c r="E2864" s="3" t="s">
        <v>8695</v>
      </c>
      <c r="F2864" s="3" t="str">
        <f>"574-753-5506"</f>
        <v>574-753-5506</v>
      </c>
      <c r="G2864" s="3">
        <v>212312</v>
      </c>
      <c r="H2864" s="3" t="s">
        <v>3264</v>
      </c>
    </row>
    <row r="2865" spans="1:8" ht="64.5" x14ac:dyDescent="0.25">
      <c r="A2865" s="3" t="s">
        <v>8696</v>
      </c>
      <c r="B2865" s="3"/>
      <c r="C2865" s="3" t="str">
        <f>"Serving Central Indiana since 1932 with Landscape Installation and Maintenance, Irrigation Installation and Maintenance, Interior Plant Leasing, Event Management, and Holiday Decor."</f>
        <v>Serving Central Indiana since 1932 with Landscape Installation and Maintenance, Irrigation Installation and Maintenance, Interior Plant Leasing, Event Management, and Holiday Decor.</v>
      </c>
      <c r="D2865" s="3" t="s">
        <v>8697</v>
      </c>
      <c r="E2865" s="3" t="s">
        <v>8698</v>
      </c>
      <c r="F2865" s="3" t="str">
        <f>"317-575-1100"</f>
        <v>317-575-1100</v>
      </c>
      <c r="G2865" s="3">
        <v>561730</v>
      </c>
      <c r="H2865" s="3" t="s">
        <v>65</v>
      </c>
    </row>
    <row r="2866" spans="1:8" ht="115.5" x14ac:dyDescent="0.25">
      <c r="A2866" s="3" t="s">
        <v>8699</v>
      </c>
      <c r="B2866" s="3"/>
      <c r="C2866" s="3" t="s">
        <v>8700</v>
      </c>
      <c r="D2866" s="3" t="s">
        <v>8701</v>
      </c>
      <c r="E2866" s="3" t="s">
        <v>8702</v>
      </c>
      <c r="F2866" s="3" t="str">
        <f>"800-428-2305"</f>
        <v>800-428-2305</v>
      </c>
      <c r="G2866" s="3">
        <v>33911</v>
      </c>
      <c r="H2866" s="3" t="s">
        <v>2119</v>
      </c>
    </row>
    <row r="2867" spans="1:8" ht="102.75" x14ac:dyDescent="0.25">
      <c r="A2867" s="3" t="s">
        <v>8703</v>
      </c>
      <c r="B2867" s="3"/>
      <c r="C2867" s="3" t="s">
        <v>8704</v>
      </c>
      <c r="D2867" s="3" t="s">
        <v>8705</v>
      </c>
      <c r="E2867" s="3" t="s">
        <v>8706</v>
      </c>
      <c r="F2867" s="3" t="str">
        <f>"317-634-9523"</f>
        <v>317-634-9523</v>
      </c>
      <c r="G2867" s="3">
        <v>5415</v>
      </c>
      <c r="H2867" s="3" t="s">
        <v>188</v>
      </c>
    </row>
    <row r="2868" spans="1:8" ht="230.25" x14ac:dyDescent="0.25">
      <c r="A2868" s="3" t="s">
        <v>8707</v>
      </c>
      <c r="B2868" s="3"/>
      <c r="C2868" s="3" t="s">
        <v>8708</v>
      </c>
      <c r="D2868" s="3" t="s">
        <v>8709</v>
      </c>
      <c r="E2868" s="3" t="s">
        <v>8710</v>
      </c>
      <c r="F2868" s="3" t="str">
        <f>"260 489-7062"</f>
        <v>260 489-7062</v>
      </c>
      <c r="G2868" s="3">
        <v>562</v>
      </c>
      <c r="H2868" s="3" t="s">
        <v>2798</v>
      </c>
    </row>
    <row r="2869" spans="1:8" ht="77.25" x14ac:dyDescent="0.25">
      <c r="A2869" s="3" t="s">
        <v>8711</v>
      </c>
      <c r="B2869" s="3"/>
      <c r="C2869" s="3" t="str">
        <f>"ENVISAGE is the industry leader in homeland security training management technologies. Our solutions streamline management of training, student records, resources, preparedness reporting and operational workflow."</f>
        <v>ENVISAGE is the industry leader in homeland security training management technologies. Our solutions streamline management of training, student records, resources, preparedness reporting and operational workflow.</v>
      </c>
      <c r="D2869" s="3" t="s">
        <v>8712</v>
      </c>
      <c r="E2869" s="3" t="s">
        <v>8713</v>
      </c>
      <c r="F2869" s="3" t="str">
        <f>"(812) 330-7101"</f>
        <v>(812) 330-7101</v>
      </c>
      <c r="G2869" s="3">
        <v>541519</v>
      </c>
      <c r="H2869" s="3" t="s">
        <v>898</v>
      </c>
    </row>
    <row r="2870" spans="1:8" ht="51.75" x14ac:dyDescent="0.25">
      <c r="A2870" s="3" t="s">
        <v>8714</v>
      </c>
      <c r="B2870" s="3"/>
      <c r="C2870" s="3" t="str">
        <f>"ENthEnergy provides affordable services to initiate a management process that enables large building operators to control energy use on a sustainable basis."</f>
        <v>ENthEnergy provides affordable services to initiate a management process that enables large building operators to control energy use on a sustainable basis.</v>
      </c>
      <c r="D2870" s="3" t="s">
        <v>8715</v>
      </c>
      <c r="E2870" s="3" t="s">
        <v>8716</v>
      </c>
      <c r="F2870" s="3" t="str">
        <f>"317-846-3776"</f>
        <v>317-846-3776</v>
      </c>
      <c r="G2870" s="3">
        <v>541330</v>
      </c>
      <c r="H2870" s="3" t="s">
        <v>82</v>
      </c>
    </row>
    <row r="2871" spans="1:8" ht="77.25" x14ac:dyDescent="0.25">
      <c r="A2871" s="3" t="s">
        <v>8717</v>
      </c>
      <c r="B2871" s="3"/>
      <c r="C2871" s="3" t="str">
        <f>"EP Graphics is a full web printing plant. Heat and cold set web presses, four color process and black presses. Saddlestich and perfect bind. Full mail house with in-line inkjet, polybagging, tipping, postal substation and pool shipping to all BMC's."</f>
        <v>EP Graphics is a full web printing plant. Heat and cold set web presses, four color process and black presses. Saddlestich and perfect bind. Full mail house with in-line inkjet, polybagging, tipping, postal substation and pool shipping to all BMC's.</v>
      </c>
      <c r="D2871" s="3" t="s">
        <v>8718</v>
      </c>
      <c r="E2871" s="3" t="s">
        <v>8719</v>
      </c>
      <c r="F2871" s="3" t="str">
        <f>"260-589-2145"</f>
        <v>260-589-2145</v>
      </c>
      <c r="G2871" s="3">
        <v>32311</v>
      </c>
      <c r="H2871" s="3" t="s">
        <v>531</v>
      </c>
    </row>
    <row r="2872" spans="1:8" ht="217.5" x14ac:dyDescent="0.25">
      <c r="A2872" s="3" t="s">
        <v>8720</v>
      </c>
      <c r="B2872" s="3"/>
      <c r="C2872" s="3" t="s">
        <v>8721</v>
      </c>
      <c r="D2872" s="3" t="s">
        <v>8722</v>
      </c>
      <c r="E2872" s="3" t="s">
        <v>8723</v>
      </c>
      <c r="F2872" s="3" t="str">
        <f>"800-592-5489"</f>
        <v>800-592-5489</v>
      </c>
      <c r="G2872" s="3">
        <v>562211</v>
      </c>
      <c r="H2872" s="3" t="s">
        <v>807</v>
      </c>
    </row>
    <row r="2873" spans="1:8" ht="217.5" x14ac:dyDescent="0.25">
      <c r="A2873" s="3" t="s">
        <v>8724</v>
      </c>
      <c r="B2873" s="3"/>
      <c r="C2873" s="3" t="s">
        <v>8721</v>
      </c>
      <c r="D2873" s="3" t="s">
        <v>8722</v>
      </c>
      <c r="E2873" s="3" t="s">
        <v>8725</v>
      </c>
      <c r="F2873" s="3" t="str">
        <f>"800-592-5489"</f>
        <v>800-592-5489</v>
      </c>
      <c r="G2873" s="3">
        <v>562211</v>
      </c>
      <c r="H2873" s="3" t="s">
        <v>807</v>
      </c>
    </row>
    <row r="2874" spans="1:8" ht="26.25" x14ac:dyDescent="0.25">
      <c r="A2874" s="3" t="s">
        <v>8726</v>
      </c>
      <c r="B2874" s="3"/>
      <c r="C2874" s="3" t="str">
        <f>"Commercial and Residential Construction Management."</f>
        <v>Commercial and Residential Construction Management.</v>
      </c>
      <c r="D2874" s="3" t="s">
        <v>9</v>
      </c>
      <c r="E2874" s="3" t="s">
        <v>8727</v>
      </c>
      <c r="F2874" s="3" t="str">
        <f>"8124900482"</f>
        <v>8124900482</v>
      </c>
      <c r="G2874" s="3">
        <v>23</v>
      </c>
      <c r="H2874" s="3" t="s">
        <v>133</v>
      </c>
    </row>
    <row r="2875" spans="1:8" ht="39" x14ac:dyDescent="0.25">
      <c r="A2875" s="3" t="s">
        <v>8728</v>
      </c>
      <c r="B2875" s="3"/>
      <c r="C2875" s="3" t="str">
        <f>"As a Selling Broker for HUD, I am overstocked with REO's. Save money and time while shopping for your home."</f>
        <v>As a Selling Broker for HUD, I am overstocked with REO's. Save money and time while shopping for your home.</v>
      </c>
      <c r="D2875" s="3" t="s">
        <v>8729</v>
      </c>
      <c r="E2875" s="3" t="s">
        <v>8730</v>
      </c>
      <c r="F2875" s="3" t="str">
        <f>"260-745-9821"</f>
        <v>260-745-9821</v>
      </c>
      <c r="G2875" s="3">
        <v>531</v>
      </c>
      <c r="H2875" s="3" t="s">
        <v>74</v>
      </c>
    </row>
    <row r="2876" spans="1:8" ht="243" x14ac:dyDescent="0.25">
      <c r="A2876" s="3" t="s">
        <v>8731</v>
      </c>
      <c r="B2876" s="3"/>
      <c r="C2876" s="3" t="s">
        <v>8732</v>
      </c>
      <c r="D2876" s="3" t="s">
        <v>8733</v>
      </c>
      <c r="E2876" s="3" t="s">
        <v>8734</v>
      </c>
      <c r="F2876" s="3" t="str">
        <f>"(317)780-2923"</f>
        <v>(317)780-2923</v>
      </c>
      <c r="G2876" s="3">
        <v>238210</v>
      </c>
      <c r="H2876" s="3" t="s">
        <v>306</v>
      </c>
    </row>
    <row r="2877" spans="1:8" ht="26.25" x14ac:dyDescent="0.25">
      <c r="A2877" s="3" t="s">
        <v>8735</v>
      </c>
      <c r="B2877" s="3"/>
      <c r="C2877" s="3" t="str">
        <f>"Electrical contracting, including systems installation and maintenance."</f>
        <v>Electrical contracting, including systems installation and maintenance.</v>
      </c>
      <c r="D2877" s="3" t="s">
        <v>9</v>
      </c>
      <c r="E2877" s="3" t="s">
        <v>8736</v>
      </c>
      <c r="F2877" s="3" t="str">
        <f>"812 482-2771"</f>
        <v>812 482-2771</v>
      </c>
      <c r="G2877" s="3">
        <v>238210</v>
      </c>
      <c r="H2877" s="3" t="s">
        <v>306</v>
      </c>
    </row>
    <row r="2878" spans="1:8" ht="166.5" x14ac:dyDescent="0.25">
      <c r="A2878" s="3" t="s">
        <v>8737</v>
      </c>
      <c r="B2878" s="3"/>
      <c r="C2878" s="3" t="s">
        <v>8738</v>
      </c>
      <c r="D2878" s="3" t="s">
        <v>8739</v>
      </c>
      <c r="E2878" s="3" t="s">
        <v>8740</v>
      </c>
      <c r="F2878" s="3" t="str">
        <f>"317-298-2975"</f>
        <v>317-298-2975</v>
      </c>
      <c r="G2878" s="3">
        <v>238210</v>
      </c>
      <c r="H2878" s="3" t="s">
        <v>306</v>
      </c>
    </row>
    <row r="2879" spans="1:8" ht="39" x14ac:dyDescent="0.25">
      <c r="A2879" s="3" t="s">
        <v>8741</v>
      </c>
      <c r="B2879" s="3"/>
      <c r="C2879" s="3" t="str">
        <f>"ESG Security, Inc. specializes in entertainment and sporting event services and site security."</f>
        <v>ESG Security, Inc. specializes in entertainment and sporting event services and site security.</v>
      </c>
      <c r="D2879" s="3" t="s">
        <v>8742</v>
      </c>
      <c r="E2879" s="3" t="s">
        <v>8743</v>
      </c>
      <c r="F2879" s="3" t="str">
        <f>"317-261-0866"</f>
        <v>317-261-0866</v>
      </c>
      <c r="G2879" s="3">
        <v>561612</v>
      </c>
      <c r="H2879" s="3" t="s">
        <v>362</v>
      </c>
    </row>
    <row r="2880" spans="1:8" ht="102.75" x14ac:dyDescent="0.25">
      <c r="A2880" s="3" t="s">
        <v>8744</v>
      </c>
      <c r="B2880" s="3"/>
      <c r="C2880" s="3" t="s">
        <v>8745</v>
      </c>
      <c r="D2880" s="3" t="s">
        <v>8746</v>
      </c>
      <c r="E2880" s="3" t="s">
        <v>8747</v>
      </c>
      <c r="F2880" s="3" t="str">
        <f>"219-226-1766"</f>
        <v>219-226-1766</v>
      </c>
      <c r="G2880" s="3">
        <v>611</v>
      </c>
      <c r="H2880" s="3" t="s">
        <v>140</v>
      </c>
    </row>
    <row r="2881" spans="1:8" ht="102.75" x14ac:dyDescent="0.25">
      <c r="A2881" s="3" t="s">
        <v>8748</v>
      </c>
      <c r="B2881" s="3"/>
      <c r="C2881" s="3" t="s">
        <v>8749</v>
      </c>
      <c r="D2881" s="3" t="s">
        <v>9</v>
      </c>
      <c r="E2881" s="3" t="s">
        <v>8750</v>
      </c>
      <c r="F2881" s="2"/>
      <c r="G2881" s="3">
        <v>541611</v>
      </c>
      <c r="H2881" s="3" t="s">
        <v>278</v>
      </c>
    </row>
    <row r="2882" spans="1:8" ht="128.25" x14ac:dyDescent="0.25">
      <c r="A2882" s="3" t="s">
        <v>8751</v>
      </c>
      <c r="B2882" s="3"/>
      <c r="C2882" s="3" t="s">
        <v>8752</v>
      </c>
      <c r="D2882" s="3" t="s">
        <v>8753</v>
      </c>
      <c r="E2882" s="3" t="s">
        <v>8754</v>
      </c>
      <c r="F2882" s="3" t="str">
        <f>"765-653-8262"</f>
        <v>765-653-8262</v>
      </c>
      <c r="G2882" s="3">
        <v>81392</v>
      </c>
      <c r="H2882" s="3" t="s">
        <v>8755</v>
      </c>
    </row>
    <row r="2883" spans="1:8" ht="332.25" x14ac:dyDescent="0.25">
      <c r="A2883" s="3" t="s">
        <v>8756</v>
      </c>
      <c r="B2883" s="3"/>
      <c r="C2883" s="3" t="s">
        <v>8757</v>
      </c>
      <c r="D2883" s="3" t="s">
        <v>8758</v>
      </c>
      <c r="E2883" s="3" t="s">
        <v>8759</v>
      </c>
      <c r="F2883" s="3" t="str">
        <f>"317-475-6555"</f>
        <v>317-475-6555</v>
      </c>
      <c r="G2883" s="3">
        <v>611430</v>
      </c>
      <c r="H2883" s="3" t="s">
        <v>1224</v>
      </c>
    </row>
    <row r="2884" spans="1:8" ht="26.25" x14ac:dyDescent="0.25">
      <c r="A2884" s="3" t="s">
        <v>8760</v>
      </c>
      <c r="B2884" s="3"/>
      <c r="C2884" s="3" t="str">
        <f>"Remolding/new construction"</f>
        <v>Remolding/new construction</v>
      </c>
      <c r="D2884" s="3" t="s">
        <v>9</v>
      </c>
      <c r="E2884" s="3" t="s">
        <v>8761</v>
      </c>
      <c r="F2884" s="3" t="str">
        <f>"7652783174"</f>
        <v>7652783174</v>
      </c>
      <c r="G2884" s="3">
        <v>212321</v>
      </c>
      <c r="H2884" s="3" t="s">
        <v>4979</v>
      </c>
    </row>
    <row r="2885" spans="1:8" ht="217.5" x14ac:dyDescent="0.25">
      <c r="A2885" s="3" t="s">
        <v>8762</v>
      </c>
      <c r="B2885" s="3"/>
      <c r="C2885" s="3" t="s">
        <v>8763</v>
      </c>
      <c r="D2885" s="3" t="s">
        <v>8764</v>
      </c>
      <c r="E2885" s="3" t="s">
        <v>8765</v>
      </c>
      <c r="F2885" s="3" t="str">
        <f>"317-770-6620"</f>
        <v>317-770-6620</v>
      </c>
      <c r="G2885" s="3">
        <v>812112</v>
      </c>
      <c r="H2885" s="3" t="s">
        <v>1081</v>
      </c>
    </row>
    <row r="2886" spans="1:8" ht="26.25" x14ac:dyDescent="0.25">
      <c r="A2886" s="3" t="s">
        <v>8766</v>
      </c>
      <c r="B2886" s="3"/>
      <c r="C2886" s="3" t="str">
        <f>"Generators, air compressors, engines and air filtration."</f>
        <v>Generators, air compressors, engines and air filtration.</v>
      </c>
      <c r="D2886" s="3" t="s">
        <v>8767</v>
      </c>
      <c r="E2886" s="3" t="s">
        <v>8768</v>
      </c>
      <c r="F2886" s="3" t="str">
        <f>"812-867-9900"</f>
        <v>812-867-9900</v>
      </c>
      <c r="G2886" s="3">
        <v>421</v>
      </c>
      <c r="H2886" s="3" t="s">
        <v>3013</v>
      </c>
    </row>
    <row r="2887" spans="1:8" ht="153.75" x14ac:dyDescent="0.25">
      <c r="A2887" s="3" t="s">
        <v>8769</v>
      </c>
      <c r="B2887" s="3"/>
      <c r="C2887" s="3" t="s">
        <v>8770</v>
      </c>
      <c r="D2887" s="3" t="s">
        <v>8771</v>
      </c>
      <c r="E2887" s="3" t="s">
        <v>8772</v>
      </c>
      <c r="F2887" s="3" t="str">
        <f>"317-489-3753"</f>
        <v>317-489-3753</v>
      </c>
      <c r="G2887" s="3">
        <v>811212</v>
      </c>
      <c r="H2887" s="3" t="s">
        <v>1632</v>
      </c>
    </row>
    <row r="2888" spans="1:8" ht="51.75" x14ac:dyDescent="0.25">
      <c r="A2888" s="3" t="s">
        <v>8773</v>
      </c>
      <c r="B2888" s="3"/>
      <c r="C2888" s="3" t="str">
        <f>"Fleet graphics,trade shows,floor graphics, sidewalk graphics, banners,vehicle graphics,signs. 3M Scotchprint Graphics, Screen print and digital"</f>
        <v>Fleet graphics,trade shows,floor graphics, sidewalk graphics, banners,vehicle graphics,signs. 3M Scotchprint Graphics, Screen print and digital</v>
      </c>
      <c r="D2888" s="3" t="s">
        <v>8774</v>
      </c>
      <c r="E2888" s="3" t="s">
        <v>8775</v>
      </c>
      <c r="F2888" s="3" t="str">
        <f>"317-769-6137"</f>
        <v>317-769-6137</v>
      </c>
      <c r="G2888" s="3">
        <v>31</v>
      </c>
      <c r="H2888" s="3" t="s">
        <v>999</v>
      </c>
    </row>
    <row r="2889" spans="1:8" ht="39" x14ac:dyDescent="0.25">
      <c r="A2889" s="3" t="s">
        <v>8776</v>
      </c>
      <c r="B2889" s="3"/>
      <c r="C2889" s="3" t="str">
        <f>"Charter motor coach (bus) service throughout the US and Canada. Full Service Travel Agency Motor Coach Tours"</f>
        <v>Charter motor coach (bus) service throughout the US and Canada. Full Service Travel Agency Motor Coach Tours</v>
      </c>
      <c r="D2889" s="3" t="s">
        <v>8777</v>
      </c>
      <c r="E2889" s="3" t="s">
        <v>8778</v>
      </c>
      <c r="F2889" s="3" t="str">
        <f>"260-489-3556"</f>
        <v>260-489-3556</v>
      </c>
      <c r="G2889" s="3">
        <v>485510</v>
      </c>
      <c r="H2889" s="3" t="s">
        <v>8779</v>
      </c>
    </row>
    <row r="2890" spans="1:8" ht="26.25" x14ac:dyDescent="0.25">
      <c r="A2890" s="3" t="s">
        <v>8780</v>
      </c>
      <c r="B2890" s="3"/>
      <c r="C2890" s="3" t="str">
        <f>" "</f>
        <v xml:space="preserve"> </v>
      </c>
      <c r="D2890" s="3" t="s">
        <v>8781</v>
      </c>
      <c r="E2890" s="3" t="s">
        <v>8782</v>
      </c>
      <c r="F2890" s="3" t="str">
        <f>"765-246-4031"</f>
        <v>765-246-4031</v>
      </c>
      <c r="G2890" s="3">
        <v>441229</v>
      </c>
      <c r="H2890" s="3" t="s">
        <v>3721</v>
      </c>
    </row>
    <row r="2891" spans="1:8" ht="26.25" x14ac:dyDescent="0.25">
      <c r="A2891" s="3" t="s">
        <v>8783</v>
      </c>
      <c r="B2891" s="3"/>
      <c r="C2891" s="2"/>
      <c r="D2891" s="3" t="s">
        <v>9</v>
      </c>
      <c r="E2891" s="3" t="s">
        <v>46</v>
      </c>
      <c r="F2891" s="3" t="str">
        <f>"317-888-4240"</f>
        <v>317-888-4240</v>
      </c>
      <c r="G2891" s="3">
        <v>5611</v>
      </c>
      <c r="H2891" s="3" t="s">
        <v>4383</v>
      </c>
    </row>
    <row r="2892" spans="1:8" ht="77.25" x14ac:dyDescent="0.25">
      <c r="A2892" s="3" t="s">
        <v>8784</v>
      </c>
      <c r="B2892" s="3"/>
      <c r="C2892" s="3" t="str">
        <f>"EYB Promotions is Indiana's premier manufacturer of promotional marketing products. We help companies expose their brands through: embroidery, silk screening, promotional products, laser engraving and garment purchase."</f>
        <v>EYB Promotions is Indiana's premier manufacturer of promotional marketing products. We help companies expose their brands through: embroidery, silk screening, promotional products, laser engraving and garment purchase.</v>
      </c>
      <c r="D2892" s="3" t="s">
        <v>8785</v>
      </c>
      <c r="E2892" s="3" t="s">
        <v>8786</v>
      </c>
      <c r="F2892" s="3" t="str">
        <f>"812-376-3212"</f>
        <v>812-376-3212</v>
      </c>
      <c r="G2892" s="3">
        <v>541890</v>
      </c>
      <c r="H2892" s="3" t="s">
        <v>401</v>
      </c>
    </row>
    <row r="2893" spans="1:8" ht="51.75" x14ac:dyDescent="0.25">
      <c r="A2893" s="3" t="s">
        <v>8787</v>
      </c>
      <c r="B2893" s="3"/>
      <c r="C2893" s="3" t="str">
        <f>"Residential electrical, hauling, renovations/remodeling, ADA ramps, concrete, drywall, fire damage restorations, ""All jobs are possible""."</f>
        <v>Residential electrical, hauling, renovations/remodeling, ADA ramps, concrete, drywall, fire damage restorations, "All jobs are possible".</v>
      </c>
      <c r="D2893" s="3" t="s">
        <v>9</v>
      </c>
      <c r="E2893" s="3" t="s">
        <v>8788</v>
      </c>
      <c r="F2893" s="3" t="str">
        <f>"574-850-4223"</f>
        <v>574-850-4223</v>
      </c>
      <c r="G2893" s="3">
        <v>236115</v>
      </c>
      <c r="H2893" s="3" t="s">
        <v>1822</v>
      </c>
    </row>
    <row r="2894" spans="1:8" ht="64.5" x14ac:dyDescent="0.25">
      <c r="A2894" s="3" t="s">
        <v>8789</v>
      </c>
      <c r="B2894" s="3"/>
      <c r="C2894" s="3" t="str">
        <f>"Site Prep-Excavation-Backhoe Services-Trucking-Ponds-Woods Clearing-Septic &amp; Tile Repair-Stone Driveways-Waterways-Farm Drainage Tile4"" to 36"", Installed with a Wheel Ditcher"</f>
        <v>Site Prep-Excavation-Backhoe Services-Trucking-Ponds-Woods Clearing-Septic &amp; Tile Repair-Stone Driveways-Waterways-Farm Drainage Tile4" to 36", Installed with a Wheel Ditcher</v>
      </c>
      <c r="D2894" s="3" t="s">
        <v>9</v>
      </c>
      <c r="E2894" s="3" t="s">
        <v>8790</v>
      </c>
      <c r="F2894" s="3" t="str">
        <f>"260-774-3582"</f>
        <v>260-774-3582</v>
      </c>
      <c r="G2894" s="3">
        <v>561730</v>
      </c>
      <c r="H2894" s="3" t="s">
        <v>65</v>
      </c>
    </row>
    <row r="2895" spans="1:8" ht="51.75" x14ac:dyDescent="0.25">
      <c r="A2895" s="3" t="s">
        <v>8791</v>
      </c>
      <c r="B2895" s="3"/>
      <c r="C2895" s="3" t="str">
        <f>"Eagle Accounts, located in Indianapolis, Indiana was established in 1972 and offers state, regional and nationwide debt collection services."</f>
        <v>Eagle Accounts, located in Indianapolis, Indiana was established in 1972 and offers state, regional and nationwide debt collection services.</v>
      </c>
      <c r="D2895" s="3" t="s">
        <v>8792</v>
      </c>
      <c r="E2895" s="3" t="s">
        <v>8793</v>
      </c>
      <c r="F2895" s="3" t="str">
        <f>"1-888-322-3245"</f>
        <v>1-888-322-3245</v>
      </c>
      <c r="G2895" s="3">
        <v>561440</v>
      </c>
      <c r="H2895" s="3" t="s">
        <v>473</v>
      </c>
    </row>
    <row r="2896" spans="1:8" ht="39" x14ac:dyDescent="0.25">
      <c r="A2896" s="3" t="s">
        <v>8794</v>
      </c>
      <c r="B2896" s="3"/>
      <c r="C2896" s="3" t="str">
        <f>"This charter airline company can take you wherever you need to go - in style. Multiple jet aircraft to accomodate all your needs."</f>
        <v>This charter airline company can take you wherever you need to go - in style. Multiple jet aircraft to accomodate all your needs.</v>
      </c>
      <c r="D2896" s="3" t="s">
        <v>9</v>
      </c>
      <c r="E2896" s="3" t="s">
        <v>2159</v>
      </c>
      <c r="F2896" s="2"/>
      <c r="G2896" s="3">
        <v>481211</v>
      </c>
      <c r="H2896" s="3" t="s">
        <v>8795</v>
      </c>
    </row>
    <row r="2897" spans="1:8" ht="51.75" x14ac:dyDescent="0.25">
      <c r="A2897" s="3" t="s">
        <v>8796</v>
      </c>
      <c r="B2897" s="3"/>
      <c r="C2897" s="3" t="str">
        <f>"We have triaxles and quadaxles dump trucks. We haul by the hour and by the ton. We haul gravel,stone,blacktop and demolition."</f>
        <v>We have triaxles and quadaxles dump trucks. We haul by the hour and by the ton. We haul gravel,stone,blacktop and demolition.</v>
      </c>
      <c r="D2897" s="3" t="s">
        <v>9</v>
      </c>
      <c r="E2897" s="3" t="s">
        <v>8797</v>
      </c>
      <c r="F2897" s="3" t="str">
        <f>"765-296-7781"</f>
        <v>765-296-7781</v>
      </c>
      <c r="G2897" s="3">
        <v>53241</v>
      </c>
      <c r="H2897" s="3" t="s">
        <v>8798</v>
      </c>
    </row>
    <row r="2898" spans="1:8" ht="26.25" x14ac:dyDescent="0.25">
      <c r="A2898" s="3" t="s">
        <v>8799</v>
      </c>
      <c r="B2898" s="3"/>
      <c r="C2898" s="2"/>
      <c r="D2898" s="3" t="s">
        <v>8800</v>
      </c>
      <c r="E2898" s="3" t="s">
        <v>8801</v>
      </c>
      <c r="F2898" s="3" t="str">
        <f>"317-297-1030"</f>
        <v>317-297-1030</v>
      </c>
      <c r="G2898" s="3">
        <v>332322</v>
      </c>
      <c r="H2898" s="3" t="s">
        <v>2534</v>
      </c>
    </row>
    <row r="2899" spans="1:8" ht="39" x14ac:dyDescent="0.25">
      <c r="A2899" s="3" t="s">
        <v>8802</v>
      </c>
      <c r="B2899" s="3"/>
      <c r="C2899" s="3" t="str">
        <f>"Eagle Point Technology is a Service-Disabled Veteran Owned Small Business that specialized in IT Sales &amp; Service."</f>
        <v>Eagle Point Technology is a Service-Disabled Veteran Owned Small Business that specialized in IT Sales &amp; Service.</v>
      </c>
      <c r="D2899" s="3" t="s">
        <v>8803</v>
      </c>
      <c r="E2899" s="3" t="s">
        <v>8804</v>
      </c>
      <c r="F2899" s="3" t="str">
        <f>"8125192431"</f>
        <v>8125192431</v>
      </c>
      <c r="G2899" s="3">
        <v>23599</v>
      </c>
      <c r="H2899" s="3" t="s">
        <v>248</v>
      </c>
    </row>
    <row r="2900" spans="1:8" ht="128.25" x14ac:dyDescent="0.25">
      <c r="A2900" s="3" t="s">
        <v>8805</v>
      </c>
      <c r="B2900" s="3"/>
      <c r="C2900" s="3" t="s">
        <v>8806</v>
      </c>
      <c r="D2900" s="3" t="s">
        <v>8807</v>
      </c>
      <c r="E2900" s="3" t="s">
        <v>8808</v>
      </c>
      <c r="F2900" s="3" t="str">
        <f>"317-370-9672"</f>
        <v>317-370-9672</v>
      </c>
      <c r="G2900" s="3">
        <v>541330</v>
      </c>
      <c r="H2900" s="3" t="s">
        <v>82</v>
      </c>
    </row>
    <row r="2901" spans="1:8" ht="51.75" x14ac:dyDescent="0.25">
      <c r="A2901" s="3" t="s">
        <v>8809</v>
      </c>
      <c r="B2901" s="3"/>
      <c r="C2901" s="3" t="str">
        <f>"Eagle Ventilation, LLC. is a union sheet metal fabrication &amp; installation company. We have several years of experience in the commercial HVAC industry."</f>
        <v>Eagle Ventilation, LLC. is a union sheet metal fabrication &amp; installation company. We have several years of experience in the commercial HVAC industry.</v>
      </c>
      <c r="D2901" s="3" t="s">
        <v>9</v>
      </c>
      <c r="E2901" s="3" t="s">
        <v>8810</v>
      </c>
      <c r="F2901" s="3" t="str">
        <f>"(765) 724-2200"</f>
        <v>(765) 724-2200</v>
      </c>
      <c r="G2901" s="3">
        <v>332322</v>
      </c>
      <c r="H2901" s="3" t="s">
        <v>2534</v>
      </c>
    </row>
    <row r="2902" spans="1:8" ht="51.75" x14ac:dyDescent="0.25">
      <c r="A2902" s="3" t="s">
        <v>8811</v>
      </c>
      <c r="B2902" s="3"/>
      <c r="C2902" s="3" t="str">
        <f>"General Contractor specializing in commercial, industrial, and institutional new construction and remodeling. We also sell American made flags and flagpoles."</f>
        <v>General Contractor specializing in commercial, industrial, and institutional new construction and remodeling. We also sell American made flags and flagpoles.</v>
      </c>
      <c r="D2902" s="3" t="s">
        <v>8812</v>
      </c>
      <c r="E2902" s="3" t="s">
        <v>8813</v>
      </c>
      <c r="F2902" s="3" t="str">
        <f>"812-533-2161"</f>
        <v>812-533-2161</v>
      </c>
      <c r="G2902" s="3">
        <v>233</v>
      </c>
      <c r="H2902" s="3" t="s">
        <v>131</v>
      </c>
    </row>
    <row r="2903" spans="1:8" ht="39" x14ac:dyDescent="0.25">
      <c r="A2903" s="3" t="s">
        <v>8814</v>
      </c>
      <c r="B2903" s="3"/>
      <c r="C2903" s="3" t="str">
        <f>"Sale, Design and install audio, video and concert lighting systems. Room acoustic treatments. Video Productions"</f>
        <v>Sale, Design and install audio, video and concert lighting systems. Room acoustic treatments. Video Productions</v>
      </c>
      <c r="D2903" s="3" t="s">
        <v>8815</v>
      </c>
      <c r="E2903" s="3" t="s">
        <v>8816</v>
      </c>
      <c r="F2903" s="3" t="str">
        <f>"317-339-8915"</f>
        <v>317-339-8915</v>
      </c>
      <c r="G2903" s="3">
        <v>23599</v>
      </c>
      <c r="H2903" s="3" t="s">
        <v>248</v>
      </c>
    </row>
    <row r="2904" spans="1:8" ht="141" x14ac:dyDescent="0.25">
      <c r="A2904" s="3" t="s">
        <v>8817</v>
      </c>
      <c r="B2904" s="3"/>
      <c r="C2904" s="3" t="s">
        <v>8818</v>
      </c>
      <c r="D2904" s="3" t="s">
        <v>8819</v>
      </c>
      <c r="E2904" s="3" t="s">
        <v>8820</v>
      </c>
      <c r="F2904" s="3" t="str">
        <f>"317-273-1690"</f>
        <v>317-273-1690</v>
      </c>
      <c r="G2904" s="3">
        <v>541330</v>
      </c>
      <c r="H2904" s="3" t="s">
        <v>82</v>
      </c>
    </row>
    <row r="2905" spans="1:8" ht="39" x14ac:dyDescent="0.25">
      <c r="A2905" s="3" t="s">
        <v>8821</v>
      </c>
      <c r="B2905" s="3"/>
      <c r="C2905" s="3" t="str">
        <f>"We sell mulch, topsoil, compost, aggregates and other building and landscaping materials."</f>
        <v>We sell mulch, topsoil, compost, aggregates and other building and landscaping materials.</v>
      </c>
      <c r="D2905" s="3" t="s">
        <v>8822</v>
      </c>
      <c r="E2905" s="3" t="s">
        <v>8823</v>
      </c>
      <c r="F2905" s="3" t="str">
        <f>"8129231227"</f>
        <v>8129231227</v>
      </c>
      <c r="G2905" s="3">
        <v>424910</v>
      </c>
      <c r="H2905" s="3" t="s">
        <v>1636</v>
      </c>
    </row>
    <row r="2906" spans="1:8" ht="26.25" x14ac:dyDescent="0.25">
      <c r="A2906" s="3" t="s">
        <v>8824</v>
      </c>
      <c r="B2906" s="3"/>
      <c r="C2906" s="3" t="str">
        <f>"Fort Wayne Area waste &amp; recycling hauler and processor"</f>
        <v>Fort Wayne Area waste &amp; recycling hauler and processor</v>
      </c>
      <c r="D2906" s="3" t="s">
        <v>8825</v>
      </c>
      <c r="E2906" s="3" t="s">
        <v>8826</v>
      </c>
      <c r="F2906" s="3" t="str">
        <f>"2604368700"</f>
        <v>2604368700</v>
      </c>
      <c r="G2906" s="3">
        <v>562111</v>
      </c>
      <c r="H2906" s="3" t="s">
        <v>1818</v>
      </c>
    </row>
    <row r="2907" spans="1:8" ht="64.5" x14ac:dyDescent="0.25">
      <c r="A2907" s="3" t="s">
        <v>8827</v>
      </c>
      <c r="B2907" s="3"/>
      <c r="C2907" s="3" t="str">
        <f>"We at Earth Laboratories, Inc. manufacture and distribute environmentally and human friendly cleaning programs that actually work. We hold ourselves to the highest levels of integrity and ingenuity."</f>
        <v>We at Earth Laboratories, Inc. manufacture and distribute environmentally and human friendly cleaning programs that actually work. We hold ourselves to the highest levels of integrity and ingenuity.</v>
      </c>
      <c r="D2907" s="3" t="s">
        <v>8828</v>
      </c>
      <c r="E2907" s="3" t="s">
        <v>8829</v>
      </c>
      <c r="F2907" s="3" t="str">
        <f>"(866) 203.0535"</f>
        <v>(866) 203.0535</v>
      </c>
      <c r="G2907" s="3">
        <v>325612</v>
      </c>
      <c r="H2907" s="3" t="s">
        <v>4258</v>
      </c>
    </row>
    <row r="2908" spans="1:8" ht="128.25" x14ac:dyDescent="0.25">
      <c r="A2908" s="3" t="s">
        <v>8830</v>
      </c>
      <c r="B2908" s="3"/>
      <c r="C2908" s="3" t="s">
        <v>8831</v>
      </c>
      <c r="D2908" s="3" t="s">
        <v>8832</v>
      </c>
      <c r="E2908" s="3" t="s">
        <v>8833</v>
      </c>
      <c r="F2908" s="3" t="str">
        <f>"317-951-0999"</f>
        <v>317-951-0999</v>
      </c>
      <c r="G2908" s="3">
        <v>541512</v>
      </c>
      <c r="H2908" s="3" t="s">
        <v>19</v>
      </c>
    </row>
    <row r="2909" spans="1:8" ht="115.5" x14ac:dyDescent="0.25">
      <c r="A2909" s="3" t="s">
        <v>8834</v>
      </c>
      <c r="B2909" s="3"/>
      <c r="C2909" s="3" t="s">
        <v>8835</v>
      </c>
      <c r="D2909" s="3" t="s">
        <v>9</v>
      </c>
      <c r="E2909" s="3" t="s">
        <v>8836</v>
      </c>
      <c r="F2909" s="3" t="str">
        <f>"812-944-3283"</f>
        <v>812-944-3283</v>
      </c>
      <c r="G2909" s="3">
        <v>54143</v>
      </c>
      <c r="H2909" s="3" t="s">
        <v>78</v>
      </c>
    </row>
    <row r="2910" spans="1:8" ht="51.75" x14ac:dyDescent="0.25">
      <c r="A2910" s="3" t="s">
        <v>8837</v>
      </c>
      <c r="B2910" s="3"/>
      <c r="C2910" s="3" t="str">
        <f>"concrete work, lawncare, general contractor, masonry work, elevator installation, hauling, snow plowing, back hoe services, trash removal services"</f>
        <v>concrete work, lawncare, general contractor, masonry work, elevator installation, hauling, snow plowing, back hoe services, trash removal services</v>
      </c>
      <c r="D2910" s="3" t="s">
        <v>9</v>
      </c>
      <c r="E2910" s="3" t="s">
        <v>8838</v>
      </c>
      <c r="F2910" s="3" t="str">
        <f>"317-654-6286"</f>
        <v>317-654-6286</v>
      </c>
      <c r="G2910" s="3">
        <v>238140</v>
      </c>
      <c r="H2910" s="3" t="s">
        <v>1830</v>
      </c>
    </row>
    <row r="2911" spans="1:8" ht="26.25" x14ac:dyDescent="0.25">
      <c r="A2911" s="3" t="s">
        <v>8839</v>
      </c>
      <c r="B2911" s="3"/>
      <c r="C2911" s="3" t="str">
        <f>"Employment and training services for Adults, Dislocated Workers, and Youth"</f>
        <v>Employment and training services for Adults, Dislocated Workers, and Youth</v>
      </c>
      <c r="D2911" s="3" t="s">
        <v>8840</v>
      </c>
      <c r="E2911" s="3" t="s">
        <v>8841</v>
      </c>
      <c r="F2911" s="3" t="str">
        <f>"765-741-5863"</f>
        <v>765-741-5863</v>
      </c>
      <c r="G2911" s="3">
        <v>561310</v>
      </c>
      <c r="H2911" s="3" t="s">
        <v>1720</v>
      </c>
    </row>
    <row r="2912" spans="1:8" x14ac:dyDescent="0.25">
      <c r="A2912" s="3" t="s">
        <v>8842</v>
      </c>
      <c r="B2912" s="3"/>
      <c r="C2912" s="3" t="str">
        <f>" "</f>
        <v xml:space="preserve"> </v>
      </c>
      <c r="D2912" s="3" t="s">
        <v>9</v>
      </c>
      <c r="E2912" s="3" t="s">
        <v>46</v>
      </c>
      <c r="F2912" s="2"/>
      <c r="G2912" s="3">
        <v>611110</v>
      </c>
      <c r="H2912" s="3" t="s">
        <v>3876</v>
      </c>
    </row>
    <row r="2913" spans="1:8" ht="26.25" x14ac:dyDescent="0.25">
      <c r="A2913" s="3" t="s">
        <v>8843</v>
      </c>
      <c r="B2913" s="3"/>
      <c r="C2913" s="3" t="str">
        <f>"Dairy processing"</f>
        <v>Dairy processing</v>
      </c>
      <c r="D2913" s="3" t="s">
        <v>9</v>
      </c>
      <c r="E2913" s="3" t="s">
        <v>8844</v>
      </c>
      <c r="F2913" s="3" t="str">
        <f>"765-649-1261"</f>
        <v>765-649-1261</v>
      </c>
      <c r="G2913" s="3">
        <v>3115</v>
      </c>
      <c r="H2913" s="3" t="s">
        <v>8845</v>
      </c>
    </row>
    <row r="2914" spans="1:8" ht="90" x14ac:dyDescent="0.25">
      <c r="A2914" s="3" t="s">
        <v>8846</v>
      </c>
      <c r="B2914" s="3"/>
      <c r="C2914" s="3" t="s">
        <v>8847</v>
      </c>
      <c r="D2914" s="3" t="s">
        <v>8848</v>
      </c>
      <c r="E2914" s="3" t="s">
        <v>8849</v>
      </c>
      <c r="F2914" s="3" t="str">
        <f>"317-569-0005"</f>
        <v>317-569-0005</v>
      </c>
      <c r="G2914" s="3">
        <v>454111</v>
      </c>
      <c r="H2914" s="3" t="s">
        <v>492</v>
      </c>
    </row>
    <row r="2915" spans="1:8" ht="294" x14ac:dyDescent="0.25">
      <c r="A2915" s="3" t="s">
        <v>8850</v>
      </c>
      <c r="B2915" s="3"/>
      <c r="C2915" s="3" t="s">
        <v>8851</v>
      </c>
      <c r="D2915" s="3" t="s">
        <v>8852</v>
      </c>
      <c r="E2915" s="3" t="s">
        <v>8853</v>
      </c>
      <c r="F2915" s="3" t="str">
        <f>"317-396-0885"</f>
        <v>317-396-0885</v>
      </c>
      <c r="G2915" s="3">
        <v>711510</v>
      </c>
      <c r="H2915" s="3" t="s">
        <v>1980</v>
      </c>
    </row>
    <row r="2916" spans="1:8" ht="115.5" x14ac:dyDescent="0.25">
      <c r="A2916" s="3" t="s">
        <v>8854</v>
      </c>
      <c r="B2916" s="3"/>
      <c r="C2916" s="3" t="s">
        <v>8855</v>
      </c>
      <c r="D2916" s="3" t="s">
        <v>8856</v>
      </c>
      <c r="E2916" s="3" t="s">
        <v>8857</v>
      </c>
      <c r="F2916" s="3" t="str">
        <f>"812-448-2222"</f>
        <v>812-448-2222</v>
      </c>
      <c r="G2916" s="3">
        <v>314999</v>
      </c>
      <c r="H2916" s="3" t="s">
        <v>6142</v>
      </c>
    </row>
    <row r="2917" spans="1:8" ht="26.25" x14ac:dyDescent="0.25">
      <c r="A2917" s="3" t="s">
        <v>8858</v>
      </c>
      <c r="B2917" s="3"/>
      <c r="C2917" s="3" t="str">
        <f>" "</f>
        <v xml:space="preserve"> </v>
      </c>
      <c r="D2917" s="3" t="s">
        <v>9</v>
      </c>
      <c r="E2917" s="3" t="s">
        <v>46</v>
      </c>
      <c r="F2917" s="3" t="str">
        <f>"3179365595"</f>
        <v>3179365595</v>
      </c>
      <c r="G2917" s="3">
        <v>61111</v>
      </c>
      <c r="H2917" s="3" t="s">
        <v>3876</v>
      </c>
    </row>
    <row r="2918" spans="1:8" ht="102.75" x14ac:dyDescent="0.25">
      <c r="A2918" s="3" t="s">
        <v>8859</v>
      </c>
      <c r="B2918" s="3"/>
      <c r="C2918" s="3" t="s">
        <v>8860</v>
      </c>
      <c r="D2918" s="3" t="s">
        <v>8861</v>
      </c>
      <c r="E2918" s="3" t="s">
        <v>8862</v>
      </c>
      <c r="F2918" s="3" t="str">
        <f>"260-422-8529"</f>
        <v>260-422-8529</v>
      </c>
      <c r="G2918" s="3">
        <v>442110</v>
      </c>
      <c r="H2918" s="3" t="s">
        <v>117</v>
      </c>
    </row>
    <row r="2919" spans="1:8" ht="153.75" x14ac:dyDescent="0.25">
      <c r="A2919" s="3" t="s">
        <v>8863</v>
      </c>
      <c r="B2919" s="3"/>
      <c r="C2919" s="3" t="s">
        <v>8864</v>
      </c>
      <c r="D2919" s="3" t="s">
        <v>8865</v>
      </c>
      <c r="E2919" s="3" t="s">
        <v>8866</v>
      </c>
      <c r="F2919" s="3" t="str">
        <f>"317-300-4546"</f>
        <v>317-300-4546</v>
      </c>
      <c r="G2919" s="3">
        <v>238150</v>
      </c>
      <c r="H2919" s="3" t="s">
        <v>2530</v>
      </c>
    </row>
    <row r="2920" spans="1:8" ht="26.25" x14ac:dyDescent="0.25">
      <c r="A2920" s="3" t="s">
        <v>8867</v>
      </c>
      <c r="B2920" s="3"/>
      <c r="C2920" s="3" t="str">
        <f>"Lawn maintenance and outdoor apearance services."</f>
        <v>Lawn maintenance and outdoor apearance services.</v>
      </c>
      <c r="D2920" s="3" t="s">
        <v>8868</v>
      </c>
      <c r="E2920" s="3" t="s">
        <v>8869</v>
      </c>
      <c r="F2920" s="3" t="str">
        <f>"812-320-2844"</f>
        <v>812-320-2844</v>
      </c>
      <c r="G2920" s="3">
        <v>561730</v>
      </c>
      <c r="H2920" s="3" t="s">
        <v>65</v>
      </c>
    </row>
    <row r="2921" spans="1:8" ht="64.5" x14ac:dyDescent="0.25">
      <c r="A2921" s="3" t="s">
        <v>8870</v>
      </c>
      <c r="B2921" s="3"/>
      <c r="C2921" s="3" t="str">
        <f>"EasyAccess provides Accounts Payable automation hosted solution to all markets specifically in the area of Electronic Invoicing, Workflow and Vendor Portal services"</f>
        <v>EasyAccess provides Accounts Payable automation hosted solution to all markets specifically in the area of Electronic Invoicing, Workflow and Vendor Portal services</v>
      </c>
      <c r="D2921" s="3" t="s">
        <v>6699</v>
      </c>
      <c r="E2921" s="3" t="s">
        <v>8871</v>
      </c>
      <c r="F2921" s="3" t="str">
        <f>"888-877-3834 EXT 273"</f>
        <v>888-877-3834 EXT 273</v>
      </c>
      <c r="G2921" s="3">
        <v>541519</v>
      </c>
      <c r="H2921" s="3" t="s">
        <v>898</v>
      </c>
    </row>
    <row r="2922" spans="1:8" ht="26.25" x14ac:dyDescent="0.25">
      <c r="A2922" s="3" t="s">
        <v>8872</v>
      </c>
      <c r="B2922" s="3"/>
      <c r="C2922" s="3" t="str">
        <f>"FOOD SERVICE"</f>
        <v>FOOD SERVICE</v>
      </c>
      <c r="D2922" s="3" t="s">
        <v>9</v>
      </c>
      <c r="E2922" s="3" t="s">
        <v>46</v>
      </c>
      <c r="F2922" s="3" t="str">
        <f>"219-880-2636"</f>
        <v>219-880-2636</v>
      </c>
      <c r="G2922" s="3">
        <v>722</v>
      </c>
      <c r="H2922" s="3" t="s">
        <v>5711</v>
      </c>
    </row>
    <row r="2923" spans="1:8" ht="102.75" x14ac:dyDescent="0.25">
      <c r="A2923" s="3" t="s">
        <v>8873</v>
      </c>
      <c r="B2923" s="3"/>
      <c r="C2923" s="3" t="s">
        <v>8874</v>
      </c>
      <c r="D2923" s="3" t="s">
        <v>9</v>
      </c>
      <c r="E2923" s="3" t="s">
        <v>8875</v>
      </c>
      <c r="F2923" s="3" t="str">
        <f>"317 291-6513"</f>
        <v>317 291-6513</v>
      </c>
      <c r="G2923" s="3">
        <v>5419</v>
      </c>
      <c r="H2923" s="3" t="s">
        <v>5436</v>
      </c>
    </row>
    <row r="2924" spans="1:8" ht="153.75" x14ac:dyDescent="0.25">
      <c r="A2924" s="3" t="s">
        <v>8876</v>
      </c>
      <c r="B2924" s="3"/>
      <c r="C2924" s="3" t="s">
        <v>8877</v>
      </c>
      <c r="D2924" s="3" t="s">
        <v>9</v>
      </c>
      <c r="E2924" s="3" t="s">
        <v>8878</v>
      </c>
      <c r="F2924" s="2"/>
      <c r="G2924" s="3">
        <v>2362</v>
      </c>
      <c r="H2924" s="3" t="s">
        <v>423</v>
      </c>
    </row>
    <row r="2925" spans="1:8" ht="26.25" x14ac:dyDescent="0.25">
      <c r="A2925" s="3" t="s">
        <v>8879</v>
      </c>
      <c r="B2925" s="3"/>
      <c r="C2925" s="3" t="str">
        <f>"Seller of new and used automotive and light truck parts."</f>
        <v>Seller of new and used automotive and light truck parts.</v>
      </c>
      <c r="D2925" s="3" t="s">
        <v>8880</v>
      </c>
      <c r="E2925" s="3" t="s">
        <v>8881</v>
      </c>
      <c r="F2925" s="3" t="str">
        <f>"812-346-1323"</f>
        <v>812-346-1323</v>
      </c>
      <c r="G2925" s="3">
        <v>423140</v>
      </c>
      <c r="H2925" s="3" t="s">
        <v>8882</v>
      </c>
    </row>
    <row r="2926" spans="1:8" ht="51.75" x14ac:dyDescent="0.25">
      <c r="A2926" s="3" t="s">
        <v>8883</v>
      </c>
      <c r="B2926" s="3"/>
      <c r="C2926" s="3" t="str">
        <f>"Ford, Lincoln &amp; Mercury franchised dealer doing business in Goshen, Indiana since 1952. New and used vehicle sales, service, parts and body shop open 6 days per week."</f>
        <v>Ford, Lincoln &amp; Mercury franchised dealer doing business in Goshen, Indiana since 1952. New and used vehicle sales, service, parts and body shop open 6 days per week.</v>
      </c>
      <c r="D2926" s="3" t="s">
        <v>8884</v>
      </c>
      <c r="E2926" s="3" t="s">
        <v>46</v>
      </c>
      <c r="F2926" s="3" t="str">
        <f>"574-534-3673"</f>
        <v>574-534-3673</v>
      </c>
      <c r="G2926" s="3">
        <v>441110</v>
      </c>
      <c r="H2926" s="3" t="s">
        <v>2588</v>
      </c>
    </row>
    <row r="2927" spans="1:8" ht="64.5" x14ac:dyDescent="0.25">
      <c r="A2927" s="3" t="s">
        <v>8885</v>
      </c>
      <c r="B2927" s="3"/>
      <c r="C2927" s="3" t="str">
        <f>"We specialize in events for 2-100 people. Birthdays, Anniversaries, Tailgate Parties; no event is too small. We have personal catering services for busy individuals and families as well as corporations."</f>
        <v>We specialize in events for 2-100 people. Birthdays, Anniversaries, Tailgate Parties; no event is too small. We have personal catering services for busy individuals and families as well as corporations.</v>
      </c>
      <c r="D2927" s="3" t="s">
        <v>8886</v>
      </c>
      <c r="E2927" s="3" t="s">
        <v>8887</v>
      </c>
      <c r="F2927" s="3" t="str">
        <f>"317-258-8190"</f>
        <v>317-258-8190</v>
      </c>
      <c r="G2927" s="3">
        <v>11</v>
      </c>
      <c r="H2927" s="3" t="s">
        <v>175</v>
      </c>
    </row>
    <row r="2928" spans="1:8" ht="39" x14ac:dyDescent="0.25">
      <c r="A2928" s="3" t="s">
        <v>8888</v>
      </c>
      <c r="B2928" s="3"/>
      <c r="C2928" s="3" t="str">
        <f>"Photography for advertising, brochures, web. Digital and film. Film scanning. Computer retouching, Since 1980"</f>
        <v>Photography for advertising, brochures, web. Digital and film. Film scanning. Computer retouching, Since 1980</v>
      </c>
      <c r="D2928" s="3" t="s">
        <v>8889</v>
      </c>
      <c r="E2928" s="3" t="s">
        <v>8890</v>
      </c>
      <c r="F2928" s="3" t="str">
        <f>"574 295 6403"</f>
        <v>574 295 6403</v>
      </c>
      <c r="G2928" s="3">
        <v>54192</v>
      </c>
      <c r="H2928" s="3" t="s">
        <v>2613</v>
      </c>
    </row>
    <row r="2929" spans="1:8" ht="64.5" x14ac:dyDescent="0.25">
      <c r="A2929" s="3" t="s">
        <v>8891</v>
      </c>
      <c r="B2929" s="3"/>
      <c r="C2929" s="3" t="str">
        <f>"Full service book bindery as well as manufacturers of custom designed loose leaf products including three-ring binders, index tabs, certificate/award holders, menus, room directories, etc."</f>
        <v>Full service book bindery as well as manufacturers of custom designed loose leaf products including three-ring binders, index tabs, certificate/award holders, menus, room directories, etc.</v>
      </c>
      <c r="D2929" s="3" t="s">
        <v>8892</v>
      </c>
      <c r="E2929" s="3" t="s">
        <v>8893</v>
      </c>
      <c r="F2929" s="3" t="str">
        <f>"317-347-2665"</f>
        <v>317-347-2665</v>
      </c>
      <c r="G2929" s="3">
        <v>323121</v>
      </c>
      <c r="H2929" s="3" t="s">
        <v>694</v>
      </c>
    </row>
    <row r="2930" spans="1:8" ht="51.75" x14ac:dyDescent="0.25">
      <c r="A2930" s="3" t="s">
        <v>8894</v>
      </c>
      <c r="B2930" s="3"/>
      <c r="C2930" s="3" t="str">
        <f>"Distributor of packaging materials including corrugated boxes, packaging materials (bubble wrap, peanuts), stretch film, and mailing tubes."</f>
        <v>Distributor of packaging materials including corrugated boxes, packaging materials (bubble wrap, peanuts), stretch film, and mailing tubes.</v>
      </c>
      <c r="D2930" s="3" t="s">
        <v>8895</v>
      </c>
      <c r="E2930" s="3" t="s">
        <v>8896</v>
      </c>
      <c r="F2930" s="3" t="str">
        <f>"317-842-4120"</f>
        <v>317-842-4120</v>
      </c>
      <c r="G2930" s="3">
        <v>423840</v>
      </c>
      <c r="H2930" s="3" t="s">
        <v>553</v>
      </c>
    </row>
    <row r="2931" spans="1:8" ht="141" x14ac:dyDescent="0.25">
      <c r="A2931" s="3" t="s">
        <v>8897</v>
      </c>
      <c r="B2931" s="3"/>
      <c r="C2931" s="3" t="s">
        <v>8898</v>
      </c>
      <c r="D2931" s="3" t="s">
        <v>8899</v>
      </c>
      <c r="E2931" s="3" t="s">
        <v>8900</v>
      </c>
      <c r="F2931" s="3" t="str">
        <f>"812-876-7711"</f>
        <v>812-876-7711</v>
      </c>
      <c r="G2931" s="3">
        <v>115310</v>
      </c>
      <c r="H2931" s="3" t="s">
        <v>2505</v>
      </c>
    </row>
    <row r="2932" spans="1:8" ht="77.25" x14ac:dyDescent="0.25">
      <c r="A2932" s="3" t="s">
        <v>8901</v>
      </c>
      <c r="B2932" s="3"/>
      <c r="C2932" s="3" t="str">
        <f>"We provide envrionmental consulting, construction, and product sales. Our areas of specialty are erosion control, seawall and dock construction, stormwater management, lake and pond management, and ecological restoration."</f>
        <v>We provide envrionmental consulting, construction, and product sales. Our areas of specialty are erosion control, seawall and dock construction, stormwater management, lake and pond management, and ecological restoration.</v>
      </c>
      <c r="D2932" s="3" t="s">
        <v>8902</v>
      </c>
      <c r="E2932" s="3" t="s">
        <v>8903</v>
      </c>
      <c r="F2932" s="3" t="str">
        <f>"(812) 339-6664"</f>
        <v>(812) 339-6664</v>
      </c>
      <c r="G2932" s="3">
        <v>23599</v>
      </c>
      <c r="H2932" s="3" t="s">
        <v>248</v>
      </c>
    </row>
    <row r="2933" spans="1:8" ht="39" x14ac:dyDescent="0.25">
      <c r="A2933" s="3" t="s">
        <v>8904</v>
      </c>
      <c r="B2933" s="3"/>
      <c r="C2933" s="3" t="str">
        <f>"Eco-Kinetic is a woman owned small business, specializing in energy analysis and innovative environmental solutions."</f>
        <v>Eco-Kinetic is a woman owned small business, specializing in energy analysis and innovative environmental solutions.</v>
      </c>
      <c r="D2933" s="3" t="s">
        <v>8905</v>
      </c>
      <c r="E2933" s="3" t="s">
        <v>8906</v>
      </c>
      <c r="F2933" s="3" t="str">
        <f>"317-784-0833"</f>
        <v>317-784-0833</v>
      </c>
      <c r="G2933" s="3">
        <v>444190</v>
      </c>
      <c r="H2933" s="3" t="s">
        <v>1188</v>
      </c>
    </row>
    <row r="2934" spans="1:8" ht="90" x14ac:dyDescent="0.25">
      <c r="A2934" s="3" t="s">
        <v>8907</v>
      </c>
      <c r="B2934" s="3"/>
      <c r="C2934" s="3" t="s">
        <v>8908</v>
      </c>
      <c r="D2934" s="3" t="s">
        <v>8909</v>
      </c>
      <c r="E2934" s="3" t="s">
        <v>8910</v>
      </c>
      <c r="F2934" s="3" t="str">
        <f>"704-544-9907"</f>
        <v>704-544-9907</v>
      </c>
      <c r="G2934" s="3">
        <v>336111</v>
      </c>
      <c r="H2934" s="3" t="s">
        <v>8911</v>
      </c>
    </row>
    <row r="2935" spans="1:8" ht="115.5" x14ac:dyDescent="0.25">
      <c r="A2935" s="3" t="s">
        <v>8912</v>
      </c>
      <c r="B2935" s="3"/>
      <c r="C2935" s="3" t="s">
        <v>8913</v>
      </c>
      <c r="D2935" s="3" t="s">
        <v>8914</v>
      </c>
      <c r="E2935" s="3" t="s">
        <v>46</v>
      </c>
      <c r="F2935" s="3" t="str">
        <f>"(317) 874-0074"</f>
        <v>(317) 874-0074</v>
      </c>
      <c r="G2935" s="3">
        <v>562910</v>
      </c>
      <c r="H2935" s="3" t="s">
        <v>2278</v>
      </c>
    </row>
    <row r="2936" spans="1:8" ht="26.25" x14ac:dyDescent="0.25">
      <c r="A2936" s="3" t="s">
        <v>8915</v>
      </c>
      <c r="B2936" s="3"/>
      <c r="C2936" s="2"/>
      <c r="D2936" s="3" t="s">
        <v>9</v>
      </c>
      <c r="E2936" s="3" t="s">
        <v>46</v>
      </c>
      <c r="F2936" s="3" t="str">
        <f>"219-929-4416"</f>
        <v>219-929-4416</v>
      </c>
      <c r="G2936" s="3">
        <v>72111</v>
      </c>
      <c r="H2936" s="3" t="s">
        <v>872</v>
      </c>
    </row>
    <row r="2937" spans="1:8" ht="217.5" x14ac:dyDescent="0.25">
      <c r="A2937" s="3" t="s">
        <v>8916</v>
      </c>
      <c r="B2937" s="3"/>
      <c r="C2937" s="3" t="s">
        <v>8917</v>
      </c>
      <c r="D2937" s="3" t="s">
        <v>8918</v>
      </c>
      <c r="E2937" s="3" t="s">
        <v>8919</v>
      </c>
      <c r="F2937" s="3" t="str">
        <f>"(260) 672-2117"</f>
        <v>(260) 672-2117</v>
      </c>
      <c r="G2937" s="3">
        <v>332721</v>
      </c>
      <c r="H2937" s="3" t="s">
        <v>5626</v>
      </c>
    </row>
    <row r="2938" spans="1:8" ht="26.25" x14ac:dyDescent="0.25">
      <c r="A2938" s="3" t="s">
        <v>8920</v>
      </c>
      <c r="B2938" s="3"/>
      <c r="C2938" s="3" t="str">
        <f>"We sell and manufacture 3-wheel trikes"</f>
        <v>We sell and manufacture 3-wheel trikes</v>
      </c>
      <c r="D2938" s="3" t="s">
        <v>8921</v>
      </c>
      <c r="E2938" s="3" t="s">
        <v>8922</v>
      </c>
      <c r="F2938" s="3" t="str">
        <f>"(812) 288-6405"</f>
        <v>(812) 288-6405</v>
      </c>
      <c r="G2938" s="3">
        <v>238</v>
      </c>
      <c r="H2938" s="3" t="s">
        <v>397</v>
      </c>
    </row>
    <row r="2939" spans="1:8" ht="115.5" x14ac:dyDescent="0.25">
      <c r="A2939" s="3" t="s">
        <v>8923</v>
      </c>
      <c r="B2939" s="3"/>
      <c r="C2939" s="3" t="s">
        <v>8924</v>
      </c>
      <c r="D2939" s="3" t="s">
        <v>9</v>
      </c>
      <c r="E2939" s="3" t="s">
        <v>8925</v>
      </c>
      <c r="F2939" s="3" t="str">
        <f>"317-217-1049"</f>
        <v>317-217-1049</v>
      </c>
      <c r="G2939" s="3">
        <v>32311</v>
      </c>
      <c r="H2939" s="3" t="s">
        <v>531</v>
      </c>
    </row>
    <row r="2940" spans="1:8" ht="26.25" x14ac:dyDescent="0.25">
      <c r="A2940" s="3" t="s">
        <v>8926</v>
      </c>
      <c r="B2940" s="3"/>
      <c r="C2940" s="3" t="str">
        <f>"New &amp; Used Vehicle Sales and Service, Rental, Quicklane and Bodyshop"</f>
        <v>New &amp; Used Vehicle Sales and Service, Rental, Quicklane and Bodyshop</v>
      </c>
      <c r="D2940" s="3" t="s">
        <v>8927</v>
      </c>
      <c r="E2940" s="3" t="s">
        <v>8928</v>
      </c>
      <c r="F2940" s="3" t="str">
        <f>"812-883-3481"</f>
        <v>812-883-3481</v>
      </c>
      <c r="G2940" s="3">
        <v>441110</v>
      </c>
      <c r="H2940" s="3" t="s">
        <v>2588</v>
      </c>
    </row>
    <row r="2941" spans="1:8" ht="39" x14ac:dyDescent="0.25">
      <c r="A2941" s="3" t="s">
        <v>8929</v>
      </c>
      <c r="B2941" s="3"/>
      <c r="C2941" s="3" t="str">
        <f>"McKibben Builders provides custom remodeling and commercial building construction in Delaware County Indiana."</f>
        <v>McKibben Builders provides custom remodeling and commercial building construction in Delaware County Indiana.</v>
      </c>
      <c r="D2941" s="3" t="s">
        <v>9</v>
      </c>
      <c r="E2941" s="3" t="s">
        <v>46</v>
      </c>
      <c r="F2941" s="3" t="str">
        <f>"765-747-9911"</f>
        <v>765-747-9911</v>
      </c>
      <c r="G2941" s="3">
        <v>236</v>
      </c>
      <c r="H2941" s="3" t="s">
        <v>291</v>
      </c>
    </row>
    <row r="2942" spans="1:8" ht="39" x14ac:dyDescent="0.25">
      <c r="A2942" s="3" t="s">
        <v>8930</v>
      </c>
      <c r="B2942" s="3"/>
      <c r="C2942" s="3" t="str">
        <f>"Construction, replacement windows and doors, remodel, carpet and upholstery cleaning and embroidery."</f>
        <v>Construction, replacement windows and doors, remodel, carpet and upholstery cleaning and embroidery.</v>
      </c>
      <c r="D2942" s="3" t="s">
        <v>9</v>
      </c>
      <c r="E2942" s="3" t="s">
        <v>8931</v>
      </c>
      <c r="F2942" s="3" t="str">
        <f>"765-569-5328"</f>
        <v>765-569-5328</v>
      </c>
      <c r="G2942" s="3">
        <v>23</v>
      </c>
      <c r="H2942" s="3" t="s">
        <v>133</v>
      </c>
    </row>
    <row r="2943" spans="1:8" ht="64.5" x14ac:dyDescent="0.25">
      <c r="A2943" s="3" t="s">
        <v>8932</v>
      </c>
      <c r="B2943" s="3"/>
      <c r="C2943" s="3" t="str">
        <f>"The Edge Group is a company that provides commercial and resedential cleaning services throughout the state of Indiana. We also provide services in project management and real estate services."</f>
        <v>The Edge Group is a company that provides commercial and resedential cleaning services throughout the state of Indiana. We also provide services in project management and real estate services.</v>
      </c>
      <c r="D2943" s="3" t="s">
        <v>9</v>
      </c>
      <c r="E2943" s="3" t="s">
        <v>8933</v>
      </c>
      <c r="F2943" s="3" t="str">
        <f>"317-833-0622"</f>
        <v>317-833-0622</v>
      </c>
      <c r="G2943" s="3">
        <v>56172</v>
      </c>
      <c r="H2943" s="3" t="s">
        <v>222</v>
      </c>
    </row>
    <row r="2944" spans="1:8" ht="77.25" x14ac:dyDescent="0.25">
      <c r="A2944" s="3" t="s">
        <v>8934</v>
      </c>
      <c r="B2944" s="3"/>
      <c r="C2944" s="3" t="str">
        <f>"Edge Industrial Supply is located in Huntertown (Fort Wayne) Indiana. We supply industrial and commercial supplies- Tools, janitorial, safety, electrical, plumbing,hardware,material handling, HVAC and other equipment/supplies.."</f>
        <v>Edge Industrial Supply is located in Huntertown (Fort Wayne) Indiana. We supply industrial and commercial supplies- Tools, janitorial, safety, electrical, plumbing,hardware,material handling, HVAC and other equipment/supplies..</v>
      </c>
      <c r="D2944" s="3" t="s">
        <v>8935</v>
      </c>
      <c r="E2944" s="3" t="s">
        <v>8936</v>
      </c>
      <c r="F2944" s="3" t="str">
        <f>"260-442-9064"</f>
        <v>260-442-9064</v>
      </c>
      <c r="G2944" s="3">
        <v>423840</v>
      </c>
      <c r="H2944" s="3" t="s">
        <v>553</v>
      </c>
    </row>
    <row r="2945" spans="1:8" ht="204.75" x14ac:dyDescent="0.25">
      <c r="A2945" s="3" t="s">
        <v>8937</v>
      </c>
      <c r="B2945" s="3"/>
      <c r="C2945" s="3" t="s">
        <v>8938</v>
      </c>
      <c r="D2945" s="3" t="s">
        <v>8939</v>
      </c>
      <c r="E2945" s="3" t="s">
        <v>8940</v>
      </c>
      <c r="F2945" s="3" t="str">
        <f>"219-885-4264"</f>
        <v>219-885-4264</v>
      </c>
      <c r="G2945" s="3">
        <v>62</v>
      </c>
      <c r="H2945" s="3" t="s">
        <v>1168</v>
      </c>
    </row>
    <row r="2946" spans="1:8" ht="51.75" x14ac:dyDescent="0.25">
      <c r="A2946" s="3" t="s">
        <v>8941</v>
      </c>
      <c r="B2946" s="3"/>
      <c r="C2946" s="3" t="str">
        <f>"We provide educational software for school corporations and educational entities, specializing in assessment, reading, character education, and credit recovery."</f>
        <v>We provide educational software for school corporations and educational entities, specializing in assessment, reading, character education, and credit recovery.</v>
      </c>
      <c r="D2946" s="3" t="s">
        <v>8942</v>
      </c>
      <c r="E2946" s="3" t="s">
        <v>8943</v>
      </c>
      <c r="F2946" s="3" t="str">
        <f>"877-597-9212"</f>
        <v>877-597-9212</v>
      </c>
      <c r="G2946" s="3">
        <v>611710</v>
      </c>
      <c r="H2946" s="3" t="s">
        <v>508</v>
      </c>
    </row>
    <row r="2947" spans="1:8" ht="51.75" x14ac:dyDescent="0.25">
      <c r="A2947" s="3" t="s">
        <v>8944</v>
      </c>
      <c r="B2947" s="3"/>
      <c r="C2947" s="3" t="str">
        <f>"Organizational Development firm providing program evaluation, strategic planning, training, Human Performance Improvement, facilitation and planning"</f>
        <v>Organizational Development firm providing program evaluation, strategic planning, training, Human Performance Improvement, facilitation and planning</v>
      </c>
      <c r="D2947" s="3" t="s">
        <v>8945</v>
      </c>
      <c r="E2947" s="3" t="s">
        <v>8946</v>
      </c>
      <c r="F2947" s="3" t="str">
        <f>"260-436-7137"</f>
        <v>260-436-7137</v>
      </c>
      <c r="G2947" s="3">
        <v>6117</v>
      </c>
      <c r="H2947" s="3" t="s">
        <v>508</v>
      </c>
    </row>
    <row r="2948" spans="1:8" ht="51.75" x14ac:dyDescent="0.25">
      <c r="A2948" s="3" t="s">
        <v>8947</v>
      </c>
      <c r="B2948" s="3"/>
      <c r="C2948" s="3" t="str">
        <f>"Educational Furniture is a distributor of high quality loose and fixed furnishings. Educational Furniture sells to school and commerical offices."</f>
        <v>Educational Furniture is a distributor of high quality loose and fixed furnishings. Educational Furniture sells to school and commerical offices.</v>
      </c>
      <c r="D2948" s="3" t="s">
        <v>8948</v>
      </c>
      <c r="E2948" s="3" t="s">
        <v>8949</v>
      </c>
      <c r="F2948" s="3" t="str">
        <f>"765-286-9041"</f>
        <v>765-286-9041</v>
      </c>
      <c r="G2948" s="3">
        <v>454390</v>
      </c>
      <c r="H2948" s="3" t="s">
        <v>1348</v>
      </c>
    </row>
    <row r="2949" spans="1:8" ht="26.25" x14ac:dyDescent="0.25">
      <c r="A2949" s="3" t="s">
        <v>8950</v>
      </c>
      <c r="B2949" s="3"/>
      <c r="C2949" s="3" t="str">
        <f>"Psychology Practice - Specializing in psychological assessments"</f>
        <v>Psychology Practice - Specializing in psychological assessments</v>
      </c>
      <c r="D2949" s="3" t="s">
        <v>9</v>
      </c>
      <c r="E2949" s="3" t="s">
        <v>46</v>
      </c>
      <c r="F2949" s="3" t="str">
        <f>"219-242-5959"</f>
        <v>219-242-5959</v>
      </c>
      <c r="G2949" s="3">
        <v>621330</v>
      </c>
      <c r="H2949" s="3" t="s">
        <v>2643</v>
      </c>
    </row>
    <row r="2950" spans="1:8" ht="51.75" x14ac:dyDescent="0.25">
      <c r="A2950" s="3" t="s">
        <v>8951</v>
      </c>
      <c r="B2950" s="3"/>
      <c r="C2950" s="3" t="str">
        <f>"Provider of software and associated service solutions to educational and business institiutions. Preferred reseller for Indiana of NetOp software."</f>
        <v>Provider of software and associated service solutions to educational and business institiutions. Preferred reseller for Indiana of NetOp software.</v>
      </c>
      <c r="D2950" s="3" t="s">
        <v>8952</v>
      </c>
      <c r="E2950" s="3" t="s">
        <v>8953</v>
      </c>
      <c r="F2950" s="3" t="str">
        <f>"800-352-7668"</f>
        <v>800-352-7668</v>
      </c>
      <c r="G2950" s="3">
        <v>511210</v>
      </c>
      <c r="H2950" s="3" t="s">
        <v>315</v>
      </c>
    </row>
    <row r="2951" spans="1:8" ht="153.75" x14ac:dyDescent="0.25">
      <c r="A2951" s="3" t="s">
        <v>8954</v>
      </c>
      <c r="B2951" s="3"/>
      <c r="C2951" s="3" t="s">
        <v>8955</v>
      </c>
      <c r="D2951" s="3" t="s">
        <v>9</v>
      </c>
      <c r="E2951" s="3" t="s">
        <v>8956</v>
      </c>
      <c r="F2951" s="3" t="str">
        <f>"219-405-4884"</f>
        <v>219-405-4884</v>
      </c>
      <c r="G2951" s="3">
        <v>541512</v>
      </c>
      <c r="H2951" s="3" t="s">
        <v>19</v>
      </c>
    </row>
    <row r="2952" spans="1:8" ht="115.5" x14ac:dyDescent="0.25">
      <c r="A2952" s="3" t="s">
        <v>8957</v>
      </c>
      <c r="B2952" s="3"/>
      <c r="C2952" s="3" t="s">
        <v>8958</v>
      </c>
      <c r="D2952" s="3" t="s">
        <v>8959</v>
      </c>
      <c r="E2952" s="3" t="s">
        <v>8960</v>
      </c>
      <c r="F2952" s="3" t="str">
        <f>"317.420.5464"</f>
        <v>317.420.5464</v>
      </c>
      <c r="G2952" s="3">
        <v>541512</v>
      </c>
      <c r="H2952" s="3" t="s">
        <v>19</v>
      </c>
    </row>
    <row r="2953" spans="1:8" ht="128.25" x14ac:dyDescent="0.25">
      <c r="A2953" s="3" t="s">
        <v>8961</v>
      </c>
      <c r="B2953" s="3"/>
      <c r="C2953" s="3" t="s">
        <v>8962</v>
      </c>
      <c r="D2953" s="3" t="s">
        <v>8963</v>
      </c>
      <c r="E2953" s="3" t="s">
        <v>8964</v>
      </c>
      <c r="F2953" s="3" t="str">
        <f>"3174901961"</f>
        <v>3174901961</v>
      </c>
      <c r="G2953" s="3">
        <v>541330</v>
      </c>
      <c r="H2953" s="3" t="s">
        <v>82</v>
      </c>
    </row>
    <row r="2954" spans="1:8" ht="26.25" x14ac:dyDescent="0.25">
      <c r="A2954" s="3" t="s">
        <v>8965</v>
      </c>
      <c r="B2954" s="3"/>
      <c r="C2954" s="3" t="str">
        <f>"Mechanical contractor in St. Joseph County, Indiana."</f>
        <v>Mechanical contractor in St. Joseph County, Indiana.</v>
      </c>
      <c r="D2954" s="3" t="s">
        <v>8966</v>
      </c>
      <c r="E2954" s="3" t="s">
        <v>8967</v>
      </c>
      <c r="F2954" s="3" t="str">
        <f>"574-289-6351"</f>
        <v>574-289-6351</v>
      </c>
      <c r="G2954" s="3">
        <v>238220</v>
      </c>
      <c r="H2954" s="3" t="s">
        <v>348</v>
      </c>
    </row>
    <row r="2955" spans="1:8" ht="39" x14ac:dyDescent="0.25">
      <c r="A2955" s="3" t="s">
        <v>8968</v>
      </c>
      <c r="B2955" s="3"/>
      <c r="C2955" s="3" t="str">
        <f>"Law firm practicing criminal law, family law, bankruptcy, personal injury, estates, wills, workmans compensation"</f>
        <v>Law firm practicing criminal law, family law, bankruptcy, personal injury, estates, wills, workmans compensation</v>
      </c>
      <c r="D2955" s="3" t="s">
        <v>9</v>
      </c>
      <c r="E2955" s="3" t="s">
        <v>46</v>
      </c>
      <c r="F2955" s="3" t="str">
        <f>"219-324-0556"</f>
        <v>219-324-0556</v>
      </c>
      <c r="G2955" s="3">
        <v>541110</v>
      </c>
      <c r="H2955" s="3" t="s">
        <v>2978</v>
      </c>
    </row>
    <row r="2956" spans="1:8" ht="26.25" x14ac:dyDescent="0.25">
      <c r="A2956" s="3" t="s">
        <v>8969</v>
      </c>
      <c r="B2956" s="3"/>
      <c r="C2956" s="3" t="str">
        <f>"Videoconferencing, webcast, streaming video, engineering"</f>
        <v>Videoconferencing, webcast, streaming video, engineering</v>
      </c>
      <c r="D2956" s="3" t="s">
        <v>9</v>
      </c>
      <c r="E2956" s="3" t="s">
        <v>8970</v>
      </c>
      <c r="F2956" s="3" t="str">
        <f>"317-402-5887"</f>
        <v>317-402-5887</v>
      </c>
      <c r="G2956" s="3">
        <v>541330</v>
      </c>
      <c r="H2956" s="3" t="s">
        <v>82</v>
      </c>
    </row>
    <row r="2957" spans="1:8" ht="26.25" x14ac:dyDescent="0.25">
      <c r="A2957" s="3" t="s">
        <v>8971</v>
      </c>
      <c r="B2957" s="3"/>
      <c r="C2957" s="3" t="str">
        <f>"Attorney legal services"</f>
        <v>Attorney legal services</v>
      </c>
      <c r="D2957" s="3" t="s">
        <v>8972</v>
      </c>
      <c r="E2957" s="3" t="s">
        <v>8973</v>
      </c>
      <c r="F2957" s="3" t="str">
        <f>"219 662 1661"</f>
        <v>219 662 1661</v>
      </c>
      <c r="G2957" s="3">
        <v>541110</v>
      </c>
      <c r="H2957" s="3" t="s">
        <v>2978</v>
      </c>
    </row>
    <row r="2958" spans="1:8" ht="39" x14ac:dyDescent="0.25">
      <c r="A2958" s="3" t="s">
        <v>8974</v>
      </c>
      <c r="B2958" s="3"/>
      <c r="C2958" s="3" t="str">
        <f>"Provide video production services: producing, video editing, directing, DVD authoring."</f>
        <v>Provide video production services: producing, video editing, directing, DVD authoring.</v>
      </c>
      <c r="D2958" s="3" t="s">
        <v>9</v>
      </c>
      <c r="E2958" s="3" t="s">
        <v>46</v>
      </c>
      <c r="F2958" s="2"/>
      <c r="G2958" s="3">
        <v>51211</v>
      </c>
      <c r="H2958" s="3" t="s">
        <v>406</v>
      </c>
    </row>
    <row r="2959" spans="1:8" ht="90" x14ac:dyDescent="0.25">
      <c r="A2959" s="3" t="s">
        <v>8975</v>
      </c>
      <c r="B2959" s="3"/>
      <c r="C2959" s="3" t="str">
        <f>"We provide computer software solutions for business applications. We work with clients and help them decide if a package or custom solution will be the best solution. Ultimately our clients receive the best software solution for their business initiative."</f>
        <v>We provide computer software solutions for business applications. We work with clients and help them decide if a package or custom solution will be the best solution. Ultimately our clients receive the best software solution for their business initiative.</v>
      </c>
      <c r="D2959" s="3" t="s">
        <v>8976</v>
      </c>
      <c r="E2959" s="3" t="s">
        <v>8977</v>
      </c>
      <c r="F2959" s="3" t="str">
        <f>"317-341-4338"</f>
        <v>317-341-4338</v>
      </c>
      <c r="G2959" s="3">
        <v>541519</v>
      </c>
      <c r="H2959" s="3" t="s">
        <v>898</v>
      </c>
    </row>
    <row r="2960" spans="1:8" ht="26.25" x14ac:dyDescent="0.25">
      <c r="A2960" s="3" t="s">
        <v>8978</v>
      </c>
      <c r="B2960" s="3"/>
      <c r="C2960" s="3" t="str">
        <f>"We provide Title Work and Abstracting Services for various roadway projects."</f>
        <v>We provide Title Work and Abstracting Services for various roadway projects.</v>
      </c>
      <c r="D2960" s="3" t="s">
        <v>9</v>
      </c>
      <c r="E2960" s="3" t="s">
        <v>8979</v>
      </c>
      <c r="F2960" s="3" t="str">
        <f>"765-472-4218"</f>
        <v>765-472-4218</v>
      </c>
      <c r="G2960" s="3">
        <v>531390</v>
      </c>
      <c r="H2960" s="3" t="s">
        <v>623</v>
      </c>
    </row>
    <row r="2961" spans="1:8" ht="102.75" x14ac:dyDescent="0.25">
      <c r="A2961" s="3" t="s">
        <v>8980</v>
      </c>
      <c r="B2961" s="3"/>
      <c r="C2961" s="3" t="s">
        <v>8981</v>
      </c>
      <c r="D2961" s="3" t="s">
        <v>8982</v>
      </c>
      <c r="E2961" s="3" t="s">
        <v>8983</v>
      </c>
      <c r="F2961" s="3" t="str">
        <f>"574-722-2857"</f>
        <v>574-722-2857</v>
      </c>
      <c r="G2961" s="3">
        <v>238990</v>
      </c>
      <c r="H2961" s="3" t="s">
        <v>481</v>
      </c>
    </row>
    <row r="2962" spans="1:8" ht="64.5" x14ac:dyDescent="0.25">
      <c r="A2962" s="3" t="s">
        <v>8984</v>
      </c>
      <c r="B2962" s="3"/>
      <c r="C2962" s="3" t="str">
        <f>"Effective Performance Solutions, Inc., helps organizations achieve business goals using practical, cost-effective, and results-oriented solutions to organizational and workforce performance problems."</f>
        <v>Effective Performance Solutions, Inc., helps organizations achieve business goals using practical, cost-effective, and results-oriented solutions to organizational and workforce performance problems.</v>
      </c>
      <c r="D2962" s="3" t="s">
        <v>8985</v>
      </c>
      <c r="E2962" s="3" t="s">
        <v>8986</v>
      </c>
      <c r="F2962" s="3" t="str">
        <f>"(317) 752-9532"</f>
        <v>(317) 752-9532</v>
      </c>
      <c r="G2962" s="3">
        <v>541611</v>
      </c>
      <c r="H2962" s="3" t="s">
        <v>278</v>
      </c>
    </row>
    <row r="2963" spans="1:8" ht="51.75" x14ac:dyDescent="0.25">
      <c r="A2963" s="3" t="s">
        <v>8987</v>
      </c>
      <c r="B2963" s="3"/>
      <c r="C2963" s="3" t="str">
        <f>"Electrical &amp; Mechanical Services for Residential, Commercial and Industrial Customers. 24 Hour Emergency Services, Seven Days a Week. 365 Days a Year."</f>
        <v>Electrical &amp; Mechanical Services for Residential, Commercial and Industrial Customers. 24 Hour Emergency Services, Seven Days a Week. 365 Days a Year.</v>
      </c>
      <c r="D2963" s="3" t="s">
        <v>8988</v>
      </c>
      <c r="E2963" s="3" t="s">
        <v>8989</v>
      </c>
      <c r="F2963" s="3" t="str">
        <f>"(317) 293-6510"</f>
        <v>(317) 293-6510</v>
      </c>
      <c r="G2963" s="3">
        <v>238210</v>
      </c>
      <c r="H2963" s="3" t="s">
        <v>306</v>
      </c>
    </row>
    <row r="2964" spans="1:8" ht="51.75" x14ac:dyDescent="0.25">
      <c r="A2964" s="3" t="s">
        <v>8990</v>
      </c>
      <c r="B2964" s="3"/>
      <c r="C2964" s="3" t="str">
        <f>"Household goods, ofiice and plant equipment, special products, store fixtures, and office and industrial transportation, as well as warehousing and logistics services.."</f>
        <v>Household goods, ofiice and plant equipment, special products, store fixtures, and office and industrial transportation, as well as warehousing and logistics services..</v>
      </c>
      <c r="D2964" s="3" t="s">
        <v>8991</v>
      </c>
      <c r="E2964" s="3" t="s">
        <v>8992</v>
      </c>
      <c r="F2964" s="3" t="str">
        <f>"317-594-1333"</f>
        <v>317-594-1333</v>
      </c>
      <c r="G2964" s="3">
        <v>484210</v>
      </c>
      <c r="H2964" s="3" t="s">
        <v>8993</v>
      </c>
    </row>
    <row r="2965" spans="1:8" ht="166.5" x14ac:dyDescent="0.25">
      <c r="A2965" s="3" t="s">
        <v>8994</v>
      </c>
      <c r="B2965" s="3"/>
      <c r="C2965" s="3" t="s">
        <v>8995</v>
      </c>
      <c r="D2965" s="3" t="s">
        <v>8996</v>
      </c>
      <c r="E2965" s="3" t="s">
        <v>8997</v>
      </c>
      <c r="F2965" s="3" t="str">
        <f>"765-532-5742"</f>
        <v>765-532-5742</v>
      </c>
      <c r="G2965" s="3">
        <v>238</v>
      </c>
      <c r="H2965" s="3" t="s">
        <v>397</v>
      </c>
    </row>
    <row r="2966" spans="1:8" ht="77.25" x14ac:dyDescent="0.25">
      <c r="A2966" s="3" t="s">
        <v>8998</v>
      </c>
      <c r="B2966" s="3"/>
      <c r="C2966" s="3" t="str">
        <f>"Egloff Trucking Co., Inc. operates tandem, tri-axle and quad-axle dump trucks and semis for hauling rock, sand, gravel and asphalt to residential and commercial job sites. Hourly and per ton rates are available. We also offer backhoe and flat bed service."</f>
        <v>Egloff Trucking Co., Inc. operates tandem, tri-axle and quad-axle dump trucks and semis for hauling rock, sand, gravel and asphalt to residential and commercial job sites. Hourly and per ton rates are available. We also offer backhoe and flat bed service.</v>
      </c>
      <c r="D2966" s="3" t="s">
        <v>8999</v>
      </c>
      <c r="E2966" s="3" t="s">
        <v>9000</v>
      </c>
      <c r="F2966" s="3" t="str">
        <f>"812-367-1821"</f>
        <v>812-367-1821</v>
      </c>
      <c r="G2966" s="3">
        <v>484110</v>
      </c>
      <c r="H2966" s="3" t="s">
        <v>644</v>
      </c>
    </row>
    <row r="2967" spans="1:8" ht="51.75" x14ac:dyDescent="0.25">
      <c r="A2967" s="3" t="s">
        <v>9001</v>
      </c>
      <c r="B2967" s="3"/>
      <c r="C2967" s="3" t="str">
        <f>"buying and selling of new and used vehicle parts buying of complete cars and trucks selling of new radiators-fuel tanks-body parts-glass"</f>
        <v>buying and selling of new and used vehicle parts buying of complete cars and trucks selling of new radiators-fuel tanks-body parts-glass</v>
      </c>
      <c r="D2967" s="3" t="s">
        <v>9</v>
      </c>
      <c r="E2967" s="3" t="s">
        <v>9002</v>
      </c>
      <c r="F2967" s="3" t="str">
        <f>"765.6492555"</f>
        <v>765.6492555</v>
      </c>
      <c r="G2967" s="3">
        <v>441229</v>
      </c>
      <c r="H2967" s="3" t="s">
        <v>3721</v>
      </c>
    </row>
    <row r="2968" spans="1:8" ht="39" x14ac:dyDescent="0.25">
      <c r="A2968" s="3" t="s">
        <v>9003</v>
      </c>
      <c r="B2968" s="3"/>
      <c r="C2968" s="3" t="str">
        <f>"Firefighter Equipment and Supply, Police Equipment and Supply, Security Services Equipment and Supply"</f>
        <v>Firefighter Equipment and Supply, Police Equipment and Supply, Security Services Equipment and Supply</v>
      </c>
      <c r="D2968" s="3" t="s">
        <v>9</v>
      </c>
      <c r="E2968" s="3" t="s">
        <v>9004</v>
      </c>
      <c r="F2968" s="3" t="str">
        <f>"317-641-0009"</f>
        <v>317-641-0009</v>
      </c>
      <c r="G2968" s="3">
        <v>423850</v>
      </c>
      <c r="H2968" s="3" t="s">
        <v>419</v>
      </c>
    </row>
    <row r="2969" spans="1:8" ht="51.75" x14ac:dyDescent="0.25">
      <c r="A2969" s="3" t="s">
        <v>9005</v>
      </c>
      <c r="B2969" s="3"/>
      <c r="C2969" s="3" t="str">
        <f>"Sales of Lumber and other building and remodeling supplies including but not limited to windows, doors, hardware, and insulation"</f>
        <v>Sales of Lumber and other building and remodeling supplies including but not limited to windows, doors, hardware, and insulation</v>
      </c>
      <c r="D2969" s="3" t="s">
        <v>9006</v>
      </c>
      <c r="E2969" s="3" t="s">
        <v>9007</v>
      </c>
      <c r="F2969" s="3" t="str">
        <f>"724-228-3636"</f>
        <v>724-228-3636</v>
      </c>
      <c r="G2969" s="3">
        <v>444110</v>
      </c>
      <c r="H2969" s="3" t="s">
        <v>3072</v>
      </c>
    </row>
    <row r="2970" spans="1:8" ht="51.75" x14ac:dyDescent="0.25">
      <c r="A2970" s="3" t="s">
        <v>9008</v>
      </c>
      <c r="B2970" s="3"/>
      <c r="C2970" s="3" t="str">
        <f>"DEVELOPING, DELIVERING, AND IMPLEMENTING ACTIONABLE AND RESULTS-ORIENTED HEALTHCARE STRATEGIES AND PROJECTS"</f>
        <v>DEVELOPING, DELIVERING, AND IMPLEMENTING ACTIONABLE AND RESULTS-ORIENTED HEALTHCARE STRATEGIES AND PROJECTS</v>
      </c>
      <c r="D2970" s="3" t="s">
        <v>9</v>
      </c>
      <c r="E2970" s="3" t="s">
        <v>9009</v>
      </c>
      <c r="F2970" s="3" t="str">
        <f>"3174148158"</f>
        <v>3174148158</v>
      </c>
      <c r="G2970" s="3">
        <v>54</v>
      </c>
      <c r="H2970" s="3" t="s">
        <v>179</v>
      </c>
    </row>
    <row r="2971" spans="1:8" ht="128.25" x14ac:dyDescent="0.25">
      <c r="A2971" s="3" t="s">
        <v>9010</v>
      </c>
      <c r="B2971" s="3"/>
      <c r="C2971" s="3" t="s">
        <v>9011</v>
      </c>
      <c r="D2971" s="3" t="s">
        <v>9</v>
      </c>
      <c r="E2971" s="3" t="s">
        <v>46</v>
      </c>
      <c r="F2971" s="2"/>
      <c r="G2971" s="3">
        <v>541330</v>
      </c>
      <c r="H2971" s="3" t="s">
        <v>82</v>
      </c>
    </row>
    <row r="2972" spans="1:8" ht="102.75" x14ac:dyDescent="0.25">
      <c r="A2972" s="3" t="s">
        <v>9012</v>
      </c>
      <c r="B2972" s="3"/>
      <c r="C2972" s="3" t="s">
        <v>9013</v>
      </c>
      <c r="D2972" s="3" t="s">
        <v>9</v>
      </c>
      <c r="E2972" s="3" t="s">
        <v>9014</v>
      </c>
      <c r="F2972" s="3" t="str">
        <f>"(317) 535-6174"</f>
        <v>(317) 535-6174</v>
      </c>
      <c r="G2972" s="3">
        <v>54133</v>
      </c>
      <c r="H2972" s="3" t="s">
        <v>82</v>
      </c>
    </row>
    <row r="2973" spans="1:8" ht="102.75" x14ac:dyDescent="0.25">
      <c r="A2973" s="3" t="s">
        <v>9015</v>
      </c>
      <c r="B2973" s="3"/>
      <c r="C2973" s="3" t="s">
        <v>9016</v>
      </c>
      <c r="D2973" s="3" t="s">
        <v>9017</v>
      </c>
      <c r="E2973" s="3" t="s">
        <v>9018</v>
      </c>
      <c r="F2973" s="3" t="str">
        <f>"574-936-8564"</f>
        <v>574-936-8564</v>
      </c>
      <c r="G2973" s="3">
        <v>238</v>
      </c>
      <c r="H2973" s="3" t="s">
        <v>397</v>
      </c>
    </row>
    <row r="2974" spans="1:8" ht="39" x14ac:dyDescent="0.25">
      <c r="A2974" s="3" t="s">
        <v>9019</v>
      </c>
      <c r="B2974" s="3"/>
      <c r="C2974" s="3" t="str">
        <f>"We are a bi-weekly Hispanic publication in CENTRAL INDIANA. Hispanic Newspaper El Coyote"</f>
        <v>We are a bi-weekly Hispanic publication in CENTRAL INDIANA. Hispanic Newspaper El Coyote</v>
      </c>
      <c r="D2974" s="3" t="s">
        <v>9020</v>
      </c>
      <c r="E2974" s="3" t="s">
        <v>9021</v>
      </c>
      <c r="F2974" s="3" t="str">
        <f>"317-536-5079"</f>
        <v>317-536-5079</v>
      </c>
      <c r="G2974" s="3">
        <v>23331</v>
      </c>
      <c r="H2974" s="3" t="s">
        <v>5828</v>
      </c>
    </row>
    <row r="2975" spans="1:8" ht="294" x14ac:dyDescent="0.25">
      <c r="A2975" s="3" t="s">
        <v>9022</v>
      </c>
      <c r="B2975" s="3"/>
      <c r="C2975" s="3" t="s">
        <v>9023</v>
      </c>
      <c r="D2975" s="3" t="s">
        <v>9024</v>
      </c>
      <c r="E2975" s="3" t="s">
        <v>9025</v>
      </c>
      <c r="F2975" s="3" t="str">
        <f>"(574) 533-9082"</f>
        <v>(574) 533-9082</v>
      </c>
      <c r="G2975" s="3">
        <v>5418</v>
      </c>
      <c r="H2975" s="3" t="s">
        <v>1337</v>
      </c>
    </row>
    <row r="2976" spans="1:8" ht="26.25" x14ac:dyDescent="0.25">
      <c r="A2976" s="3" t="s">
        <v>9026</v>
      </c>
      <c r="B2976" s="3"/>
      <c r="C2976" s="3" t="str">
        <f>" "</f>
        <v xml:space="preserve"> </v>
      </c>
      <c r="D2976" s="3" t="s">
        <v>9</v>
      </c>
      <c r="E2976" s="3" t="s">
        <v>46</v>
      </c>
      <c r="F2976" s="3" t="str">
        <f>"2192189488"</f>
        <v>2192189488</v>
      </c>
      <c r="G2976" s="3">
        <v>2371</v>
      </c>
      <c r="H2976" s="3" t="s">
        <v>4674</v>
      </c>
    </row>
    <row r="2977" spans="1:8" ht="204.75" x14ac:dyDescent="0.25">
      <c r="A2977" s="3" t="s">
        <v>9027</v>
      </c>
      <c r="B2977" s="3"/>
      <c r="C2977" s="3" t="s">
        <v>9028</v>
      </c>
      <c r="D2977" s="3" t="s">
        <v>9029</v>
      </c>
      <c r="E2977" s="3" t="s">
        <v>9030</v>
      </c>
      <c r="F2977" s="3" t="str">
        <f>"812-498-2277"</f>
        <v>812-498-2277</v>
      </c>
      <c r="G2977" s="3">
        <v>61</v>
      </c>
      <c r="H2977" s="3" t="s">
        <v>140</v>
      </c>
    </row>
    <row r="2978" spans="1:8" ht="39" x14ac:dyDescent="0.25">
      <c r="A2978" s="3" t="s">
        <v>9031</v>
      </c>
      <c r="B2978" s="3"/>
      <c r="C2978" s="3" t="str">
        <f>"ELAINE'S IS LOOKING FOR CLEANING JOBS FOR SMALLER OFFICES LIKE LISC BRANCHES, ETC."</f>
        <v>ELAINE'S IS LOOKING FOR CLEANING JOBS FOR SMALLER OFFICES LIKE LISC BRANCHES, ETC.</v>
      </c>
      <c r="D2978" s="3" t="s">
        <v>9</v>
      </c>
      <c r="E2978" s="3" t="s">
        <v>9032</v>
      </c>
      <c r="F2978" s="3" t="str">
        <f>"765-349-7698"</f>
        <v>765-349-7698</v>
      </c>
      <c r="G2978" s="3">
        <v>561720</v>
      </c>
      <c r="H2978" s="3" t="s">
        <v>222</v>
      </c>
    </row>
    <row r="2979" spans="1:8" ht="64.5" x14ac:dyDescent="0.25">
      <c r="A2979" s="3" t="s">
        <v>9033</v>
      </c>
      <c r="B2979" s="3"/>
      <c r="C2979" s="3" t="str">
        <f>"Elan Development Inc. is a customized software engineering company. We specialize in new software development, software upgrades, and web based technologies."</f>
        <v>Elan Development Inc. is a customized software engineering company. We specialize in new software development, software upgrades, and web based technologies.</v>
      </c>
      <c r="D2979" s="3" t="s">
        <v>9034</v>
      </c>
      <c r="E2979" s="3" t="s">
        <v>9035</v>
      </c>
      <c r="F2979" s="3" t="str">
        <f>"317-423-3526"</f>
        <v>317-423-3526</v>
      </c>
      <c r="G2979" s="3">
        <v>541511</v>
      </c>
      <c r="H2979" s="3" t="s">
        <v>122</v>
      </c>
    </row>
    <row r="2980" spans="1:8" ht="294" x14ac:dyDescent="0.25">
      <c r="A2980" s="3" t="s">
        <v>9036</v>
      </c>
      <c r="B2980" s="3"/>
      <c r="C2980" s="3" t="s">
        <v>9037</v>
      </c>
      <c r="D2980" s="3" t="s">
        <v>9038</v>
      </c>
      <c r="E2980" s="3" t="s">
        <v>9039</v>
      </c>
      <c r="F2980" s="3" t="str">
        <f>"812-988-9353"</f>
        <v>812-988-9353</v>
      </c>
      <c r="G2980" s="3">
        <v>3329</v>
      </c>
      <c r="H2980" s="3" t="s">
        <v>6800</v>
      </c>
    </row>
    <row r="2981" spans="1:8" ht="51.75" x14ac:dyDescent="0.25">
      <c r="A2981" s="3" t="s">
        <v>9040</v>
      </c>
      <c r="B2981" s="3"/>
      <c r="C2981" s="3" t="str">
        <f>"Electrical Contractor serving the Central Indiana area. Work includes institutional, correctional, industrial, commercial, educational construction."</f>
        <v>Electrical Contractor serving the Central Indiana area. Work includes institutional, correctional, industrial, commercial, educational construction.</v>
      </c>
      <c r="D2981" s="3" t="s">
        <v>9041</v>
      </c>
      <c r="E2981" s="3" t="s">
        <v>9042</v>
      </c>
      <c r="F2981" s="3" t="str">
        <f>"317-718-0100"</f>
        <v>317-718-0100</v>
      </c>
      <c r="G2981" s="3">
        <v>23</v>
      </c>
      <c r="H2981" s="3" t="s">
        <v>133</v>
      </c>
    </row>
    <row r="2982" spans="1:8" ht="26.25" x14ac:dyDescent="0.25">
      <c r="A2982" s="3" t="s">
        <v>9043</v>
      </c>
      <c r="B2982" s="3"/>
      <c r="C2982" s="3" t="str">
        <f>"We provide generator sales, installation, service, and maintenance."</f>
        <v>We provide generator sales, installation, service, and maintenance.</v>
      </c>
      <c r="D2982" s="3" t="s">
        <v>9044</v>
      </c>
      <c r="E2982" s="3" t="s">
        <v>9045</v>
      </c>
      <c r="F2982" s="3" t="str">
        <f>"219-662-5976"</f>
        <v>219-662-5976</v>
      </c>
      <c r="G2982" s="3">
        <v>238210</v>
      </c>
      <c r="H2982" s="3" t="s">
        <v>306</v>
      </c>
    </row>
    <row r="2983" spans="1:8" ht="90" x14ac:dyDescent="0.25">
      <c r="A2983" s="3" t="s">
        <v>9046</v>
      </c>
      <c r="B2983" s="3"/>
      <c r="C2983" s="3" t="s">
        <v>9047</v>
      </c>
      <c r="D2983" s="3" t="s">
        <v>9048</v>
      </c>
      <c r="E2983" s="3" t="s">
        <v>9049</v>
      </c>
      <c r="F2983" s="3" t="str">
        <f>"317-849-4883"</f>
        <v>317-849-4883</v>
      </c>
      <c r="G2983" s="3">
        <v>238210</v>
      </c>
      <c r="H2983" s="3" t="s">
        <v>306</v>
      </c>
    </row>
    <row r="2984" spans="1:8" ht="51.75" x14ac:dyDescent="0.25">
      <c r="A2984" s="3" t="s">
        <v>9050</v>
      </c>
      <c r="B2984" s="3"/>
      <c r="C2984" s="3" t="str">
        <f>"Indiana firm providing electrical mechanical systems design, build and maintenance services to Industrial, Commerical, Institutional businesses."</f>
        <v>Indiana firm providing electrical mechanical systems design, build and maintenance services to Industrial, Commerical, Institutional businesses.</v>
      </c>
      <c r="D2984" s="3" t="s">
        <v>9</v>
      </c>
      <c r="E2984" s="3" t="s">
        <v>9051</v>
      </c>
      <c r="F2984" s="3" t="str">
        <f>"317-924-9265"</f>
        <v>317-924-9265</v>
      </c>
      <c r="G2984" s="3">
        <v>238210</v>
      </c>
      <c r="H2984" s="3" t="s">
        <v>306</v>
      </c>
    </row>
    <row r="2985" spans="1:8" ht="128.25" x14ac:dyDescent="0.25">
      <c r="A2985" s="3" t="s">
        <v>9052</v>
      </c>
      <c r="B2985" s="3"/>
      <c r="C2985" s="3" t="s">
        <v>9053</v>
      </c>
      <c r="D2985" s="3" t="s">
        <v>9054</v>
      </c>
      <c r="E2985" s="3" t="s">
        <v>46</v>
      </c>
      <c r="F2985" s="3" t="str">
        <f>"812-723-2626"</f>
        <v>812-723-2626</v>
      </c>
      <c r="G2985" s="3">
        <v>2371</v>
      </c>
      <c r="H2985" s="3" t="s">
        <v>4674</v>
      </c>
    </row>
    <row r="2986" spans="1:8" ht="51.75" x14ac:dyDescent="0.25">
      <c r="A2986" s="3" t="s">
        <v>9055</v>
      </c>
      <c r="B2986" s="3"/>
      <c r="C2986" s="3" t="str">
        <f>"Two-Way Radio, Outdoor Warning Siren Systems, Emergency Vehicle Lighting, Closed Circuit Camera Systems. Sales and Service Repair"</f>
        <v>Two-Way Radio, Outdoor Warning Siren Systems, Emergency Vehicle Lighting, Closed Circuit Camera Systems. Sales and Service Repair</v>
      </c>
      <c r="D2986" s="3" t="s">
        <v>9</v>
      </c>
      <c r="E2986" s="3" t="s">
        <v>46</v>
      </c>
      <c r="F2986" s="2"/>
      <c r="G2986" s="3">
        <v>811213</v>
      </c>
      <c r="H2986" s="3" t="s">
        <v>1077</v>
      </c>
    </row>
    <row r="2987" spans="1:8" ht="77.25" x14ac:dyDescent="0.25">
      <c r="A2987" s="3" t="s">
        <v>9056</v>
      </c>
      <c r="B2987" s="3"/>
      <c r="C2987" s="3" t="str">
        <f>"Audio visual equipment and presentation systems, videoconferencing, audioconferencing, digital signage, and Cisco telepresence systems including, engineering, installation and maintenance services."</f>
        <v>Audio visual equipment and presentation systems, videoconferencing, audioconferencing, digital signage, and Cisco telepresence systems including, engineering, installation and maintenance services.</v>
      </c>
      <c r="D2987" s="3" t="s">
        <v>9057</v>
      </c>
      <c r="E2987" s="3" t="s">
        <v>9058</v>
      </c>
      <c r="F2987" s="3" t="str">
        <f>"317-848-7503"</f>
        <v>317-848-7503</v>
      </c>
      <c r="G2987" s="3">
        <v>334310</v>
      </c>
      <c r="H2987" s="3" t="s">
        <v>2776</v>
      </c>
    </row>
    <row r="2988" spans="1:8" ht="26.25" x14ac:dyDescent="0.25">
      <c r="A2988" s="3" t="s">
        <v>9059</v>
      </c>
      <c r="B2988" s="3"/>
      <c r="C2988" s="3" t="str">
        <f>"Project &amp; Logistics Management, Financial Planning, Process Development &amp; Control"</f>
        <v>Project &amp; Logistics Management, Financial Planning, Process Development &amp; Control</v>
      </c>
      <c r="D2988" s="3" t="s">
        <v>9060</v>
      </c>
      <c r="E2988" s="3" t="s">
        <v>9061</v>
      </c>
      <c r="F2988" s="3" t="str">
        <f>"317.902.7105"</f>
        <v>317.902.7105</v>
      </c>
      <c r="G2988" s="3">
        <v>541611</v>
      </c>
      <c r="H2988" s="3" t="s">
        <v>278</v>
      </c>
    </row>
    <row r="2989" spans="1:8" ht="26.25" x14ac:dyDescent="0.25">
      <c r="A2989" s="3" t="s">
        <v>9062</v>
      </c>
      <c r="B2989" s="3"/>
      <c r="C2989" s="3" t="str">
        <f>"IT company focusing on solutions including"</f>
        <v>IT company focusing on solutions including</v>
      </c>
      <c r="D2989" s="3" t="s">
        <v>9063</v>
      </c>
      <c r="E2989" s="3" t="s">
        <v>9064</v>
      </c>
      <c r="F2989" s="3" t="str">
        <f>"317-596-9891"</f>
        <v>317-596-9891</v>
      </c>
      <c r="G2989" s="3">
        <v>511210</v>
      </c>
      <c r="H2989" s="3" t="s">
        <v>315</v>
      </c>
    </row>
    <row r="2990" spans="1:8" ht="306.75" x14ac:dyDescent="0.25">
      <c r="A2990" s="3" t="s">
        <v>9065</v>
      </c>
      <c r="B2990" s="3"/>
      <c r="C2990" s="3" t="s">
        <v>9066</v>
      </c>
      <c r="D2990" s="3" t="s">
        <v>9067</v>
      </c>
      <c r="E2990" s="3" t="s">
        <v>9068</v>
      </c>
      <c r="F2990" s="3" t="str">
        <f>"317-203-6056"</f>
        <v>317-203-6056</v>
      </c>
      <c r="G2990" s="3">
        <v>561621</v>
      </c>
      <c r="H2990" s="3" t="s">
        <v>827</v>
      </c>
    </row>
    <row r="2991" spans="1:8" ht="39" x14ac:dyDescent="0.25">
      <c r="A2991" s="3" t="s">
        <v>9069</v>
      </c>
      <c r="B2991" s="3"/>
      <c r="C2991" s="3" t="str">
        <f>"We sell, install,&amp; service business telephone equipment. We install telephone &amp; computer cables. CAT 5"</f>
        <v>We sell, install,&amp; service business telephone equipment. We install telephone &amp; computer cables. CAT 5</v>
      </c>
      <c r="D2991" s="3" t="s">
        <v>9</v>
      </c>
      <c r="E2991" s="3" t="s">
        <v>46</v>
      </c>
      <c r="F2991" s="3" t="str">
        <f>"317-849-8888"</f>
        <v>317-849-8888</v>
      </c>
      <c r="G2991" s="3">
        <v>238210</v>
      </c>
      <c r="H2991" s="3" t="s">
        <v>306</v>
      </c>
    </row>
    <row r="2992" spans="1:8" ht="102.75" x14ac:dyDescent="0.25">
      <c r="A2992" s="3" t="s">
        <v>9070</v>
      </c>
      <c r="B2992" s="3"/>
      <c r="C2992" s="3" t="s">
        <v>9071</v>
      </c>
      <c r="D2992" s="3" t="s">
        <v>9072</v>
      </c>
      <c r="E2992" s="3" t="s">
        <v>9073</v>
      </c>
      <c r="F2992" s="3" t="str">
        <f>"812-235-8000"</f>
        <v>812-235-8000</v>
      </c>
      <c r="G2992" s="3">
        <v>423690</v>
      </c>
      <c r="H2992" s="3" t="s">
        <v>6724</v>
      </c>
    </row>
    <row r="2993" spans="1:8" ht="115.5" x14ac:dyDescent="0.25">
      <c r="A2993" s="3" t="s">
        <v>9074</v>
      </c>
      <c r="B2993" s="3"/>
      <c r="C2993" s="3" t="s">
        <v>9075</v>
      </c>
      <c r="D2993" s="3" t="s">
        <v>9076</v>
      </c>
      <c r="E2993" s="3" t="s">
        <v>9077</v>
      </c>
      <c r="F2993" s="3" t="str">
        <f>"800-899-8817"</f>
        <v>800-899-8817</v>
      </c>
      <c r="G2993" s="3">
        <v>238320</v>
      </c>
      <c r="H2993" s="3" t="s">
        <v>462</v>
      </c>
    </row>
    <row r="2994" spans="1:8" ht="51.75" x14ac:dyDescent="0.25">
      <c r="A2994" s="3" t="s">
        <v>9078</v>
      </c>
      <c r="B2994" s="3"/>
      <c r="C2994" s="3" t="str">
        <f>"We provide promotional products including screen printed and embroidered apparel, office accesories, key chains, drinkware, etc."</f>
        <v>We provide promotional products including screen printed and embroidered apparel, office accesories, key chains, drinkware, etc.</v>
      </c>
      <c r="D2994" s="3" t="s">
        <v>9079</v>
      </c>
      <c r="E2994" s="3" t="s">
        <v>9080</v>
      </c>
      <c r="F2994" s="3" t="str">
        <f>"800-353-4261"</f>
        <v>800-353-4261</v>
      </c>
      <c r="G2994" s="3">
        <v>541890</v>
      </c>
      <c r="H2994" s="3" t="s">
        <v>401</v>
      </c>
    </row>
    <row r="2995" spans="1:8" ht="64.5" x14ac:dyDescent="0.25">
      <c r="A2995" s="3" t="s">
        <v>9081</v>
      </c>
      <c r="B2995" s="3"/>
      <c r="C2995" s="3" t="str">
        <f>"Civil Engineering company specializing in: site design, development, hydraulics, hydrology, storm water quality, construction plans, grading &amp; drainage plans, stream modeling, &amp; permitting."</f>
        <v>Civil Engineering company specializing in: site design, development, hydraulics, hydrology, storm water quality, construction plans, grading &amp; drainage plans, stream modeling, &amp; permitting.</v>
      </c>
      <c r="D2995" s="3" t="s">
        <v>9</v>
      </c>
      <c r="E2995" s="3" t="s">
        <v>9082</v>
      </c>
      <c r="F2995" s="3" t="str">
        <f>"(317) 490-7054"</f>
        <v>(317) 490-7054</v>
      </c>
      <c r="G2995" s="3">
        <v>541330</v>
      </c>
      <c r="H2995" s="3" t="s">
        <v>82</v>
      </c>
    </row>
    <row r="2996" spans="1:8" ht="77.25" x14ac:dyDescent="0.25">
      <c r="A2996" s="3" t="s">
        <v>9083</v>
      </c>
      <c r="B2996" s="3"/>
      <c r="C2996" s="3" t="str">
        <f>"We are an IT services company focusing on training, software development, IT staff augmentation, data administration, web hosting, general IT consulting, application support, testing, validation and project management."</f>
        <v>We are an IT services company focusing on training, software development, IT staff augmentation, data administration, web hosting, general IT consulting, application support, testing, validation and project management.</v>
      </c>
      <c r="D2996" s="3" t="s">
        <v>9084</v>
      </c>
      <c r="E2996" s="3" t="s">
        <v>9085</v>
      </c>
      <c r="F2996" s="3" t="str">
        <f>"317-336-3002"</f>
        <v>317-336-3002</v>
      </c>
      <c r="G2996" s="3">
        <v>541519</v>
      </c>
      <c r="H2996" s="3" t="s">
        <v>898</v>
      </c>
    </row>
    <row r="2997" spans="1:8" ht="128.25" x14ac:dyDescent="0.25">
      <c r="A2997" s="3" t="s">
        <v>9086</v>
      </c>
      <c r="B2997" s="3"/>
      <c r="C2997" s="3" t="s">
        <v>9087</v>
      </c>
      <c r="D2997" s="3" t="s">
        <v>9088</v>
      </c>
      <c r="E2997" s="3" t="s">
        <v>9089</v>
      </c>
      <c r="F2997" s="3" t="str">
        <f>"317-543-9347"</f>
        <v>317-543-9347</v>
      </c>
      <c r="G2997" s="3">
        <v>621330</v>
      </c>
      <c r="H2997" s="3" t="s">
        <v>2643</v>
      </c>
    </row>
    <row r="2998" spans="1:8" ht="90" x14ac:dyDescent="0.25">
      <c r="A2998" s="3" t="s">
        <v>9090</v>
      </c>
      <c r="B2998" s="3"/>
      <c r="C2998" s="3" t="s">
        <v>9091</v>
      </c>
      <c r="D2998" s="3" t="s">
        <v>9092</v>
      </c>
      <c r="E2998" s="3" t="s">
        <v>9093</v>
      </c>
      <c r="F2998" s="3" t="str">
        <f>"219-661-0167"</f>
        <v>219-661-0167</v>
      </c>
      <c r="G2998" s="3">
        <v>23491</v>
      </c>
      <c r="H2998" s="3" t="s">
        <v>1107</v>
      </c>
    </row>
    <row r="2999" spans="1:8" ht="77.25" x14ac:dyDescent="0.25">
      <c r="A2999" s="3" t="s">
        <v>9094</v>
      </c>
      <c r="B2999" s="3"/>
      <c r="C2999" s="3" t="str">
        <f>"Elite provides accounting and tax services to individuals, small business and non for profits. We offer an online bookkeeping service. We also provide consulting services to individuals and small to mid size companies."</f>
        <v>Elite provides accounting and tax services to individuals, small business and non for profits. We offer an online bookkeeping service. We also provide consulting services to individuals and small to mid size companies.</v>
      </c>
      <c r="D2999" s="3" t="s">
        <v>9</v>
      </c>
      <c r="E2999" s="3" t="s">
        <v>9095</v>
      </c>
      <c r="F2999" s="3" t="str">
        <f>"317-566-2196"</f>
        <v>317-566-2196</v>
      </c>
      <c r="G2999" s="3">
        <v>541211</v>
      </c>
      <c r="H2999" s="3" t="s">
        <v>337</v>
      </c>
    </row>
    <row r="3000" spans="1:8" ht="102.75" x14ac:dyDescent="0.25">
      <c r="A3000" s="3" t="s">
        <v>9096</v>
      </c>
      <c r="B3000" s="3"/>
      <c r="C3000" s="3" t="s">
        <v>9097</v>
      </c>
      <c r="D3000" s="3" t="s">
        <v>9</v>
      </c>
      <c r="E3000" s="3" t="s">
        <v>9098</v>
      </c>
      <c r="F3000" s="3" t="str">
        <f>"317-289-9076"</f>
        <v>317-289-9076</v>
      </c>
      <c r="G3000" s="3">
        <v>811</v>
      </c>
      <c r="H3000" s="3" t="s">
        <v>816</v>
      </c>
    </row>
    <row r="3001" spans="1:8" ht="115.5" x14ac:dyDescent="0.25">
      <c r="A3001" s="3" t="s">
        <v>9099</v>
      </c>
      <c r="B3001" s="3"/>
      <c r="C3001" s="3" t="s">
        <v>9100</v>
      </c>
      <c r="D3001" s="3" t="s">
        <v>9101</v>
      </c>
      <c r="E3001" s="3" t="s">
        <v>9102</v>
      </c>
      <c r="F3001" s="3" t="str">
        <f>"574-834-3400"</f>
        <v>574-834-3400</v>
      </c>
      <c r="G3001" s="3">
        <v>425110</v>
      </c>
      <c r="H3001" s="3" t="s">
        <v>5014</v>
      </c>
    </row>
    <row r="3002" spans="1:8" ht="51.75" x14ac:dyDescent="0.25">
      <c r="A3002" s="3" t="s">
        <v>9103</v>
      </c>
      <c r="B3002" s="3"/>
      <c r="C3002" s="3" t="str">
        <f>"Glazing contractor for the commercial and residential industry including storefront, glass, mirrors, curtain wall, caulking, panel systems and service."</f>
        <v>Glazing contractor for the commercial and residential industry including storefront, glass, mirrors, curtain wall, caulking, panel systems and service.</v>
      </c>
      <c r="D3002" s="3" t="s">
        <v>9</v>
      </c>
      <c r="E3002" s="3" t="s">
        <v>9104</v>
      </c>
      <c r="F3002" s="3" t="str">
        <f>"317-823-6500"</f>
        <v>317-823-6500</v>
      </c>
      <c r="G3002" s="3">
        <v>238150</v>
      </c>
      <c r="H3002" s="3" t="s">
        <v>2530</v>
      </c>
    </row>
    <row r="3003" spans="1:8" ht="39" x14ac:dyDescent="0.25">
      <c r="A3003" s="3" t="s">
        <v>9105</v>
      </c>
      <c r="B3003" s="3"/>
      <c r="C3003" s="3" t="str">
        <f>"We are a heating and cooling service and installation company. We also design and install ductwork and mechanical piping."</f>
        <v>We are a heating and cooling service and installation company. We also design and install ductwork and mechanical piping.</v>
      </c>
      <c r="D3003" s="3" t="s">
        <v>9106</v>
      </c>
      <c r="E3003" s="3" t="s">
        <v>9107</v>
      </c>
      <c r="F3003" s="3" t="str">
        <f>"5747224555"</f>
        <v>5747224555</v>
      </c>
      <c r="G3003" s="3">
        <v>238220</v>
      </c>
      <c r="H3003" s="3" t="s">
        <v>348</v>
      </c>
    </row>
    <row r="3004" spans="1:8" ht="90" x14ac:dyDescent="0.25">
      <c r="A3004" s="3" t="s">
        <v>9108</v>
      </c>
      <c r="B3004" s="3"/>
      <c r="C3004" s="3" t="s">
        <v>9109</v>
      </c>
      <c r="D3004" s="3" t="s">
        <v>9</v>
      </c>
      <c r="E3004" s="3" t="s">
        <v>9110</v>
      </c>
      <c r="F3004" s="3" t="str">
        <f>"317-490-6491"</f>
        <v>317-490-6491</v>
      </c>
      <c r="G3004" s="3">
        <v>23521</v>
      </c>
      <c r="H3004" s="3" t="s">
        <v>462</v>
      </c>
    </row>
    <row r="3005" spans="1:8" ht="115.5" x14ac:dyDescent="0.25">
      <c r="A3005" s="3" t="s">
        <v>9111</v>
      </c>
      <c r="B3005" s="3"/>
      <c r="C3005" s="3" t="s">
        <v>9112</v>
      </c>
      <c r="D3005" s="3" t="s">
        <v>9113</v>
      </c>
      <c r="E3005" s="3" t="s">
        <v>9114</v>
      </c>
      <c r="F3005" s="3" t="str">
        <f>"317-257-2744"</f>
        <v>317-257-2744</v>
      </c>
      <c r="G3005" s="3">
        <v>561410</v>
      </c>
      <c r="H3005" s="3" t="s">
        <v>4164</v>
      </c>
    </row>
    <row r="3006" spans="1:8" ht="115.5" x14ac:dyDescent="0.25">
      <c r="A3006" s="3" t="s">
        <v>9115</v>
      </c>
      <c r="B3006" s="3"/>
      <c r="C3006" s="3" t="s">
        <v>9116</v>
      </c>
      <c r="D3006" s="3" t="s">
        <v>9117</v>
      </c>
      <c r="E3006" s="3" t="s">
        <v>9118</v>
      </c>
      <c r="F3006" s="3" t="str">
        <f>"(574) 876-0787"</f>
        <v>(574) 876-0787</v>
      </c>
      <c r="G3006" s="3">
        <v>561730</v>
      </c>
      <c r="H3006" s="3" t="s">
        <v>65</v>
      </c>
    </row>
    <row r="3007" spans="1:8" ht="179.25" x14ac:dyDescent="0.25">
      <c r="A3007" s="3" t="s">
        <v>9119</v>
      </c>
      <c r="B3007" s="3"/>
      <c r="C3007" s="3" t="s">
        <v>9120</v>
      </c>
      <c r="D3007" s="3" t="s">
        <v>9121</v>
      </c>
      <c r="E3007" s="3" t="s">
        <v>46</v>
      </c>
      <c r="F3007" s="3" t="str">
        <f>"812-571-2987"</f>
        <v>812-571-2987</v>
      </c>
      <c r="G3007" s="3">
        <v>237310</v>
      </c>
      <c r="H3007" s="3" t="s">
        <v>768</v>
      </c>
    </row>
    <row r="3008" spans="1:8" ht="26.25" x14ac:dyDescent="0.25">
      <c r="A3008" s="3" t="s">
        <v>9122</v>
      </c>
      <c r="B3008" s="3"/>
      <c r="C3008" s="3" t="str">
        <f>"Our business provides police officers for security guard service."</f>
        <v>Our business provides police officers for security guard service.</v>
      </c>
      <c r="D3008" s="3" t="s">
        <v>9123</v>
      </c>
      <c r="E3008" s="3" t="s">
        <v>9124</v>
      </c>
      <c r="F3008" s="3" t="str">
        <f>"317-710-2421"</f>
        <v>317-710-2421</v>
      </c>
      <c r="G3008" s="3">
        <v>561612</v>
      </c>
      <c r="H3008" s="3" t="s">
        <v>362</v>
      </c>
    </row>
    <row r="3009" spans="1:8" ht="319.5" x14ac:dyDescent="0.25">
      <c r="A3009" s="3" t="s">
        <v>9125</v>
      </c>
      <c r="B3009" s="3"/>
      <c r="C3009" s="3" t="s">
        <v>9126</v>
      </c>
      <c r="D3009" s="3" t="s">
        <v>9127</v>
      </c>
      <c r="E3009" s="3" t="s">
        <v>9128</v>
      </c>
      <c r="F3009" s="3" t="str">
        <f>"317/259-0191"</f>
        <v>317/259-0191</v>
      </c>
      <c r="G3009" s="3">
        <v>235</v>
      </c>
      <c r="H3009" s="3" t="s">
        <v>259</v>
      </c>
    </row>
    <row r="3010" spans="1:8" ht="39" x14ac:dyDescent="0.25">
      <c r="A3010" s="3" t="s">
        <v>9129</v>
      </c>
      <c r="B3010" s="3"/>
      <c r="C3010" s="3" t="str">
        <f>"Producer and supllier of Sand and Gravel products. Supplier of limestone, topsoil, and recycled concrete products."</f>
        <v>Producer and supllier of Sand and Gravel products. Supplier of limestone, topsoil, and recycled concrete products.</v>
      </c>
      <c r="D3010" s="3" t="s">
        <v>9130</v>
      </c>
      <c r="E3010" s="3" t="s">
        <v>9131</v>
      </c>
      <c r="F3010" s="3" t="str">
        <f>"574-831-2815"</f>
        <v>574-831-2815</v>
      </c>
      <c r="G3010" s="3">
        <v>212321</v>
      </c>
      <c r="H3010" s="3" t="s">
        <v>4979</v>
      </c>
    </row>
    <row r="3011" spans="1:8" ht="51.75" x14ac:dyDescent="0.25">
      <c r="A3011" s="3" t="s">
        <v>9132</v>
      </c>
      <c r="B3011" s="3"/>
      <c r="C3011" s="3" t="str">
        <f>"Healthcare system includes a general and surgical hospital, physician practices, home care services, and home medical equipment supplier."</f>
        <v>Healthcare system includes a general and surgical hospital, physician practices, home care services, and home medical equipment supplier.</v>
      </c>
      <c r="D3011" s="3" t="s">
        <v>9133</v>
      </c>
      <c r="E3011" s="3" t="s">
        <v>46</v>
      </c>
      <c r="F3011" s="3" t="str">
        <f>"574-294-2621"</f>
        <v>574-294-2621</v>
      </c>
      <c r="G3011" s="3">
        <v>622110</v>
      </c>
      <c r="H3011" s="3" t="s">
        <v>3335</v>
      </c>
    </row>
    <row r="3012" spans="1:8" ht="102.75" x14ac:dyDescent="0.25">
      <c r="A3012" s="3" t="s">
        <v>9134</v>
      </c>
      <c r="B3012" s="3"/>
      <c r="C3012" s="3" t="s">
        <v>9135</v>
      </c>
      <c r="D3012" s="3" t="s">
        <v>9136</v>
      </c>
      <c r="E3012" s="3" t="s">
        <v>9137</v>
      </c>
      <c r="F3012" s="3" t="str">
        <f>"574-215-7350"</f>
        <v>574-215-7350</v>
      </c>
      <c r="G3012" s="3">
        <v>561720</v>
      </c>
      <c r="H3012" s="3" t="s">
        <v>222</v>
      </c>
    </row>
    <row r="3013" spans="1:8" ht="64.5" x14ac:dyDescent="0.25">
      <c r="A3013" s="3" t="s">
        <v>9138</v>
      </c>
      <c r="B3013" s="3"/>
      <c r="C3013" s="3" t="str">
        <f>"Ellington Trucking LLC will provide hourly and tonnage hauling services for governmental, commercial and residential Clients within the construction industry located in the state of Indiana."</f>
        <v>Ellington Trucking LLC will provide hourly and tonnage hauling services for governmental, commercial and residential Clients within the construction industry located in the state of Indiana.</v>
      </c>
      <c r="D3013" s="3" t="s">
        <v>9</v>
      </c>
      <c r="E3013" s="3" t="s">
        <v>9139</v>
      </c>
      <c r="F3013" s="3" t="str">
        <f>"317-807-3227"</f>
        <v>317-807-3227</v>
      </c>
      <c r="G3013" s="3">
        <v>4841</v>
      </c>
      <c r="H3013" s="3" t="s">
        <v>3598</v>
      </c>
    </row>
    <row r="3014" spans="1:8" ht="90" x14ac:dyDescent="0.25">
      <c r="A3014" s="3" t="s">
        <v>9140</v>
      </c>
      <c r="B3014" s="3"/>
      <c r="C3014" s="3" t="str">
        <f>"Manufacturers of cold storage: walk-in coolers, freezers, refrigerated buildings, environmental chambers, blast freezers, blast chillers, warehouses, and specialty refrigerated equipment (blood banks, morgues, test chambers, pharmecutical storage)."</f>
        <v>Manufacturers of cold storage: walk-in coolers, freezers, refrigerated buildings, environmental chambers, blast freezers, blast chillers, warehouses, and specialty refrigerated equipment (blood banks, morgues, test chambers, pharmecutical storage).</v>
      </c>
      <c r="D3014" s="3" t="s">
        <v>9141</v>
      </c>
      <c r="E3014" s="3" t="s">
        <v>9142</v>
      </c>
      <c r="F3014" s="3" t="str">
        <f>"(317) 453-2295"</f>
        <v>(317) 453-2295</v>
      </c>
      <c r="G3014" s="3">
        <v>33299</v>
      </c>
      <c r="H3014" s="3" t="s">
        <v>8211</v>
      </c>
    </row>
    <row r="3015" spans="1:8" ht="39" x14ac:dyDescent="0.25">
      <c r="A3015" s="3" t="s">
        <v>9143</v>
      </c>
      <c r="B3015" s="3"/>
      <c r="C3015" s="3" t="str">
        <f>"Hydraulic press sales and service. Cycle tester design. Hydraulic consultant. Control panel design. Machine design."</f>
        <v>Hydraulic press sales and service. Cycle tester design. Hydraulic consultant. Control panel design. Machine design.</v>
      </c>
      <c r="D3015" s="3" t="s">
        <v>9144</v>
      </c>
      <c r="E3015" s="3" t="s">
        <v>9145</v>
      </c>
      <c r="F3015" s="3" t="str">
        <f>"574/404-6277"</f>
        <v>574/404-6277</v>
      </c>
      <c r="G3015" s="3">
        <v>813920</v>
      </c>
      <c r="H3015" s="3" t="s">
        <v>8755</v>
      </c>
    </row>
    <row r="3016" spans="1:8" ht="26.25" x14ac:dyDescent="0.25">
      <c r="A3016" s="3" t="s">
        <v>9146</v>
      </c>
      <c r="B3016" s="3"/>
      <c r="C3016" s="3" t="str">
        <f>"Commercial/Industrial HVAC and electrical contractor"</f>
        <v>Commercial/Industrial HVAC and electrical contractor</v>
      </c>
      <c r="D3016" s="3" t="s">
        <v>9147</v>
      </c>
      <c r="E3016" s="3" t="s">
        <v>9148</v>
      </c>
      <c r="F3016" s="3" t="str">
        <f>"317-786-2957"</f>
        <v>317-786-2957</v>
      </c>
      <c r="G3016" s="3">
        <v>238220</v>
      </c>
      <c r="H3016" s="3" t="s">
        <v>348</v>
      </c>
    </row>
    <row r="3017" spans="1:8" ht="255.75" x14ac:dyDescent="0.25">
      <c r="A3017" s="3" t="s">
        <v>9149</v>
      </c>
      <c r="B3017" s="3"/>
      <c r="C3017" s="3" t="s">
        <v>9150</v>
      </c>
      <c r="D3017" s="3" t="s">
        <v>9151</v>
      </c>
      <c r="E3017" s="3" t="s">
        <v>9152</v>
      </c>
      <c r="F3017" s="3" t="str">
        <f>"317.446.0951"</f>
        <v>317.446.0951</v>
      </c>
      <c r="G3017" s="3">
        <v>541930</v>
      </c>
      <c r="H3017" s="3" t="s">
        <v>971</v>
      </c>
    </row>
    <row r="3018" spans="1:8" ht="51.75" x14ac:dyDescent="0.25">
      <c r="A3018" s="3" t="s">
        <v>9153</v>
      </c>
      <c r="B3018" s="3"/>
      <c r="C3018" s="3" t="str">
        <f>"All types of fertilizers, liquid plant foods and chemicals for farm and agriculture needs. Service and delivery throughout the entire state of Indiana."</f>
        <v>All types of fertilizers, liquid plant foods and chemicals for farm and agriculture needs. Service and delivery throughout the entire state of Indiana.</v>
      </c>
      <c r="D3018" s="3" t="s">
        <v>9</v>
      </c>
      <c r="E3018" s="3" t="s">
        <v>9154</v>
      </c>
      <c r="F3018" s="3" t="str">
        <f>"812-654-3177"</f>
        <v>812-654-3177</v>
      </c>
      <c r="G3018" s="3">
        <v>424910</v>
      </c>
      <c r="H3018" s="3" t="s">
        <v>1636</v>
      </c>
    </row>
    <row r="3019" spans="1:8" ht="64.5" x14ac:dyDescent="0.25">
      <c r="A3019" s="3" t="s">
        <v>9155</v>
      </c>
      <c r="B3019" s="3"/>
      <c r="C3019" s="3" t="str">
        <f>"Elrod's Carpet Cleaning has been in business since 2008. I clean carpeting and upholstery in personal homes and businesses. The chemicals that I use are environmentally safe."</f>
        <v>Elrod's Carpet Cleaning has been in business since 2008. I clean carpeting and upholstery in personal homes and businesses. The chemicals that I use are environmentally safe.</v>
      </c>
      <c r="D3019" s="3" t="s">
        <v>9</v>
      </c>
      <c r="E3019" s="3" t="s">
        <v>9156</v>
      </c>
      <c r="F3019" s="3" t="str">
        <f>"812-653-2434"</f>
        <v>812-653-2434</v>
      </c>
      <c r="G3019" s="3">
        <v>811490</v>
      </c>
      <c r="H3019" s="3" t="s">
        <v>1539</v>
      </c>
    </row>
    <row r="3020" spans="1:8" ht="51.75" x14ac:dyDescent="0.25">
      <c r="A3020" s="3" t="s">
        <v>9157</v>
      </c>
      <c r="B3020" s="3"/>
      <c r="C3020" s="3" t="str">
        <f>"Installation, service and repair of burglar alarm systems, fire alarm systems, cctv systems, video surveillance systems, access control systems, sound systems, etc."</f>
        <v>Installation, service and repair of burglar alarm systems, fire alarm systems, cctv systems, video surveillance systems, access control systems, sound systems, etc.</v>
      </c>
      <c r="D3020" s="3" t="s">
        <v>9158</v>
      </c>
      <c r="E3020" s="3" t="s">
        <v>9159</v>
      </c>
      <c r="F3020" s="3" t="str">
        <f>"260-627-7101"</f>
        <v>260-627-7101</v>
      </c>
      <c r="G3020" s="3">
        <v>5617</v>
      </c>
      <c r="H3020" s="3" t="s">
        <v>812</v>
      </c>
    </row>
    <row r="3021" spans="1:8" ht="141" x14ac:dyDescent="0.25">
      <c r="A3021" s="3" t="s">
        <v>9160</v>
      </c>
      <c r="B3021" s="3"/>
      <c r="C3021" s="3" t="s">
        <v>9161</v>
      </c>
      <c r="D3021" s="3" t="s">
        <v>9162</v>
      </c>
      <c r="E3021" s="3" t="s">
        <v>9163</v>
      </c>
      <c r="F3021" s="3" t="str">
        <f>"260-359-0747"</f>
        <v>260-359-0747</v>
      </c>
      <c r="G3021" s="3">
        <v>334</v>
      </c>
      <c r="H3021" s="3" t="s">
        <v>9164</v>
      </c>
    </row>
    <row r="3022" spans="1:8" ht="51.75" x14ac:dyDescent="0.25">
      <c r="A3022" s="3" t="s">
        <v>9165</v>
      </c>
      <c r="B3022" s="3"/>
      <c r="C3022" s="3" t="str">
        <f>"We do custom picture framing and pre-framed art sales to commercial and residential customers. We are celebrating our 30th Anniversary this year."</f>
        <v>We do custom picture framing and pre-framed art sales to commercial and residential customers. We are celebrating our 30th Anniversary this year.</v>
      </c>
      <c r="D3022" s="3" t="s">
        <v>9</v>
      </c>
      <c r="E3022" s="3" t="s">
        <v>9166</v>
      </c>
      <c r="F3022" s="3" t="str">
        <f>"317-636-3003"</f>
        <v>317-636-3003</v>
      </c>
      <c r="G3022" s="3">
        <v>442299</v>
      </c>
      <c r="H3022" s="3" t="s">
        <v>951</v>
      </c>
    </row>
    <row r="3023" spans="1:8" ht="90" x14ac:dyDescent="0.25">
      <c r="A3023" s="3" t="s">
        <v>9167</v>
      </c>
      <c r="B3023" s="3"/>
      <c r="C3023" s="3" t="s">
        <v>9168</v>
      </c>
      <c r="D3023" s="3" t="s">
        <v>9169</v>
      </c>
      <c r="E3023" s="3" t="s">
        <v>9170</v>
      </c>
      <c r="F3023" s="3" t="str">
        <f>"(812)372-6200"</f>
        <v>(812)372-6200</v>
      </c>
      <c r="G3023" s="3">
        <v>56131</v>
      </c>
      <c r="H3023" s="3" t="s">
        <v>1720</v>
      </c>
    </row>
    <row r="3024" spans="1:8" ht="153.75" x14ac:dyDescent="0.25">
      <c r="A3024" s="3" t="s">
        <v>9171</v>
      </c>
      <c r="B3024" s="3"/>
      <c r="C3024" s="3" t="s">
        <v>9172</v>
      </c>
      <c r="D3024" s="3" t="s">
        <v>7175</v>
      </c>
      <c r="E3024" s="3" t="s">
        <v>9173</v>
      </c>
      <c r="F3024" s="3" t="str">
        <f>"(765) 683-1633"</f>
        <v>(765) 683-1633</v>
      </c>
      <c r="G3024" s="3">
        <v>624120</v>
      </c>
      <c r="H3024" s="3" t="s">
        <v>22</v>
      </c>
    </row>
    <row r="3025" spans="1:8" ht="90" x14ac:dyDescent="0.25">
      <c r="A3025" s="3" t="s">
        <v>9174</v>
      </c>
      <c r="B3025" s="3"/>
      <c r="C3025" s="3" t="str">
        <f>"EmNet LLC, designs, manufactures, configures, and installs electronic equipment that combines wireless technology and industrial automation for a variety of applications. EmNet's main area of expertise is in wireless sensor and actuator networks."</f>
        <v>EmNet LLC, designs, manufactures, configures, and installs electronic equipment that combines wireless technology and industrial automation for a variety of applications. EmNet's main area of expertise is in wireless sensor and actuator networks.</v>
      </c>
      <c r="D3025" s="3" t="s">
        <v>9175</v>
      </c>
      <c r="E3025" s="3" t="s">
        <v>9176</v>
      </c>
      <c r="F3025" s="3" t="str">
        <f>"574-855-1012"</f>
        <v>574-855-1012</v>
      </c>
      <c r="G3025" s="3">
        <v>334513</v>
      </c>
      <c r="H3025" s="3" t="s">
        <v>9177</v>
      </c>
    </row>
    <row r="3026" spans="1:8" x14ac:dyDescent="0.25">
      <c r="A3026" s="3" t="s">
        <v>9178</v>
      </c>
      <c r="B3026" s="3"/>
      <c r="C3026" s="3" t="str">
        <f>" "</f>
        <v xml:space="preserve"> </v>
      </c>
      <c r="D3026" s="3" t="s">
        <v>9</v>
      </c>
      <c r="E3026" s="3" t="s">
        <v>46</v>
      </c>
      <c r="F3026" s="2"/>
      <c r="G3026" s="3">
        <v>53</v>
      </c>
      <c r="H3026" s="3" t="s">
        <v>2336</v>
      </c>
    </row>
    <row r="3027" spans="1:8" ht="128.25" x14ac:dyDescent="0.25">
      <c r="A3027" s="3" t="s">
        <v>9179</v>
      </c>
      <c r="B3027" s="3"/>
      <c r="C3027" s="3" t="s">
        <v>9180</v>
      </c>
      <c r="D3027" s="3" t="s">
        <v>9181</v>
      </c>
      <c r="E3027" s="3" t="s">
        <v>9182</v>
      </c>
      <c r="F3027" s="3" t="str">
        <f>"317-652-6983"</f>
        <v>317-652-6983</v>
      </c>
      <c r="G3027" s="3">
        <v>54162</v>
      </c>
      <c r="H3027" s="3" t="s">
        <v>216</v>
      </c>
    </row>
    <row r="3028" spans="1:8" ht="26.25" x14ac:dyDescent="0.25">
      <c r="A3028" s="3" t="s">
        <v>9183</v>
      </c>
      <c r="B3028" s="3"/>
      <c r="C3028" s="3" t="str">
        <f>"For hire trucking service with dump trucks available for your hauling needs."</f>
        <v>For hire trucking service with dump trucks available for your hauling needs.</v>
      </c>
      <c r="D3028" s="3" t="s">
        <v>9</v>
      </c>
      <c r="E3028" s="3" t="s">
        <v>9184</v>
      </c>
      <c r="F3028" s="3" t="str">
        <f>"574-784-2300"</f>
        <v>574-784-2300</v>
      </c>
      <c r="G3028" s="3">
        <v>484110</v>
      </c>
      <c r="H3028" s="3" t="s">
        <v>644</v>
      </c>
    </row>
    <row r="3029" spans="1:8" ht="230.25" x14ac:dyDescent="0.25">
      <c r="A3029" s="3" t="s">
        <v>9185</v>
      </c>
      <c r="B3029" s="3"/>
      <c r="C3029" s="3" t="s">
        <v>9186</v>
      </c>
      <c r="D3029" s="3" t="s">
        <v>9187</v>
      </c>
      <c r="E3029" s="3" t="s">
        <v>9188</v>
      </c>
      <c r="F3029" s="3" t="str">
        <f>"317-821-0422"</f>
        <v>317-821-0422</v>
      </c>
      <c r="G3029" s="3">
        <v>443112</v>
      </c>
      <c r="H3029" s="3" t="s">
        <v>3890</v>
      </c>
    </row>
    <row r="3030" spans="1:8" ht="51.75" x14ac:dyDescent="0.25">
      <c r="A3030" s="3" t="s">
        <v>9189</v>
      </c>
      <c r="B3030" s="3"/>
      <c r="C3030" s="3" t="str">
        <f>"We have a large Fire Dept Training Facility. We rent out a large conference center and classrooms. We also provide education for Emergency Medical Services."</f>
        <v>We have a large Fire Dept Training Facility. We rent out a large conference center and classrooms. We also provide education for Emergency Medical Services.</v>
      </c>
      <c r="D3030" s="3" t="s">
        <v>9190</v>
      </c>
      <c r="E3030" s="3" t="s">
        <v>9191</v>
      </c>
      <c r="F3030" s="3" t="str">
        <f>"317-248-7929"</f>
        <v>317-248-7929</v>
      </c>
      <c r="G3030" s="3">
        <v>61</v>
      </c>
      <c r="H3030" s="3" t="s">
        <v>140</v>
      </c>
    </row>
    <row r="3031" spans="1:8" ht="39" x14ac:dyDescent="0.25">
      <c r="A3031" s="3" t="s">
        <v>9192</v>
      </c>
      <c r="B3031" s="3"/>
      <c r="C3031" s="3" t="str">
        <f>"We provide catering services, mobile food services, and we're a distributor of food and food-related supplies."</f>
        <v>We provide catering services, mobile food services, and we're a distributor of food and food-related supplies.</v>
      </c>
      <c r="D3031" s="3" t="s">
        <v>9</v>
      </c>
      <c r="E3031" s="3" t="s">
        <v>46</v>
      </c>
      <c r="F3031" s="2"/>
      <c r="G3031" s="3">
        <v>722330</v>
      </c>
      <c r="H3031" s="3" t="s">
        <v>9193</v>
      </c>
    </row>
    <row r="3032" spans="1:8" ht="64.5" x14ac:dyDescent="0.25">
      <c r="A3032" s="3" t="s">
        <v>9192</v>
      </c>
      <c r="B3032" s="3"/>
      <c r="C3032" s="3" t="str">
        <f>"Emkay Enterprises provides food services for single and multiple day events. We are equipped to transport meals and snacks to events and/or prepare food at an off-premise site."</f>
        <v>Emkay Enterprises provides food services for single and multiple day events. We are equipped to transport meals and snacks to events and/or prepare food at an off-premise site.</v>
      </c>
      <c r="D3032" s="3" t="s">
        <v>9</v>
      </c>
      <c r="E3032" s="3" t="s">
        <v>9194</v>
      </c>
      <c r="F3032" s="3" t="str">
        <f>"317-270-4237"</f>
        <v>317-270-4237</v>
      </c>
      <c r="G3032" s="3">
        <v>722320</v>
      </c>
      <c r="H3032" s="3" t="s">
        <v>266</v>
      </c>
    </row>
    <row r="3033" spans="1:8" ht="64.5" x14ac:dyDescent="0.25">
      <c r="A3033" s="3" t="s">
        <v>9195</v>
      </c>
      <c r="B3033" s="3"/>
      <c r="C3033" s="3" t="str">
        <f>"We are a full service cleaning business that can also do VCT Waving/ Stripping. we also can handle extended service maintenance and office cleaning as well as one time clean up."</f>
        <v>We are a full service cleaning business that can also do VCT Waving/ Stripping. we also can handle extended service maintenance and office cleaning as well as one time clean up.</v>
      </c>
      <c r="D3033" s="3" t="s">
        <v>9196</v>
      </c>
      <c r="E3033" s="3" t="s">
        <v>9197</v>
      </c>
      <c r="F3033" s="3" t="str">
        <f>"219-779-8279"</f>
        <v>219-779-8279</v>
      </c>
      <c r="G3033" s="3">
        <v>561720</v>
      </c>
      <c r="H3033" s="3" t="s">
        <v>222</v>
      </c>
    </row>
    <row r="3034" spans="1:8" x14ac:dyDescent="0.25">
      <c r="A3034" s="3" t="s">
        <v>9198</v>
      </c>
      <c r="B3034" s="3"/>
      <c r="C3034" s="3" t="str">
        <f>" "</f>
        <v xml:space="preserve"> </v>
      </c>
      <c r="D3034" s="3" t="s">
        <v>9</v>
      </c>
      <c r="E3034" s="3" t="s">
        <v>46</v>
      </c>
      <c r="F3034" s="2"/>
      <c r="G3034" s="3">
        <v>23</v>
      </c>
      <c r="H3034" s="3" t="s">
        <v>133</v>
      </c>
    </row>
    <row r="3035" spans="1:8" ht="115.5" x14ac:dyDescent="0.25">
      <c r="A3035" s="3" t="s">
        <v>9199</v>
      </c>
      <c r="B3035" s="3"/>
      <c r="C3035" s="3" t="s">
        <v>9200</v>
      </c>
      <c r="D3035" s="3" t="s">
        <v>9201</v>
      </c>
      <c r="E3035" s="3" t="s">
        <v>46</v>
      </c>
      <c r="F3035" s="3" t="str">
        <f>"317-266-0100"</f>
        <v>317-266-0100</v>
      </c>
      <c r="G3035" s="3">
        <v>515112</v>
      </c>
      <c r="H3035" s="3" t="s">
        <v>9202</v>
      </c>
    </row>
    <row r="3036" spans="1:8" x14ac:dyDescent="0.25">
      <c r="A3036" s="3" t="s">
        <v>9203</v>
      </c>
      <c r="B3036" s="3"/>
      <c r="C3036" s="2"/>
      <c r="D3036" s="3" t="s">
        <v>9204</v>
      </c>
      <c r="E3036" s="3" t="s">
        <v>46</v>
      </c>
      <c r="F3036" s="2"/>
      <c r="G3036" s="3">
        <v>515</v>
      </c>
      <c r="H3036" s="3" t="s">
        <v>9205</v>
      </c>
    </row>
    <row r="3037" spans="1:8" ht="90" x14ac:dyDescent="0.25">
      <c r="A3037" s="3" t="s">
        <v>9206</v>
      </c>
      <c r="B3037" s="3"/>
      <c r="C3037" s="3" t="s">
        <v>9207</v>
      </c>
      <c r="D3037" s="3" t="s">
        <v>9208</v>
      </c>
      <c r="E3037" s="3" t="s">
        <v>9209</v>
      </c>
      <c r="F3037" s="3" t="str">
        <f>"317.684.8418"</f>
        <v>317.684.8418</v>
      </c>
      <c r="G3037" s="3">
        <v>515112</v>
      </c>
      <c r="H3037" s="3" t="s">
        <v>9202</v>
      </c>
    </row>
    <row r="3038" spans="1:8" ht="64.5" x14ac:dyDescent="0.25">
      <c r="A3038" s="3" t="s">
        <v>9210</v>
      </c>
      <c r="B3038" s="3"/>
      <c r="C3038" s="3" t="str">
        <f>"Indianapolis Monthly is a periodical publisher producing Indianapolis Monthly and a variety of custom publications including various travel guides and alumni publications."</f>
        <v>Indianapolis Monthly is a periodical publisher producing Indianapolis Monthly and a variety of custom publications including various travel guides and alumni publications.</v>
      </c>
      <c r="D3038" s="3" t="s">
        <v>9211</v>
      </c>
      <c r="E3038" s="3" t="s">
        <v>46</v>
      </c>
      <c r="F3038" s="3" t="str">
        <f>"317-237-9288"</f>
        <v>317-237-9288</v>
      </c>
      <c r="G3038" s="3">
        <v>511120</v>
      </c>
      <c r="H3038" s="3" t="s">
        <v>149</v>
      </c>
    </row>
    <row r="3039" spans="1:8" ht="26.25" x14ac:dyDescent="0.25">
      <c r="A3039" s="3" t="s">
        <v>9212</v>
      </c>
      <c r="B3039" s="3"/>
      <c r="C3039" s="3" t="str">
        <f>"Empire Real Estate Partners specializes in residential real estate sales."</f>
        <v>Empire Real Estate Partners specializes in residential real estate sales.</v>
      </c>
      <c r="D3039" s="3" t="s">
        <v>9213</v>
      </c>
      <c r="E3039" s="3" t="s">
        <v>9214</v>
      </c>
      <c r="F3039" s="3" t="str">
        <f>"812-907-0277"</f>
        <v>812-907-0277</v>
      </c>
      <c r="G3039" s="3">
        <v>531210</v>
      </c>
      <c r="H3039" s="3" t="s">
        <v>1101</v>
      </c>
    </row>
    <row r="3040" spans="1:8" ht="128.25" x14ac:dyDescent="0.25">
      <c r="A3040" s="3" t="s">
        <v>9215</v>
      </c>
      <c r="B3040" s="3"/>
      <c r="C3040" s="3" t="s">
        <v>9216</v>
      </c>
      <c r="D3040" s="3" t="s">
        <v>9</v>
      </c>
      <c r="E3040" s="3" t="s">
        <v>9217</v>
      </c>
      <c r="F3040" s="3" t="str">
        <f>"317-272-5003"</f>
        <v>317-272-5003</v>
      </c>
      <c r="G3040" s="3">
        <v>541612</v>
      </c>
      <c r="H3040" s="3" t="s">
        <v>1923</v>
      </c>
    </row>
    <row r="3041" spans="1:8" ht="179.25" x14ac:dyDescent="0.25">
      <c r="A3041" s="3" t="s">
        <v>9218</v>
      </c>
      <c r="B3041" s="3"/>
      <c r="C3041" s="3" t="s">
        <v>9219</v>
      </c>
      <c r="D3041" s="3" t="s">
        <v>9220</v>
      </c>
      <c r="E3041" s="3" t="s">
        <v>9221</v>
      </c>
      <c r="F3041" s="3" t="str">
        <f>"317-573-4884"</f>
        <v>317-573-4884</v>
      </c>
      <c r="G3041" s="3">
        <v>5241</v>
      </c>
      <c r="H3041" s="3" t="s">
        <v>822</v>
      </c>
    </row>
    <row r="3042" spans="1:8" ht="26.25" x14ac:dyDescent="0.25">
      <c r="A3042" s="3" t="s">
        <v>9222</v>
      </c>
      <c r="B3042" s="3"/>
      <c r="C3042" s="3" t="str">
        <f>"human resource solutions including staffing,training, and payroll"</f>
        <v>human resource solutions including staffing,training, and payroll</v>
      </c>
      <c r="D3042" s="3" t="s">
        <v>9223</v>
      </c>
      <c r="E3042" s="3" t="s">
        <v>9224</v>
      </c>
      <c r="F3042" s="3" t="str">
        <f>"812.333.1070"</f>
        <v>812.333.1070</v>
      </c>
      <c r="G3042" s="3">
        <v>541612</v>
      </c>
      <c r="H3042" s="3" t="s">
        <v>1923</v>
      </c>
    </row>
    <row r="3043" spans="1:8" ht="102.75" x14ac:dyDescent="0.25">
      <c r="A3043" s="3" t="s">
        <v>9225</v>
      </c>
      <c r="B3043" s="3"/>
      <c r="C3043" s="3" t="s">
        <v>9226</v>
      </c>
      <c r="D3043" s="3" t="s">
        <v>9</v>
      </c>
      <c r="E3043" s="3" t="s">
        <v>9227</v>
      </c>
      <c r="F3043" s="3" t="str">
        <f>"317-289-1172"</f>
        <v>317-289-1172</v>
      </c>
      <c r="G3043" s="3">
        <v>722320</v>
      </c>
      <c r="H3043" s="3" t="s">
        <v>266</v>
      </c>
    </row>
    <row r="3044" spans="1:8" ht="26.25" x14ac:dyDescent="0.25">
      <c r="A3044" s="3" t="s">
        <v>9228</v>
      </c>
      <c r="B3044" s="3"/>
      <c r="C3044" s="3" t="str">
        <f>"case management for the aged and disabled and for the developmentally disabled.."</f>
        <v>case management for the aged and disabled and for the developmentally disabled..</v>
      </c>
      <c r="D3044" s="3" t="s">
        <v>7175</v>
      </c>
      <c r="E3044" s="3" t="s">
        <v>9229</v>
      </c>
      <c r="F3044" s="3" t="str">
        <f>"(812)665-2744"</f>
        <v>(812)665-2744</v>
      </c>
      <c r="G3044" s="3">
        <v>62</v>
      </c>
      <c r="H3044" s="3" t="s">
        <v>1168</v>
      </c>
    </row>
    <row r="3045" spans="1:8" ht="39" x14ac:dyDescent="0.25">
      <c r="A3045" s="3" t="s">
        <v>9230</v>
      </c>
      <c r="B3045" s="3"/>
      <c r="C3045" s="3" t="str">
        <f>"Sales distribution of lighting and electrical supplies with an emphasis on energy conservation."</f>
        <v>Sales distribution of lighting and electrical supplies with an emphasis on energy conservation.</v>
      </c>
      <c r="D3045" s="3" t="s">
        <v>9</v>
      </c>
      <c r="E3045" s="3" t="s">
        <v>9231</v>
      </c>
      <c r="F3045" s="3" t="str">
        <f>"317-896-9103"</f>
        <v>317-896-9103</v>
      </c>
      <c r="G3045" s="3">
        <v>423610</v>
      </c>
      <c r="H3045" s="3" t="s">
        <v>2414</v>
      </c>
    </row>
    <row r="3046" spans="1:8" ht="39" x14ac:dyDescent="0.25">
      <c r="A3046" s="3" t="s">
        <v>9232</v>
      </c>
      <c r="B3046" s="3"/>
      <c r="C3046" s="3" t="str">
        <f>"We are a full service Catering company. we manage facilities as well as provide off site food services"</f>
        <v>We are a full service Catering company. we manage facilities as well as provide off site food services</v>
      </c>
      <c r="D3046" s="3" t="s">
        <v>9233</v>
      </c>
      <c r="E3046" s="3" t="s">
        <v>46</v>
      </c>
      <c r="F3046" s="3" t="str">
        <f>"(317)236-1290"</f>
        <v>(317)236-1290</v>
      </c>
      <c r="G3046" s="3">
        <v>722320</v>
      </c>
      <c r="H3046" s="3" t="s">
        <v>266</v>
      </c>
    </row>
    <row r="3047" spans="1:8" ht="51.75" x14ac:dyDescent="0.25">
      <c r="A3047" s="3" t="s">
        <v>9234</v>
      </c>
      <c r="B3047" s="3"/>
      <c r="C3047" s="3" t="str">
        <f>"We are a catering company that specializes in managing corporate cafeterias, Museums,and other various types of food operations"</f>
        <v>We are a catering company that specializes in managing corporate cafeterias, Museums,and other various types of food operations</v>
      </c>
      <c r="D3047" s="3" t="s">
        <v>9233</v>
      </c>
      <c r="E3047" s="3" t="s">
        <v>46</v>
      </c>
      <c r="F3047" s="3" t="str">
        <f>"(317) 236-1870"</f>
        <v>(317) 236-1870</v>
      </c>
      <c r="G3047" s="3">
        <v>722320</v>
      </c>
      <c r="H3047" s="3" t="s">
        <v>266</v>
      </c>
    </row>
    <row r="3048" spans="1:8" ht="64.5" x14ac:dyDescent="0.25">
      <c r="A3048" s="3" t="s">
        <v>9235</v>
      </c>
      <c r="B3048" s="3"/>
      <c r="C3048" s="3" t="str">
        <f>"Energy Auditing Services, General Contractor, Construction Project Management, Administrative Support, Weatherization, Insulation Services, Solar Attic Fans,"</f>
        <v>Energy Auditing Services, General Contractor, Construction Project Management, Administrative Support, Weatherization, Insulation Services, Solar Attic Fans,</v>
      </c>
      <c r="D3048" s="3" t="s">
        <v>9</v>
      </c>
      <c r="E3048" s="3" t="s">
        <v>9236</v>
      </c>
      <c r="F3048" s="3" t="str">
        <f>"765-653-1341"</f>
        <v>765-653-1341</v>
      </c>
      <c r="G3048" s="3">
        <v>81</v>
      </c>
      <c r="H3048" s="3" t="s">
        <v>751</v>
      </c>
    </row>
    <row r="3049" spans="1:8" ht="51.75" x14ac:dyDescent="0.25">
      <c r="A3049" s="3" t="s">
        <v>9237</v>
      </c>
      <c r="B3049" s="3"/>
      <c r="C3049" s="3" t="str">
        <f>"Energy Harness Corporation, will primarily focus on retrofitting existing lighting systems to LED (Light-emitting diode) lighting systems in commercial areas."</f>
        <v>Energy Harness Corporation, will primarily focus on retrofitting existing lighting systems to LED (Light-emitting diode) lighting systems in commercial areas.</v>
      </c>
      <c r="D3049" s="3" t="s">
        <v>9238</v>
      </c>
      <c r="E3049" s="3" t="s">
        <v>9239</v>
      </c>
      <c r="F3049" s="3" t="str">
        <f>"317-999-5561"</f>
        <v>317-999-5561</v>
      </c>
      <c r="G3049" s="3">
        <v>33512</v>
      </c>
      <c r="H3049" s="3" t="s">
        <v>9240</v>
      </c>
    </row>
    <row r="3050" spans="1:8" ht="179.25" x14ac:dyDescent="0.25">
      <c r="A3050" s="3" t="s">
        <v>9241</v>
      </c>
      <c r="B3050" s="3"/>
      <c r="C3050" s="3" t="s">
        <v>9242</v>
      </c>
      <c r="D3050" s="3" t="s">
        <v>9243</v>
      </c>
      <c r="E3050" s="3" t="s">
        <v>46</v>
      </c>
      <c r="F3050" s="3" t="str">
        <f>"317-275-1800"</f>
        <v>317-275-1800</v>
      </c>
      <c r="G3050" s="3">
        <v>236210</v>
      </c>
      <c r="H3050" s="3" t="s">
        <v>1418</v>
      </c>
    </row>
    <row r="3051" spans="1:8" ht="26.25" x14ac:dyDescent="0.25">
      <c r="A3051" s="3" t="s">
        <v>9244</v>
      </c>
      <c r="B3051" s="3"/>
      <c r="C3051" s="2"/>
      <c r="D3051" s="3" t="s">
        <v>9245</v>
      </c>
      <c r="E3051" s="3" t="s">
        <v>46</v>
      </c>
      <c r="F3051" s="3" t="str">
        <f>"812-471-5000"</f>
        <v>812-471-5000</v>
      </c>
      <c r="G3051" s="3">
        <v>541330</v>
      </c>
      <c r="H3051" s="3" t="s">
        <v>82</v>
      </c>
    </row>
    <row r="3052" spans="1:8" ht="51.75" x14ac:dyDescent="0.25">
      <c r="A3052" s="3" t="s">
        <v>9246</v>
      </c>
      <c r="B3052" s="3"/>
      <c r="C3052" s="3" t="str">
        <f>"Lighting fixtures, parts and lamps retail/wholesale. Retrofit kits for linear fluorescent fixtures. Occupancy sensor reseller for lighting and HVAC."</f>
        <v>Lighting fixtures, parts and lamps retail/wholesale. Retrofit kits for linear fluorescent fixtures. Occupancy sensor reseller for lighting and HVAC.</v>
      </c>
      <c r="D3052" s="3" t="s">
        <v>9</v>
      </c>
      <c r="E3052" s="3" t="s">
        <v>9247</v>
      </c>
      <c r="F3052" s="3" t="str">
        <f>"812 923-6520"</f>
        <v>812 923-6520</v>
      </c>
      <c r="G3052" s="3">
        <v>423610</v>
      </c>
      <c r="H3052" s="3" t="s">
        <v>2414</v>
      </c>
    </row>
    <row r="3053" spans="1:8" ht="26.25" x14ac:dyDescent="0.25">
      <c r="A3053" s="3" t="s">
        <v>9246</v>
      </c>
      <c r="B3053" s="3"/>
      <c r="C3053" s="3" t="str">
        <f>"Commercial and Industrial, Indoor and Outdoor, Energy Efficient Lighting"</f>
        <v>Commercial and Industrial, Indoor and Outdoor, Energy Efficient Lighting</v>
      </c>
      <c r="D3053" s="3" t="s">
        <v>9248</v>
      </c>
      <c r="E3053" s="3" t="s">
        <v>9249</v>
      </c>
      <c r="F3053" s="3" t="str">
        <f>"812 923-6520"</f>
        <v>812 923-6520</v>
      </c>
      <c r="G3053" s="3">
        <v>335122</v>
      </c>
      <c r="H3053" s="3" t="s">
        <v>3895</v>
      </c>
    </row>
    <row r="3054" spans="1:8" ht="141" x14ac:dyDescent="0.25">
      <c r="A3054" s="3" t="s">
        <v>9250</v>
      </c>
      <c r="B3054" s="3"/>
      <c r="C3054" s="3" t="s">
        <v>9251</v>
      </c>
      <c r="D3054" s="3" t="s">
        <v>9252</v>
      </c>
      <c r="E3054" s="3" t="s">
        <v>9253</v>
      </c>
      <c r="F3054" s="3" t="str">
        <f>"800-531-1193"</f>
        <v>800-531-1193</v>
      </c>
      <c r="G3054" s="3">
        <v>221210</v>
      </c>
      <c r="H3054" s="3" t="s">
        <v>5491</v>
      </c>
    </row>
    <row r="3055" spans="1:8" ht="90" x14ac:dyDescent="0.25">
      <c r="A3055" s="3" t="s">
        <v>9254</v>
      </c>
      <c r="B3055" s="3"/>
      <c r="C3055" s="3" t="str">
        <f>"Engaging Solutions, LLC specializes in Fiscal Management and Accountability, Planning, Outreach, Training, and Economic Development. Specialty products include Diversity Services and Grant Writing. Engaging Solutions, LLC is a certified M/W/DBE firm."</f>
        <v>Engaging Solutions, LLC specializes in Fiscal Management and Accountability, Planning, Outreach, Training, and Economic Development. Specialty products include Diversity Services and Grant Writing. Engaging Solutions, LLC is a certified M/W/DBE firm.</v>
      </c>
      <c r="D3055" s="3" t="s">
        <v>9</v>
      </c>
      <c r="E3055" s="3" t="s">
        <v>9255</v>
      </c>
      <c r="F3055" s="3" t="str">
        <f>"317-283-8300"</f>
        <v>317-283-8300</v>
      </c>
      <c r="G3055" s="3">
        <v>541611</v>
      </c>
      <c r="H3055" s="3" t="s">
        <v>278</v>
      </c>
    </row>
    <row r="3056" spans="1:8" ht="26.25" x14ac:dyDescent="0.25">
      <c r="A3056" s="3" t="s">
        <v>9256</v>
      </c>
      <c r="B3056" s="3"/>
      <c r="C3056" s="3" t="str">
        <f>"Miscellanous Hauling of material, example dirt, asphalt, stone"</f>
        <v>Miscellanous Hauling of material, example dirt, asphalt, stone</v>
      </c>
      <c r="D3056" s="3" t="s">
        <v>9</v>
      </c>
      <c r="E3056" s="3" t="s">
        <v>46</v>
      </c>
      <c r="F3056" s="3" t="str">
        <f>"812-689-3548"</f>
        <v>812-689-3548</v>
      </c>
      <c r="G3056" s="3">
        <v>484220</v>
      </c>
      <c r="H3056" s="3" t="s">
        <v>11</v>
      </c>
    </row>
    <row r="3057" spans="1:8" ht="26.25" x14ac:dyDescent="0.25">
      <c r="A3057" s="3" t="s">
        <v>9257</v>
      </c>
      <c r="B3057" s="3"/>
      <c r="C3057" s="3" t="str">
        <f>"Engel-Man Trucking, Inc. will hual asphalt, stone, and dirt. WBE/DBE"</f>
        <v>Engel-Man Trucking, Inc. will hual asphalt, stone, and dirt. WBE/DBE</v>
      </c>
      <c r="D3057" s="3" t="s">
        <v>9</v>
      </c>
      <c r="E3057" s="3" t="s">
        <v>9258</v>
      </c>
      <c r="F3057" s="3" t="str">
        <f>"8126893548"</f>
        <v>8126893548</v>
      </c>
      <c r="G3057" s="3">
        <v>23</v>
      </c>
      <c r="H3057" s="3" t="s">
        <v>133</v>
      </c>
    </row>
    <row r="3058" spans="1:8" ht="51.75" x14ac:dyDescent="0.25">
      <c r="A3058" s="3" t="s">
        <v>9259</v>
      </c>
      <c r="B3058" s="3"/>
      <c r="C3058" s="3" t="str">
        <f>"Engelking Law Group, LLC is a women owned law firm which provides professional liability medical malpractice defense legal services to Indiana health care providers."</f>
        <v>Engelking Law Group, LLC is a women owned law firm which provides professional liability medical malpractice defense legal services to Indiana health care providers.</v>
      </c>
      <c r="D3058" s="3" t="s">
        <v>9260</v>
      </c>
      <c r="E3058" s="3" t="s">
        <v>9261</v>
      </c>
      <c r="F3058" s="3" t="str">
        <f>"317-575-4453"</f>
        <v>317-575-4453</v>
      </c>
      <c r="G3058" s="3">
        <v>5411</v>
      </c>
      <c r="H3058" s="3" t="s">
        <v>87</v>
      </c>
    </row>
    <row r="3059" spans="1:8" ht="64.5" x14ac:dyDescent="0.25">
      <c r="A3059" s="3" t="s">
        <v>9262</v>
      </c>
      <c r="B3059" s="3"/>
      <c r="C3059" s="3" t="str">
        <f>"General Contractors providing roofing, carpentry, drywall, electrical, HVAC, flooring, plumbing, lighting, siding and gutter services for residential and commercial buildings."</f>
        <v>General Contractors providing roofing, carpentry, drywall, electrical, HVAC, flooring, plumbing, lighting, siding and gutter services for residential and commercial buildings.</v>
      </c>
      <c r="D3059" s="3" t="s">
        <v>9263</v>
      </c>
      <c r="E3059" s="3" t="s">
        <v>9264</v>
      </c>
      <c r="F3059" s="3" t="str">
        <f>"3172880213"</f>
        <v>3172880213</v>
      </c>
      <c r="G3059" s="3">
        <v>23</v>
      </c>
      <c r="H3059" s="3" t="s">
        <v>133</v>
      </c>
    </row>
    <row r="3060" spans="1:8" ht="90" x14ac:dyDescent="0.25">
      <c r="A3060" s="3" t="s">
        <v>9265</v>
      </c>
      <c r="B3060" s="3"/>
      <c r="C3060" s="3" t="s">
        <v>9266</v>
      </c>
      <c r="D3060" s="3" t="s">
        <v>9267</v>
      </c>
      <c r="E3060" s="3" t="s">
        <v>9268</v>
      </c>
      <c r="F3060" s="3" t="str">
        <f>"317-596-6000"</f>
        <v>317-596-6000</v>
      </c>
      <c r="G3060" s="3">
        <v>238210</v>
      </c>
      <c r="H3060" s="3" t="s">
        <v>306</v>
      </c>
    </row>
    <row r="3061" spans="1:8" ht="26.25" x14ac:dyDescent="0.25">
      <c r="A3061" s="3" t="s">
        <v>9269</v>
      </c>
      <c r="B3061" s="3"/>
      <c r="C3061" s="3" t="str">
        <f>" "</f>
        <v xml:space="preserve"> </v>
      </c>
      <c r="D3061" s="3" t="s">
        <v>9</v>
      </c>
      <c r="E3061" s="3" t="s">
        <v>9270</v>
      </c>
      <c r="F3061" s="3" t="str">
        <f>"317-973-1304"</f>
        <v>317-973-1304</v>
      </c>
      <c r="G3061" s="3">
        <v>237110</v>
      </c>
      <c r="H3061" s="3" t="s">
        <v>901</v>
      </c>
    </row>
    <row r="3062" spans="1:8" ht="64.5" x14ac:dyDescent="0.25">
      <c r="A3062" s="3" t="s">
        <v>9271</v>
      </c>
      <c r="B3062" s="3"/>
      <c r="C3062" s="3" t="str">
        <f>"We provide engineered specialty products such as removable insulation blankets for thermal or acoustic insulation, steam specialties, safety relief valve , steam traps condensate pumps and energy audits."</f>
        <v>We provide engineered specialty products such as removable insulation blankets for thermal or acoustic insulation, steam specialties, safety relief valve , steam traps condensate pumps and energy audits.</v>
      </c>
      <c r="D3062" s="3" t="s">
        <v>9272</v>
      </c>
      <c r="E3062" s="3" t="s">
        <v>9273</v>
      </c>
      <c r="F3062" s="3" t="str">
        <f>"317 440 5045"</f>
        <v>317 440 5045</v>
      </c>
      <c r="G3062" s="3">
        <v>42172</v>
      </c>
      <c r="H3062" s="3" t="s">
        <v>3003</v>
      </c>
    </row>
    <row r="3063" spans="1:8" ht="51.75" x14ac:dyDescent="0.25">
      <c r="A3063" s="3" t="s">
        <v>9274</v>
      </c>
      <c r="B3063" s="3"/>
      <c r="C3063" s="3" t="str">
        <f>"Engineering Resources, Inc. is a multi-disciplined engineering firm providing Civil/Site, Structural, Transportation, Bridge and Landscape Architecture Design Services."</f>
        <v>Engineering Resources, Inc. is a multi-disciplined engineering firm providing Civil/Site, Structural, Transportation, Bridge and Landscape Architecture Design Services.</v>
      </c>
      <c r="D3063" s="3" t="s">
        <v>9275</v>
      </c>
      <c r="E3063" s="3" t="s">
        <v>46</v>
      </c>
      <c r="F3063" s="3" t="str">
        <f>"260-490-1025"</f>
        <v>260-490-1025</v>
      </c>
      <c r="G3063" s="3">
        <v>5414</v>
      </c>
      <c r="H3063" s="3" t="s">
        <v>9276</v>
      </c>
    </row>
    <row r="3064" spans="1:8" ht="39" x14ac:dyDescent="0.25">
      <c r="A3064" s="3" t="s">
        <v>9277</v>
      </c>
      <c r="B3064" s="3"/>
      <c r="C3064" s="3" t="str">
        <f>"Web based applications development, website design &amp; development, custom applications, online marketing."</f>
        <v>Web based applications development, website design &amp; development, custom applications, online marketing.</v>
      </c>
      <c r="D3064" s="3" t="s">
        <v>9278</v>
      </c>
      <c r="E3064" s="3" t="s">
        <v>9279</v>
      </c>
      <c r="F3064" s="3" t="str">
        <f>"260-459-1232"</f>
        <v>260-459-1232</v>
      </c>
      <c r="G3064" s="3">
        <v>541511</v>
      </c>
      <c r="H3064" s="3" t="s">
        <v>122</v>
      </c>
    </row>
    <row r="3065" spans="1:8" ht="51.75" x14ac:dyDescent="0.25">
      <c r="A3065" s="3" t="s">
        <v>9280</v>
      </c>
      <c r="B3065" s="3"/>
      <c r="C3065" s="3" t="str">
        <f>"We provide civil engineering services related to water main, sanitary sewer, storm sewer, drainage and roadway/street/highway design."</f>
        <v>We provide civil engineering services related to water main, sanitary sewer, storm sewer, drainage and roadway/street/highway design.</v>
      </c>
      <c r="D3065" s="3" t="s">
        <v>9</v>
      </c>
      <c r="E3065" s="3" t="s">
        <v>9281</v>
      </c>
      <c r="F3065" s="3" t="str">
        <f>"(260) 489-6635"</f>
        <v>(260) 489-6635</v>
      </c>
      <c r="G3065" s="3">
        <v>541330</v>
      </c>
      <c r="H3065" s="3" t="s">
        <v>82</v>
      </c>
    </row>
    <row r="3066" spans="1:8" ht="268.5" x14ac:dyDescent="0.25">
      <c r="A3066" s="3" t="s">
        <v>9282</v>
      </c>
      <c r="B3066" s="3"/>
      <c r="C3066" s="3" t="s">
        <v>9283</v>
      </c>
      <c r="D3066" s="3" t="s">
        <v>9284</v>
      </c>
      <c r="E3066" s="3" t="s">
        <v>9285</v>
      </c>
      <c r="F3066" s="3" t="str">
        <f>"812-987-3567"</f>
        <v>812-987-3567</v>
      </c>
      <c r="G3066" s="3">
        <v>541330</v>
      </c>
      <c r="H3066" s="3" t="s">
        <v>82</v>
      </c>
    </row>
    <row r="3067" spans="1:8" ht="153.75" x14ac:dyDescent="0.25">
      <c r="A3067" s="3" t="s">
        <v>9286</v>
      </c>
      <c r="B3067" s="3"/>
      <c r="C3067" s="3" t="s">
        <v>9287</v>
      </c>
      <c r="D3067" s="3" t="s">
        <v>9288</v>
      </c>
      <c r="E3067" s="3" t="s">
        <v>9289</v>
      </c>
      <c r="F3067" s="3" t="str">
        <f>"317-602-3620"</f>
        <v>317-602-3620</v>
      </c>
      <c r="G3067" s="3">
        <v>541613</v>
      </c>
      <c r="H3067" s="3" t="s">
        <v>558</v>
      </c>
    </row>
    <row r="3068" spans="1:8" ht="268.5" x14ac:dyDescent="0.25">
      <c r="A3068" s="3" t="s">
        <v>9290</v>
      </c>
      <c r="B3068" s="3"/>
      <c r="C3068" s="3" t="s">
        <v>9291</v>
      </c>
      <c r="D3068" s="3" t="s">
        <v>9292</v>
      </c>
      <c r="E3068" s="3" t="s">
        <v>9293</v>
      </c>
      <c r="F3068" s="3" t="str">
        <f>"260-432-1364"</f>
        <v>260-432-1364</v>
      </c>
      <c r="G3068" s="3">
        <v>541512</v>
      </c>
      <c r="H3068" s="3" t="s">
        <v>19</v>
      </c>
    </row>
    <row r="3069" spans="1:8" ht="26.25" x14ac:dyDescent="0.25">
      <c r="A3069" s="3" t="s">
        <v>9294</v>
      </c>
      <c r="B3069" s="3"/>
      <c r="C3069" s="3" t="str">
        <f>"We provide cleaning services for both homes and business offices in Indiana."</f>
        <v>We provide cleaning services for both homes and business offices in Indiana.</v>
      </c>
      <c r="D3069" s="3" t="s">
        <v>9295</v>
      </c>
      <c r="E3069" s="3" t="s">
        <v>9296</v>
      </c>
      <c r="F3069" s="3" t="str">
        <f>"574-223-7541"</f>
        <v>574-223-7541</v>
      </c>
      <c r="G3069" s="3">
        <v>561720</v>
      </c>
      <c r="H3069" s="3" t="s">
        <v>222</v>
      </c>
    </row>
    <row r="3070" spans="1:8" ht="51.75" x14ac:dyDescent="0.25">
      <c r="A3070" s="3" t="s">
        <v>9297</v>
      </c>
      <c r="B3070" s="3"/>
      <c r="C3070" s="3" t="str">
        <f>"We do non-sterile repackaging, warehousing, kitting, decommissioning, and various label making services for the orthopedic industry."</f>
        <v>We do non-sterile repackaging, warehousing, kitting, decommissioning, and various label making services for the orthopedic industry.</v>
      </c>
      <c r="D3070" s="3" t="s">
        <v>9298</v>
      </c>
      <c r="E3070" s="3" t="s">
        <v>9299</v>
      </c>
      <c r="F3070" s="3" t="str">
        <f>"855-863-6725"</f>
        <v>855-863-6725</v>
      </c>
      <c r="G3070" s="3">
        <v>3399</v>
      </c>
      <c r="H3070" s="3" t="s">
        <v>2236</v>
      </c>
    </row>
    <row r="3071" spans="1:8" ht="39" x14ac:dyDescent="0.25">
      <c r="A3071" s="3" t="s">
        <v>9300</v>
      </c>
      <c r="B3071" s="3"/>
      <c r="C3071" s="3" t="str">
        <f>"Passport Travel Spa offers manicures, pedicures, massage and retail in the Indianapolis International Airport."</f>
        <v>Passport Travel Spa offers manicures, pedicures, massage and retail in the Indianapolis International Airport.</v>
      </c>
      <c r="D3071" s="3" t="s">
        <v>9301</v>
      </c>
      <c r="E3071" s="3" t="s">
        <v>9302</v>
      </c>
      <c r="F3071" s="3" t="str">
        <f>"(317) 240-1052"</f>
        <v>(317) 240-1052</v>
      </c>
      <c r="G3071" s="3">
        <v>812112</v>
      </c>
      <c r="H3071" s="3" t="s">
        <v>1081</v>
      </c>
    </row>
    <row r="3072" spans="1:8" ht="179.25" x14ac:dyDescent="0.25">
      <c r="A3072" s="3" t="s">
        <v>9303</v>
      </c>
      <c r="B3072" s="3"/>
      <c r="C3072" s="3" t="s">
        <v>9304</v>
      </c>
      <c r="D3072" s="3" t="s">
        <v>9305</v>
      </c>
      <c r="E3072" s="3" t="s">
        <v>9306</v>
      </c>
      <c r="F3072" s="3" t="str">
        <f>"317.525.1519"</f>
        <v>317.525.1519</v>
      </c>
      <c r="G3072" s="3">
        <v>541519</v>
      </c>
      <c r="H3072" s="3" t="s">
        <v>898</v>
      </c>
    </row>
    <row r="3073" spans="1:8" ht="102.75" x14ac:dyDescent="0.25">
      <c r="A3073" s="3" t="s">
        <v>9307</v>
      </c>
      <c r="B3073" s="3"/>
      <c r="C3073" s="3" t="s">
        <v>9308</v>
      </c>
      <c r="D3073" s="3" t="s">
        <v>9</v>
      </c>
      <c r="E3073" s="3" t="s">
        <v>9309</v>
      </c>
      <c r="F3073" s="3" t="str">
        <f>"765.366.7943"</f>
        <v>765.366.7943</v>
      </c>
      <c r="G3073" s="3">
        <v>541611</v>
      </c>
      <c r="H3073" s="3" t="s">
        <v>278</v>
      </c>
    </row>
    <row r="3074" spans="1:8" ht="26.25" x14ac:dyDescent="0.25">
      <c r="A3074" s="3" t="s">
        <v>9310</v>
      </c>
      <c r="B3074" s="3"/>
      <c r="C3074" s="3" t="str">
        <f>"Business process and project management consulting and training"</f>
        <v>Business process and project management consulting and training</v>
      </c>
      <c r="D3074" s="3" t="s">
        <v>9311</v>
      </c>
      <c r="E3074" s="3" t="s">
        <v>46</v>
      </c>
      <c r="F3074" s="2"/>
      <c r="G3074" s="3">
        <v>541519</v>
      </c>
      <c r="H3074" s="3" t="s">
        <v>898</v>
      </c>
    </row>
    <row r="3075" spans="1:8" ht="39" x14ac:dyDescent="0.25">
      <c r="A3075" s="3" t="s">
        <v>9312</v>
      </c>
      <c r="B3075" s="3"/>
      <c r="C3075" s="3" t="str">
        <f>"Enterprise installs services and maintains HVAC, electric, and plumbing systems in the commercial and industrial application."</f>
        <v>Enterprise installs services and maintains HVAC, electric, and plumbing systems in the commercial and industrial application.</v>
      </c>
      <c r="D3075" s="3" t="s">
        <v>9313</v>
      </c>
      <c r="E3075" s="3" t="s">
        <v>46</v>
      </c>
      <c r="F3075" s="3" t="str">
        <f>"317-863-0007"</f>
        <v>317-863-0007</v>
      </c>
      <c r="G3075" s="3">
        <v>238220</v>
      </c>
      <c r="H3075" s="3" t="s">
        <v>348</v>
      </c>
    </row>
    <row r="3076" spans="1:8" ht="141" x14ac:dyDescent="0.25">
      <c r="A3076" s="3" t="s">
        <v>9314</v>
      </c>
      <c r="B3076" s="3"/>
      <c r="C3076" s="3" t="s">
        <v>9315</v>
      </c>
      <c r="D3076" s="3" t="s">
        <v>9316</v>
      </c>
      <c r="E3076" s="3" t="s">
        <v>9317</v>
      </c>
      <c r="F3076" s="3" t="str">
        <f>"317 848 2200"</f>
        <v>317 848 2200</v>
      </c>
      <c r="G3076" s="3">
        <v>532111</v>
      </c>
      <c r="H3076" s="3" t="s">
        <v>9318</v>
      </c>
    </row>
    <row r="3077" spans="1:8" ht="26.25" x14ac:dyDescent="0.25">
      <c r="A3077" s="3" t="s">
        <v>9319</v>
      </c>
      <c r="B3077" s="3"/>
      <c r="C3077" s="3" t="str">
        <f>"We are a machine tool distributor that sells machines, parts, tooling and service."</f>
        <v>We are a machine tool distributor that sells machines, parts, tooling and service.</v>
      </c>
      <c r="D3077" s="3" t="s">
        <v>9320</v>
      </c>
      <c r="E3077" s="3" t="s">
        <v>9321</v>
      </c>
      <c r="F3077" s="3" t="str">
        <f>"317-271-8434"</f>
        <v>317-271-8434</v>
      </c>
      <c r="G3077" s="3">
        <v>4218</v>
      </c>
      <c r="H3077" s="3" t="s">
        <v>9322</v>
      </c>
    </row>
    <row r="3078" spans="1:8" ht="77.25" x14ac:dyDescent="0.25">
      <c r="A3078" s="3" t="s">
        <v>9323</v>
      </c>
      <c r="B3078" s="3"/>
      <c r="C3078" s="3" t="str">
        <f>"Machine tool sales and service, metal fabrication and chip making equipment. Shears, Brakes, Ironworkers, Bandsaws, Coldsaws, Tube bending &amp; notching machines, lathes, mills, drill press, surface grinders, etc."</f>
        <v>Machine tool sales and service, metal fabrication and chip making equipment. Shears, Brakes, Ironworkers, Bandsaws, Coldsaws, Tube bending &amp; notching machines, lathes, mills, drill press, surface grinders, etc.</v>
      </c>
      <c r="D3078" s="3" t="s">
        <v>9324</v>
      </c>
      <c r="E3078" s="3" t="s">
        <v>9325</v>
      </c>
      <c r="F3078" s="3" t="str">
        <f>"317-271-8434"</f>
        <v>317-271-8434</v>
      </c>
      <c r="G3078" s="3">
        <v>423830</v>
      </c>
      <c r="H3078" s="3" t="s">
        <v>172</v>
      </c>
    </row>
    <row r="3079" spans="1:8" ht="39" x14ac:dyDescent="0.25">
      <c r="A3079" s="3" t="s">
        <v>9326</v>
      </c>
      <c r="B3079" s="3"/>
      <c r="C3079" s="3" t="str">
        <f>"EMP is a custom Label Manufacturer. We specialize in durable outdoor labels for Industrial applications."</f>
        <v>EMP is a custom Label Manufacturer. We specialize in durable outdoor labels for Industrial applications.</v>
      </c>
      <c r="D3079" s="3" t="s">
        <v>9327</v>
      </c>
      <c r="E3079" s="3" t="s">
        <v>9328</v>
      </c>
      <c r="F3079" s="3" t="str">
        <f>"317086707600"</f>
        <v>317086707600</v>
      </c>
      <c r="G3079" s="3">
        <v>32311</v>
      </c>
      <c r="H3079" s="3" t="s">
        <v>531</v>
      </c>
    </row>
    <row r="3080" spans="1:8" ht="26.25" x14ac:dyDescent="0.25">
      <c r="A3080" s="3" t="s">
        <v>9329</v>
      </c>
      <c r="B3080" s="3"/>
      <c r="C3080" s="3" t="str">
        <f>" "</f>
        <v xml:space="preserve"> </v>
      </c>
      <c r="D3080" s="3" t="s">
        <v>9330</v>
      </c>
      <c r="E3080" s="3" t="s">
        <v>9331</v>
      </c>
      <c r="F3080" s="3" t="str">
        <f>"317 238-3045"</f>
        <v>317 238-3045</v>
      </c>
      <c r="G3080" s="3">
        <v>48</v>
      </c>
      <c r="H3080" s="3" t="s">
        <v>104</v>
      </c>
    </row>
    <row r="3081" spans="1:8" ht="102.75" x14ac:dyDescent="0.25">
      <c r="A3081" s="3" t="s">
        <v>9332</v>
      </c>
      <c r="B3081" s="3"/>
      <c r="C3081" s="3" t="s">
        <v>9333</v>
      </c>
      <c r="D3081" s="3" t="s">
        <v>9</v>
      </c>
      <c r="E3081" s="3" t="s">
        <v>9334</v>
      </c>
      <c r="F3081" s="3" t="str">
        <f>"260-482-7888"</f>
        <v>260-482-7888</v>
      </c>
      <c r="G3081" s="3">
        <v>453210</v>
      </c>
      <c r="H3081" s="3" t="s">
        <v>431</v>
      </c>
    </row>
    <row r="3082" spans="1:8" ht="64.5" x14ac:dyDescent="0.25">
      <c r="A3082" s="3" t="s">
        <v>9335</v>
      </c>
      <c r="B3082" s="3"/>
      <c r="C3082" s="3" t="str">
        <f>"Enviro-Assist is a small business providing contractual technical environmental consulting, environmental risk assessment, and training services, primarily to other environmental consultants."</f>
        <v>Enviro-Assist is a small business providing contractual technical environmental consulting, environmental risk assessment, and training services, primarily to other environmental consultants.</v>
      </c>
      <c r="D3082" s="3" t="s">
        <v>9336</v>
      </c>
      <c r="E3082" s="3" t="s">
        <v>46</v>
      </c>
      <c r="F3082" s="2"/>
      <c r="G3082" s="3">
        <v>541620</v>
      </c>
      <c r="H3082" s="3" t="s">
        <v>216</v>
      </c>
    </row>
    <row r="3083" spans="1:8" ht="39" x14ac:dyDescent="0.25">
      <c r="A3083" s="3" t="s">
        <v>9337</v>
      </c>
      <c r="B3083" s="3"/>
      <c r="C3083" s="3" t="str">
        <f>"Specializing in Document destruction (shredding service on and off site) and paper recycling"</f>
        <v>Specializing in Document destruction (shredding service on and off site) and paper recycling</v>
      </c>
      <c r="D3083" s="3" t="s">
        <v>9</v>
      </c>
      <c r="E3083" s="3" t="s">
        <v>9338</v>
      </c>
      <c r="F3083" s="3" t="str">
        <f>"219.324.6631"</f>
        <v>219.324.6631</v>
      </c>
      <c r="G3083" s="3">
        <v>5614</v>
      </c>
      <c r="H3083" s="3" t="s">
        <v>847</v>
      </c>
    </row>
    <row r="3084" spans="1:8" ht="268.5" x14ac:dyDescent="0.25">
      <c r="A3084" s="3" t="s">
        <v>9339</v>
      </c>
      <c r="B3084" s="3"/>
      <c r="C3084" s="3" t="s">
        <v>9340</v>
      </c>
      <c r="D3084" s="3" t="s">
        <v>9341</v>
      </c>
      <c r="E3084" s="3" t="s">
        <v>9342</v>
      </c>
      <c r="F3084" s="3" t="str">
        <f>"734-641-2700"</f>
        <v>734-641-2700</v>
      </c>
      <c r="G3084" s="3">
        <v>541620</v>
      </c>
      <c r="H3084" s="3" t="s">
        <v>216</v>
      </c>
    </row>
    <row r="3085" spans="1:8" ht="39" x14ac:dyDescent="0.25">
      <c r="A3085" s="3" t="s">
        <v>9343</v>
      </c>
      <c r="B3085" s="3"/>
      <c r="C3085" s="3" t="str">
        <f>"Environmental consulting, remedial action plan design and implementation, health and safety consulting and training"</f>
        <v>Environmental consulting, remedial action plan design and implementation, health and safety consulting and training</v>
      </c>
      <c r="D3085" s="3" t="s">
        <v>9344</v>
      </c>
      <c r="E3085" s="3" t="s">
        <v>9345</v>
      </c>
      <c r="F3085" s="3" t="str">
        <f>"547-287-2282"</f>
        <v>547-287-2282</v>
      </c>
      <c r="G3085" s="3">
        <v>54133</v>
      </c>
      <c r="H3085" s="3" t="s">
        <v>82</v>
      </c>
    </row>
    <row r="3086" spans="1:8" ht="179.25" x14ac:dyDescent="0.25">
      <c r="A3086" s="3" t="s">
        <v>9346</v>
      </c>
      <c r="B3086" s="3"/>
      <c r="C3086" s="3" t="s">
        <v>9347</v>
      </c>
      <c r="D3086" s="3" t="s">
        <v>9348</v>
      </c>
      <c r="E3086" s="3" t="s">
        <v>9349</v>
      </c>
      <c r="F3086" s="3" t="str">
        <f>"317-352-1941"</f>
        <v>317-352-1941</v>
      </c>
      <c r="G3086" s="3">
        <v>4246</v>
      </c>
      <c r="H3086" s="3" t="s">
        <v>3234</v>
      </c>
    </row>
    <row r="3087" spans="1:8" ht="281.25" x14ac:dyDescent="0.25">
      <c r="A3087" s="3" t="s">
        <v>9350</v>
      </c>
      <c r="B3087" s="3"/>
      <c r="C3087" s="3" t="s">
        <v>9351</v>
      </c>
      <c r="D3087" s="3" t="s">
        <v>9352</v>
      </c>
      <c r="E3087" s="3" t="s">
        <v>9353</v>
      </c>
      <c r="F3087" s="3" t="str">
        <f>"812-696-5076"</f>
        <v>812-696-5076</v>
      </c>
      <c r="G3087" s="3">
        <v>541380</v>
      </c>
      <c r="H3087" s="3" t="s">
        <v>226</v>
      </c>
    </row>
    <row r="3088" spans="1:8" ht="26.25" x14ac:dyDescent="0.25">
      <c r="A3088" s="3" t="s">
        <v>9354</v>
      </c>
      <c r="B3088" s="3"/>
      <c r="C3088" s="3" t="str">
        <f>" "</f>
        <v xml:space="preserve"> </v>
      </c>
      <c r="D3088" s="3" t="s">
        <v>9</v>
      </c>
      <c r="E3088" s="3" t="s">
        <v>46</v>
      </c>
      <c r="F3088" s="2"/>
      <c r="G3088" s="3">
        <v>56</v>
      </c>
      <c r="H3088" s="3" t="s">
        <v>9355</v>
      </c>
    </row>
    <row r="3089" spans="1:8" ht="64.5" x14ac:dyDescent="0.25">
      <c r="A3089" s="3" t="s">
        <v>9356</v>
      </c>
      <c r="B3089" s="3"/>
      <c r="C3089" s="3" t="str">
        <f>"Green/Garden Roof design, installation and maintenance. Solar and photovotaics. Traditional landscape design and installation. Plantscape, hardscape, ponds, waterfalls, irrigation, lighting."</f>
        <v>Green/Garden Roof design, installation and maintenance. Solar and photovotaics. Traditional landscape design and installation. Plantscape, hardscape, ponds, waterfalls, irrigation, lighting.</v>
      </c>
      <c r="D3089" s="3" t="s">
        <v>9357</v>
      </c>
      <c r="E3089" s="3" t="s">
        <v>9358</v>
      </c>
      <c r="F3089" s="3" t="str">
        <f>"317-549-3474"</f>
        <v>317-549-3474</v>
      </c>
      <c r="G3089" s="3">
        <v>561730</v>
      </c>
      <c r="H3089" s="3" t="s">
        <v>65</v>
      </c>
    </row>
    <row r="3090" spans="1:8" ht="90" x14ac:dyDescent="0.25">
      <c r="A3090" s="3" t="s">
        <v>9359</v>
      </c>
      <c r="B3090" s="3"/>
      <c r="C3090" s="3" t="s">
        <v>9360</v>
      </c>
      <c r="D3090" s="3" t="s">
        <v>9</v>
      </c>
      <c r="E3090" s="3" t="s">
        <v>9361</v>
      </c>
      <c r="F3090" s="3" t="str">
        <f>"219-462-7576"</f>
        <v>219-462-7576</v>
      </c>
      <c r="G3090" s="3">
        <v>541620</v>
      </c>
      <c r="H3090" s="3" t="s">
        <v>216</v>
      </c>
    </row>
    <row r="3091" spans="1:8" ht="128.25" x14ac:dyDescent="0.25">
      <c r="A3091" s="3" t="s">
        <v>9362</v>
      </c>
      <c r="B3091" s="3"/>
      <c r="C3091" s="3" t="s">
        <v>9363</v>
      </c>
      <c r="D3091" s="3" t="s">
        <v>9364</v>
      </c>
      <c r="E3091" s="3" t="s">
        <v>9365</v>
      </c>
      <c r="F3091" s="3" t="str">
        <f>"812-273-6699"</f>
        <v>812-273-6699</v>
      </c>
      <c r="G3091" s="3">
        <v>541380</v>
      </c>
      <c r="H3091" s="3" t="s">
        <v>226</v>
      </c>
    </row>
    <row r="3092" spans="1:8" ht="90" x14ac:dyDescent="0.25">
      <c r="A3092" s="3" t="s">
        <v>9366</v>
      </c>
      <c r="B3092" s="3"/>
      <c r="C3092" s="3" t="s">
        <v>9367</v>
      </c>
      <c r="D3092" s="3" t="s">
        <v>8709</v>
      </c>
      <c r="E3092" s="3" t="s">
        <v>8710</v>
      </c>
      <c r="F3092" s="3" t="str">
        <f>"(260) 489-7062"</f>
        <v>(260) 489-7062</v>
      </c>
      <c r="G3092" s="3">
        <v>562910</v>
      </c>
      <c r="H3092" s="3" t="s">
        <v>2278</v>
      </c>
    </row>
    <row r="3093" spans="1:8" ht="39" x14ac:dyDescent="0.25">
      <c r="A3093" s="3" t="s">
        <v>9368</v>
      </c>
      <c r="B3093" s="3"/>
      <c r="C3093" s="3" t="str">
        <f>"Environmental Training and Certifications for Asbestos, Lead and Mold (Environmental Agents). Bilingual Training Classes. OSHA"</f>
        <v>Environmental Training and Certifications for Asbestos, Lead and Mold (Environmental Agents). Bilingual Training Classes. OSHA</v>
      </c>
      <c r="D3093" s="3" t="s">
        <v>9</v>
      </c>
      <c r="E3093" s="3" t="s">
        <v>46</v>
      </c>
      <c r="F3093" s="3" t="str">
        <f>"3173521270"</f>
        <v>3173521270</v>
      </c>
      <c r="G3093" s="3">
        <v>611699</v>
      </c>
      <c r="H3093" s="3" t="s">
        <v>2136</v>
      </c>
    </row>
    <row r="3094" spans="1:8" ht="26.25" x14ac:dyDescent="0.25">
      <c r="A3094" s="3" t="s">
        <v>9369</v>
      </c>
      <c r="B3094" s="3"/>
      <c r="C3094" s="3" t="str">
        <f>"We are a safety and janitorial supplier."</f>
        <v>We are a safety and janitorial supplier.</v>
      </c>
      <c r="D3094" s="3" t="s">
        <v>9370</v>
      </c>
      <c r="E3094" s="3" t="s">
        <v>9371</v>
      </c>
      <c r="F3094" s="3" t="str">
        <f>"219-362-3818"</f>
        <v>219-362-3818</v>
      </c>
      <c r="G3094" s="3">
        <v>45399</v>
      </c>
      <c r="H3094" s="3" t="s">
        <v>3215</v>
      </c>
    </row>
    <row r="3095" spans="1:8" ht="141" x14ac:dyDescent="0.25">
      <c r="A3095" s="3" t="s">
        <v>9372</v>
      </c>
      <c r="B3095" s="3"/>
      <c r="C3095" s="3" t="s">
        <v>9373</v>
      </c>
      <c r="D3095" s="3" t="s">
        <v>9374</v>
      </c>
      <c r="E3095" s="3" t="s">
        <v>9375</v>
      </c>
      <c r="F3095" s="3" t="str">
        <f>"317 544-2133"</f>
        <v>317 544-2133</v>
      </c>
      <c r="G3095" s="3">
        <v>541620</v>
      </c>
      <c r="H3095" s="3" t="s">
        <v>216</v>
      </c>
    </row>
    <row r="3096" spans="1:8" ht="51.75" x14ac:dyDescent="0.25">
      <c r="A3096" s="3" t="s">
        <v>9376</v>
      </c>
      <c r="B3096" s="3"/>
      <c r="C3096" s="3" t="str">
        <f>"GPS Mapping GIS/Autocad project creation and editing Environmental Consulting Contaminant hydrogeology environmental restoration Clean water consulting"</f>
        <v>GPS Mapping GIS/Autocad project creation and editing Environmental Consulting Contaminant hydrogeology environmental restoration Clean water consulting</v>
      </c>
      <c r="D3096" s="3" t="s">
        <v>9</v>
      </c>
      <c r="E3096" s="3" t="s">
        <v>9377</v>
      </c>
      <c r="F3096" s="3" t="str">
        <f>"317-280-1334"</f>
        <v>317-280-1334</v>
      </c>
      <c r="G3096" s="3">
        <v>541990</v>
      </c>
      <c r="H3096" s="3" t="s">
        <v>378</v>
      </c>
    </row>
    <row r="3097" spans="1:8" ht="102.75" x14ac:dyDescent="0.25">
      <c r="A3097" s="3" t="s">
        <v>9378</v>
      </c>
      <c r="B3097" s="3"/>
      <c r="C3097" s="3" t="s">
        <v>9379</v>
      </c>
      <c r="D3097" s="3" t="s">
        <v>9380</v>
      </c>
      <c r="E3097" s="3" t="s">
        <v>9381</v>
      </c>
      <c r="F3097" s="3" t="str">
        <f>"317-865-3656"</f>
        <v>317-865-3656</v>
      </c>
      <c r="G3097" s="3">
        <v>561710</v>
      </c>
      <c r="H3097" s="3" t="s">
        <v>946</v>
      </c>
    </row>
    <row r="3098" spans="1:8" ht="255.75" x14ac:dyDescent="0.25">
      <c r="A3098" s="3" t="s">
        <v>9382</v>
      </c>
      <c r="B3098" s="3"/>
      <c r="C3098" s="3" t="s">
        <v>9383</v>
      </c>
      <c r="D3098" s="3" t="s">
        <v>9384</v>
      </c>
      <c r="E3098" s="3" t="s">
        <v>9385</v>
      </c>
      <c r="F3098" s="3" t="str">
        <f>"574-329-8039"</f>
        <v>574-329-8039</v>
      </c>
      <c r="G3098" s="3">
        <v>541511</v>
      </c>
      <c r="H3098" s="3" t="s">
        <v>122</v>
      </c>
    </row>
    <row r="3099" spans="1:8" ht="102.75" x14ac:dyDescent="0.25">
      <c r="A3099" s="3" t="s">
        <v>9386</v>
      </c>
      <c r="B3099" s="3"/>
      <c r="C3099" s="3" t="s">
        <v>9387</v>
      </c>
      <c r="D3099" s="3" t="s">
        <v>9388</v>
      </c>
      <c r="E3099" s="3" t="s">
        <v>9389</v>
      </c>
      <c r="F3099" s="3" t="str">
        <f>"800.689.4506"</f>
        <v>800.689.4506</v>
      </c>
      <c r="G3099" s="3">
        <v>541511</v>
      </c>
      <c r="H3099" s="3" t="s">
        <v>122</v>
      </c>
    </row>
    <row r="3100" spans="1:8" ht="319.5" x14ac:dyDescent="0.25">
      <c r="A3100" s="3" t="s">
        <v>9390</v>
      </c>
      <c r="B3100" s="3"/>
      <c r="C3100" s="3" t="s">
        <v>9391</v>
      </c>
      <c r="D3100" s="3" t="s">
        <v>9392</v>
      </c>
      <c r="E3100" s="3" t="s">
        <v>9393</v>
      </c>
      <c r="F3100" s="3" t="str">
        <f>"317-248-4848"</f>
        <v>317-248-4848</v>
      </c>
      <c r="G3100" s="3">
        <v>541990</v>
      </c>
      <c r="H3100" s="3" t="s">
        <v>378</v>
      </c>
    </row>
    <row r="3101" spans="1:8" ht="102.75" x14ac:dyDescent="0.25">
      <c r="A3101" s="3" t="s">
        <v>9394</v>
      </c>
      <c r="B3101" s="3"/>
      <c r="C3101" s="3" t="s">
        <v>9395</v>
      </c>
      <c r="D3101" s="3" t="s">
        <v>9396</v>
      </c>
      <c r="E3101" s="3" t="s">
        <v>9397</v>
      </c>
      <c r="F3101" s="3" t="str">
        <f>"800-523-1323"</f>
        <v>800-523-1323</v>
      </c>
      <c r="G3101" s="3">
        <v>325</v>
      </c>
      <c r="H3101" s="3" t="s">
        <v>4643</v>
      </c>
    </row>
    <row r="3102" spans="1:8" ht="115.5" x14ac:dyDescent="0.25">
      <c r="A3102" s="3" t="s">
        <v>9398</v>
      </c>
      <c r="B3102" s="3"/>
      <c r="C3102" s="3" t="s">
        <v>9399</v>
      </c>
      <c r="D3102" s="3" t="s">
        <v>9</v>
      </c>
      <c r="E3102" s="3" t="s">
        <v>46</v>
      </c>
      <c r="F3102" s="3" t="str">
        <f>"317-374-5183"</f>
        <v>317-374-5183</v>
      </c>
      <c r="G3102" s="3">
        <v>621330</v>
      </c>
      <c r="H3102" s="3" t="s">
        <v>2643</v>
      </c>
    </row>
    <row r="3103" spans="1:8" ht="39" x14ac:dyDescent="0.25">
      <c r="A3103" s="3" t="s">
        <v>9400</v>
      </c>
      <c r="B3103" s="3"/>
      <c r="C3103" s="3" t="str">
        <f>"We are a commercial paint contractor located and doing business in Indianapolis, Indiana."</f>
        <v>We are a commercial paint contractor located and doing business in Indianapolis, Indiana.</v>
      </c>
      <c r="D3103" s="3" t="s">
        <v>9401</v>
      </c>
      <c r="E3103" s="3" t="s">
        <v>46</v>
      </c>
      <c r="F3103" s="3" t="str">
        <f>"3172470430"</f>
        <v>3172470430</v>
      </c>
      <c r="G3103" s="3">
        <v>23832</v>
      </c>
      <c r="H3103" s="3" t="s">
        <v>462</v>
      </c>
    </row>
    <row r="3104" spans="1:8" ht="90" x14ac:dyDescent="0.25">
      <c r="A3104" s="3" t="s">
        <v>9402</v>
      </c>
      <c r="B3104" s="3"/>
      <c r="C3104" s="3" t="s">
        <v>9403</v>
      </c>
      <c r="D3104" s="3" t="s">
        <v>9404</v>
      </c>
      <c r="E3104" s="3" t="s">
        <v>9405</v>
      </c>
      <c r="F3104" s="3" t="str">
        <f>"8124258164"</f>
        <v>8124258164</v>
      </c>
      <c r="G3104" s="3">
        <v>811</v>
      </c>
      <c r="H3104" s="3" t="s">
        <v>816</v>
      </c>
    </row>
    <row r="3105" spans="1:8" ht="26.25" x14ac:dyDescent="0.25">
      <c r="A3105" s="3" t="s">
        <v>9406</v>
      </c>
      <c r="B3105" s="3"/>
      <c r="C3105" s="3" t="str">
        <f>" "</f>
        <v xml:space="preserve"> </v>
      </c>
      <c r="D3105" s="3" t="s">
        <v>9407</v>
      </c>
      <c r="E3105" s="3" t="s">
        <v>46</v>
      </c>
      <c r="F3105" s="3" t="str">
        <f>"317-872-9790"</f>
        <v>317-872-9790</v>
      </c>
      <c r="G3105" s="3">
        <v>81</v>
      </c>
      <c r="H3105" s="3" t="s">
        <v>751</v>
      </c>
    </row>
    <row r="3106" spans="1:8" ht="26.25" x14ac:dyDescent="0.25">
      <c r="A3106" s="3" t="s">
        <v>9408</v>
      </c>
      <c r="B3106" s="3"/>
      <c r="C3106" s="3" t="str">
        <f>"Automobile Dealership"</f>
        <v>Automobile Dealership</v>
      </c>
      <c r="D3106" s="3" t="s">
        <v>9</v>
      </c>
      <c r="E3106" s="3" t="s">
        <v>9409</v>
      </c>
      <c r="F3106" s="3" t="str">
        <f>"317-257-2271"</f>
        <v>317-257-2271</v>
      </c>
      <c r="G3106" s="3">
        <v>441110</v>
      </c>
      <c r="H3106" s="3" t="s">
        <v>2588</v>
      </c>
    </row>
    <row r="3107" spans="1:8" ht="26.25" x14ac:dyDescent="0.25">
      <c r="A3107" s="3" t="s">
        <v>9410</v>
      </c>
      <c r="B3107" s="3"/>
      <c r="C3107" s="3" t="str">
        <f>"Full line Chevrolet dealer."</f>
        <v>Full line Chevrolet dealer.</v>
      </c>
      <c r="D3107" s="3" t="s">
        <v>9411</v>
      </c>
      <c r="E3107" s="3" t="s">
        <v>46</v>
      </c>
      <c r="F3107" s="3" t="str">
        <f>"1-800-967-8244"</f>
        <v>1-800-967-8244</v>
      </c>
      <c r="G3107" s="3">
        <v>4411</v>
      </c>
      <c r="H3107" s="3" t="s">
        <v>1015</v>
      </c>
    </row>
    <row r="3108" spans="1:8" ht="77.25" x14ac:dyDescent="0.25">
      <c r="A3108" s="3" t="s">
        <v>9412</v>
      </c>
      <c r="B3108" s="3"/>
      <c r="C3108" s="3" t="str">
        <f>"Ernst &amp; Young is a global leader in assurance, tax, transaction, advisory services and strategic growth markets. We aim to have a positive impact on businesses and markets, as well as on society as a whole."</f>
        <v>Ernst &amp; Young is a global leader in assurance, tax, transaction, advisory services and strategic growth markets. We aim to have a positive impact on businesses and markets, as well as on society as a whole.</v>
      </c>
      <c r="D3108" s="3" t="s">
        <v>9413</v>
      </c>
      <c r="E3108" s="3" t="s">
        <v>46</v>
      </c>
      <c r="F3108" s="3" t="str">
        <f>"317-681-7000"</f>
        <v>317-681-7000</v>
      </c>
      <c r="G3108" s="3">
        <v>541211</v>
      </c>
      <c r="H3108" s="3" t="s">
        <v>337</v>
      </c>
    </row>
    <row r="3109" spans="1:8" ht="77.25" x14ac:dyDescent="0.25">
      <c r="A3109" s="3" t="s">
        <v>9414</v>
      </c>
      <c r="B3109" s="3"/>
      <c r="C3109" s="3" t="str">
        <f>"Supplier for erosion control Best Management Practices such as: geotextiles, erosion and sediment control products. Our construction products include geogrids and paving fabrics as well as gabions and porous pavement systems."</f>
        <v>Supplier for erosion control Best Management Practices such as: geotextiles, erosion and sediment control products. Our construction products include geogrids and paving fabrics as well as gabions and porous pavement systems.</v>
      </c>
      <c r="D3109" s="3" t="s">
        <v>9415</v>
      </c>
      <c r="E3109" s="3" t="s">
        <v>9416</v>
      </c>
      <c r="F3109" s="3" t="str">
        <f>"812-897-6074"</f>
        <v>812-897-6074</v>
      </c>
      <c r="G3109" s="3">
        <v>423390</v>
      </c>
      <c r="H3109" s="3" t="s">
        <v>1863</v>
      </c>
    </row>
    <row r="3110" spans="1:8" ht="39" x14ac:dyDescent="0.25">
      <c r="A3110" s="3" t="s">
        <v>9417</v>
      </c>
      <c r="B3110" s="3"/>
      <c r="C3110" s="3" t="str">
        <f>"We offer full video production services. Also transfer of vhs, beta, 8mm, mini dv, 8mm, 16mm film to DVD"</f>
        <v>We offer full video production services. Also transfer of vhs, beta, 8mm, mini dv, 8mm, 16mm film to DVD</v>
      </c>
      <c r="D3110" s="3" t="s">
        <v>9418</v>
      </c>
      <c r="E3110" s="3" t="s">
        <v>9419</v>
      </c>
      <c r="F3110" s="3" t="str">
        <f>"2193227179"</f>
        <v>2193227179</v>
      </c>
      <c r="G3110" s="3">
        <v>51211</v>
      </c>
      <c r="H3110" s="3" t="s">
        <v>406</v>
      </c>
    </row>
    <row r="3111" spans="1:8" ht="115.5" x14ac:dyDescent="0.25">
      <c r="A3111" s="3" t="s">
        <v>9420</v>
      </c>
      <c r="B3111" s="3"/>
      <c r="C3111" s="3" t="s">
        <v>9421</v>
      </c>
      <c r="D3111" s="3" t="s">
        <v>3011</v>
      </c>
      <c r="E3111" s="3" t="s">
        <v>9422</v>
      </c>
      <c r="F3111" s="3" t="str">
        <f>"812-475-0972"</f>
        <v>812-475-0972</v>
      </c>
      <c r="G3111" s="3">
        <v>423610</v>
      </c>
      <c r="H3111" s="3" t="s">
        <v>2414</v>
      </c>
    </row>
    <row r="3112" spans="1:8" ht="26.25" x14ac:dyDescent="0.25">
      <c r="A3112" s="3" t="s">
        <v>9423</v>
      </c>
      <c r="B3112" s="3"/>
      <c r="C3112" s="3" t="str">
        <f>"CART interpreting service provider for deaf and hard-of-hearing consumers"</f>
        <v>CART interpreting service provider for deaf and hard-of-hearing consumers</v>
      </c>
      <c r="D3112" s="3" t="s">
        <v>9</v>
      </c>
      <c r="E3112" s="3" t="s">
        <v>9424</v>
      </c>
      <c r="F3112" s="3" t="str">
        <f>"7654263679"</f>
        <v>7654263679</v>
      </c>
      <c r="G3112" s="3">
        <v>541930</v>
      </c>
      <c r="H3112" s="3" t="s">
        <v>971</v>
      </c>
    </row>
    <row r="3113" spans="1:8" ht="26.25" x14ac:dyDescent="0.25">
      <c r="A3113" s="3" t="s">
        <v>9425</v>
      </c>
      <c r="B3113" s="3"/>
      <c r="C3113" s="3" t="str">
        <f>"Hang and finish drywall, painting interior and exterior."</f>
        <v>Hang and finish drywall, painting interior and exterior.</v>
      </c>
      <c r="D3113" s="3" t="s">
        <v>9</v>
      </c>
      <c r="E3113" s="3" t="s">
        <v>9426</v>
      </c>
      <c r="F3113" s="3" t="str">
        <f>"317-757-5647"</f>
        <v>317-757-5647</v>
      </c>
      <c r="G3113" s="3">
        <v>23542</v>
      </c>
      <c r="H3113" s="3" t="s">
        <v>7405</v>
      </c>
    </row>
    <row r="3114" spans="1:8" ht="39" x14ac:dyDescent="0.25">
      <c r="A3114" s="3" t="s">
        <v>9427</v>
      </c>
      <c r="B3114" s="3"/>
      <c r="C3114" s="3" t="str">
        <f>"We are family owned and operated buisness, which are services are Plaster and Stucco, new and repair"</f>
        <v>We are family owned and operated buisness, which are services are Plaster and Stucco, new and repair</v>
      </c>
      <c r="D3114" s="3" t="s">
        <v>9</v>
      </c>
      <c r="E3114" s="3" t="s">
        <v>9428</v>
      </c>
      <c r="F3114" s="3" t="str">
        <f>"260-602-6689"</f>
        <v>260-602-6689</v>
      </c>
      <c r="G3114" s="3">
        <v>238140</v>
      </c>
      <c r="H3114" s="3" t="s">
        <v>1830</v>
      </c>
    </row>
    <row r="3115" spans="1:8" ht="39" x14ac:dyDescent="0.25">
      <c r="A3115" s="3" t="s">
        <v>9429</v>
      </c>
      <c r="B3115" s="3"/>
      <c r="C3115" s="3" t="str">
        <f>"Excavation, Aggregates, Conveyor Truck, Demolition, Dump Trucks, Water Storm and Sanitary Sewer,"</f>
        <v>Excavation, Aggregates, Conveyor Truck, Demolition, Dump Trucks, Water Storm and Sanitary Sewer,</v>
      </c>
      <c r="D3115" s="3" t="s">
        <v>9</v>
      </c>
      <c r="E3115" s="3" t="s">
        <v>46</v>
      </c>
      <c r="F3115" s="3" t="str">
        <f>"260-347-0595"</f>
        <v>260-347-0595</v>
      </c>
      <c r="G3115" s="3">
        <v>23</v>
      </c>
      <c r="H3115" s="3" t="s">
        <v>133</v>
      </c>
    </row>
    <row r="3116" spans="1:8" ht="26.25" x14ac:dyDescent="0.25">
      <c r="A3116" s="3" t="s">
        <v>9430</v>
      </c>
      <c r="B3116" s="3"/>
      <c r="C3116" s="3" t="str">
        <f>"SDVOB and MBE firm providing computer staffing,software &amp; programming."</f>
        <v>SDVOB and MBE firm providing computer staffing,software &amp; programming.</v>
      </c>
      <c r="D3116" s="3" t="s">
        <v>9431</v>
      </c>
      <c r="E3116" s="3" t="s">
        <v>9432</v>
      </c>
      <c r="F3116" s="3" t="str">
        <f>"(317) 863-0423"</f>
        <v>(317) 863-0423</v>
      </c>
      <c r="G3116" s="3">
        <v>541511</v>
      </c>
      <c r="H3116" s="3" t="s">
        <v>122</v>
      </c>
    </row>
    <row r="3117" spans="1:8" ht="179.25" x14ac:dyDescent="0.25">
      <c r="A3117" s="3" t="s">
        <v>9433</v>
      </c>
      <c r="B3117" s="3"/>
      <c r="C3117" s="3" t="s">
        <v>9434</v>
      </c>
      <c r="D3117" s="3" t="s">
        <v>9435</v>
      </c>
      <c r="E3117" s="3" t="s">
        <v>9436</v>
      </c>
      <c r="F3117" s="3" t="str">
        <f>"317-881-4673"</f>
        <v>317-881-4673</v>
      </c>
      <c r="G3117" s="3">
        <v>624190</v>
      </c>
      <c r="H3117" s="3" t="s">
        <v>54</v>
      </c>
    </row>
    <row r="3118" spans="1:8" ht="141" x14ac:dyDescent="0.25">
      <c r="A3118" s="3" t="s">
        <v>9437</v>
      </c>
      <c r="B3118" s="3"/>
      <c r="C3118" s="3" t="s">
        <v>9438</v>
      </c>
      <c r="D3118" s="3" t="s">
        <v>9439</v>
      </c>
      <c r="E3118" s="3" t="s">
        <v>9440</v>
      </c>
      <c r="F3118" s="3" t="str">
        <f>"219-617-7746"</f>
        <v>219-617-7746</v>
      </c>
      <c r="G3118" s="3">
        <v>561720</v>
      </c>
      <c r="H3118" s="3" t="s">
        <v>222</v>
      </c>
    </row>
    <row r="3119" spans="1:8" ht="141" x14ac:dyDescent="0.25">
      <c r="A3119" s="3" t="s">
        <v>9441</v>
      </c>
      <c r="B3119" s="3"/>
      <c r="C3119" s="3" t="s">
        <v>9442</v>
      </c>
      <c r="D3119" s="3" t="s">
        <v>8523</v>
      </c>
      <c r="E3119" s="3" t="s">
        <v>9443</v>
      </c>
      <c r="F3119" s="3" t="str">
        <f>"812-288-7778"</f>
        <v>812-288-7778</v>
      </c>
      <c r="G3119" s="3">
        <v>562111</v>
      </c>
      <c r="H3119" s="3" t="s">
        <v>1818</v>
      </c>
    </row>
    <row r="3120" spans="1:8" ht="77.25" x14ac:dyDescent="0.25">
      <c r="A3120" s="3" t="s">
        <v>9444</v>
      </c>
      <c r="B3120" s="3"/>
      <c r="C3120" s="3" t="str">
        <f>"Marketing consulting, planning, research and product development. All phases of advertising, including media placement, outdoor, print, radio, and television. All phases of graphic design, including website design and development."</f>
        <v>Marketing consulting, planning, research and product development. All phases of advertising, including media placement, outdoor, print, radio, and television. All phases of graphic design, including website design and development.</v>
      </c>
      <c r="D3120" s="3" t="s">
        <v>9445</v>
      </c>
      <c r="E3120" s="3" t="s">
        <v>9446</v>
      </c>
      <c r="F3120" s="3" t="str">
        <f>"812-944-7728"</f>
        <v>812-944-7728</v>
      </c>
      <c r="G3120" s="3">
        <v>541810</v>
      </c>
      <c r="H3120" s="3" t="s">
        <v>976</v>
      </c>
    </row>
    <row r="3121" spans="1:8" ht="64.5" x14ac:dyDescent="0.25">
      <c r="A3121" s="3" t="s">
        <v>9447</v>
      </c>
      <c r="B3121" s="3"/>
      <c r="C3121" s="3" t="str">
        <f>"Etc, Inc represents manufacturers of assembly, machining, metal forming, and parts feeding equipment. We provide technical expertise from original concept to completed project."</f>
        <v>Etc, Inc represents manufacturers of assembly, machining, metal forming, and parts feeding equipment. We provide technical expertise from original concept to completed project.</v>
      </c>
      <c r="D3121" s="3" t="s">
        <v>9448</v>
      </c>
      <c r="E3121" s="3" t="s">
        <v>9449</v>
      </c>
      <c r="F3121" s="3" t="str">
        <f>"2604324210"</f>
        <v>2604324210</v>
      </c>
      <c r="G3121" s="3">
        <v>541990</v>
      </c>
      <c r="H3121" s="3" t="s">
        <v>378</v>
      </c>
    </row>
    <row r="3122" spans="1:8" ht="26.25" x14ac:dyDescent="0.25">
      <c r="A3122" s="3" t="s">
        <v>9450</v>
      </c>
      <c r="B3122" s="3"/>
      <c r="C3122" s="3" t="str">
        <f>"small cleaning company adding crime scene cleaning to the services"</f>
        <v>small cleaning company adding crime scene cleaning to the services</v>
      </c>
      <c r="D3122" s="3" t="s">
        <v>9</v>
      </c>
      <c r="E3122" s="3" t="s">
        <v>46</v>
      </c>
      <c r="F3122" s="2"/>
      <c r="G3122" s="3">
        <v>561720</v>
      </c>
      <c r="H3122" s="3" t="s">
        <v>222</v>
      </c>
    </row>
    <row r="3123" spans="1:8" ht="26.25" x14ac:dyDescent="0.25">
      <c r="A3123" s="3" t="s">
        <v>9450</v>
      </c>
      <c r="B3123" s="3"/>
      <c r="C3123" s="3" t="str">
        <f>"janitorial and bio-hazzard service"</f>
        <v>janitorial and bio-hazzard service</v>
      </c>
      <c r="D3123" s="3" t="s">
        <v>9451</v>
      </c>
      <c r="E3123" s="3" t="s">
        <v>9452</v>
      </c>
      <c r="F3123" s="3" t="str">
        <f>"2194846154"</f>
        <v>2194846154</v>
      </c>
      <c r="G3123" s="3">
        <v>561720</v>
      </c>
      <c r="H3123" s="3" t="s">
        <v>222</v>
      </c>
    </row>
    <row r="3124" spans="1:8" ht="90" x14ac:dyDescent="0.25">
      <c r="A3124" s="3" t="s">
        <v>9453</v>
      </c>
      <c r="B3124" s="3"/>
      <c r="C3124" s="3" t="str">
        <f>"Ethos Marketing is a social enterprise focusing on making a positive impact for small businesses and non profit organizations. We focus our efforts on community outreach, to bring about an overall awareness of your objective and or mission."</f>
        <v>Ethos Marketing is a social enterprise focusing on making a positive impact for small businesses and non profit organizations. We focus our efforts on community outreach, to bring about an overall awareness of your objective and or mission.</v>
      </c>
      <c r="D3124" s="3" t="s">
        <v>9454</v>
      </c>
      <c r="E3124" s="3" t="s">
        <v>9455</v>
      </c>
      <c r="F3124" s="3" t="str">
        <f>"317-294-9446"</f>
        <v>317-294-9446</v>
      </c>
      <c r="G3124" s="3">
        <v>541613</v>
      </c>
      <c r="H3124" s="3" t="s">
        <v>558</v>
      </c>
    </row>
    <row r="3125" spans="1:8" ht="26.25" x14ac:dyDescent="0.25">
      <c r="A3125" s="3" t="s">
        <v>9456</v>
      </c>
      <c r="B3125" s="3"/>
      <c r="C3125" s="3" t="str">
        <f>"Lease office space to government offices and private offices."</f>
        <v>Lease office space to government offices and private offices.</v>
      </c>
      <c r="D3125" s="3" t="s">
        <v>9</v>
      </c>
      <c r="E3125" s="3" t="s">
        <v>46</v>
      </c>
      <c r="F3125" s="3" t="str">
        <f>"812-331-7525"</f>
        <v>812-331-7525</v>
      </c>
      <c r="G3125" s="3">
        <v>531110</v>
      </c>
      <c r="H3125" s="3" t="s">
        <v>1311</v>
      </c>
    </row>
    <row r="3126" spans="1:8" ht="26.25" x14ac:dyDescent="0.25">
      <c r="A3126" s="3" t="s">
        <v>9457</v>
      </c>
      <c r="B3126" s="3"/>
      <c r="C3126" s="3" t="str">
        <f>"Commercial Janitorial Building maintenance Service"</f>
        <v>Commercial Janitorial Building maintenance Service</v>
      </c>
      <c r="D3126" s="3" t="s">
        <v>9</v>
      </c>
      <c r="E3126" s="3" t="s">
        <v>46</v>
      </c>
      <c r="F3126" s="2"/>
      <c r="G3126" s="3">
        <v>561720</v>
      </c>
      <c r="H3126" s="3" t="s">
        <v>222</v>
      </c>
    </row>
    <row r="3127" spans="1:8" ht="294" x14ac:dyDescent="0.25">
      <c r="A3127" s="3" t="s">
        <v>9458</v>
      </c>
      <c r="B3127" s="3"/>
      <c r="C3127" s="3" t="s">
        <v>9459</v>
      </c>
      <c r="D3127" s="3" t="s">
        <v>5453</v>
      </c>
      <c r="E3127" s="3" t="s">
        <v>9460</v>
      </c>
      <c r="F3127" s="3" t="str">
        <f>"812-455-7185"</f>
        <v>812-455-7185</v>
      </c>
      <c r="G3127" s="3">
        <v>624310</v>
      </c>
      <c r="H3127" s="3" t="s">
        <v>488</v>
      </c>
    </row>
    <row r="3128" spans="1:8" ht="26.25" x14ac:dyDescent="0.25">
      <c r="A3128" s="3" t="s">
        <v>9461</v>
      </c>
      <c r="B3128" s="3"/>
      <c r="C3128" s="3" t="str">
        <f>"We provide a full service restaurant and catering. Also a small gift shop."</f>
        <v>We provide a full service restaurant and catering. Also a small gift shop.</v>
      </c>
      <c r="D3128" s="3" t="s">
        <v>9</v>
      </c>
      <c r="E3128" s="3" t="s">
        <v>46</v>
      </c>
      <c r="F3128" s="3" t="str">
        <f>"812-689-3000"</f>
        <v>812-689-3000</v>
      </c>
      <c r="G3128" s="3">
        <v>722110</v>
      </c>
      <c r="H3128" s="3" t="s">
        <v>1307</v>
      </c>
    </row>
    <row r="3129" spans="1:8" ht="39" x14ac:dyDescent="0.25">
      <c r="A3129" s="3" t="s">
        <v>9462</v>
      </c>
      <c r="B3129" s="3"/>
      <c r="C3129" s="3" t="str">
        <f>"We are independent Farmers Insurance Group agents. We have a wide range of insurance available."</f>
        <v>We are independent Farmers Insurance Group agents. We have a wide range of insurance available.</v>
      </c>
      <c r="D3129" s="3" t="s">
        <v>9</v>
      </c>
      <c r="E3129" s="3" t="s">
        <v>46</v>
      </c>
      <c r="F3129" s="2"/>
      <c r="G3129" s="3">
        <v>5242</v>
      </c>
      <c r="H3129" s="3" t="s">
        <v>7270</v>
      </c>
    </row>
    <row r="3130" spans="1:8" ht="26.25" x14ac:dyDescent="0.25">
      <c r="A3130" s="3" t="s">
        <v>9463</v>
      </c>
      <c r="B3130" s="3"/>
      <c r="C3130" s="3" t="str">
        <f>" "</f>
        <v xml:space="preserve"> </v>
      </c>
      <c r="D3130" s="3" t="s">
        <v>9</v>
      </c>
      <c r="E3130" s="3" t="s">
        <v>46</v>
      </c>
      <c r="F3130" s="3" t="str">
        <f>"773-576-2290"</f>
        <v>773-576-2290</v>
      </c>
      <c r="G3130" s="3">
        <v>332994</v>
      </c>
      <c r="H3130" s="3" t="s">
        <v>9464</v>
      </c>
    </row>
    <row r="3131" spans="1:8" ht="255.75" x14ac:dyDescent="0.25">
      <c r="A3131" s="3" t="s">
        <v>9465</v>
      </c>
      <c r="B3131" s="3"/>
      <c r="C3131" s="3" t="s">
        <v>9466</v>
      </c>
      <c r="D3131" s="3" t="s">
        <v>9467</v>
      </c>
      <c r="E3131" s="3" t="s">
        <v>9468</v>
      </c>
      <c r="F3131" s="3" t="str">
        <f>"812-492-1269"</f>
        <v>812-492-1269</v>
      </c>
      <c r="G3131" s="3">
        <v>561910</v>
      </c>
      <c r="H3131" s="3" t="s">
        <v>7461</v>
      </c>
    </row>
    <row r="3132" spans="1:8" ht="51.75" x14ac:dyDescent="0.25">
      <c r="A3132" s="3" t="s">
        <v>9469</v>
      </c>
      <c r="B3132" s="3"/>
      <c r="C3132" s="3" t="str">
        <f>"Real Estate brokerage company specializing in leasing services to match both commerical &amp; residential property owners with qualified tenants."</f>
        <v>Real Estate brokerage company specializing in leasing services to match both commerical &amp; residential property owners with qualified tenants.</v>
      </c>
      <c r="D3132" s="3" t="s">
        <v>9470</v>
      </c>
      <c r="E3132" s="3" t="s">
        <v>9471</v>
      </c>
      <c r="F3132" s="3" t="str">
        <f>"812-423-2232"</f>
        <v>812-423-2232</v>
      </c>
      <c r="G3132" s="3">
        <v>531210</v>
      </c>
      <c r="H3132" s="3" t="s">
        <v>1101</v>
      </c>
    </row>
    <row r="3133" spans="1:8" ht="26.25" x14ac:dyDescent="0.25">
      <c r="A3133" s="3" t="s">
        <v>9472</v>
      </c>
      <c r="B3133" s="3"/>
      <c r="C3133" s="3" t="str">
        <f>"PLUMBING WHOLESALER"</f>
        <v>PLUMBING WHOLESALER</v>
      </c>
      <c r="D3133" s="3" t="s">
        <v>9473</v>
      </c>
      <c r="E3133" s="3" t="s">
        <v>9474</v>
      </c>
      <c r="F3133" s="3" t="str">
        <f>"8124254201"</f>
        <v>8124254201</v>
      </c>
      <c r="G3133" s="3">
        <v>423720</v>
      </c>
      <c r="H3133" s="3" t="s">
        <v>2695</v>
      </c>
    </row>
    <row r="3134" spans="1:8" ht="39" x14ac:dyDescent="0.25">
      <c r="A3134" s="3" t="s">
        <v>9475</v>
      </c>
      <c r="B3134" s="3"/>
      <c r="C3134" s="3" t="str">
        <f>"Sales &amp; service of time &amp; attendance systems and parking and access control systems."</f>
        <v>Sales &amp; service of time &amp; attendance systems and parking and access control systems.</v>
      </c>
      <c r="D3134" s="3" t="s">
        <v>9476</v>
      </c>
      <c r="E3134" s="3" t="s">
        <v>9477</v>
      </c>
      <c r="F3134" s="3" t="str">
        <f>"317-358-1000"</f>
        <v>317-358-1000</v>
      </c>
      <c r="G3134" s="3">
        <v>812930</v>
      </c>
      <c r="H3134" s="3" t="s">
        <v>7920</v>
      </c>
    </row>
    <row r="3135" spans="1:8" ht="102.75" x14ac:dyDescent="0.25">
      <c r="A3135" s="3" t="s">
        <v>9478</v>
      </c>
      <c r="B3135" s="3"/>
      <c r="C3135" s="3" t="s">
        <v>9479</v>
      </c>
      <c r="D3135" s="3" t="s">
        <v>9480</v>
      </c>
      <c r="E3135" s="3" t="s">
        <v>9481</v>
      </c>
      <c r="F3135" s="3" t="str">
        <f>"317-580-0006"</f>
        <v>317-580-0006</v>
      </c>
      <c r="G3135" s="3">
        <v>541990</v>
      </c>
      <c r="H3135" s="3" t="s">
        <v>378</v>
      </c>
    </row>
    <row r="3136" spans="1:8" ht="64.5" x14ac:dyDescent="0.25">
      <c r="A3136" s="3" t="s">
        <v>9482</v>
      </c>
      <c r="B3136" s="3"/>
      <c r="C3136" s="3" t="str">
        <f>"We design, produce and deliver cost effective video solutions. Planning for your short- and long-term needs, we translate your communication goals into powerful video tools."</f>
        <v>We design, produce and deliver cost effective video solutions. Planning for your short- and long-term needs, we translate your communication goals into powerful video tools.</v>
      </c>
      <c r="D3136" s="3" t="s">
        <v>9483</v>
      </c>
      <c r="E3136" s="3" t="s">
        <v>9484</v>
      </c>
      <c r="F3136" s="3" t="str">
        <f>"574-533-9055"</f>
        <v>574-533-9055</v>
      </c>
      <c r="G3136" s="3">
        <v>512110</v>
      </c>
      <c r="H3136" s="3" t="s">
        <v>406</v>
      </c>
    </row>
    <row r="3137" spans="1:8" ht="26.25" x14ac:dyDescent="0.25">
      <c r="A3137" s="3" t="s">
        <v>9485</v>
      </c>
      <c r="B3137" s="3"/>
      <c r="C3137" s="3" t="str">
        <f>"real estate sales and management services"</f>
        <v>real estate sales and management services</v>
      </c>
      <c r="D3137" s="3" t="s">
        <v>9486</v>
      </c>
      <c r="E3137" s="3" t="s">
        <v>9487</v>
      </c>
      <c r="F3137" s="3" t="str">
        <f>"(317) 398-8533"</f>
        <v>(317) 398-8533</v>
      </c>
      <c r="G3137" s="3">
        <v>531210</v>
      </c>
      <c r="H3137" s="3" t="s">
        <v>1101</v>
      </c>
    </row>
    <row r="3138" spans="1:8" ht="26.25" x14ac:dyDescent="0.25">
      <c r="A3138" s="3" t="s">
        <v>9488</v>
      </c>
      <c r="B3138" s="3"/>
      <c r="C3138" s="3" t="str">
        <f>"Rental of municipality equipment"</f>
        <v>Rental of municipality equipment</v>
      </c>
      <c r="D3138" s="3" t="s">
        <v>9489</v>
      </c>
      <c r="E3138" s="3" t="s">
        <v>9490</v>
      </c>
      <c r="F3138" s="3" t="str">
        <f>"317-823-3050"</f>
        <v>317-823-3050</v>
      </c>
      <c r="G3138" s="3">
        <v>532</v>
      </c>
      <c r="H3138" s="3" t="s">
        <v>2610</v>
      </c>
    </row>
    <row r="3139" spans="1:8" ht="51.75" x14ac:dyDescent="0.25">
      <c r="A3139" s="3" t="s">
        <v>9491</v>
      </c>
      <c r="B3139" s="3"/>
      <c r="C3139" s="3" t="str">
        <f>"Everon Incoporated specializes in motivational training and materials to help people learn effective methods for life planning and strategic thinking."</f>
        <v>Everon Incoporated specializes in motivational training and materials to help people learn effective methods for life planning and strategic thinking.</v>
      </c>
      <c r="D3139" s="3" t="s">
        <v>9492</v>
      </c>
      <c r="E3139" s="3" t="s">
        <v>9493</v>
      </c>
      <c r="F3139" s="3" t="str">
        <f>"317-339-3600"</f>
        <v>317-339-3600</v>
      </c>
      <c r="G3139" s="3">
        <v>711510</v>
      </c>
      <c r="H3139" s="3" t="s">
        <v>1980</v>
      </c>
    </row>
    <row r="3140" spans="1:8" ht="115.5" x14ac:dyDescent="0.25">
      <c r="A3140" s="3" t="s">
        <v>9494</v>
      </c>
      <c r="B3140" s="3"/>
      <c r="C3140" s="3" t="s">
        <v>9495</v>
      </c>
      <c r="D3140" s="3" t="s">
        <v>9</v>
      </c>
      <c r="E3140" s="3" t="s">
        <v>9496</v>
      </c>
      <c r="F3140" s="3" t="str">
        <f>"8121-797-5506"</f>
        <v>8121-797-5506</v>
      </c>
      <c r="G3140" s="3">
        <v>62161</v>
      </c>
      <c r="H3140" s="3" t="s">
        <v>328</v>
      </c>
    </row>
    <row r="3141" spans="1:8" ht="39" x14ac:dyDescent="0.25">
      <c r="A3141" s="3" t="s">
        <v>9497</v>
      </c>
      <c r="B3141" s="3"/>
      <c r="C3141" s="3" t="str">
        <f>"Rotary and Laser engraving; industrial engraving, ADA signage, trophies, awards, gifts, signs"</f>
        <v>Rotary and Laser engraving; industrial engraving, ADA signage, trophies, awards, gifts, signs</v>
      </c>
      <c r="D3141" s="3" t="s">
        <v>9498</v>
      </c>
      <c r="E3141" s="3" t="s">
        <v>9499</v>
      </c>
      <c r="F3141" s="3" t="str">
        <f>"765-445-5000"</f>
        <v>765-445-5000</v>
      </c>
      <c r="G3141" s="3">
        <v>3328</v>
      </c>
      <c r="H3141" s="3" t="s">
        <v>9500</v>
      </c>
    </row>
    <row r="3142" spans="1:8" ht="102.75" x14ac:dyDescent="0.25">
      <c r="A3142" s="3" t="s">
        <v>9501</v>
      </c>
      <c r="B3142" s="3"/>
      <c r="C3142" s="3" t="s">
        <v>9502</v>
      </c>
      <c r="D3142" s="3" t="s">
        <v>9503</v>
      </c>
      <c r="E3142" s="3" t="s">
        <v>9504</v>
      </c>
      <c r="F3142" s="3" t="str">
        <f>"317-679-5893"</f>
        <v>317-679-5893</v>
      </c>
      <c r="G3142" s="3">
        <v>454111</v>
      </c>
      <c r="H3142" s="3" t="s">
        <v>492</v>
      </c>
    </row>
    <row r="3143" spans="1:8" ht="102.75" x14ac:dyDescent="0.25">
      <c r="A3143" s="3" t="s">
        <v>9505</v>
      </c>
      <c r="B3143" s="3"/>
      <c r="C3143" s="3" t="s">
        <v>9506</v>
      </c>
      <c r="D3143" s="3" t="s">
        <v>9507</v>
      </c>
      <c r="E3143" s="3" t="s">
        <v>9508</v>
      </c>
      <c r="F3143" s="3" t="str">
        <f>"513 518 3388"</f>
        <v>513 518 3388</v>
      </c>
      <c r="G3143" s="3">
        <v>541850</v>
      </c>
      <c r="H3143" s="3" t="s">
        <v>9509</v>
      </c>
    </row>
    <row r="3144" spans="1:8" ht="153.75" x14ac:dyDescent="0.25">
      <c r="A3144" s="3" t="s">
        <v>9510</v>
      </c>
      <c r="B3144" s="3"/>
      <c r="C3144" s="3" t="s">
        <v>9511</v>
      </c>
      <c r="D3144" s="3" t="s">
        <v>9</v>
      </c>
      <c r="E3144" s="3" t="s">
        <v>9512</v>
      </c>
      <c r="F3144" s="3" t="str">
        <f>"3172817926"</f>
        <v>3172817926</v>
      </c>
      <c r="G3144" s="3">
        <v>517212</v>
      </c>
      <c r="H3144" s="3" t="s">
        <v>6947</v>
      </c>
    </row>
    <row r="3145" spans="1:8" ht="64.5" x14ac:dyDescent="0.25">
      <c r="A3145" s="3" t="s">
        <v>9513</v>
      </c>
      <c r="B3145" s="3"/>
      <c r="C3145" s="3" t="str">
        <f>"Evolution Development Group, LLC provides land use consulting services including zoning and entitlements, land acquisition &amp; disposition, and master planning. We serve both public and private sector clientele."</f>
        <v>Evolution Development Group, LLC provides land use consulting services including zoning and entitlements, land acquisition &amp; disposition, and master planning. We serve both public and private sector clientele.</v>
      </c>
      <c r="D3145" s="3" t="s">
        <v>9</v>
      </c>
      <c r="E3145" s="3" t="s">
        <v>9514</v>
      </c>
      <c r="F3145" s="3" t="str">
        <f>"317-525-3711"</f>
        <v>317-525-3711</v>
      </c>
      <c r="G3145" s="3">
        <v>531390</v>
      </c>
      <c r="H3145" s="3" t="s">
        <v>623</v>
      </c>
    </row>
    <row r="3146" spans="1:8" ht="77.25" x14ac:dyDescent="0.25">
      <c r="A3146" s="3" t="s">
        <v>9515</v>
      </c>
      <c r="B3146" s="3"/>
      <c r="C3146" s="3" t="str">
        <f>"Evolution Industrial Cleaning LLC provides water blasting (up to 40,000 psi), vacuuming, sewer cleaning, process pipe and vessel cleaning, ultra high pressure cleaning, surface preparation, chemical cleaning and tank cleaning."</f>
        <v>Evolution Industrial Cleaning LLC provides water blasting (up to 40,000 psi), vacuuming, sewer cleaning, process pipe and vessel cleaning, ultra high pressure cleaning, surface preparation, chemical cleaning and tank cleaning.</v>
      </c>
      <c r="D3146" s="3" t="s">
        <v>9</v>
      </c>
      <c r="E3146" s="3" t="s">
        <v>46</v>
      </c>
      <c r="F3146" s="3" t="str">
        <f>"(219)464-7982"</f>
        <v>(219)464-7982</v>
      </c>
      <c r="G3146" s="3">
        <v>561720</v>
      </c>
      <c r="H3146" s="3" t="s">
        <v>222</v>
      </c>
    </row>
    <row r="3147" spans="1:8" ht="26.25" x14ac:dyDescent="0.25">
      <c r="A3147" s="3" t="s">
        <v>9516</v>
      </c>
      <c r="B3147" s="3"/>
      <c r="C3147" s="3" t="str">
        <f>"We serve court documents, do court research and document retrieval."</f>
        <v>We serve court documents, do court research and document retrieval.</v>
      </c>
      <c r="D3147" s="3" t="s">
        <v>9517</v>
      </c>
      <c r="E3147" s="3" t="s">
        <v>9518</v>
      </c>
      <c r="F3147" s="3" t="str">
        <f>"317-691-7342"</f>
        <v>317-691-7342</v>
      </c>
      <c r="G3147" s="3">
        <v>541199</v>
      </c>
      <c r="H3147" s="3" t="s">
        <v>1371</v>
      </c>
    </row>
    <row r="3148" spans="1:8" ht="51.75" x14ac:dyDescent="0.25">
      <c r="A3148" s="3" t="s">
        <v>9519</v>
      </c>
      <c r="B3148" s="3"/>
      <c r="C3148" s="3" t="str">
        <f>"I am interested in contracting non-durable for the state of Indiana. An example of the products I want to offer are epsom salt and band-age or bandages."</f>
        <v>I am interested in contracting non-durable for the state of Indiana. An example of the products I want to offer are epsom salt and band-age or bandages.</v>
      </c>
      <c r="D3148" s="3" t="s">
        <v>9520</v>
      </c>
      <c r="E3148" s="3" t="s">
        <v>9521</v>
      </c>
      <c r="F3148" s="3" t="str">
        <f>"219 980-2862"</f>
        <v>219 980-2862</v>
      </c>
      <c r="G3148" s="3">
        <v>424210</v>
      </c>
      <c r="H3148" s="3" t="s">
        <v>7535</v>
      </c>
    </row>
    <row r="3149" spans="1:8" ht="141" x14ac:dyDescent="0.25">
      <c r="A3149" s="3" t="s">
        <v>9522</v>
      </c>
      <c r="B3149" s="3"/>
      <c r="C3149" s="3" t="s">
        <v>9523</v>
      </c>
      <c r="D3149" s="3" t="s">
        <v>2709</v>
      </c>
      <c r="E3149" s="3" t="s">
        <v>9524</v>
      </c>
      <c r="F3149" s="3" t="str">
        <f>"317.275.2000"</f>
        <v>317.275.2000</v>
      </c>
      <c r="G3149" s="3">
        <v>541618</v>
      </c>
      <c r="H3149" s="3" t="s">
        <v>3527</v>
      </c>
    </row>
    <row r="3150" spans="1:8" ht="115.5" x14ac:dyDescent="0.25">
      <c r="A3150" s="3" t="s">
        <v>9525</v>
      </c>
      <c r="B3150" s="3"/>
      <c r="C3150" s="3" t="s">
        <v>9526</v>
      </c>
      <c r="D3150" s="3" t="s">
        <v>9527</v>
      </c>
      <c r="E3150" s="3" t="s">
        <v>9528</v>
      </c>
      <c r="F3150" s="3" t="str">
        <f>"317-203-9291"</f>
        <v>317-203-9291</v>
      </c>
      <c r="G3150" s="3">
        <v>624190</v>
      </c>
      <c r="H3150" s="3" t="s">
        <v>54</v>
      </c>
    </row>
    <row r="3151" spans="1:8" ht="64.5" x14ac:dyDescent="0.25">
      <c r="A3151" s="3" t="s">
        <v>9529</v>
      </c>
      <c r="B3151" s="3"/>
      <c r="C3151" s="3" t="str">
        <f>"we are a full service auto repair facility . selling and installing all types of auto parts , diagnostic services, auto repair, engine and transmission repair and replacement, selling tires and repairing them"</f>
        <v>we are a full service auto repair facility . selling and installing all types of auto parts , diagnostic services, auto repair, engine and transmission repair and replacement, selling tires and repairing them</v>
      </c>
      <c r="D3151" s="3" t="s">
        <v>9</v>
      </c>
      <c r="E3151" s="3" t="s">
        <v>9530</v>
      </c>
      <c r="F3151" s="3" t="str">
        <f>"812 838 6561"</f>
        <v>812 838 6561</v>
      </c>
      <c r="G3151" s="3">
        <v>4413</v>
      </c>
      <c r="H3151" s="3" t="s">
        <v>1210</v>
      </c>
    </row>
    <row r="3152" spans="1:8" ht="115.5" x14ac:dyDescent="0.25">
      <c r="A3152" s="3" t="s">
        <v>9531</v>
      </c>
      <c r="B3152" s="3"/>
      <c r="C3152" s="3" t="s">
        <v>9532</v>
      </c>
      <c r="D3152" s="3" t="s">
        <v>9533</v>
      </c>
      <c r="E3152" s="3" t="s">
        <v>9534</v>
      </c>
      <c r="F3152" s="3" t="str">
        <f>"574-522-3583"</f>
        <v>574-522-3583</v>
      </c>
      <c r="G3152" s="3">
        <v>332710</v>
      </c>
      <c r="H3152" s="3" t="s">
        <v>387</v>
      </c>
    </row>
    <row r="3153" spans="1:8" ht="51.75" x14ac:dyDescent="0.25">
      <c r="A3153" s="3" t="s">
        <v>9535</v>
      </c>
      <c r="B3153" s="3"/>
      <c r="C3153" s="3" t="str">
        <f>"PAVEMENT MARKING AND MISCELANIOUS CONCRETE COMPANY THERMOPLASTIC , PAINT, PREFORM, HAND AND TRUCK APPLICATION"</f>
        <v>PAVEMENT MARKING AND MISCELANIOUS CONCRETE COMPANY THERMOPLASTIC , PAINT, PREFORM, HAND AND TRUCK APPLICATION</v>
      </c>
      <c r="D3153" s="3" t="s">
        <v>9</v>
      </c>
      <c r="E3153" s="3" t="s">
        <v>9536</v>
      </c>
      <c r="F3153" s="3" t="str">
        <f>"312882646"</f>
        <v>312882646</v>
      </c>
      <c r="G3153" s="3">
        <v>237310</v>
      </c>
      <c r="H3153" s="3" t="s">
        <v>768</v>
      </c>
    </row>
    <row r="3154" spans="1:8" ht="128.25" x14ac:dyDescent="0.25">
      <c r="A3154" s="3" t="s">
        <v>9537</v>
      </c>
      <c r="B3154" s="3"/>
      <c r="C3154" s="3" t="s">
        <v>9538</v>
      </c>
      <c r="D3154" s="3" t="s">
        <v>9539</v>
      </c>
      <c r="E3154" s="3" t="s">
        <v>9540</v>
      </c>
      <c r="F3154" s="3" t="str">
        <f>"317-833-9941"</f>
        <v>317-833-9941</v>
      </c>
      <c r="G3154" s="3">
        <v>541511</v>
      </c>
      <c r="H3154" s="3" t="s">
        <v>122</v>
      </c>
    </row>
    <row r="3155" spans="1:8" ht="26.25" x14ac:dyDescent="0.25">
      <c r="A3155" s="3" t="s">
        <v>9541</v>
      </c>
      <c r="B3155" s="3"/>
      <c r="C3155" s="3" t="str">
        <f>"Liquid fuels and propane. Fertilizer, feed, seed, and grain. Maintenance repair shop."</f>
        <v>Liquid fuels and propane. Fertilizer, feed, seed, and grain. Maintenance repair shop.</v>
      </c>
      <c r="D3155" s="3" t="s">
        <v>9542</v>
      </c>
      <c r="E3155" s="3" t="s">
        <v>46</v>
      </c>
      <c r="F3155" s="3" t="str">
        <f>"219-984-5353"</f>
        <v>219-984-5353</v>
      </c>
      <c r="G3155" s="3">
        <v>813910</v>
      </c>
      <c r="H3155" s="3" t="s">
        <v>1906</v>
      </c>
    </row>
    <row r="3156" spans="1:8" ht="64.5" x14ac:dyDescent="0.25">
      <c r="A3156" s="3" t="s">
        <v>9543</v>
      </c>
      <c r="B3156" s="3"/>
      <c r="C3156" s="3" t="str">
        <f>"Full service convention &amp; trade show service contractor and decorator headquartered in Indianapolis with branch offices in Illinios, and the Southeast United States."</f>
        <v>Full service convention &amp; trade show service contractor and decorator headquartered in Indianapolis with branch offices in Illinios, and the Southeast United States.</v>
      </c>
      <c r="D3156" s="3" t="s">
        <v>9544</v>
      </c>
      <c r="E3156" s="3" t="s">
        <v>9545</v>
      </c>
      <c r="F3156" s="3" t="str">
        <f>"317.856.1300"</f>
        <v>317.856.1300</v>
      </c>
      <c r="G3156" s="3">
        <v>561920</v>
      </c>
      <c r="H3156" s="3" t="s">
        <v>7034</v>
      </c>
    </row>
    <row r="3157" spans="1:8" ht="192" x14ac:dyDescent="0.25">
      <c r="A3157" s="3" t="s">
        <v>9546</v>
      </c>
      <c r="B3157" s="3"/>
      <c r="C3157" s="3" t="s">
        <v>9547</v>
      </c>
      <c r="D3157" s="3" t="s">
        <v>9548</v>
      </c>
      <c r="E3157" s="3" t="s">
        <v>9549</v>
      </c>
      <c r="F3157" s="3" t="str">
        <f>"317-882-1300"</f>
        <v>317-882-1300</v>
      </c>
      <c r="G3157" s="3">
        <v>4234</v>
      </c>
      <c r="H3157" s="3" t="s">
        <v>4160</v>
      </c>
    </row>
    <row r="3158" spans="1:8" ht="64.5" x14ac:dyDescent="0.25">
      <c r="A3158" s="3" t="s">
        <v>9550</v>
      </c>
      <c r="B3158" s="3"/>
      <c r="C3158" s="3" t="str">
        <f>"We are a state licensed and Medicare/Medicaid certified home health agency that provides in-home therapy and nursing services. We have 3 owners, 2 are female and one is a Phillipino male."</f>
        <v>We are a state licensed and Medicare/Medicaid certified home health agency that provides in-home therapy and nursing services. We have 3 owners, 2 are female and one is a Phillipino male.</v>
      </c>
      <c r="D3158" s="3" t="s">
        <v>9551</v>
      </c>
      <c r="E3158" s="3" t="s">
        <v>9552</v>
      </c>
      <c r="F3158" s="3" t="str">
        <f>"765-482-6680"</f>
        <v>765-482-6680</v>
      </c>
      <c r="G3158" s="3">
        <v>621610</v>
      </c>
      <c r="H3158" s="3" t="s">
        <v>328</v>
      </c>
    </row>
    <row r="3159" spans="1:8" ht="255.75" x14ac:dyDescent="0.25">
      <c r="A3159" s="3" t="s">
        <v>9553</v>
      </c>
      <c r="B3159" s="3"/>
      <c r="C3159" s="3" t="s">
        <v>9554</v>
      </c>
      <c r="D3159" s="3" t="s">
        <v>9555</v>
      </c>
      <c r="E3159" s="3" t="s">
        <v>9556</v>
      </c>
      <c r="F3159" s="3" t="str">
        <f>"800-846-6714"</f>
        <v>800-846-6714</v>
      </c>
      <c r="G3159" s="3">
        <v>484110</v>
      </c>
      <c r="H3159" s="3" t="s">
        <v>644</v>
      </c>
    </row>
    <row r="3160" spans="1:8" ht="102.75" x14ac:dyDescent="0.25">
      <c r="A3160" s="3" t="s">
        <v>9557</v>
      </c>
      <c r="B3160" s="3"/>
      <c r="C3160" s="3" t="s">
        <v>9558</v>
      </c>
      <c r="D3160" s="3" t="s">
        <v>9559</v>
      </c>
      <c r="E3160" s="3" t="s">
        <v>9560</v>
      </c>
      <c r="F3160" s="3" t="str">
        <f>"812-522-6880"</f>
        <v>812-522-6880</v>
      </c>
      <c r="G3160" s="3">
        <v>333511</v>
      </c>
      <c r="H3160" s="3" t="s">
        <v>3016</v>
      </c>
    </row>
    <row r="3161" spans="1:8" ht="39" x14ac:dyDescent="0.25">
      <c r="A3161" s="3" t="s">
        <v>9561</v>
      </c>
      <c r="B3161" s="3"/>
      <c r="C3161" s="3" t="str">
        <f>"We provide cleaning services and supplies for offices, schools, factories, new construction and residences"</f>
        <v>We provide cleaning services and supplies for offices, schools, factories, new construction and residences</v>
      </c>
      <c r="D3161" s="3" t="s">
        <v>9</v>
      </c>
      <c r="E3161" s="3" t="s">
        <v>9562</v>
      </c>
      <c r="F3161" s="3" t="str">
        <f>"317-485-8594"</f>
        <v>317-485-8594</v>
      </c>
      <c r="G3161" s="3">
        <v>561720</v>
      </c>
      <c r="H3161" s="3" t="s">
        <v>222</v>
      </c>
    </row>
    <row r="3162" spans="1:8" ht="26.25" x14ac:dyDescent="0.25">
      <c r="A3162" s="3" t="s">
        <v>9563</v>
      </c>
      <c r="B3162" s="3"/>
      <c r="C3162" s="3" t="str">
        <f>" "</f>
        <v xml:space="preserve"> </v>
      </c>
      <c r="D3162" s="3" t="s">
        <v>9</v>
      </c>
      <c r="E3162" s="3" t="s">
        <v>9564</v>
      </c>
      <c r="F3162" s="3" t="str">
        <f>"3173537046"</f>
        <v>3173537046</v>
      </c>
      <c r="G3162" s="3">
        <v>561720</v>
      </c>
      <c r="H3162" s="3" t="s">
        <v>222</v>
      </c>
    </row>
    <row r="3163" spans="1:8" ht="39" x14ac:dyDescent="0.25">
      <c r="A3163" s="3" t="s">
        <v>9565</v>
      </c>
      <c r="B3163" s="3"/>
      <c r="C3163" s="3" t="str">
        <f>"Autobody Repair, Painting, Frame and Mechanical. All Makes and Models, New and Late Model."</f>
        <v>Autobody Repair, Painting, Frame and Mechanical. All Makes and Models, New and Late Model.</v>
      </c>
      <c r="D3163" s="3" t="s">
        <v>9</v>
      </c>
      <c r="E3163" s="3" t="s">
        <v>9566</v>
      </c>
      <c r="F3163" s="3" t="str">
        <f>"812-479-1429"</f>
        <v>812-479-1429</v>
      </c>
      <c r="G3163" s="3">
        <v>811121</v>
      </c>
      <c r="H3163" s="3" t="s">
        <v>1432</v>
      </c>
    </row>
    <row r="3164" spans="1:8" ht="26.25" x14ac:dyDescent="0.25">
      <c r="A3164" s="3" t="s">
        <v>9567</v>
      </c>
      <c r="B3164" s="3"/>
      <c r="C3164" s="3" t="str">
        <f>"Commercial Drivers License Testing"</f>
        <v>Commercial Drivers License Testing</v>
      </c>
      <c r="D3164" s="3" t="s">
        <v>9</v>
      </c>
      <c r="E3164" s="3" t="s">
        <v>9568</v>
      </c>
      <c r="F3164" s="3" t="str">
        <f>"5742899211"</f>
        <v>5742899211</v>
      </c>
      <c r="G3164" s="3">
        <v>811111</v>
      </c>
      <c r="H3164" s="3" t="s">
        <v>2383</v>
      </c>
    </row>
    <row r="3165" spans="1:8" ht="166.5" x14ac:dyDescent="0.25">
      <c r="A3165" s="3" t="s">
        <v>9569</v>
      </c>
      <c r="B3165" s="3"/>
      <c r="C3165" s="3" t="s">
        <v>9570</v>
      </c>
      <c r="D3165" s="3" t="s">
        <v>9571</v>
      </c>
      <c r="E3165" s="3" t="s">
        <v>9572</v>
      </c>
      <c r="F3165" s="3" t="str">
        <f>"317-946-6585"</f>
        <v>317-946-6585</v>
      </c>
      <c r="G3165" s="3">
        <v>812990</v>
      </c>
      <c r="H3165" s="3" t="s">
        <v>294</v>
      </c>
    </row>
    <row r="3166" spans="1:8" ht="255.75" x14ac:dyDescent="0.25">
      <c r="A3166" s="3" t="s">
        <v>9573</v>
      </c>
      <c r="B3166" s="3"/>
      <c r="C3166" s="3" t="s">
        <v>9574</v>
      </c>
      <c r="D3166" s="3" t="s">
        <v>9575</v>
      </c>
      <c r="E3166" s="3" t="s">
        <v>9576</v>
      </c>
      <c r="F3166" s="3" t="str">
        <f>"317-366-9728"</f>
        <v>317-366-9728</v>
      </c>
      <c r="G3166" s="3">
        <v>5418</v>
      </c>
      <c r="H3166" s="3" t="s">
        <v>1337</v>
      </c>
    </row>
    <row r="3167" spans="1:8" ht="166.5" x14ac:dyDescent="0.25">
      <c r="A3167" s="3" t="s">
        <v>9577</v>
      </c>
      <c r="B3167" s="3"/>
      <c r="C3167" s="3" t="s">
        <v>9578</v>
      </c>
      <c r="D3167" s="3" t="s">
        <v>9579</v>
      </c>
      <c r="E3167" s="3" t="s">
        <v>9580</v>
      </c>
      <c r="F3167" s="3" t="str">
        <f>"812 945-4205"</f>
        <v>812 945-4205</v>
      </c>
      <c r="G3167" s="3">
        <v>238290</v>
      </c>
      <c r="H3167" s="3" t="s">
        <v>237</v>
      </c>
    </row>
    <row r="3168" spans="1:8" ht="115.5" x14ac:dyDescent="0.25">
      <c r="A3168" s="3" t="s">
        <v>9581</v>
      </c>
      <c r="B3168" s="3"/>
      <c r="C3168" s="3" t="s">
        <v>9582</v>
      </c>
      <c r="D3168" s="3" t="s">
        <v>9583</v>
      </c>
      <c r="E3168" s="3" t="s">
        <v>9584</v>
      </c>
      <c r="F3168" s="3" t="str">
        <f>"3178651366"</f>
        <v>3178651366</v>
      </c>
      <c r="G3168" s="3">
        <v>561720</v>
      </c>
      <c r="H3168" s="3" t="s">
        <v>222</v>
      </c>
    </row>
    <row r="3169" spans="1:8" ht="26.25" x14ac:dyDescent="0.25">
      <c r="A3169" s="3" t="s">
        <v>9585</v>
      </c>
      <c r="B3169" s="3"/>
      <c r="C3169" s="3" t="str">
        <f>"Commercial and residential brokerage. Specialist in land sales."</f>
        <v>Commercial and residential brokerage. Specialist in land sales.</v>
      </c>
      <c r="D3169" s="3" t="s">
        <v>9586</v>
      </c>
      <c r="E3169" s="3" t="s">
        <v>9587</v>
      </c>
      <c r="F3169" s="3" t="str">
        <f>"219-864-5015"</f>
        <v>219-864-5015</v>
      </c>
      <c r="G3169" s="3">
        <v>531210</v>
      </c>
      <c r="H3169" s="3" t="s">
        <v>1101</v>
      </c>
    </row>
    <row r="3170" spans="1:8" ht="255.75" x14ac:dyDescent="0.25">
      <c r="A3170" s="3" t="s">
        <v>9588</v>
      </c>
      <c r="B3170" s="3"/>
      <c r="C3170" s="3" t="s">
        <v>9589</v>
      </c>
      <c r="D3170" s="3" t="s">
        <v>3413</v>
      </c>
      <c r="E3170" s="3" t="s">
        <v>46</v>
      </c>
      <c r="F3170" s="3" t="str">
        <f>"(317) 594-6000"</f>
        <v>(317) 594-6000</v>
      </c>
      <c r="G3170" s="3">
        <v>561720</v>
      </c>
      <c r="H3170" s="3" t="s">
        <v>222</v>
      </c>
    </row>
    <row r="3171" spans="1:8" ht="128.25" x14ac:dyDescent="0.25">
      <c r="A3171" s="3" t="s">
        <v>9590</v>
      </c>
      <c r="B3171" s="3"/>
      <c r="C3171" s="3" t="s">
        <v>9591</v>
      </c>
      <c r="D3171" s="3" t="s">
        <v>9592</v>
      </c>
      <c r="E3171" s="3" t="s">
        <v>9593</v>
      </c>
      <c r="F3171" s="3" t="str">
        <f>"317-231-7000"</f>
        <v>317-231-7000</v>
      </c>
      <c r="G3171" s="3">
        <v>541820</v>
      </c>
      <c r="H3171" s="3" t="s">
        <v>795</v>
      </c>
    </row>
    <row r="3172" spans="1:8" ht="51.75" x14ac:dyDescent="0.25">
      <c r="A3172" s="3" t="s">
        <v>9594</v>
      </c>
      <c r="B3172" s="3"/>
      <c r="C3172" s="3" t="str">
        <f>"Executive Networks LLC of Indiana provides professional installation and maintenance services for all of your telephone, data, and CCTV networks in business and home."</f>
        <v>Executive Networks LLC of Indiana provides professional installation and maintenance services for all of your telephone, data, and CCTV networks in business and home.</v>
      </c>
      <c r="D3172" s="3" t="s">
        <v>9595</v>
      </c>
      <c r="E3172" s="3" t="s">
        <v>9596</v>
      </c>
      <c r="F3172" s="3" t="str">
        <f>"260-433-3416"</f>
        <v>260-433-3416</v>
      </c>
      <c r="G3172" s="3">
        <v>238210</v>
      </c>
      <c r="H3172" s="3" t="s">
        <v>306</v>
      </c>
    </row>
    <row r="3173" spans="1:8" ht="102.75" x14ac:dyDescent="0.25">
      <c r="A3173" s="3" t="s">
        <v>9597</v>
      </c>
      <c r="B3173" s="3"/>
      <c r="C3173" s="3" t="s">
        <v>9598</v>
      </c>
      <c r="D3173" s="3" t="s">
        <v>9599</v>
      </c>
      <c r="E3173" s="3" t="s">
        <v>9600</v>
      </c>
      <c r="F3173" s="3" t="str">
        <f>"3177218533"</f>
        <v>3177218533</v>
      </c>
      <c r="G3173" s="3">
        <v>531311</v>
      </c>
      <c r="H3173" s="3" t="s">
        <v>2959</v>
      </c>
    </row>
    <row r="3174" spans="1:8" ht="26.25" x14ac:dyDescent="0.25">
      <c r="A3174" s="3" t="s">
        <v>9601</v>
      </c>
      <c r="B3174" s="3"/>
      <c r="C3174" s="3" t="str">
        <f>"A realestate company buying and selling residential and commercial properties"</f>
        <v>A realestate company buying and selling residential and commercial properties</v>
      </c>
      <c r="D3174" s="3" t="s">
        <v>9602</v>
      </c>
      <c r="E3174" s="3" t="s">
        <v>9603</v>
      </c>
      <c r="F3174" s="3" t="str">
        <f>"219-531-2288"</f>
        <v>219-531-2288</v>
      </c>
      <c r="G3174" s="3">
        <v>531210</v>
      </c>
      <c r="H3174" s="3" t="s">
        <v>1101</v>
      </c>
    </row>
    <row r="3175" spans="1:8" ht="102.75" x14ac:dyDescent="0.25">
      <c r="A3175" s="3" t="s">
        <v>9604</v>
      </c>
      <c r="B3175" s="3"/>
      <c r="C3175" s="3" t="s">
        <v>9605</v>
      </c>
      <c r="D3175" s="3" t="s">
        <v>9606</v>
      </c>
      <c r="E3175" s="3" t="s">
        <v>9607</v>
      </c>
      <c r="F3175" s="3" t="str">
        <f>"317-539-4851"</f>
        <v>317-539-4851</v>
      </c>
      <c r="G3175" s="3">
        <v>454111</v>
      </c>
      <c r="H3175" s="3" t="s">
        <v>492</v>
      </c>
    </row>
    <row r="3176" spans="1:8" ht="26.25" x14ac:dyDescent="0.25">
      <c r="A3176" s="3" t="s">
        <v>9608</v>
      </c>
      <c r="B3176" s="3"/>
      <c r="C3176" s="3" t="str">
        <f>"Fresh and silk floral arrangements and specialty designed gift baskets."</f>
        <v>Fresh and silk floral arrangements and specialty designed gift baskets.</v>
      </c>
      <c r="D3176" s="3" t="s">
        <v>9</v>
      </c>
      <c r="E3176" s="3" t="s">
        <v>9609</v>
      </c>
      <c r="F3176" s="3" t="str">
        <f>"317-297-0424"</f>
        <v>317-297-0424</v>
      </c>
      <c r="G3176" s="3">
        <v>111422</v>
      </c>
      <c r="H3176" s="3" t="s">
        <v>9610</v>
      </c>
    </row>
    <row r="3177" spans="1:8" ht="179.25" x14ac:dyDescent="0.25">
      <c r="A3177" s="3" t="s">
        <v>9611</v>
      </c>
      <c r="B3177" s="3"/>
      <c r="C3177" s="3" t="s">
        <v>9612</v>
      </c>
      <c r="D3177" s="3" t="s">
        <v>9613</v>
      </c>
      <c r="E3177" s="3" t="s">
        <v>9614</v>
      </c>
      <c r="F3177" s="3" t="str">
        <f>"219-789-4009"</f>
        <v>219-789-4009</v>
      </c>
      <c r="G3177" s="3">
        <v>541519</v>
      </c>
      <c r="H3177" s="3" t="s">
        <v>898</v>
      </c>
    </row>
    <row r="3178" spans="1:8" ht="51.75" x14ac:dyDescent="0.25">
      <c r="A3178" s="3" t="s">
        <v>9615</v>
      </c>
      <c r="B3178" s="3"/>
      <c r="C3178" s="3" t="str">
        <f>"Experience Marketing Group is a marketing and consulting female owned company that specializes in public relations, marketing, sales promotion and media services."</f>
        <v>Experience Marketing Group is a marketing and consulting female owned company that specializes in public relations, marketing, sales promotion and media services.</v>
      </c>
      <c r="D3178" s="3" t="s">
        <v>9</v>
      </c>
      <c r="E3178" s="3" t="s">
        <v>9616</v>
      </c>
      <c r="F3178" s="3" t="str">
        <f>"317-577-0511"</f>
        <v>317-577-0511</v>
      </c>
      <c r="G3178" s="3">
        <v>541613</v>
      </c>
      <c r="H3178" s="3" t="s">
        <v>558</v>
      </c>
    </row>
    <row r="3179" spans="1:8" ht="319.5" x14ac:dyDescent="0.25">
      <c r="A3179" s="3" t="s">
        <v>9617</v>
      </c>
      <c r="B3179" s="3"/>
      <c r="C3179" s="3" t="s">
        <v>9618</v>
      </c>
      <c r="D3179" s="3" t="s">
        <v>9619</v>
      </c>
      <c r="E3179" s="3" t="s">
        <v>9620</v>
      </c>
      <c r="F3179" s="3" t="str">
        <f>"260-490-7740"</f>
        <v>260-490-7740</v>
      </c>
      <c r="G3179" s="3">
        <v>541512</v>
      </c>
      <c r="H3179" s="3" t="s">
        <v>19</v>
      </c>
    </row>
    <row r="3180" spans="1:8" ht="90" x14ac:dyDescent="0.25">
      <c r="A3180" s="3" t="s">
        <v>9621</v>
      </c>
      <c r="B3180" s="3"/>
      <c r="C3180" s="3" t="s">
        <v>9622</v>
      </c>
      <c r="D3180" s="3" t="s">
        <v>9619</v>
      </c>
      <c r="E3180" s="3" t="s">
        <v>9620</v>
      </c>
      <c r="F3180" s="3" t="str">
        <f>"260-490-7740"</f>
        <v>260-490-7740</v>
      </c>
      <c r="G3180" s="3">
        <v>5416</v>
      </c>
      <c r="H3180" s="3" t="s">
        <v>194</v>
      </c>
    </row>
    <row r="3181" spans="1:8" ht="26.25" x14ac:dyDescent="0.25">
      <c r="A3181" s="3" t="s">
        <v>9623</v>
      </c>
      <c r="B3181" s="3"/>
      <c r="C3181" s="3" t="str">
        <f>"Design and build floats, permanent props, flags, banners, costumes and custom decor"</f>
        <v>Design and build floats, permanent props, flags, banners, costumes and custom decor</v>
      </c>
      <c r="D3181" s="3" t="s">
        <v>9624</v>
      </c>
      <c r="E3181" s="3" t="s">
        <v>46</v>
      </c>
      <c r="F3181" s="3" t="str">
        <f>"317-784-5610"</f>
        <v>317-784-5610</v>
      </c>
      <c r="G3181" s="3">
        <v>339999</v>
      </c>
      <c r="H3181" s="3" t="s">
        <v>2044</v>
      </c>
    </row>
    <row r="3182" spans="1:8" ht="306.75" x14ac:dyDescent="0.25">
      <c r="A3182" s="3" t="s">
        <v>9625</v>
      </c>
      <c r="B3182" s="3"/>
      <c r="C3182" s="3" t="s">
        <v>9626</v>
      </c>
      <c r="D3182" s="3" t="s">
        <v>9627</v>
      </c>
      <c r="E3182" s="3" t="s">
        <v>9628</v>
      </c>
      <c r="F3182" s="3" t="str">
        <f>"219-465-1868"</f>
        <v>219-465-1868</v>
      </c>
      <c r="G3182" s="3">
        <v>5613</v>
      </c>
      <c r="H3182" s="3" t="s">
        <v>1882</v>
      </c>
    </row>
    <row r="3183" spans="1:8" ht="26.25" x14ac:dyDescent="0.25">
      <c r="A3183" s="3" t="s">
        <v>9629</v>
      </c>
      <c r="B3183" s="3"/>
      <c r="C3183" s="3" t="str">
        <f>"We specialize in design, installation, and inspection of fire protection systems."</f>
        <v>We specialize in design, installation, and inspection of fire protection systems.</v>
      </c>
      <c r="D3183" s="3" t="s">
        <v>9630</v>
      </c>
      <c r="E3183" s="3" t="s">
        <v>9631</v>
      </c>
      <c r="F3183" s="3" t="str">
        <f>"317-524-3600"</f>
        <v>317-524-3600</v>
      </c>
      <c r="G3183" s="3">
        <v>92216</v>
      </c>
      <c r="H3183" s="3" t="s">
        <v>2246</v>
      </c>
    </row>
    <row r="3184" spans="1:8" ht="39" x14ac:dyDescent="0.25">
      <c r="A3184" s="3" t="s">
        <v>9632</v>
      </c>
      <c r="B3184" s="3"/>
      <c r="C3184" s="3" t="str">
        <f>"General Freight Trucking - Truck Load Services - HazMat Certified - Woman Owned Business - Serve all 48 States"</f>
        <v>General Freight Trucking - Truck Load Services - HazMat Certified - Woman Owned Business - Serve all 48 States</v>
      </c>
      <c r="D3184" s="3" t="s">
        <v>9</v>
      </c>
      <c r="E3184" s="3" t="s">
        <v>9633</v>
      </c>
      <c r="F3184" s="3" t="str">
        <f>"219-226-3366"</f>
        <v>219-226-3366</v>
      </c>
      <c r="G3184" s="3">
        <v>484121</v>
      </c>
      <c r="H3184" s="3" t="s">
        <v>342</v>
      </c>
    </row>
    <row r="3185" spans="1:8" ht="51.75" x14ac:dyDescent="0.25">
      <c r="A3185" s="3" t="s">
        <v>9634</v>
      </c>
      <c r="B3185" s="3"/>
      <c r="C3185" s="3" t="str">
        <f>"Exquisite Fashions Inc. is a boutique that sells women and men clothing, we also sell jewerly (accessories), and give baskets for special occasions. We are a specialty store."</f>
        <v>Exquisite Fashions Inc. is a boutique that sells women and men clothing, we also sell jewerly (accessories), and give baskets for special occasions. We are a specialty store.</v>
      </c>
      <c r="D3185" s="3" t="s">
        <v>9</v>
      </c>
      <c r="E3185" s="3" t="s">
        <v>9635</v>
      </c>
      <c r="F3185" s="2"/>
      <c r="G3185" s="3">
        <v>44</v>
      </c>
      <c r="H3185" s="3" t="s">
        <v>574</v>
      </c>
    </row>
    <row r="3186" spans="1:8" ht="26.25" x14ac:dyDescent="0.25">
      <c r="A3186" s="3" t="s">
        <v>9636</v>
      </c>
      <c r="B3186" s="3"/>
      <c r="C3186" s="3" t="str">
        <f>"Commercial Roofing &amp; Sheet Metal"</f>
        <v>Commercial Roofing &amp; Sheet Metal</v>
      </c>
      <c r="D3186" s="3" t="s">
        <v>9637</v>
      </c>
      <c r="E3186" s="3" t="s">
        <v>9638</v>
      </c>
      <c r="F3186" s="3" t="str">
        <f>"812-274-0444"</f>
        <v>812-274-0444</v>
      </c>
      <c r="G3186" s="3">
        <v>238160</v>
      </c>
      <c r="H3186" s="3" t="s">
        <v>144</v>
      </c>
    </row>
    <row r="3187" spans="1:8" ht="26.25" x14ac:dyDescent="0.25">
      <c r="A3187" s="3" t="s">
        <v>9639</v>
      </c>
      <c r="B3187" s="3"/>
      <c r="C3187" s="3" t="str">
        <f>"Install and repair skylights &amp; covered walkways"</f>
        <v>Install and repair skylights &amp; covered walkways</v>
      </c>
      <c r="D3187" s="3" t="s">
        <v>9640</v>
      </c>
      <c r="E3187" s="3" t="s">
        <v>9641</v>
      </c>
      <c r="F3187" s="3" t="str">
        <f>"3178310281"</f>
        <v>3178310281</v>
      </c>
      <c r="G3187" s="3">
        <v>23815</v>
      </c>
      <c r="H3187" s="3" t="s">
        <v>2530</v>
      </c>
    </row>
    <row r="3188" spans="1:8" ht="39" x14ac:dyDescent="0.25">
      <c r="A3188" s="3" t="s">
        <v>9642</v>
      </c>
      <c r="B3188" s="3"/>
      <c r="C3188" s="3" t="str">
        <f>"We sell and service fire extinguishers, hood suppression systems, fire hose, emergency exit light."</f>
        <v>We sell and service fire extinguishers, hood suppression systems, fire hose, emergency exit light.</v>
      </c>
      <c r="D3188" s="3" t="s">
        <v>9643</v>
      </c>
      <c r="E3188" s="3" t="s">
        <v>9644</v>
      </c>
      <c r="F3188" s="3" t="str">
        <f>"260-497-9110"</f>
        <v>260-497-9110</v>
      </c>
      <c r="G3188" s="3">
        <v>423990</v>
      </c>
      <c r="H3188" s="3" t="s">
        <v>983</v>
      </c>
    </row>
    <row r="3189" spans="1:8" ht="217.5" x14ac:dyDescent="0.25">
      <c r="A3189" s="3" t="s">
        <v>9645</v>
      </c>
      <c r="B3189" s="3"/>
      <c r="C3189" s="3" t="s">
        <v>9646</v>
      </c>
      <c r="D3189" s="3" t="s">
        <v>9647</v>
      </c>
      <c r="E3189" s="3" t="s">
        <v>9648</v>
      </c>
      <c r="F3189" s="3" t="str">
        <f>"574 457 5222"</f>
        <v>574 457 5222</v>
      </c>
      <c r="G3189" s="3">
        <v>5418</v>
      </c>
      <c r="H3189" s="3" t="s">
        <v>1337</v>
      </c>
    </row>
    <row r="3190" spans="1:8" ht="217.5" x14ac:dyDescent="0.25">
      <c r="A3190" s="3" t="s">
        <v>9649</v>
      </c>
      <c r="B3190" s="3"/>
      <c r="C3190" s="3" t="s">
        <v>9650</v>
      </c>
      <c r="D3190" s="3" t="s">
        <v>9651</v>
      </c>
      <c r="E3190" s="3" t="s">
        <v>9652</v>
      </c>
      <c r="F3190" s="3" t="str">
        <f>"(317) 891-8283"</f>
        <v>(317) 891-8283</v>
      </c>
      <c r="G3190" s="3">
        <v>454111</v>
      </c>
      <c r="H3190" s="3" t="s">
        <v>492</v>
      </c>
    </row>
    <row r="3191" spans="1:8" ht="26.25" x14ac:dyDescent="0.25">
      <c r="A3191" s="3" t="s">
        <v>9653</v>
      </c>
      <c r="B3191" s="3"/>
      <c r="C3191" s="3" t="str">
        <f>"concrete cutting , core drilling , wall sawing , slab sawing , and demolition"</f>
        <v>concrete cutting , core drilling , wall sawing , slab sawing , and demolition</v>
      </c>
      <c r="D3191" s="3" t="s">
        <v>9</v>
      </c>
      <c r="E3191" s="3" t="s">
        <v>9654</v>
      </c>
      <c r="F3191" s="3" t="str">
        <f>"317-941-0065"</f>
        <v>317-941-0065</v>
      </c>
      <c r="G3191" s="3">
        <v>238910</v>
      </c>
      <c r="H3191" s="3" t="s">
        <v>886</v>
      </c>
    </row>
    <row r="3192" spans="1:8" ht="141" x14ac:dyDescent="0.25">
      <c r="A3192" s="3" t="s">
        <v>9655</v>
      </c>
      <c r="B3192" s="3"/>
      <c r="C3192" s="3" t="s">
        <v>9656</v>
      </c>
      <c r="D3192" s="3" t="s">
        <v>9657</v>
      </c>
      <c r="E3192" s="3" t="s">
        <v>9658</v>
      </c>
      <c r="F3192" s="3" t="str">
        <f>"317-535-8138"</f>
        <v>317-535-8138</v>
      </c>
      <c r="G3192" s="3">
        <v>561920</v>
      </c>
      <c r="H3192" s="3" t="s">
        <v>7034</v>
      </c>
    </row>
    <row r="3193" spans="1:8" ht="64.5" x14ac:dyDescent="0.25">
      <c r="A3193" s="3" t="s">
        <v>9659</v>
      </c>
      <c r="B3193" s="3"/>
      <c r="C3193" s="3" t="str">
        <f>"SDVOSB - Service Disabled Veteran Owned Small Business. Egineering Consultant and Wholesaler with over 30 years of aviation / aeronautical and application engineering experience."</f>
        <v>SDVOSB - Service Disabled Veteran Owned Small Business. Egineering Consultant and Wholesaler with over 30 years of aviation / aeronautical and application engineering experience.</v>
      </c>
      <c r="D3193" s="3" t="s">
        <v>9</v>
      </c>
      <c r="E3193" s="3" t="s">
        <v>9660</v>
      </c>
      <c r="F3193" s="3" t="str">
        <f>"317 509-2366"</f>
        <v>317 509-2366</v>
      </c>
      <c r="G3193" s="3">
        <v>541330</v>
      </c>
      <c r="H3193" s="3" t="s">
        <v>82</v>
      </c>
    </row>
    <row r="3194" spans="1:8" ht="102.75" x14ac:dyDescent="0.25">
      <c r="A3194" s="3" t="s">
        <v>9661</v>
      </c>
      <c r="B3194" s="3"/>
      <c r="C3194" s="3" t="s">
        <v>9662</v>
      </c>
      <c r="D3194" s="3" t="s">
        <v>9663</v>
      </c>
      <c r="E3194" s="3" t="s">
        <v>9664</v>
      </c>
      <c r="F3194" s="3" t="str">
        <f>"317.313.6075"</f>
        <v>317.313.6075</v>
      </c>
      <c r="G3194" s="3">
        <v>5141</v>
      </c>
      <c r="H3194" s="3" t="s">
        <v>1097</v>
      </c>
    </row>
    <row r="3195" spans="1:8" ht="26.25" x14ac:dyDescent="0.25">
      <c r="A3195" s="3" t="s">
        <v>9665</v>
      </c>
      <c r="B3195" s="3"/>
      <c r="C3195" s="3" t="str">
        <f>"Minority owned visual/graphic design and brand management company."</f>
        <v>Minority owned visual/graphic design and brand management company.</v>
      </c>
      <c r="D3195" s="3" t="s">
        <v>9666</v>
      </c>
      <c r="E3195" s="3" t="s">
        <v>9667</v>
      </c>
      <c r="F3195" s="2"/>
      <c r="G3195" s="3">
        <v>541430</v>
      </c>
      <c r="H3195" s="3" t="s">
        <v>78</v>
      </c>
    </row>
    <row r="3196" spans="1:8" x14ac:dyDescent="0.25">
      <c r="A3196" s="3" t="s">
        <v>9668</v>
      </c>
      <c r="B3196" s="3"/>
      <c r="C3196" s="3" t="str">
        <f>" "</f>
        <v xml:space="preserve"> </v>
      </c>
      <c r="D3196" s="3" t="s">
        <v>9</v>
      </c>
      <c r="E3196" s="3" t="s">
        <v>46</v>
      </c>
      <c r="F3196" s="2"/>
      <c r="G3196" s="3">
        <v>238290</v>
      </c>
      <c r="H3196" s="3" t="s">
        <v>237</v>
      </c>
    </row>
    <row r="3197" spans="1:8" ht="128.25" x14ac:dyDescent="0.25">
      <c r="A3197" s="3" t="s">
        <v>9669</v>
      </c>
      <c r="B3197" s="3"/>
      <c r="C3197" s="3" t="s">
        <v>9670</v>
      </c>
      <c r="D3197" s="3" t="s">
        <v>9671</v>
      </c>
      <c r="E3197" s="3" t="s">
        <v>9672</v>
      </c>
      <c r="F3197" s="3" t="str">
        <f>"(219) 322-9932"</f>
        <v>(219) 322-9932</v>
      </c>
      <c r="G3197" s="3">
        <v>523930</v>
      </c>
      <c r="H3197" s="3" t="s">
        <v>2936</v>
      </c>
    </row>
    <row r="3198" spans="1:8" ht="51.75" x14ac:dyDescent="0.25">
      <c r="A3198" s="3" t="s">
        <v>9673</v>
      </c>
      <c r="B3198" s="3"/>
      <c r="C3198" s="3" t="str">
        <f>"At F&amp;A Electrical we specialize in resdential and commercial wiring, electrical troubleshooting and new install. Such as lighting, swiches, outlets, etc..."</f>
        <v>At F&amp;A Electrical we specialize in resdential and commercial wiring, electrical troubleshooting and new install. Such as lighting, swiches, outlets, etc...</v>
      </c>
      <c r="D3198" s="3" t="s">
        <v>9</v>
      </c>
      <c r="E3198" s="3" t="s">
        <v>46</v>
      </c>
      <c r="F3198" s="3" t="str">
        <f>"219-805-1592"</f>
        <v>219-805-1592</v>
      </c>
      <c r="G3198" s="3">
        <v>238210</v>
      </c>
      <c r="H3198" s="3" t="s">
        <v>306</v>
      </c>
    </row>
    <row r="3199" spans="1:8" ht="141" x14ac:dyDescent="0.25">
      <c r="A3199" s="3" t="s">
        <v>9674</v>
      </c>
      <c r="B3199" s="3"/>
      <c r="C3199" s="3" t="s">
        <v>9675</v>
      </c>
      <c r="D3199" s="3" t="s">
        <v>9676</v>
      </c>
      <c r="E3199" s="3" t="s">
        <v>9677</v>
      </c>
      <c r="F3199" s="3" t="str">
        <f>"317-849-9666"</f>
        <v>317-849-9666</v>
      </c>
      <c r="G3199" s="3">
        <v>811490</v>
      </c>
      <c r="H3199" s="3" t="s">
        <v>1539</v>
      </c>
    </row>
    <row r="3200" spans="1:8" ht="115.5" x14ac:dyDescent="0.25">
      <c r="A3200" s="3" t="s">
        <v>9678</v>
      </c>
      <c r="B3200" s="3"/>
      <c r="C3200" s="3" t="s">
        <v>9679</v>
      </c>
      <c r="D3200" s="3" t="s">
        <v>9680</v>
      </c>
      <c r="E3200" s="3" t="s">
        <v>9681</v>
      </c>
      <c r="F3200" s="3" t="str">
        <f>"317-774-3661"</f>
        <v>317-774-3661</v>
      </c>
      <c r="G3200" s="3">
        <v>611430</v>
      </c>
      <c r="H3200" s="3" t="s">
        <v>1224</v>
      </c>
    </row>
    <row r="3201" spans="1:8" ht="128.25" x14ac:dyDescent="0.25">
      <c r="A3201" s="3" t="s">
        <v>9682</v>
      </c>
      <c r="B3201" s="3"/>
      <c r="C3201" s="3" t="s">
        <v>9683</v>
      </c>
      <c r="D3201" s="3" t="s">
        <v>9684</v>
      </c>
      <c r="E3201" s="3" t="s">
        <v>9685</v>
      </c>
      <c r="F3201" s="3" t="str">
        <f>"7652108495"</f>
        <v>7652108495</v>
      </c>
      <c r="G3201" s="3">
        <v>31</v>
      </c>
      <c r="H3201" s="3" t="s">
        <v>999</v>
      </c>
    </row>
    <row r="3202" spans="1:8" ht="319.5" x14ac:dyDescent="0.25">
      <c r="A3202" s="3" t="s">
        <v>9686</v>
      </c>
      <c r="B3202" s="3"/>
      <c r="C3202" s="3" t="s">
        <v>9687</v>
      </c>
      <c r="D3202" s="3" t="s">
        <v>9688</v>
      </c>
      <c r="E3202" s="3" t="s">
        <v>9689</v>
      </c>
      <c r="F3202" s="3" t="str">
        <f>"1.260.563.2691"</f>
        <v>1.260.563.2691</v>
      </c>
      <c r="G3202" s="3">
        <v>4237</v>
      </c>
      <c r="H3202" s="3" t="s">
        <v>245</v>
      </c>
    </row>
    <row r="3203" spans="1:8" ht="26.25" x14ac:dyDescent="0.25">
      <c r="A3203" s="3" t="s">
        <v>9690</v>
      </c>
      <c r="B3203" s="3"/>
      <c r="C3203" s="3" t="str">
        <f>"Importing dogs and training dogs for police work"</f>
        <v>Importing dogs and training dogs for police work</v>
      </c>
      <c r="D3203" s="3" t="s">
        <v>9691</v>
      </c>
      <c r="E3203" s="3" t="s">
        <v>9692</v>
      </c>
      <c r="F3203" s="3" t="str">
        <f>"5743266108"</f>
        <v>5743266108</v>
      </c>
      <c r="G3203" s="3">
        <v>2359</v>
      </c>
      <c r="H3203" s="3" t="s">
        <v>631</v>
      </c>
    </row>
    <row r="3204" spans="1:8" ht="192" x14ac:dyDescent="0.25">
      <c r="A3204" s="3" t="s">
        <v>9693</v>
      </c>
      <c r="B3204" s="3"/>
      <c r="C3204" s="3" t="s">
        <v>9694</v>
      </c>
      <c r="D3204" s="3" t="s">
        <v>9695</v>
      </c>
      <c r="E3204" s="3" t="s">
        <v>9696</v>
      </c>
      <c r="F3204" s="3" t="str">
        <f>"219-661-2619"</f>
        <v>219-661-2619</v>
      </c>
      <c r="G3204" s="3">
        <v>238220</v>
      </c>
      <c r="H3204" s="3" t="s">
        <v>348</v>
      </c>
    </row>
    <row r="3205" spans="1:8" ht="39" x14ac:dyDescent="0.25">
      <c r="A3205" s="3" t="s">
        <v>9697</v>
      </c>
      <c r="B3205" s="3"/>
      <c r="C3205" s="3" t="str">
        <f>"Marketing Consulting and Speciality Advertising Products. Apparel/Uniforms and Photography"</f>
        <v>Marketing Consulting and Speciality Advertising Products. Apparel/Uniforms and Photography</v>
      </c>
      <c r="D3205" s="3" t="s">
        <v>9698</v>
      </c>
      <c r="E3205" s="3" t="s">
        <v>9699</v>
      </c>
      <c r="F3205" s="3" t="str">
        <f>"502-713-2072"</f>
        <v>502-713-2072</v>
      </c>
      <c r="G3205" s="3">
        <v>541613</v>
      </c>
      <c r="H3205" s="3" t="s">
        <v>558</v>
      </c>
    </row>
    <row r="3206" spans="1:8" ht="26.25" x14ac:dyDescent="0.25">
      <c r="A3206" s="3" t="s">
        <v>9700</v>
      </c>
      <c r="B3206" s="3"/>
      <c r="C3206" s="3" t="str">
        <f>"STEEL FABRICATION JOB SHOP THAT SPECIALIZES IN MATERIAL HANDLING ITEMS."</f>
        <v>STEEL FABRICATION JOB SHOP THAT SPECIALIZES IN MATERIAL HANDLING ITEMS.</v>
      </c>
      <c r="D3206" s="3" t="s">
        <v>9</v>
      </c>
      <c r="E3206" s="3" t="s">
        <v>9701</v>
      </c>
      <c r="F3206" s="3" t="str">
        <f>"317-899-0012"</f>
        <v>317-899-0012</v>
      </c>
      <c r="G3206" s="3">
        <v>333999</v>
      </c>
      <c r="H3206" s="3" t="s">
        <v>9702</v>
      </c>
    </row>
    <row r="3207" spans="1:8" ht="26.25" x14ac:dyDescent="0.25">
      <c r="A3207" s="3" t="s">
        <v>9703</v>
      </c>
      <c r="B3207" s="3"/>
      <c r="C3207" s="3" t="str">
        <f>"janitorial, maintenance, software, distribution, construction"</f>
        <v>janitorial, maintenance, software, distribution, construction</v>
      </c>
      <c r="D3207" s="3" t="s">
        <v>9</v>
      </c>
      <c r="E3207" s="3" t="s">
        <v>9704</v>
      </c>
      <c r="F3207" s="3" t="str">
        <f>"812-437-4300"</f>
        <v>812-437-4300</v>
      </c>
      <c r="G3207" s="3">
        <v>423120</v>
      </c>
      <c r="H3207" s="3" t="s">
        <v>1033</v>
      </c>
    </row>
    <row r="3208" spans="1:8" ht="90" x14ac:dyDescent="0.25">
      <c r="A3208" s="3" t="s">
        <v>9705</v>
      </c>
      <c r="B3208" s="3"/>
      <c r="C3208" s="3" t="s">
        <v>9706</v>
      </c>
      <c r="D3208" s="3" t="s">
        <v>9707</v>
      </c>
      <c r="E3208" s="3" t="s">
        <v>9708</v>
      </c>
      <c r="F3208" s="3" t="str">
        <f>"812-232-4349"</f>
        <v>812-232-4349</v>
      </c>
      <c r="G3208" s="3">
        <v>6241</v>
      </c>
      <c r="H3208" s="3" t="s">
        <v>2210</v>
      </c>
    </row>
    <row r="3209" spans="1:8" ht="39" x14ac:dyDescent="0.25">
      <c r="A3209" s="3" t="s">
        <v>9709</v>
      </c>
      <c r="B3209" s="3"/>
      <c r="C3209" s="3" t="str">
        <f>"Document, microfiche and photo scanning services with graphic arts prepress, offset and digital printing products"</f>
        <v>Document, microfiche and photo scanning services with graphic arts prepress, offset and digital printing products</v>
      </c>
      <c r="D3209" s="3" t="s">
        <v>9710</v>
      </c>
      <c r="E3209" s="3" t="s">
        <v>9711</v>
      </c>
      <c r="F3209" s="3" t="str">
        <f>"317-297-1999"</f>
        <v>317-297-1999</v>
      </c>
      <c r="G3209" s="3">
        <v>56141</v>
      </c>
      <c r="H3209" s="3" t="s">
        <v>4164</v>
      </c>
    </row>
    <row r="3210" spans="1:8" ht="51.75" x14ac:dyDescent="0.25">
      <c r="A3210" s="3" t="s">
        <v>9712</v>
      </c>
      <c r="B3210" s="3"/>
      <c r="C3210" s="3" t="str">
        <f>"STAGE, THEATRE, TELEVISION, AUDITORIUM STAGE LIGHTING AND DIMMING CONTROL SYSTEM INSTALLATION, UPGRADE AND REPAIRS"</f>
        <v>STAGE, THEATRE, TELEVISION, AUDITORIUM STAGE LIGHTING AND DIMMING CONTROL SYSTEM INSTALLATION, UPGRADE AND REPAIRS</v>
      </c>
      <c r="D3210" s="3" t="s">
        <v>9713</v>
      </c>
      <c r="E3210" s="3" t="s">
        <v>9714</v>
      </c>
      <c r="F3210" s="3" t="str">
        <f>"3179260457"</f>
        <v>3179260457</v>
      </c>
      <c r="G3210" s="3">
        <v>238210</v>
      </c>
      <c r="H3210" s="3" t="s">
        <v>306</v>
      </c>
    </row>
    <row r="3211" spans="1:8" ht="102.75" x14ac:dyDescent="0.25">
      <c r="A3211" s="3" t="s">
        <v>9715</v>
      </c>
      <c r="B3211" s="3"/>
      <c r="C3211" s="3" t="s">
        <v>9716</v>
      </c>
      <c r="D3211" s="3" t="s">
        <v>9717</v>
      </c>
      <c r="E3211" s="3" t="s">
        <v>9718</v>
      </c>
      <c r="F3211" s="3" t="str">
        <f>"317-867-9777 EXT.#2"</f>
        <v>317-867-9777 EXT.#2</v>
      </c>
      <c r="G3211" s="3">
        <v>423420</v>
      </c>
      <c r="H3211" s="3" t="s">
        <v>521</v>
      </c>
    </row>
    <row r="3212" spans="1:8" ht="51.75" x14ac:dyDescent="0.25">
      <c r="A3212" s="3" t="s">
        <v>9719</v>
      </c>
      <c r="B3212" s="3"/>
      <c r="C3212" s="3" t="str">
        <f>"Industrial, Commercial, Institutional Building Construction Structural Steel and Precast Concrete Contractors Special Trade Contractors"</f>
        <v>Industrial, Commercial, Institutional Building Construction Structural Steel and Precast Concrete Contractors Special Trade Contractors</v>
      </c>
      <c r="D3212" s="3" t="s">
        <v>9720</v>
      </c>
      <c r="E3212" s="3" t="s">
        <v>46</v>
      </c>
      <c r="F3212" s="3" t="str">
        <f>"260-434-4000"</f>
        <v>260-434-4000</v>
      </c>
      <c r="G3212" s="3">
        <v>236210</v>
      </c>
      <c r="H3212" s="3" t="s">
        <v>1418</v>
      </c>
    </row>
    <row r="3213" spans="1:8" ht="39" x14ac:dyDescent="0.25">
      <c r="A3213" s="3" t="s">
        <v>9721</v>
      </c>
      <c r="B3213" s="3"/>
      <c r="C3213" s="3" t="str">
        <f>"Full service security product and service provider. Locksmith service provider, CCTV, alarms, access control, high security, etc."</f>
        <v>Full service security product and service provider. Locksmith service provider, CCTV, alarms, access control, high security, etc.</v>
      </c>
      <c r="D3213" s="3" t="s">
        <v>9722</v>
      </c>
      <c r="E3213" s="3" t="s">
        <v>9723</v>
      </c>
      <c r="F3213" s="3" t="str">
        <f>"812-473-4000"</f>
        <v>812-473-4000</v>
      </c>
      <c r="G3213" s="3">
        <v>423850</v>
      </c>
      <c r="H3213" s="3" t="s">
        <v>419</v>
      </c>
    </row>
    <row r="3214" spans="1:8" ht="268.5" x14ac:dyDescent="0.25">
      <c r="A3214" s="3" t="s">
        <v>9724</v>
      </c>
      <c r="B3214" s="3"/>
      <c r="C3214" s="3" t="s">
        <v>9725</v>
      </c>
      <c r="D3214" s="3" t="s">
        <v>9726</v>
      </c>
      <c r="E3214" s="3" t="s">
        <v>9727</v>
      </c>
      <c r="F3214" s="3" t="str">
        <f>"2604264401"</f>
        <v>2604264401</v>
      </c>
      <c r="G3214" s="3">
        <v>5418</v>
      </c>
      <c r="H3214" s="3" t="s">
        <v>1337</v>
      </c>
    </row>
    <row r="3215" spans="1:8" ht="90" x14ac:dyDescent="0.25">
      <c r="A3215" s="3" t="s">
        <v>9728</v>
      </c>
      <c r="B3215" s="3"/>
      <c r="C3215" s="3" t="str">
        <f>"FERN LLC provides human resources consulting, specializing in organizational development, performance management, managerial coaching and training, employee relations, compensation design, job analysis, interviewing strategies, and recruiting."</f>
        <v>FERN LLC provides human resources consulting, specializing in organizational development, performance management, managerial coaching and training, employee relations, compensation design, job analysis, interviewing strategies, and recruiting.</v>
      </c>
      <c r="D3215" s="3" t="s">
        <v>9729</v>
      </c>
      <c r="E3215" s="3" t="s">
        <v>9730</v>
      </c>
      <c r="F3215" s="3" t="str">
        <f>"260-403-5159"</f>
        <v>260-403-5159</v>
      </c>
      <c r="G3215" s="3">
        <v>812990</v>
      </c>
      <c r="H3215" s="3" t="s">
        <v>294</v>
      </c>
    </row>
    <row r="3216" spans="1:8" ht="294" x14ac:dyDescent="0.25">
      <c r="A3216" s="3" t="s">
        <v>9731</v>
      </c>
      <c r="B3216" s="3"/>
      <c r="C3216" s="3" t="s">
        <v>9732</v>
      </c>
      <c r="D3216" s="3" t="s">
        <v>9733</v>
      </c>
      <c r="E3216" s="3" t="s">
        <v>9734</v>
      </c>
      <c r="F3216" s="3" t="str">
        <f>"219.326.8880"</f>
        <v>219.326.8880</v>
      </c>
      <c r="G3216" s="3">
        <v>621</v>
      </c>
      <c r="H3216" s="3" t="s">
        <v>4392</v>
      </c>
    </row>
    <row r="3217" spans="1:8" ht="102.75" x14ac:dyDescent="0.25">
      <c r="A3217" s="3" t="s">
        <v>9735</v>
      </c>
      <c r="B3217" s="3"/>
      <c r="C3217" s="3" t="str">
        <f>"SELL / SUPPLY AIR FILTRATION PRODUCTS FOR INDUSTRIAL, COMMERCIAL, PHARMACEUTICAL, HOSPITAL AND CONSTRUCTION INDUSTRIES. MANUFACTURERS REPRESENTATIVE. HVAC FILTERS AND FILTRATION HOUSINGS, FRAMES, HOLDING SYSTEMS AND REPLACEMENT FILTERS."</f>
        <v>SELL / SUPPLY AIR FILTRATION PRODUCTS FOR INDUSTRIAL, COMMERCIAL, PHARMACEUTICAL, HOSPITAL AND CONSTRUCTION INDUSTRIES. MANUFACTURERS REPRESENTATIVE. HVAC FILTERS AND FILTRATION HOUSINGS, FRAMES, HOLDING SYSTEMS AND REPLACEMENT FILTERS.</v>
      </c>
      <c r="D3217" s="3" t="s">
        <v>9</v>
      </c>
      <c r="E3217" s="3" t="s">
        <v>9736</v>
      </c>
      <c r="F3217" s="3" t="str">
        <f>"317-882-4411"</f>
        <v>317-882-4411</v>
      </c>
      <c r="G3217" s="3">
        <v>42</v>
      </c>
      <c r="H3217" s="3" t="s">
        <v>674</v>
      </c>
    </row>
    <row r="3218" spans="1:8" ht="115.5" x14ac:dyDescent="0.25">
      <c r="A3218" s="3" t="s">
        <v>9737</v>
      </c>
      <c r="B3218" s="3"/>
      <c r="C3218" s="3" t="s">
        <v>9738</v>
      </c>
      <c r="D3218" s="3" t="s">
        <v>9</v>
      </c>
      <c r="E3218" s="3" t="s">
        <v>9739</v>
      </c>
      <c r="F3218" s="3" t="str">
        <f>"219-464-9871"</f>
        <v>219-464-9871</v>
      </c>
      <c r="G3218" s="3">
        <v>491110</v>
      </c>
      <c r="H3218" s="3" t="s">
        <v>92</v>
      </c>
    </row>
    <row r="3219" spans="1:8" ht="102.75" x14ac:dyDescent="0.25">
      <c r="A3219" s="3" t="s">
        <v>9740</v>
      </c>
      <c r="B3219" s="3"/>
      <c r="C3219" s="3" t="s">
        <v>9741</v>
      </c>
      <c r="D3219" s="3" t="s">
        <v>9742</v>
      </c>
      <c r="E3219" s="3" t="s">
        <v>9743</v>
      </c>
      <c r="F3219" s="3" t="str">
        <f>"317-541-2727"</f>
        <v>317-541-2727</v>
      </c>
      <c r="G3219" s="3">
        <v>237310</v>
      </c>
      <c r="H3219" s="3" t="s">
        <v>768</v>
      </c>
    </row>
    <row r="3220" spans="1:8" ht="26.25" x14ac:dyDescent="0.25">
      <c r="A3220" s="3" t="s">
        <v>9744</v>
      </c>
      <c r="B3220" s="3"/>
      <c r="C3220" s="2"/>
      <c r="D3220" s="3" t="s">
        <v>9</v>
      </c>
      <c r="E3220" s="3" t="s">
        <v>46</v>
      </c>
      <c r="F3220" s="2"/>
      <c r="G3220" s="3">
        <v>237990</v>
      </c>
      <c r="H3220" s="3" t="s">
        <v>2631</v>
      </c>
    </row>
    <row r="3221" spans="1:8" ht="26.25" x14ac:dyDescent="0.25">
      <c r="A3221" s="3" t="s">
        <v>9745</v>
      </c>
      <c r="B3221" s="3"/>
      <c r="C3221" s="3" t="str">
        <f>"Firestop Management, Consultation, Inspection, Installation"</f>
        <v>Firestop Management, Consultation, Inspection, Installation</v>
      </c>
      <c r="D3221" s="3" t="s">
        <v>9</v>
      </c>
      <c r="E3221" s="3" t="s">
        <v>9746</v>
      </c>
      <c r="F3221" s="3" t="str">
        <f>"317-289-7166"</f>
        <v>317-289-7166</v>
      </c>
      <c r="G3221" s="3">
        <v>541611</v>
      </c>
      <c r="H3221" s="3" t="s">
        <v>278</v>
      </c>
    </row>
    <row r="3222" spans="1:8" x14ac:dyDescent="0.25">
      <c r="A3222" s="3" t="s">
        <v>9747</v>
      </c>
      <c r="B3222" s="3"/>
      <c r="C3222" s="2"/>
      <c r="D3222" s="3" t="s">
        <v>9</v>
      </c>
      <c r="E3222" s="3" t="s">
        <v>46</v>
      </c>
      <c r="F3222" s="2"/>
      <c r="G3222" s="3">
        <v>541219</v>
      </c>
      <c r="H3222" s="3" t="s">
        <v>2010</v>
      </c>
    </row>
    <row r="3223" spans="1:8" ht="26.25" x14ac:dyDescent="0.25">
      <c r="A3223" s="3" t="s">
        <v>9748</v>
      </c>
      <c r="B3223" s="3"/>
      <c r="C3223" s="3" t="str">
        <f>"PALLET MANUFACTURER, EXCAVATING"</f>
        <v>PALLET MANUFACTURER, EXCAVATING</v>
      </c>
      <c r="D3223" s="3" t="s">
        <v>9</v>
      </c>
      <c r="E3223" s="3" t="s">
        <v>46</v>
      </c>
      <c r="F3223" s="3" t="str">
        <f>"8128825835"</f>
        <v>8128825835</v>
      </c>
      <c r="G3223" s="3">
        <v>321920</v>
      </c>
      <c r="H3223" s="3" t="s">
        <v>4854</v>
      </c>
    </row>
    <row r="3224" spans="1:8" ht="204.75" x14ac:dyDescent="0.25">
      <c r="A3224" s="3" t="s">
        <v>9749</v>
      </c>
      <c r="B3224" s="3"/>
      <c r="C3224" s="3" t="s">
        <v>9750</v>
      </c>
      <c r="D3224" s="3" t="s">
        <v>9</v>
      </c>
      <c r="E3224" s="3" t="s">
        <v>9751</v>
      </c>
      <c r="F3224" s="3" t="str">
        <f>"317-441-6635"</f>
        <v>317-441-6635</v>
      </c>
      <c r="G3224" s="3">
        <v>541990</v>
      </c>
      <c r="H3224" s="3" t="s">
        <v>378</v>
      </c>
    </row>
    <row r="3225" spans="1:8" ht="141" x14ac:dyDescent="0.25">
      <c r="A3225" s="3" t="s">
        <v>9752</v>
      </c>
      <c r="B3225" s="3"/>
      <c r="C3225" s="3" t="s">
        <v>9753</v>
      </c>
      <c r="D3225" s="3" t="s">
        <v>9754</v>
      </c>
      <c r="E3225" s="3" t="s">
        <v>9755</v>
      </c>
      <c r="F3225" s="3" t="str">
        <f>"812-268-4371"</f>
        <v>812-268-4371</v>
      </c>
      <c r="G3225" s="3">
        <v>624190</v>
      </c>
      <c r="H3225" s="3" t="s">
        <v>54</v>
      </c>
    </row>
    <row r="3226" spans="1:8" ht="26.25" x14ac:dyDescent="0.25">
      <c r="A3226" s="3" t="s">
        <v>9756</v>
      </c>
      <c r="B3226" s="3"/>
      <c r="C3226" s="3" t="str">
        <f>"MACHINE SHOP"</f>
        <v>MACHINE SHOP</v>
      </c>
      <c r="D3226" s="3" t="s">
        <v>9</v>
      </c>
      <c r="E3226" s="3" t="s">
        <v>46</v>
      </c>
      <c r="F3226" s="3" t="str">
        <f>"812-546-5734"</f>
        <v>812-546-5734</v>
      </c>
      <c r="G3226" s="3">
        <v>332999</v>
      </c>
      <c r="H3226" s="3" t="s">
        <v>9757</v>
      </c>
    </row>
    <row r="3227" spans="1:8" ht="166.5" x14ac:dyDescent="0.25">
      <c r="A3227" s="3" t="s">
        <v>9758</v>
      </c>
      <c r="B3227" s="3"/>
      <c r="C3227" s="3" t="s">
        <v>9759</v>
      </c>
      <c r="D3227" s="3" t="s">
        <v>9760</v>
      </c>
      <c r="E3227" s="3" t="s">
        <v>9761</v>
      </c>
      <c r="F3227" s="3" t="str">
        <f>"317-908-0377"</f>
        <v>317-908-0377</v>
      </c>
      <c r="G3227" s="3">
        <v>541611</v>
      </c>
      <c r="H3227" s="3" t="s">
        <v>278</v>
      </c>
    </row>
    <row r="3228" spans="1:8" ht="90" x14ac:dyDescent="0.25">
      <c r="A3228" s="3" t="s">
        <v>9762</v>
      </c>
      <c r="B3228" s="3"/>
      <c r="C3228" s="3" t="s">
        <v>9763</v>
      </c>
      <c r="D3228" s="3" t="s">
        <v>9764</v>
      </c>
      <c r="E3228" s="3" t="s">
        <v>46</v>
      </c>
      <c r="F3228" s="3" t="str">
        <f>"812-346-2045"</f>
        <v>812-346-2045</v>
      </c>
      <c r="G3228" s="3">
        <v>541330</v>
      </c>
      <c r="H3228" s="3" t="s">
        <v>82</v>
      </c>
    </row>
    <row r="3229" spans="1:8" ht="306.75" x14ac:dyDescent="0.25">
      <c r="A3229" s="3" t="s">
        <v>9765</v>
      </c>
      <c r="B3229" s="3"/>
      <c r="C3229" s="3" t="s">
        <v>9766</v>
      </c>
      <c r="D3229" s="3" t="s">
        <v>9767</v>
      </c>
      <c r="E3229" s="3" t="s">
        <v>9768</v>
      </c>
      <c r="F3229" s="3" t="str">
        <f>"317-636-3808"</f>
        <v>317-636-3808</v>
      </c>
      <c r="G3229" s="3">
        <v>561492</v>
      </c>
      <c r="H3229" s="3" t="s">
        <v>904</v>
      </c>
    </row>
    <row r="3230" spans="1:8" ht="26.25" x14ac:dyDescent="0.25">
      <c r="A3230" s="3" t="s">
        <v>9769</v>
      </c>
      <c r="B3230" s="3"/>
      <c r="C3230" s="3" t="str">
        <f>"Residential and commercial HVAC and sheet metal contractor"</f>
        <v>Residential and commercial HVAC and sheet metal contractor</v>
      </c>
      <c r="D3230" s="3" t="s">
        <v>9</v>
      </c>
      <c r="E3230" s="3" t="s">
        <v>9770</v>
      </c>
      <c r="F3230" s="3" t="str">
        <f>"812-547-4446"</f>
        <v>812-547-4446</v>
      </c>
      <c r="G3230" s="3">
        <v>444190</v>
      </c>
      <c r="H3230" s="3" t="s">
        <v>1188</v>
      </c>
    </row>
    <row r="3231" spans="1:8" ht="141" x14ac:dyDescent="0.25">
      <c r="A3231" s="3" t="s">
        <v>9771</v>
      </c>
      <c r="B3231" s="3"/>
      <c r="C3231" s="3" t="s">
        <v>9772</v>
      </c>
      <c r="D3231" s="3" t="s">
        <v>9773</v>
      </c>
      <c r="E3231" s="3" t="s">
        <v>9774</v>
      </c>
      <c r="F3231" s="3" t="str">
        <f>"3178408161"</f>
        <v>3178408161</v>
      </c>
      <c r="G3231" s="3">
        <v>611430</v>
      </c>
      <c r="H3231" s="3" t="s">
        <v>1224</v>
      </c>
    </row>
    <row r="3232" spans="1:8" ht="26.25" x14ac:dyDescent="0.25">
      <c r="A3232" s="3" t="s">
        <v>9775</v>
      </c>
      <c r="B3232" s="3"/>
      <c r="C3232" s="3" t="str">
        <f>"Hardwood lumber company."</f>
        <v>Hardwood lumber company.</v>
      </c>
      <c r="D3232" s="3" t="s">
        <v>9</v>
      </c>
      <c r="E3232" s="3" t="s">
        <v>46</v>
      </c>
      <c r="F3232" s="3" t="str">
        <f>"260-761-3415"</f>
        <v>260-761-3415</v>
      </c>
      <c r="G3232" s="3">
        <v>4233</v>
      </c>
      <c r="H3232" s="3" t="s">
        <v>6298</v>
      </c>
    </row>
    <row r="3233" spans="1:8" ht="77.25" x14ac:dyDescent="0.25">
      <c r="A3233" s="3" t="s">
        <v>9776</v>
      </c>
      <c r="B3233" s="3"/>
      <c r="C3233" s="3" t="str">
        <f>"ELECTRONIC PARTS &amp; SUPPLIES - WIRE- CABLES -CONNECTORS - SEMICONDUCTORS - LEDS - ALARMS - CCTV - MATV- TOWERS - BATTERIES - TEST EQUIPMENT - TUBES - TOOLS - POWER PROTECTION - SPEAKERS - SOUND EQUIPMENT"</f>
        <v>ELECTRONIC PARTS &amp; SUPPLIES - WIRE- CABLES -CONNECTORS - SEMICONDUCTORS - LEDS - ALARMS - CCTV - MATV- TOWERS - BATTERIES - TEST EQUIPMENT - TUBES - TOOLS - POWER PROTECTION - SPEAKERS - SOUND EQUIPMENT</v>
      </c>
      <c r="D3233" s="3" t="s">
        <v>9777</v>
      </c>
      <c r="E3233" s="3" t="s">
        <v>9778</v>
      </c>
      <c r="F3233" s="3" t="str">
        <f>"317-639-1484"</f>
        <v>317-639-1484</v>
      </c>
      <c r="G3233" s="3">
        <v>423690</v>
      </c>
      <c r="H3233" s="3" t="s">
        <v>6724</v>
      </c>
    </row>
    <row r="3234" spans="1:8" ht="26.25" x14ac:dyDescent="0.25">
      <c r="A3234" s="3" t="s">
        <v>9779</v>
      </c>
      <c r="B3234" s="3"/>
      <c r="C3234" s="3" t="str">
        <f>"MANUFACTURER OF FIBERGLASS BATH FIXTURES AND COUNTERTOPS"</f>
        <v>MANUFACTURER OF FIBERGLASS BATH FIXTURES AND COUNTERTOPS</v>
      </c>
      <c r="D3234" s="3" t="s">
        <v>9</v>
      </c>
      <c r="E3234" s="3" t="s">
        <v>9780</v>
      </c>
      <c r="F3234" s="3" t="str">
        <f>"574-453-2902"</f>
        <v>574-453-2902</v>
      </c>
      <c r="G3234" s="3">
        <v>337</v>
      </c>
      <c r="H3234" s="3" t="s">
        <v>6695</v>
      </c>
    </row>
    <row r="3235" spans="1:8" ht="39" x14ac:dyDescent="0.25">
      <c r="A3235" s="3" t="s">
        <v>9781</v>
      </c>
      <c r="B3235" s="3"/>
      <c r="C3235" s="3" t="str">
        <f>"FSG Technology Services specializes in Security, Data, AV, Network Power, Electrical Design, Installation and Service."</f>
        <v>FSG Technology Services specializes in Security, Data, AV, Network Power, Electrical Design, Installation and Service.</v>
      </c>
      <c r="D3235" s="3" t="s">
        <v>9782</v>
      </c>
      <c r="E3235" s="3" t="s">
        <v>9783</v>
      </c>
      <c r="F3235" s="3" t="str">
        <f>"317-650-5111"</f>
        <v>317-650-5111</v>
      </c>
      <c r="G3235" s="3">
        <v>238210</v>
      </c>
      <c r="H3235" s="3" t="s">
        <v>306</v>
      </c>
    </row>
    <row r="3236" spans="1:8" ht="26.25" x14ac:dyDescent="0.25">
      <c r="A3236" s="3" t="s">
        <v>9784</v>
      </c>
      <c r="B3236" s="3"/>
      <c r="C3236" s="3" t="str">
        <f>"TRUCKING AND HALING VARIOUS MATERIALS"</f>
        <v>TRUCKING AND HALING VARIOUS MATERIALS</v>
      </c>
      <c r="D3236" s="3" t="s">
        <v>9</v>
      </c>
      <c r="E3236" s="3" t="s">
        <v>9785</v>
      </c>
      <c r="F3236" s="3" t="str">
        <f>"317-457-2353"</f>
        <v>317-457-2353</v>
      </c>
      <c r="G3236" s="3">
        <v>2341</v>
      </c>
      <c r="H3236" s="3" t="s">
        <v>4867</v>
      </c>
    </row>
    <row r="3237" spans="1:8" ht="26.25" x14ac:dyDescent="0.25">
      <c r="A3237" s="3" t="s">
        <v>9786</v>
      </c>
      <c r="B3237" s="3"/>
      <c r="C3237" s="3" t="str">
        <f>" "</f>
        <v xml:space="preserve"> </v>
      </c>
      <c r="D3237" s="3" t="s">
        <v>9</v>
      </c>
      <c r="E3237" s="3" t="s">
        <v>46</v>
      </c>
      <c r="F3237" s="3" t="str">
        <f>"815 944 5610"</f>
        <v>815 944 5610</v>
      </c>
      <c r="G3237" s="3">
        <v>237310</v>
      </c>
      <c r="H3237" s="3" t="s">
        <v>768</v>
      </c>
    </row>
    <row r="3238" spans="1:8" ht="128.25" x14ac:dyDescent="0.25">
      <c r="A3238" s="3" t="s">
        <v>9787</v>
      </c>
      <c r="B3238" s="3"/>
      <c r="C3238" s="3" t="s">
        <v>9788</v>
      </c>
      <c r="D3238" s="3" t="s">
        <v>9789</v>
      </c>
      <c r="E3238" s="3" t="s">
        <v>9790</v>
      </c>
      <c r="F3238" s="3" t="str">
        <f>"812-926-0072"</f>
        <v>812-926-0072</v>
      </c>
      <c r="G3238" s="3">
        <v>541430</v>
      </c>
      <c r="H3238" s="3" t="s">
        <v>78</v>
      </c>
    </row>
    <row r="3239" spans="1:8" ht="39" x14ac:dyDescent="0.25">
      <c r="A3239" s="3" t="s">
        <v>9791</v>
      </c>
      <c r="B3239" s="3"/>
      <c r="C3239" s="3" t="str">
        <f>"Manufacture and supply precast concrete wall panels, columns, and type ""F"" precast concrete barriers."</f>
        <v>Manufacture and supply precast concrete wall panels, columns, and type "F" precast concrete barriers.</v>
      </c>
      <c r="D3239" s="3" t="s">
        <v>9792</v>
      </c>
      <c r="E3239" s="3" t="s">
        <v>9793</v>
      </c>
      <c r="F3239" s="3" t="str">
        <f>"1-800-727-4444"</f>
        <v>1-800-727-4444</v>
      </c>
      <c r="G3239" s="3">
        <v>327390</v>
      </c>
      <c r="H3239" s="3" t="s">
        <v>2761</v>
      </c>
    </row>
    <row r="3240" spans="1:8" ht="77.25" x14ac:dyDescent="0.25">
      <c r="A3240" s="3" t="s">
        <v>9794</v>
      </c>
      <c r="B3240" s="3"/>
      <c r="C3240" s="3" t="str">
        <f>"Fabrion performs speacialized repairs of automotive, R.V &amp; watercraft interiors. Specificly, on plastic, carpets, velour, vinyl, cloth and leather surfaces. We also can perform repairs on leather and vinyl furniture coverings."</f>
        <v>Fabrion performs speacialized repairs of automotive, R.V &amp; watercraft interiors. Specificly, on plastic, carpets, velour, vinyl, cloth and leather surfaces. We also can perform repairs on leather and vinyl furniture coverings.</v>
      </c>
      <c r="D3240" s="3" t="s">
        <v>9</v>
      </c>
      <c r="E3240" s="3" t="s">
        <v>46</v>
      </c>
      <c r="F3240" s="2"/>
      <c r="G3240" s="3">
        <v>811121</v>
      </c>
      <c r="H3240" s="3" t="s">
        <v>1432</v>
      </c>
    </row>
    <row r="3241" spans="1:8" ht="294" x14ac:dyDescent="0.25">
      <c r="A3241" s="3" t="s">
        <v>9795</v>
      </c>
      <c r="B3241" s="3"/>
      <c r="C3241" s="3" t="s">
        <v>9796</v>
      </c>
      <c r="D3241" s="3" t="s">
        <v>9797</v>
      </c>
      <c r="E3241" s="3" t="s">
        <v>9798</v>
      </c>
      <c r="F3241" s="3" t="str">
        <f>"765-588-4375"</f>
        <v>765-588-4375</v>
      </c>
      <c r="G3241" s="3">
        <v>518</v>
      </c>
      <c r="H3241" s="3" t="s">
        <v>1003</v>
      </c>
    </row>
    <row r="3242" spans="1:8" ht="166.5" x14ac:dyDescent="0.25">
      <c r="A3242" s="3" t="s">
        <v>9799</v>
      </c>
      <c r="B3242" s="3"/>
      <c r="C3242" s="3" t="s">
        <v>9800</v>
      </c>
      <c r="D3242" s="3" t="s">
        <v>9</v>
      </c>
      <c r="E3242" s="3" t="s">
        <v>9801</v>
      </c>
      <c r="F3242" s="3" t="str">
        <f>"812-630-4615"</f>
        <v>812-630-4615</v>
      </c>
      <c r="G3242" s="3">
        <v>541513</v>
      </c>
      <c r="H3242" s="3" t="s">
        <v>2401</v>
      </c>
    </row>
    <row r="3243" spans="1:8" x14ac:dyDescent="0.25">
      <c r="A3243" s="3" t="s">
        <v>9802</v>
      </c>
      <c r="B3243" s="3"/>
      <c r="C3243" s="2"/>
      <c r="D3243" s="3" t="s">
        <v>9</v>
      </c>
      <c r="E3243" s="3" t="s">
        <v>46</v>
      </c>
      <c r="F3243" s="2"/>
      <c r="G3243" s="3">
        <v>541330</v>
      </c>
      <c r="H3243" s="3" t="s">
        <v>82</v>
      </c>
    </row>
    <row r="3244" spans="1:8" ht="128.25" x14ac:dyDescent="0.25">
      <c r="A3244" s="3" t="s">
        <v>9803</v>
      </c>
      <c r="B3244" s="3"/>
      <c r="C3244" s="3" t="s">
        <v>9804</v>
      </c>
      <c r="D3244" s="3" t="s">
        <v>9805</v>
      </c>
      <c r="E3244" s="3" t="s">
        <v>9806</v>
      </c>
      <c r="F3244" s="3" t="str">
        <f>"317-570-4917"</f>
        <v>317-570-4917</v>
      </c>
      <c r="G3244" s="3">
        <v>423610</v>
      </c>
      <c r="H3244" s="3" t="s">
        <v>2414</v>
      </c>
    </row>
    <row r="3245" spans="1:8" ht="51.75" x14ac:dyDescent="0.25">
      <c r="A3245" s="3" t="s">
        <v>9807</v>
      </c>
      <c r="B3245" s="3"/>
      <c r="C3245" s="3" t="str">
        <f>"Case management with people who have disabiities or who are elderly; to create and support a safe and meaningful life in the community"</f>
        <v>Case management with people who have disabiities or who are elderly; to create and support a safe and meaningful life in the community</v>
      </c>
      <c r="D3245" s="3" t="s">
        <v>9</v>
      </c>
      <c r="E3245" s="3" t="s">
        <v>9808</v>
      </c>
      <c r="F3245" s="3" t="str">
        <f>"317-423-2220"</f>
        <v>317-423-2220</v>
      </c>
      <c r="G3245" s="3">
        <v>62412</v>
      </c>
      <c r="H3245" s="3" t="s">
        <v>22</v>
      </c>
    </row>
    <row r="3246" spans="1:8" ht="64.5" x14ac:dyDescent="0.25">
      <c r="A3246" s="3" t="s">
        <v>9809</v>
      </c>
      <c r="B3246" s="3"/>
      <c r="C3246" s="3" t="str">
        <f>"Fahrenheit Design is a full service design studio. We specialize in providing strategic solutions and visual ideas that increase and enhance communication between you and your audience."</f>
        <v>Fahrenheit Design is a full service design studio. We specialize in providing strategic solutions and visual ideas that increase and enhance communication between you and your audience.</v>
      </c>
      <c r="D3246" s="3" t="s">
        <v>9810</v>
      </c>
      <c r="E3246" s="3" t="s">
        <v>9811</v>
      </c>
      <c r="F3246" s="3" t="str">
        <f>"317-780-0684"</f>
        <v>317-780-0684</v>
      </c>
      <c r="G3246" s="3">
        <v>54143</v>
      </c>
      <c r="H3246" s="3" t="s">
        <v>78</v>
      </c>
    </row>
    <row r="3247" spans="1:8" ht="192" x14ac:dyDescent="0.25">
      <c r="A3247" s="3" t="s">
        <v>9812</v>
      </c>
      <c r="B3247" s="3"/>
      <c r="C3247" s="3" t="s">
        <v>9813</v>
      </c>
      <c r="D3247" s="3" t="s">
        <v>9814</v>
      </c>
      <c r="E3247" s="3" t="s">
        <v>46</v>
      </c>
      <c r="F3247" s="3" t="str">
        <f>"317-849-8222"</f>
        <v>317-849-8222</v>
      </c>
      <c r="G3247" s="3">
        <v>622210</v>
      </c>
      <c r="H3247" s="3" t="s">
        <v>9815</v>
      </c>
    </row>
    <row r="3248" spans="1:8" ht="26.25" x14ac:dyDescent="0.25">
      <c r="A3248" s="3" t="s">
        <v>9816</v>
      </c>
      <c r="B3248" s="3"/>
      <c r="C3248" s="3" t="str">
        <f>"Floor covering retailer and contractor."</f>
        <v>Floor covering retailer and contractor.</v>
      </c>
      <c r="D3248" s="3" t="s">
        <v>9</v>
      </c>
      <c r="E3248" s="3" t="s">
        <v>9817</v>
      </c>
      <c r="F3248" s="3" t="str">
        <f>"574-753-4380"</f>
        <v>574-753-4380</v>
      </c>
      <c r="G3248" s="3">
        <v>238330</v>
      </c>
      <c r="H3248" s="3" t="s">
        <v>2995</v>
      </c>
    </row>
    <row r="3249" spans="1:8" ht="51.75" x14ac:dyDescent="0.25">
      <c r="A3249" s="3" t="s">
        <v>9818</v>
      </c>
      <c r="B3249" s="3"/>
      <c r="C3249" s="3" t="str">
        <f>"Hotel-Limited Service-Free Continental Breakfast-Indoor Pool/Spa-Fitness Center-Free High-Speed Wireless Internet Access-Suites Available"</f>
        <v>Hotel-Limited Service-Free Continental Breakfast-Indoor Pool/Spa-Fitness Center-Free High-Speed Wireless Internet Access-Suites Available</v>
      </c>
      <c r="D3249" s="3" t="s">
        <v>9819</v>
      </c>
      <c r="E3249" s="3" t="s">
        <v>9820</v>
      </c>
      <c r="F3249" s="3" t="str">
        <f>"812-331-1122"</f>
        <v>812-331-1122</v>
      </c>
      <c r="G3249" s="3">
        <v>721110</v>
      </c>
      <c r="H3249" s="3" t="s">
        <v>872</v>
      </c>
    </row>
    <row r="3250" spans="1:8" ht="115.5" x14ac:dyDescent="0.25">
      <c r="A3250" s="3" t="s">
        <v>9821</v>
      </c>
      <c r="B3250" s="3"/>
      <c r="C3250" s="3" t="s">
        <v>9822</v>
      </c>
      <c r="D3250" s="3" t="s">
        <v>9823</v>
      </c>
      <c r="E3250" s="3" t="s">
        <v>9824</v>
      </c>
      <c r="F3250" s="3" t="str">
        <f>"219-872-3000"</f>
        <v>219-872-3000</v>
      </c>
      <c r="G3250" s="3">
        <v>33291</v>
      </c>
      <c r="H3250" s="3" t="s">
        <v>9825</v>
      </c>
    </row>
    <row r="3251" spans="1:8" ht="26.25" x14ac:dyDescent="0.25">
      <c r="A3251" s="3" t="s">
        <v>9826</v>
      </c>
      <c r="B3251" s="3"/>
      <c r="C3251" s="3" t="str">
        <f>"Installation and Service of Garage Doors and Openers Commercial and Residential"</f>
        <v>Installation and Service of Garage Doors and Openers Commercial and Residential</v>
      </c>
      <c r="D3251" s="3" t="s">
        <v>9827</v>
      </c>
      <c r="E3251" s="3" t="s">
        <v>9828</v>
      </c>
      <c r="F3251" s="3" t="str">
        <f>"7656746789"</f>
        <v>7656746789</v>
      </c>
      <c r="G3251" s="3">
        <v>238290</v>
      </c>
      <c r="H3251" s="3" t="s">
        <v>237</v>
      </c>
    </row>
    <row r="3252" spans="1:8" ht="51.75" x14ac:dyDescent="0.25">
      <c r="A3252" s="3" t="s">
        <v>9829</v>
      </c>
      <c r="B3252" s="3"/>
      <c r="C3252" s="3" t="str">
        <f>"High-Speed Internet and Technology Solutions, Long Distance Service, Computer Sales and Support, Networking, Web Hosting and Design."</f>
        <v>High-Speed Internet and Technology Solutions, Long Distance Service, Computer Sales and Support, Networking, Web Hosting and Design.</v>
      </c>
      <c r="D3252" s="3" t="s">
        <v>9830</v>
      </c>
      <c r="E3252" s="3" t="s">
        <v>9831</v>
      </c>
      <c r="F3252" s="3" t="str">
        <f>"888-523-9271"</f>
        <v>888-523-9271</v>
      </c>
      <c r="G3252" s="3">
        <v>541519</v>
      </c>
      <c r="H3252" s="3" t="s">
        <v>898</v>
      </c>
    </row>
    <row r="3253" spans="1:8" ht="77.25" x14ac:dyDescent="0.25">
      <c r="A3253" s="3" t="s">
        <v>9832</v>
      </c>
      <c r="B3253" s="3"/>
      <c r="C3253" s="3" t="str">
        <f>"Products and Services: ? Metal Refinishing, Bronze, Stainless Steel, Aluminum &amp; Steel ? Wood Refinishing ? Ornamental Metal Fabrication ? Elevator Cab Interiors ? Window and Door Restoration ? Field Installation and Refinishing"</f>
        <v>Products and Services: ? Metal Refinishing, Bronze, Stainless Steel, Aluminum &amp; Steel ? Wood Refinishing ? Ornamental Metal Fabrication ? Elevator Cab Interiors ? Window and Door Restoration ? Field Installation and Refinishing</v>
      </c>
      <c r="D3253" s="3" t="s">
        <v>9</v>
      </c>
      <c r="E3253" s="3" t="s">
        <v>9833</v>
      </c>
      <c r="F3253" s="3" t="str">
        <f>"317-921-1913"</f>
        <v>317-921-1913</v>
      </c>
      <c r="G3253" s="3">
        <v>238</v>
      </c>
      <c r="H3253" s="3" t="s">
        <v>397</v>
      </c>
    </row>
    <row r="3254" spans="1:8" ht="51.75" x14ac:dyDescent="0.25">
      <c r="A3254" s="3" t="s">
        <v>9834</v>
      </c>
      <c r="B3254" s="3"/>
      <c r="C3254" s="3" t="str">
        <f>"Faithful Janitorial is a janitorial businesses that specializes in Janitorial needs of apartment complexes, office buildings, and post-construction housing."</f>
        <v>Faithful Janitorial is a janitorial businesses that specializes in Janitorial needs of apartment complexes, office buildings, and post-construction housing.</v>
      </c>
      <c r="D3254" s="3" t="s">
        <v>9</v>
      </c>
      <c r="E3254" s="3" t="s">
        <v>46</v>
      </c>
      <c r="F3254" s="3" t="str">
        <f>"317-225-1238"</f>
        <v>317-225-1238</v>
      </c>
      <c r="G3254" s="3">
        <v>561720</v>
      </c>
      <c r="H3254" s="3" t="s">
        <v>222</v>
      </c>
    </row>
    <row r="3255" spans="1:8" ht="294" x14ac:dyDescent="0.25">
      <c r="A3255" s="3" t="s">
        <v>9835</v>
      </c>
      <c r="B3255" s="3"/>
      <c r="C3255" s="3" t="s">
        <v>9836</v>
      </c>
      <c r="D3255" s="3" t="s">
        <v>9</v>
      </c>
      <c r="E3255" s="3" t="s">
        <v>46</v>
      </c>
      <c r="F3255" s="2"/>
      <c r="G3255" s="3">
        <v>333</v>
      </c>
      <c r="H3255" s="3" t="s">
        <v>9837</v>
      </c>
    </row>
    <row r="3256" spans="1:8" ht="51.75" x14ac:dyDescent="0.25">
      <c r="A3256" s="3" t="s">
        <v>9838</v>
      </c>
      <c r="B3256" s="3"/>
      <c r="C3256" s="3" t="str">
        <f>"We provide Drug Testing Services to clients nationwide. Urine, Hair, Oral Fluid testing by certified laboratories. Medical Review Officer Services by licensed physicians."</f>
        <v>We provide Drug Testing Services to clients nationwide. Urine, Hair, Oral Fluid testing by certified laboratories. Medical Review Officer Services by licensed physicians.</v>
      </c>
      <c r="D3256" s="3" t="s">
        <v>9839</v>
      </c>
      <c r="E3256" s="3" t="s">
        <v>9840</v>
      </c>
      <c r="F3256" s="3" t="str">
        <f>"317-547-8620"</f>
        <v>317-547-8620</v>
      </c>
      <c r="G3256" s="3">
        <v>6215</v>
      </c>
      <c r="H3256" s="3" t="s">
        <v>9841</v>
      </c>
    </row>
    <row r="3257" spans="1:8" ht="64.5" x14ac:dyDescent="0.25">
      <c r="A3257" s="3" t="s">
        <v>9838</v>
      </c>
      <c r="B3257" s="3"/>
      <c r="C3257" s="3" t="str">
        <f>"Drug Testing Services - Staffed Physicians perform Medical Review Officer services. Drug sample collections, laboratory services testing drugs of abuse: Hair, Urine, Oral Fluids."</f>
        <v>Drug Testing Services - Staffed Physicians perform Medical Review Officer services. Drug sample collections, laboratory services testing drugs of abuse: Hair, Urine, Oral Fluids.</v>
      </c>
      <c r="D3257" s="3" t="s">
        <v>9839</v>
      </c>
      <c r="E3257" s="3" t="s">
        <v>9842</v>
      </c>
      <c r="F3257" s="3" t="str">
        <f>"888-265-6362"</f>
        <v>888-265-6362</v>
      </c>
      <c r="G3257" s="3">
        <v>62111</v>
      </c>
      <c r="H3257" s="3" t="s">
        <v>9843</v>
      </c>
    </row>
    <row r="3258" spans="1:8" ht="90" x14ac:dyDescent="0.25">
      <c r="A3258" s="3" t="s">
        <v>9844</v>
      </c>
      <c r="B3258" s="3"/>
      <c r="C3258" s="3" t="s">
        <v>9845</v>
      </c>
      <c r="D3258" s="3" t="s">
        <v>9846</v>
      </c>
      <c r="E3258" s="3" t="s">
        <v>9847</v>
      </c>
      <c r="F3258" s="3" t="str">
        <f>"(317) 644-7229"</f>
        <v>(317) 644-7229</v>
      </c>
      <c r="G3258" s="3">
        <v>624190</v>
      </c>
      <c r="H3258" s="3" t="s">
        <v>54</v>
      </c>
    </row>
    <row r="3259" spans="1:8" ht="51.75" x14ac:dyDescent="0.25">
      <c r="A3259" s="3" t="s">
        <v>9848</v>
      </c>
      <c r="B3259" s="3"/>
      <c r="C3259" s="3" t="str">
        <f>"Families Forward provides home based services to families deemed at-risk from the Department of Child Services or Adolescent Probation Department."</f>
        <v>Families Forward provides home based services to families deemed at-risk from the Department of Child Services or Adolescent Probation Department.</v>
      </c>
      <c r="D3259" s="3" t="s">
        <v>9849</v>
      </c>
      <c r="E3259" s="3" t="s">
        <v>9850</v>
      </c>
      <c r="F3259" s="2"/>
      <c r="G3259" s="3">
        <v>62</v>
      </c>
      <c r="H3259" s="3" t="s">
        <v>1168</v>
      </c>
    </row>
    <row r="3260" spans="1:8" ht="90" x14ac:dyDescent="0.25">
      <c r="A3260" s="3" t="s">
        <v>9851</v>
      </c>
      <c r="B3260" s="3"/>
      <c r="C3260" s="3" t="s">
        <v>9852</v>
      </c>
      <c r="D3260" s="3" t="s">
        <v>9853</v>
      </c>
      <c r="E3260" s="3" t="s">
        <v>9854</v>
      </c>
      <c r="F3260" s="3" t="str">
        <f>"317-205-8281"</f>
        <v>317-205-8281</v>
      </c>
      <c r="G3260" s="3">
        <v>624110</v>
      </c>
      <c r="H3260" s="3" t="s">
        <v>628</v>
      </c>
    </row>
    <row r="3261" spans="1:8" ht="115.5" x14ac:dyDescent="0.25">
      <c r="A3261" s="3" t="s">
        <v>9855</v>
      </c>
      <c r="B3261" s="3"/>
      <c r="C3261" s="3" t="s">
        <v>9856</v>
      </c>
      <c r="D3261" s="3" t="s">
        <v>9</v>
      </c>
      <c r="E3261" s="3" t="s">
        <v>9857</v>
      </c>
      <c r="F3261" s="3" t="str">
        <f>"7657620611"</f>
        <v>7657620611</v>
      </c>
      <c r="G3261" s="3">
        <v>8134</v>
      </c>
      <c r="H3261" s="3" t="s">
        <v>8420</v>
      </c>
    </row>
    <row r="3262" spans="1:8" ht="166.5" x14ac:dyDescent="0.25">
      <c r="A3262" s="3" t="s">
        <v>9858</v>
      </c>
      <c r="B3262" s="3"/>
      <c r="C3262" s="3" t="s">
        <v>9859</v>
      </c>
      <c r="D3262" s="3" t="s">
        <v>9860</v>
      </c>
      <c r="E3262" s="3" t="s">
        <v>9861</v>
      </c>
      <c r="F3262" s="3" t="str">
        <f>"812-298-0092"</f>
        <v>812-298-0092</v>
      </c>
      <c r="G3262" s="3">
        <v>624229</v>
      </c>
      <c r="H3262" s="3" t="s">
        <v>9862</v>
      </c>
    </row>
    <row r="3263" spans="1:8" ht="26.25" x14ac:dyDescent="0.25">
      <c r="A3263" s="3" t="s">
        <v>9863</v>
      </c>
      <c r="B3263" s="3"/>
      <c r="C3263" s="3" t="str">
        <f>"Building management"</f>
        <v>Building management</v>
      </c>
      <c r="D3263" s="3" t="s">
        <v>9864</v>
      </c>
      <c r="E3263" s="3" t="s">
        <v>9865</v>
      </c>
      <c r="F3263" s="3" t="str">
        <f>"574 259-5666"</f>
        <v>574 259-5666</v>
      </c>
      <c r="G3263" s="3">
        <v>8134</v>
      </c>
      <c r="H3263" s="3" t="s">
        <v>8420</v>
      </c>
    </row>
    <row r="3264" spans="1:8" ht="51.75" x14ac:dyDescent="0.25">
      <c r="A3264" s="3" t="s">
        <v>9866</v>
      </c>
      <c r="B3264" s="3"/>
      <c r="C3264" s="3" t="str">
        <f>"Our mission is to provide compassionate, respectful &amp; innovative services which strengthen and support families and their communities."</f>
        <v>Our mission is to provide compassionate, respectful &amp; innovative services which strengthen and support families and their communities.</v>
      </c>
      <c r="D3264" s="3" t="s">
        <v>9867</v>
      </c>
      <c r="E3264" s="3" t="s">
        <v>9868</v>
      </c>
      <c r="F3264" s="3" t="str">
        <f>"260-824-8574"</f>
        <v>260-824-8574</v>
      </c>
      <c r="G3264" s="3">
        <v>624190</v>
      </c>
      <c r="H3264" s="3" t="s">
        <v>54</v>
      </c>
    </row>
    <row r="3265" spans="1:8" ht="319.5" x14ac:dyDescent="0.25">
      <c r="A3265" s="3" t="s">
        <v>9869</v>
      </c>
      <c r="B3265" s="3"/>
      <c r="C3265" s="3" t="s">
        <v>9870</v>
      </c>
      <c r="D3265" s="3" t="s">
        <v>9</v>
      </c>
      <c r="E3265" s="3" t="s">
        <v>9871</v>
      </c>
      <c r="F3265" s="3" t="str">
        <f>"219-871-8104"</f>
        <v>219-871-8104</v>
      </c>
      <c r="G3265" s="3">
        <v>11</v>
      </c>
      <c r="H3265" s="3" t="s">
        <v>175</v>
      </c>
    </row>
    <row r="3266" spans="1:8" x14ac:dyDescent="0.25">
      <c r="A3266" s="3" t="s">
        <v>9872</v>
      </c>
      <c r="B3266" s="3"/>
      <c r="C3266" s="3" t="str">
        <f>" "</f>
        <v xml:space="preserve"> </v>
      </c>
      <c r="D3266" s="3" t="s">
        <v>9</v>
      </c>
      <c r="E3266" s="3" t="s">
        <v>46</v>
      </c>
      <c r="F3266" s="2"/>
      <c r="G3266" s="3">
        <v>62</v>
      </c>
      <c r="H3266" s="3" t="s">
        <v>1168</v>
      </c>
    </row>
    <row r="3267" spans="1:8" ht="39" x14ac:dyDescent="0.25">
      <c r="A3267" s="3" t="s">
        <v>9873</v>
      </c>
      <c r="B3267" s="3"/>
      <c r="C3267" s="3" t="str">
        <f>"Family Interventions, Inc. is a non-profit organization working with at-risk children and families."</f>
        <v>Family Interventions, Inc. is a non-profit organization working with at-risk children and families.</v>
      </c>
      <c r="D3267" s="3" t="s">
        <v>9</v>
      </c>
      <c r="E3267" s="3" t="s">
        <v>9874</v>
      </c>
      <c r="F3267" s="3" t="str">
        <f>"765-361-0840"</f>
        <v>765-361-0840</v>
      </c>
      <c r="G3267" s="3">
        <v>624110</v>
      </c>
      <c r="H3267" s="3" t="s">
        <v>628</v>
      </c>
    </row>
    <row r="3268" spans="1:8" ht="26.25" x14ac:dyDescent="0.25">
      <c r="A3268" s="3" t="s">
        <v>9875</v>
      </c>
      <c r="B3268" s="3"/>
      <c r="C3268" s="3" t="str">
        <f>"We provide counseling services."</f>
        <v>We provide counseling services.</v>
      </c>
      <c r="D3268" s="3" t="s">
        <v>9</v>
      </c>
      <c r="E3268" s="3" t="s">
        <v>9876</v>
      </c>
      <c r="F3268" s="3" t="str">
        <f>"219-980-4330"</f>
        <v>219-980-4330</v>
      </c>
      <c r="G3268" s="3">
        <v>624190</v>
      </c>
      <c r="H3268" s="3" t="s">
        <v>54</v>
      </c>
    </row>
    <row r="3269" spans="1:8" ht="39" x14ac:dyDescent="0.25">
      <c r="A3269" s="3" t="s">
        <v>9877</v>
      </c>
      <c r="B3269" s="3"/>
      <c r="C3269" s="3" t="str">
        <f>"Provider of optical goods and services. Our location has a complete optical lab on site an has same day service on glasses."</f>
        <v>Provider of optical goods and services. Our location has a complete optical lab on site an has same day service on glasses.</v>
      </c>
      <c r="D3269" s="3" t="s">
        <v>9</v>
      </c>
      <c r="E3269" s="3" t="s">
        <v>46</v>
      </c>
      <c r="F3269" s="3" t="str">
        <f>"219-226-9477"</f>
        <v>219-226-9477</v>
      </c>
      <c r="G3269" s="3">
        <v>621320</v>
      </c>
      <c r="H3269" s="3" t="s">
        <v>9878</v>
      </c>
    </row>
    <row r="3270" spans="1:8" ht="141" x14ac:dyDescent="0.25">
      <c r="A3270" s="3" t="s">
        <v>9879</v>
      </c>
      <c r="B3270" s="3"/>
      <c r="C3270" s="3" t="s">
        <v>9880</v>
      </c>
      <c r="D3270" s="3" t="s">
        <v>9</v>
      </c>
      <c r="E3270" s="3" t="s">
        <v>9881</v>
      </c>
      <c r="F3270" s="3" t="str">
        <f>"812-372-3745"</f>
        <v>812-372-3745</v>
      </c>
      <c r="G3270" s="3">
        <v>624190</v>
      </c>
      <c r="H3270" s="3" t="s">
        <v>54</v>
      </c>
    </row>
    <row r="3271" spans="1:8" ht="153.75" x14ac:dyDescent="0.25">
      <c r="A3271" s="3" t="s">
        <v>9882</v>
      </c>
      <c r="B3271" s="3"/>
      <c r="C3271" s="3" t="s">
        <v>9883</v>
      </c>
      <c r="D3271" s="3" t="s">
        <v>9</v>
      </c>
      <c r="E3271" s="3" t="s">
        <v>9884</v>
      </c>
      <c r="F3271" s="3" t="str">
        <f>"765-457-9313"</f>
        <v>765-457-9313</v>
      </c>
      <c r="G3271" s="3">
        <v>624190</v>
      </c>
      <c r="H3271" s="3" t="s">
        <v>54</v>
      </c>
    </row>
    <row r="3272" spans="1:8" ht="217.5" x14ac:dyDescent="0.25">
      <c r="A3272" s="3" t="s">
        <v>9885</v>
      </c>
      <c r="B3272" s="3"/>
      <c r="C3272" s="3" t="s">
        <v>9886</v>
      </c>
      <c r="D3272" s="3" t="s">
        <v>9887</v>
      </c>
      <c r="E3272" s="3" t="s">
        <v>46</v>
      </c>
      <c r="F3272" s="3" t="str">
        <f>"765-662-9971"</f>
        <v>765-662-9971</v>
      </c>
      <c r="G3272" s="3">
        <v>624190</v>
      </c>
      <c r="H3272" s="3" t="s">
        <v>54</v>
      </c>
    </row>
    <row r="3273" spans="1:8" ht="243" x14ac:dyDescent="0.25">
      <c r="A3273" s="3" t="s">
        <v>9888</v>
      </c>
      <c r="B3273" s="3"/>
      <c r="C3273" s="3" t="s">
        <v>9889</v>
      </c>
      <c r="D3273" s="3" t="s">
        <v>9890</v>
      </c>
      <c r="E3273" s="3" t="s">
        <v>9891</v>
      </c>
      <c r="F3273" s="3" t="str">
        <f>"317-663-0654"</f>
        <v>317-663-0654</v>
      </c>
      <c r="G3273" s="3">
        <v>62</v>
      </c>
      <c r="H3273" s="3" t="s">
        <v>1168</v>
      </c>
    </row>
    <row r="3274" spans="1:8" ht="115.5" x14ac:dyDescent="0.25">
      <c r="A3274" s="3" t="s">
        <v>9892</v>
      </c>
      <c r="B3274" s="3"/>
      <c r="C3274" s="3" t="s">
        <v>9893</v>
      </c>
      <c r="D3274" s="3" t="s">
        <v>9</v>
      </c>
      <c r="E3274" s="3" t="s">
        <v>9894</v>
      </c>
      <c r="F3274" s="3" t="str">
        <f>"502-548-2650"</f>
        <v>502-548-2650</v>
      </c>
      <c r="G3274" s="3">
        <v>624190</v>
      </c>
      <c r="H3274" s="3" t="s">
        <v>54</v>
      </c>
    </row>
    <row r="3275" spans="1:8" ht="26.25" x14ac:dyDescent="0.25">
      <c r="A3275" s="3" t="s">
        <v>9895</v>
      </c>
      <c r="B3275" s="3"/>
      <c r="C3275" s="3" t="str">
        <f>"Serving families in need."</f>
        <v>Serving families in need.</v>
      </c>
      <c r="D3275" s="3" t="s">
        <v>9</v>
      </c>
      <c r="E3275" s="3" t="s">
        <v>9896</v>
      </c>
      <c r="F3275" s="3" t="str">
        <f>"765-265-5207"</f>
        <v>765-265-5207</v>
      </c>
      <c r="G3275" s="3">
        <v>624190</v>
      </c>
      <c r="H3275" s="3" t="s">
        <v>54</v>
      </c>
    </row>
    <row r="3276" spans="1:8" ht="51.75" x14ac:dyDescent="0.25">
      <c r="A3276" s="3" t="s">
        <v>9897</v>
      </c>
      <c r="B3276" s="3"/>
      <c r="C3276" s="3" t="str">
        <f>"Provide therapy, case management and visitation services to families and children involved with the Department of Child Services and Juvenile Probation"</f>
        <v>Provide therapy, case management and visitation services to families and children involved with the Department of Child Services and Juvenile Probation</v>
      </c>
      <c r="D3276" s="3" t="s">
        <v>9898</v>
      </c>
      <c r="E3276" s="3" t="s">
        <v>9899</v>
      </c>
      <c r="F3276" s="3" t="str">
        <f>"317-923-4437"</f>
        <v>317-923-4437</v>
      </c>
      <c r="G3276" s="3">
        <v>624110</v>
      </c>
      <c r="H3276" s="3" t="s">
        <v>628</v>
      </c>
    </row>
    <row r="3277" spans="1:8" ht="51.75" x14ac:dyDescent="0.25">
      <c r="A3277" s="3" t="s">
        <v>9900</v>
      </c>
      <c r="B3277" s="3"/>
      <c r="C3277" s="3" t="str">
        <f>"Parent organization for residential treatment facilities for children, outpatient counseling services, and boys and girls club."</f>
        <v>Parent organization for residential treatment facilities for children, outpatient counseling services, and boys and girls club.</v>
      </c>
      <c r="D3277" s="3" t="s">
        <v>9864</v>
      </c>
      <c r="E3277" s="3" t="s">
        <v>9901</v>
      </c>
      <c r="F3277" s="3" t="str">
        <f>"574-259-5666"</f>
        <v>574-259-5666</v>
      </c>
      <c r="G3277" s="3">
        <v>624</v>
      </c>
      <c r="H3277" s="3" t="s">
        <v>6524</v>
      </c>
    </row>
    <row r="3278" spans="1:8" ht="77.25" x14ac:dyDescent="0.25">
      <c r="A3278" s="3" t="s">
        <v>9902</v>
      </c>
      <c r="B3278" s="3"/>
      <c r="C3278" s="3" t="str">
        <f>"Family Voices Indiana is a family-led organization that provides information, education, training, outreach, and peer support to families of children and youth with special health care needs and the professionals who serve them."</f>
        <v>Family Voices Indiana is a family-led organization that provides information, education, training, outreach, and peer support to families of children and youth with special health care needs and the professionals who serve them.</v>
      </c>
      <c r="D3278" s="3" t="s">
        <v>9903</v>
      </c>
      <c r="E3278" s="3" t="s">
        <v>9904</v>
      </c>
      <c r="F3278" s="3" t="str">
        <f>"317.944.8982"</f>
        <v>317.944.8982</v>
      </c>
      <c r="G3278" s="3">
        <v>813319</v>
      </c>
      <c r="H3278" s="3" t="s">
        <v>6313</v>
      </c>
    </row>
    <row r="3279" spans="1:8" ht="102.75" x14ac:dyDescent="0.25">
      <c r="A3279" s="3" t="s">
        <v>9905</v>
      </c>
      <c r="B3279" s="3"/>
      <c r="C3279" s="3" t="s">
        <v>9906</v>
      </c>
      <c r="D3279" s="3" t="s">
        <v>9</v>
      </c>
      <c r="E3279" s="3" t="s">
        <v>9907</v>
      </c>
      <c r="F3279" s="3" t="str">
        <f>"317 845-9391"</f>
        <v>317 845-9391</v>
      </c>
      <c r="G3279" s="3">
        <v>532412</v>
      </c>
      <c r="H3279" s="3" t="s">
        <v>777</v>
      </c>
    </row>
    <row r="3280" spans="1:8" ht="39" x14ac:dyDescent="0.25">
      <c r="A3280" s="3" t="s">
        <v>9908</v>
      </c>
      <c r="B3280" s="3"/>
      <c r="C3280" s="3" t="str">
        <f>"Mechanical insulation contractors for plumbing, heating, air conditioning and process systems"</f>
        <v>Mechanical insulation contractors for plumbing, heating, air conditioning and process systems</v>
      </c>
      <c r="D3280" s="3" t="s">
        <v>9909</v>
      </c>
      <c r="E3280" s="3" t="s">
        <v>9910</v>
      </c>
      <c r="F3280" s="3" t="str">
        <f>"3175464881"</f>
        <v>3175464881</v>
      </c>
      <c r="G3280" s="3">
        <v>23822</v>
      </c>
      <c r="H3280" s="3" t="s">
        <v>348</v>
      </c>
    </row>
    <row r="3281" spans="1:8" x14ac:dyDescent="0.25">
      <c r="A3281" s="3" t="s">
        <v>9911</v>
      </c>
      <c r="B3281" s="3"/>
      <c r="C3281" s="2"/>
      <c r="D3281" s="3" t="s">
        <v>9912</v>
      </c>
      <c r="E3281" s="3" t="s">
        <v>9913</v>
      </c>
      <c r="F3281" s="2"/>
      <c r="G3281" s="3">
        <v>3116</v>
      </c>
      <c r="H3281" s="3" t="s">
        <v>9914</v>
      </c>
    </row>
    <row r="3282" spans="1:8" ht="26.25" x14ac:dyDescent="0.25">
      <c r="A3282" s="3" t="s">
        <v>9915</v>
      </c>
      <c r="B3282" s="3"/>
      <c r="C3282" s="2"/>
      <c r="D3282" s="3" t="s">
        <v>9916</v>
      </c>
      <c r="E3282" s="3" t="s">
        <v>9917</v>
      </c>
      <c r="F3282" s="3" t="str">
        <f>"5748672441"</f>
        <v>5748672441</v>
      </c>
      <c r="G3282" s="3">
        <v>424910</v>
      </c>
      <c r="H3282" s="3" t="s">
        <v>1636</v>
      </c>
    </row>
    <row r="3283" spans="1:8" ht="166.5" x14ac:dyDescent="0.25">
      <c r="A3283" s="3" t="s">
        <v>9918</v>
      </c>
      <c r="B3283" s="3"/>
      <c r="C3283" s="3" t="s">
        <v>9919</v>
      </c>
      <c r="D3283" s="3" t="s">
        <v>9920</v>
      </c>
      <c r="E3283" s="3" t="s">
        <v>9921</v>
      </c>
      <c r="F3283" s="3" t="str">
        <f>"260-563-8426"</f>
        <v>260-563-8426</v>
      </c>
      <c r="G3283" s="3">
        <v>23331</v>
      </c>
      <c r="H3283" s="3" t="s">
        <v>5828</v>
      </c>
    </row>
    <row r="3284" spans="1:8" ht="319.5" x14ac:dyDescent="0.25">
      <c r="A3284" s="3" t="s">
        <v>9922</v>
      </c>
      <c r="B3284" s="3"/>
      <c r="C3284" s="3" t="s">
        <v>9923</v>
      </c>
      <c r="D3284" s="3" t="s">
        <v>9924</v>
      </c>
      <c r="E3284" s="3" t="s">
        <v>9925</v>
      </c>
      <c r="F3284" s="3" t="str">
        <f>"309.663.8436"</f>
        <v>309.663.8436</v>
      </c>
      <c r="G3284" s="3">
        <v>541330</v>
      </c>
      <c r="H3284" s="3" t="s">
        <v>82</v>
      </c>
    </row>
    <row r="3285" spans="1:8" ht="90" x14ac:dyDescent="0.25">
      <c r="A3285" s="3" t="s">
        <v>9926</v>
      </c>
      <c r="B3285" s="3"/>
      <c r="C3285" s="3" t="s">
        <v>9927</v>
      </c>
      <c r="D3285" s="3" t="s">
        <v>9928</v>
      </c>
      <c r="E3285" s="3" t="s">
        <v>9929</v>
      </c>
      <c r="F3285" s="3" t="str">
        <f>"(260) 484-5487"</f>
        <v>(260) 484-5487</v>
      </c>
      <c r="G3285" s="3">
        <v>32311</v>
      </c>
      <c r="H3285" s="3" t="s">
        <v>531</v>
      </c>
    </row>
    <row r="3286" spans="1:8" ht="217.5" x14ac:dyDescent="0.25">
      <c r="A3286" s="3" t="s">
        <v>9930</v>
      </c>
      <c r="B3286" s="3"/>
      <c r="C3286" s="3" t="s">
        <v>9931</v>
      </c>
      <c r="D3286" s="3" t="s">
        <v>9932</v>
      </c>
      <c r="E3286" s="3" t="s">
        <v>9933</v>
      </c>
      <c r="F3286" s="3" t="str">
        <f>"616-935-1258"</f>
        <v>616-935-1258</v>
      </c>
      <c r="G3286" s="3">
        <v>423710</v>
      </c>
      <c r="H3286" s="3" t="s">
        <v>6956</v>
      </c>
    </row>
    <row r="3287" spans="1:8" ht="26.25" x14ac:dyDescent="0.25">
      <c r="A3287" s="3" t="s">
        <v>9934</v>
      </c>
      <c r="B3287" s="3"/>
      <c r="C3287" s="3" t="str">
        <f>" "</f>
        <v xml:space="preserve"> </v>
      </c>
      <c r="D3287" s="3" t="s">
        <v>9</v>
      </c>
      <c r="E3287" s="3" t="s">
        <v>46</v>
      </c>
      <c r="F3287" s="2"/>
      <c r="G3287" s="3">
        <v>541</v>
      </c>
      <c r="H3287" s="3" t="s">
        <v>179</v>
      </c>
    </row>
    <row r="3288" spans="1:8" ht="26.25" x14ac:dyDescent="0.25">
      <c r="A3288" s="3" t="s">
        <v>9935</v>
      </c>
      <c r="B3288" s="3"/>
      <c r="C3288" s="3" t="str">
        <f>"We are a metal fabricating job shop. We specialize in all types of metal fabricating."</f>
        <v>We are a metal fabricating job shop. We specialize in all types of metal fabricating.</v>
      </c>
      <c r="D3288" s="3" t="s">
        <v>9</v>
      </c>
      <c r="E3288" s="3" t="s">
        <v>9936</v>
      </c>
      <c r="F3288" s="3" t="str">
        <f>"574-342-0022"</f>
        <v>574-342-0022</v>
      </c>
      <c r="G3288" s="3">
        <v>453220</v>
      </c>
      <c r="H3288" s="3" t="s">
        <v>274</v>
      </c>
    </row>
    <row r="3289" spans="1:8" ht="102.75" x14ac:dyDescent="0.25">
      <c r="A3289" s="3" t="s">
        <v>9937</v>
      </c>
      <c r="B3289" s="3"/>
      <c r="C3289" s="3" t="s">
        <v>9938</v>
      </c>
      <c r="D3289" s="3" t="s">
        <v>9939</v>
      </c>
      <c r="E3289" s="3" t="s">
        <v>9940</v>
      </c>
      <c r="F3289" s="3" t="str">
        <f>"574-272-4671"</f>
        <v>574-272-4671</v>
      </c>
      <c r="G3289" s="3">
        <v>323</v>
      </c>
      <c r="H3289" s="3" t="s">
        <v>302</v>
      </c>
    </row>
    <row r="3290" spans="1:8" ht="39" x14ac:dyDescent="0.25">
      <c r="A3290" s="3" t="s">
        <v>9941</v>
      </c>
      <c r="B3290" s="3"/>
      <c r="C3290" s="3" t="str">
        <f>"Interior plantscaping services incuding design and maintenance. Live plants, custom silks, and plant rental for weddings."</f>
        <v>Interior plantscaping services incuding design and maintenance. Live plants, custom silks, and plant rental for weddings.</v>
      </c>
      <c r="D3290" s="3" t="s">
        <v>9942</v>
      </c>
      <c r="E3290" s="3" t="s">
        <v>9943</v>
      </c>
      <c r="F3290" s="3" t="str">
        <f>"765-759-5776"</f>
        <v>765-759-5776</v>
      </c>
      <c r="G3290" s="3">
        <v>453110</v>
      </c>
      <c r="H3290" s="3" t="s">
        <v>2584</v>
      </c>
    </row>
    <row r="3291" spans="1:8" ht="192" x14ac:dyDescent="0.25">
      <c r="A3291" s="3" t="s">
        <v>9944</v>
      </c>
      <c r="B3291" s="3"/>
      <c r="C3291" s="3" t="s">
        <v>9945</v>
      </c>
      <c r="D3291" s="3" t="s">
        <v>9946</v>
      </c>
      <c r="E3291" s="3" t="s">
        <v>9947</v>
      </c>
      <c r="F3291" s="3" t="str">
        <f>"317-496-4044"</f>
        <v>317-496-4044</v>
      </c>
      <c r="G3291" s="3">
        <v>611710</v>
      </c>
      <c r="H3291" s="3" t="s">
        <v>508</v>
      </c>
    </row>
    <row r="3292" spans="1:8" ht="26.25" x14ac:dyDescent="0.25">
      <c r="A3292" s="3" t="s">
        <v>9948</v>
      </c>
      <c r="B3292" s="3"/>
      <c r="C3292" s="3" t="str">
        <f>"Transport clients to and from their doctor appointments and other destinations."</f>
        <v>Transport clients to and from their doctor appointments and other destinations.</v>
      </c>
      <c r="D3292" s="3" t="s">
        <v>9</v>
      </c>
      <c r="E3292" s="3" t="s">
        <v>46</v>
      </c>
      <c r="F3292" s="3" t="str">
        <f>"317 626 4794"</f>
        <v>317 626 4794</v>
      </c>
      <c r="G3292" s="3">
        <v>485991</v>
      </c>
      <c r="H3292" s="3" t="s">
        <v>6936</v>
      </c>
    </row>
    <row r="3293" spans="1:8" ht="39" x14ac:dyDescent="0.25">
      <c r="A3293" s="3" t="s">
        <v>9949</v>
      </c>
      <c r="B3293" s="3"/>
      <c r="C3293" s="3" t="str">
        <f>"Rural, not-for-profit healthcare facility in Eastern Indiana serving patients in Fayette and surrounding counties"</f>
        <v>Rural, not-for-profit healthcare facility in Eastern Indiana serving patients in Fayette and surrounding counties</v>
      </c>
      <c r="D3293" s="3" t="s">
        <v>9950</v>
      </c>
      <c r="E3293" s="3" t="s">
        <v>9951</v>
      </c>
      <c r="F3293" s="3" t="str">
        <f>"(765) 825-5131"</f>
        <v>(765) 825-5131</v>
      </c>
      <c r="G3293" s="3">
        <v>622</v>
      </c>
      <c r="H3293" s="3" t="s">
        <v>5145</v>
      </c>
    </row>
    <row r="3294" spans="1:8" ht="115.5" x14ac:dyDescent="0.25">
      <c r="A3294" s="3" t="s">
        <v>9952</v>
      </c>
      <c r="B3294" s="3"/>
      <c r="C3294" s="3" t="s">
        <v>9953</v>
      </c>
      <c r="D3294" s="3" t="s">
        <v>9</v>
      </c>
      <c r="E3294" s="3" t="s">
        <v>9954</v>
      </c>
      <c r="F3294" s="3" t="str">
        <f>"765-653-5667"</f>
        <v>765-653-5667</v>
      </c>
      <c r="G3294" s="3">
        <v>5418</v>
      </c>
      <c r="H3294" s="3" t="s">
        <v>1337</v>
      </c>
    </row>
    <row r="3295" spans="1:8" ht="26.25" x14ac:dyDescent="0.25">
      <c r="A3295" s="3" t="s">
        <v>9955</v>
      </c>
      <c r="B3295" s="3"/>
      <c r="C3295" s="2"/>
      <c r="D3295" s="3" t="s">
        <v>9956</v>
      </c>
      <c r="E3295" s="3" t="s">
        <v>46</v>
      </c>
      <c r="F3295" s="3" t="str">
        <f>"1-800-463-3339"</f>
        <v>1-800-463-3339</v>
      </c>
      <c r="G3295" s="3">
        <v>492210</v>
      </c>
      <c r="H3295" s="3" t="s">
        <v>8134</v>
      </c>
    </row>
    <row r="3296" spans="1:8" ht="26.25" x14ac:dyDescent="0.25">
      <c r="A3296" s="3" t="s">
        <v>9957</v>
      </c>
      <c r="B3296" s="3"/>
      <c r="C3296" s="2"/>
      <c r="D3296" s="3" t="s">
        <v>9958</v>
      </c>
      <c r="E3296" s="3" t="s">
        <v>46</v>
      </c>
      <c r="F3296" s="3" t="str">
        <f>"317-837-3155"</f>
        <v>317-837-3155</v>
      </c>
      <c r="G3296" s="3">
        <v>811213</v>
      </c>
      <c r="H3296" s="3" t="s">
        <v>1077</v>
      </c>
    </row>
    <row r="3297" spans="1:8" ht="26.25" x14ac:dyDescent="0.25">
      <c r="A3297" s="3" t="s">
        <v>9959</v>
      </c>
      <c r="B3297" s="3"/>
      <c r="C3297" s="3" t="str">
        <f>"Newspaper publishing, digital media and advertising"</f>
        <v>Newspaper publishing, digital media and advertising</v>
      </c>
      <c r="D3297" s="3" t="s">
        <v>9960</v>
      </c>
      <c r="E3297" s="3" t="s">
        <v>46</v>
      </c>
      <c r="F3297" s="3" t="str">
        <f>"8665215511"</f>
        <v>8665215511</v>
      </c>
      <c r="G3297" s="3">
        <v>511110</v>
      </c>
      <c r="H3297" s="3" t="s">
        <v>8225</v>
      </c>
    </row>
    <row r="3298" spans="1:8" ht="51.75" x14ac:dyDescent="0.25">
      <c r="A3298" s="3" t="s">
        <v>9961</v>
      </c>
      <c r="B3298" s="3"/>
      <c r="C3298" s="3" t="str">
        <f>"Purchase corn and soybeans from local producers for resale Manufacture custom mix livestock, poultry and equine feeds Manufacture wholesale livestock feeds"</f>
        <v>Purchase corn and soybeans from local producers for resale Manufacture custom mix livestock, poultry and equine feeds Manufacture wholesale livestock feeds</v>
      </c>
      <c r="D3298" s="3" t="s">
        <v>9962</v>
      </c>
      <c r="E3298" s="3" t="s">
        <v>46</v>
      </c>
      <c r="F3298" s="3" t="str">
        <f>"317-769-5551"</f>
        <v>317-769-5551</v>
      </c>
      <c r="G3298" s="3">
        <v>444220</v>
      </c>
      <c r="H3298" s="3" t="s">
        <v>9963</v>
      </c>
    </row>
    <row r="3299" spans="1:8" ht="51.75" x14ac:dyDescent="0.25">
      <c r="A3299" s="3" t="s">
        <v>9964</v>
      </c>
      <c r="B3299" s="3"/>
      <c r="C3299" s="3" t="str">
        <f>"We are an independent insurance agency offering property and casualty as well as life and health producets to both personal and commercial clients."</f>
        <v>We are an independent insurance agency offering property and casualty as well as life and health producets to both personal and commercial clients.</v>
      </c>
      <c r="D3299" s="3" t="s">
        <v>9965</v>
      </c>
      <c r="E3299" s="3" t="s">
        <v>9966</v>
      </c>
      <c r="F3299" s="3" t="str">
        <f>"765-664-2333"</f>
        <v>765-664-2333</v>
      </c>
      <c r="G3299" s="3">
        <v>524210</v>
      </c>
      <c r="H3299" s="3" t="s">
        <v>1183</v>
      </c>
    </row>
    <row r="3300" spans="1:8" ht="102.75" x14ac:dyDescent="0.25">
      <c r="A3300" s="3" t="s">
        <v>9967</v>
      </c>
      <c r="B3300" s="3"/>
      <c r="C3300" s="3" t="s">
        <v>9968</v>
      </c>
      <c r="D3300" s="3" t="s">
        <v>9969</v>
      </c>
      <c r="E3300" s="3" t="s">
        <v>9970</v>
      </c>
      <c r="F3300" s="3" t="str">
        <f>"219-465-5600"</f>
        <v>219-465-5600</v>
      </c>
      <c r="G3300" s="3">
        <v>238990</v>
      </c>
      <c r="H3300" s="3" t="s">
        <v>481</v>
      </c>
    </row>
    <row r="3301" spans="1:8" x14ac:dyDescent="0.25">
      <c r="A3301" s="3" t="s">
        <v>9971</v>
      </c>
      <c r="B3301" s="3"/>
      <c r="C3301" s="3" t="str">
        <f>" "</f>
        <v xml:space="preserve"> </v>
      </c>
      <c r="D3301" s="3" t="s">
        <v>9</v>
      </c>
      <c r="E3301" s="3" t="s">
        <v>46</v>
      </c>
      <c r="F3301" s="2"/>
      <c r="G3301" s="3">
        <v>238990</v>
      </c>
      <c r="H3301" s="3" t="s">
        <v>481</v>
      </c>
    </row>
    <row r="3302" spans="1:8" ht="39" x14ac:dyDescent="0.25">
      <c r="A3302" s="3" t="s">
        <v>9972</v>
      </c>
      <c r="B3302" s="3"/>
      <c r="C3302" s="3" t="str">
        <f>"We are a full service construstion company that also provides the service of snow and ice removal"</f>
        <v>We are a full service construstion company that also provides the service of snow and ice removal</v>
      </c>
      <c r="D3302" s="3" t="s">
        <v>9</v>
      </c>
      <c r="E3302" s="3" t="s">
        <v>9973</v>
      </c>
      <c r="F3302" s="2"/>
      <c r="G3302" s="3">
        <v>23</v>
      </c>
      <c r="H3302" s="3" t="s">
        <v>133</v>
      </c>
    </row>
    <row r="3303" spans="1:8" ht="26.25" x14ac:dyDescent="0.25">
      <c r="A3303" s="3" t="s">
        <v>9974</v>
      </c>
      <c r="B3303" s="3"/>
      <c r="C3303" s="2"/>
      <c r="D3303" s="3" t="s">
        <v>9</v>
      </c>
      <c r="E3303" s="3" t="s">
        <v>46</v>
      </c>
      <c r="F3303" s="2"/>
      <c r="G3303" s="3">
        <v>621111</v>
      </c>
      <c r="H3303" s="3" t="s">
        <v>2002</v>
      </c>
    </row>
    <row r="3304" spans="1:8" ht="128.25" x14ac:dyDescent="0.25">
      <c r="A3304" s="3" t="s">
        <v>9975</v>
      </c>
      <c r="B3304" s="3"/>
      <c r="C3304" s="3" t="s">
        <v>9976</v>
      </c>
      <c r="D3304" s="3" t="s">
        <v>9</v>
      </c>
      <c r="E3304" s="3" t="s">
        <v>46</v>
      </c>
      <c r="F3304" s="3" t="str">
        <f>"219/864-7117"</f>
        <v>219/864-7117</v>
      </c>
      <c r="G3304" s="3">
        <v>236220</v>
      </c>
      <c r="H3304" s="3" t="s">
        <v>598</v>
      </c>
    </row>
    <row r="3305" spans="1:8" ht="77.25" x14ac:dyDescent="0.25">
      <c r="A3305" s="3" t="s">
        <v>9977</v>
      </c>
      <c r="B3305" s="3"/>
      <c r="C3305" s="3" t="str">
        <f>"Industrial union mechanical contractor that specilizes in machinery and equipment millwright rigging services. Experienced in fabrication, plant relocations, maintenance, setting / moving equipment, material handeling, &amp; most industrial applications."</f>
        <v>Industrial union mechanical contractor that specilizes in machinery and equipment millwright rigging services. Experienced in fabrication, plant relocations, maintenance, setting / moving equipment, material handeling, &amp; most industrial applications.</v>
      </c>
      <c r="D3305" s="3" t="s">
        <v>9978</v>
      </c>
      <c r="E3305" s="3" t="s">
        <v>9979</v>
      </c>
      <c r="F3305" s="3" t="str">
        <f>"317 738 9300"</f>
        <v>317 738 9300</v>
      </c>
      <c r="G3305" s="3">
        <v>238290</v>
      </c>
      <c r="H3305" s="3" t="s">
        <v>237</v>
      </c>
    </row>
    <row r="3306" spans="1:8" ht="64.5" x14ac:dyDescent="0.25">
      <c r="A3306" s="3" t="s">
        <v>9980</v>
      </c>
      <c r="B3306" s="3"/>
      <c r="C3306" s="3" t="str">
        <f>"Our company is a sawdust and wood shavings distributor. We have available both bulk and bagged products. We have the ability to process bulk sawdust to fit your specific size requirements."</f>
        <v>Our company is a sawdust and wood shavings distributor. We have available both bulk and bagged products. We have the ability to process bulk sawdust to fit your specific size requirements.</v>
      </c>
      <c r="D3306" s="3" t="s">
        <v>9981</v>
      </c>
      <c r="E3306" s="3" t="s">
        <v>9982</v>
      </c>
      <c r="F3306" s="3" t="str">
        <f>"574-534-1820"</f>
        <v>574-534-1820</v>
      </c>
      <c r="G3306" s="3">
        <v>238</v>
      </c>
      <c r="H3306" s="3" t="s">
        <v>397</v>
      </c>
    </row>
    <row r="3307" spans="1:8" ht="51.75" x14ac:dyDescent="0.25">
      <c r="A3307" s="3" t="s">
        <v>9983</v>
      </c>
      <c r="B3307" s="3"/>
      <c r="C3307" s="3" t="str">
        <f>"Fibertech is a leader in building and operating fiber optic networks throughout mid-size cities in the Eastern and Central regions of the United States."</f>
        <v>Fibertech is a leader in building and operating fiber optic networks throughout mid-size cities in the Eastern and Central regions of the United States.</v>
      </c>
      <c r="D3307" s="3" t="s">
        <v>9984</v>
      </c>
      <c r="E3307" s="3" t="s">
        <v>9985</v>
      </c>
      <c r="F3307" s="3" t="str">
        <f>"585-697-5100"</f>
        <v>585-697-5100</v>
      </c>
      <c r="G3307" s="3">
        <v>517110</v>
      </c>
      <c r="H3307" s="3" t="s">
        <v>8574</v>
      </c>
    </row>
    <row r="3308" spans="1:8" ht="64.5" x14ac:dyDescent="0.25">
      <c r="A3308" s="3" t="s">
        <v>9986</v>
      </c>
      <c r="B3308" s="3"/>
      <c r="C3308" s="3" t="str">
        <f>"Telecommunications training and consulting. Network Auditing. Telecommunications cabling network installation and maintenance (Fiber Optic and Copper Cable Facilities)."</f>
        <v>Telecommunications training and consulting. Network Auditing. Telecommunications cabling network installation and maintenance (Fiber Optic and Copper Cable Facilities).</v>
      </c>
      <c r="D3308" s="3" t="s">
        <v>9987</v>
      </c>
      <c r="E3308" s="3" t="s">
        <v>9988</v>
      </c>
      <c r="F3308" s="3" t="str">
        <f>"812-254-3488"</f>
        <v>812-254-3488</v>
      </c>
      <c r="G3308" s="3">
        <v>517</v>
      </c>
      <c r="H3308" s="3" t="s">
        <v>682</v>
      </c>
    </row>
    <row r="3309" spans="1:8" ht="268.5" x14ac:dyDescent="0.25">
      <c r="A3309" s="3" t="s">
        <v>9989</v>
      </c>
      <c r="B3309" s="3"/>
      <c r="C3309" s="3" t="s">
        <v>9990</v>
      </c>
      <c r="D3309" s="3" t="s">
        <v>9991</v>
      </c>
      <c r="E3309" s="3" t="s">
        <v>9992</v>
      </c>
      <c r="F3309" s="3" t="str">
        <f>"800-304-4600"</f>
        <v>800-304-4600</v>
      </c>
      <c r="G3309" s="3">
        <v>326199</v>
      </c>
      <c r="H3309" s="3" t="s">
        <v>2129</v>
      </c>
    </row>
    <row r="3310" spans="1:8" ht="64.5" x14ac:dyDescent="0.25">
      <c r="A3310" s="3" t="s">
        <v>9993</v>
      </c>
      <c r="B3310" s="3"/>
      <c r="C3310" s="3" t="str">
        <f>"Provides Project Management, Program Management, Portfolio Management, Project Management Office/Organization and Management, Strategic Planning, and Process Improvement consulting services."</f>
        <v>Provides Project Management, Program Management, Portfolio Management, Project Management Office/Organization and Management, Strategic Planning, and Process Improvement consulting services.</v>
      </c>
      <c r="D3310" s="3" t="s">
        <v>9</v>
      </c>
      <c r="E3310" s="3" t="s">
        <v>9994</v>
      </c>
      <c r="F3310" s="3" t="str">
        <f>"317-758-7524"</f>
        <v>317-758-7524</v>
      </c>
      <c r="G3310" s="3">
        <v>541611</v>
      </c>
      <c r="H3310" s="3" t="s">
        <v>278</v>
      </c>
    </row>
    <row r="3311" spans="1:8" ht="217.5" x14ac:dyDescent="0.25">
      <c r="A3311" s="3" t="s">
        <v>9995</v>
      </c>
      <c r="B3311" s="3"/>
      <c r="C3311" s="3" t="s">
        <v>9996</v>
      </c>
      <c r="D3311" s="3" t="s">
        <v>9997</v>
      </c>
      <c r="E3311" s="3" t="s">
        <v>9998</v>
      </c>
      <c r="F3311" s="3" t="str">
        <f>"812-333-5333"</f>
        <v>812-333-5333</v>
      </c>
      <c r="G3311" s="3">
        <v>541620</v>
      </c>
      <c r="H3311" s="3" t="s">
        <v>216</v>
      </c>
    </row>
    <row r="3312" spans="1:8" ht="179.25" x14ac:dyDescent="0.25">
      <c r="A3312" s="3" t="s">
        <v>9999</v>
      </c>
      <c r="B3312" s="3"/>
      <c r="C3312" s="3" t="s">
        <v>10000</v>
      </c>
      <c r="D3312" s="3" t="s">
        <v>9</v>
      </c>
      <c r="E3312" s="3" t="s">
        <v>10001</v>
      </c>
      <c r="F3312" s="3" t="str">
        <f>"317-586-1596"</f>
        <v>317-586-1596</v>
      </c>
      <c r="G3312" s="3">
        <v>561730</v>
      </c>
      <c r="H3312" s="3" t="s">
        <v>65</v>
      </c>
    </row>
    <row r="3313" spans="1:8" ht="26.25" x14ac:dyDescent="0.25">
      <c r="A3313" s="3" t="s">
        <v>10002</v>
      </c>
      <c r="B3313" s="3"/>
      <c r="C3313" s="3" t="str">
        <f>"Banking services in the State of Indiana"</f>
        <v>Banking services in the State of Indiana</v>
      </c>
      <c r="D3313" s="3" t="s">
        <v>10003</v>
      </c>
      <c r="E3313" s="3" t="s">
        <v>46</v>
      </c>
      <c r="F3313" s="3" t="str">
        <f>"317-383-2300"</f>
        <v>317-383-2300</v>
      </c>
      <c r="G3313" s="3">
        <v>522320</v>
      </c>
      <c r="H3313" s="3" t="s">
        <v>3975</v>
      </c>
    </row>
    <row r="3314" spans="1:8" ht="39" x14ac:dyDescent="0.25">
      <c r="A3314" s="3" t="s">
        <v>10004</v>
      </c>
      <c r="B3314" s="3"/>
      <c r="C3314" s="3" t="str">
        <f>"We specialize in printing 8-56 page booklets full color in multiple sizes as well as 2 sizes of fold out maps."</f>
        <v>We specialize in printing 8-56 page booklets full color in multiple sizes as well as 2 sizes of fold out maps.</v>
      </c>
      <c r="D3314" s="3" t="s">
        <v>9</v>
      </c>
      <c r="E3314" s="3" t="s">
        <v>10005</v>
      </c>
      <c r="F3314" s="3" t="str">
        <f>"317-797-2022"</f>
        <v>317-797-2022</v>
      </c>
      <c r="G3314" s="3">
        <v>511120</v>
      </c>
      <c r="H3314" s="3" t="s">
        <v>149</v>
      </c>
    </row>
    <row r="3315" spans="1:8" ht="51.75" x14ac:dyDescent="0.25">
      <c r="A3315" s="3" t="s">
        <v>10006</v>
      </c>
      <c r="B3315" s="3"/>
      <c r="C3315" s="3" t="str">
        <f>"We are a small, Indiana-based pest control company focusing primarily on general pest &amp; rodent control. We are licensed with the OISC #F225177 Category 7A"</f>
        <v>We are a small, Indiana-based pest control company focusing primarily on general pest &amp; rodent control. We are licensed with the OISC #F225177 Category 7A</v>
      </c>
      <c r="D3315" s="3" t="s">
        <v>10007</v>
      </c>
      <c r="E3315" s="3" t="s">
        <v>10008</v>
      </c>
      <c r="F3315" s="3" t="str">
        <f>"317-849-9013"</f>
        <v>317-849-9013</v>
      </c>
      <c r="G3315" s="3">
        <v>561710</v>
      </c>
      <c r="H3315" s="3" t="s">
        <v>946</v>
      </c>
    </row>
    <row r="3316" spans="1:8" ht="90" x14ac:dyDescent="0.25">
      <c r="A3316" s="3" t="s">
        <v>10009</v>
      </c>
      <c r="B3316" s="3"/>
      <c r="C3316" s="3" t="s">
        <v>10010</v>
      </c>
      <c r="D3316" s="3" t="s">
        <v>10011</v>
      </c>
      <c r="E3316" s="3" t="s">
        <v>10012</v>
      </c>
      <c r="F3316" s="3" t="str">
        <f>"3177806804"</f>
        <v>3177806804</v>
      </c>
      <c r="G3316" s="3">
        <v>238990</v>
      </c>
      <c r="H3316" s="3" t="s">
        <v>481</v>
      </c>
    </row>
    <row r="3317" spans="1:8" ht="128.25" x14ac:dyDescent="0.25">
      <c r="A3317" s="3" t="s">
        <v>10013</v>
      </c>
      <c r="B3317" s="3"/>
      <c r="C3317" s="3" t="s">
        <v>10014</v>
      </c>
      <c r="D3317" s="3" t="s">
        <v>10015</v>
      </c>
      <c r="E3317" s="3" t="s">
        <v>10016</v>
      </c>
      <c r="F3317" s="3" t="str">
        <f>"317-359-4634"</f>
        <v>317-359-4634</v>
      </c>
      <c r="G3317" s="3">
        <v>512110</v>
      </c>
      <c r="H3317" s="3" t="s">
        <v>406</v>
      </c>
    </row>
    <row r="3318" spans="1:8" ht="179.25" x14ac:dyDescent="0.25">
      <c r="A3318" s="3" t="s">
        <v>10017</v>
      </c>
      <c r="B3318" s="3"/>
      <c r="C3318" s="3" t="s">
        <v>10018</v>
      </c>
      <c r="D3318" s="3" t="s">
        <v>10019</v>
      </c>
      <c r="E3318" s="3" t="s">
        <v>10020</v>
      </c>
      <c r="F3318" s="3" t="str">
        <f>"3179971890"</f>
        <v>3179971890</v>
      </c>
      <c r="G3318" s="3">
        <v>6117</v>
      </c>
      <c r="H3318" s="3" t="s">
        <v>508</v>
      </c>
    </row>
    <row r="3319" spans="1:8" ht="51.75" x14ac:dyDescent="0.25">
      <c r="A3319" s="3" t="s">
        <v>10021</v>
      </c>
      <c r="B3319" s="3"/>
      <c r="C3319" s="3" t="str">
        <f>"We provide janitorial services- including office cleaning, carpet and floor cleaning of all types, commercial and industrial cleaning."</f>
        <v>We provide janitorial services- including office cleaning, carpet and floor cleaning of all types, commercial and industrial cleaning.</v>
      </c>
      <c r="D3319" s="3" t="s">
        <v>9</v>
      </c>
      <c r="E3319" s="3" t="s">
        <v>10022</v>
      </c>
      <c r="F3319" s="3" t="str">
        <f>"812-385-3703"</f>
        <v>812-385-3703</v>
      </c>
      <c r="G3319" s="3">
        <v>561720</v>
      </c>
      <c r="H3319" s="3" t="s">
        <v>222</v>
      </c>
    </row>
    <row r="3320" spans="1:8" ht="77.25" x14ac:dyDescent="0.25">
      <c r="A3320" s="3" t="s">
        <v>10023</v>
      </c>
      <c r="B3320" s="3"/>
      <c r="C3320" s="3" t="str">
        <f>"Not for Profit Corporation, that is dedicated to improve the quality of life of developmentally disabled and older adults in Indiana by being their health care representative, power of attorney or guardian."</f>
        <v>Not for Profit Corporation, that is dedicated to improve the quality of life of developmentally disabled and older adults in Indiana by being their health care representative, power of attorney or guardian.</v>
      </c>
      <c r="D3320" s="3" t="s">
        <v>9</v>
      </c>
      <c r="E3320" s="3" t="s">
        <v>10024</v>
      </c>
      <c r="F3320" s="3" t="str">
        <f>"812-232-7188"</f>
        <v>812-232-7188</v>
      </c>
      <c r="G3320" s="3">
        <v>62412</v>
      </c>
      <c r="H3320" s="3" t="s">
        <v>22</v>
      </c>
    </row>
    <row r="3321" spans="1:8" ht="26.25" x14ac:dyDescent="0.25">
      <c r="A3321" s="3" t="s">
        <v>10025</v>
      </c>
      <c r="B3321" s="3"/>
      <c r="C3321" s="2"/>
      <c r="D3321" s="3" t="s">
        <v>10026</v>
      </c>
      <c r="E3321" s="3" t="s">
        <v>10027</v>
      </c>
      <c r="F3321" s="3" t="str">
        <f>"765-447-1302"</f>
        <v>765-447-1302</v>
      </c>
      <c r="G3321" s="3">
        <v>52232</v>
      </c>
      <c r="H3321" s="3" t="s">
        <v>10028</v>
      </c>
    </row>
    <row r="3322" spans="1:8" ht="26.25" x14ac:dyDescent="0.25">
      <c r="A3322" s="3" t="s">
        <v>10029</v>
      </c>
      <c r="B3322" s="3"/>
      <c r="C3322" s="3" t="str">
        <f>"Provide Investigative Services to Business"</f>
        <v>Provide Investigative Services to Business</v>
      </c>
      <c r="D3322" s="3" t="s">
        <v>9</v>
      </c>
      <c r="E3322" s="3" t="s">
        <v>10030</v>
      </c>
      <c r="F3322" s="3" t="str">
        <f>"317-888-1590"</f>
        <v>317-888-1590</v>
      </c>
      <c r="G3322" s="3">
        <v>56149</v>
      </c>
      <c r="H3322" s="3" t="s">
        <v>7754</v>
      </c>
    </row>
    <row r="3323" spans="1:8" ht="26.25" x14ac:dyDescent="0.25">
      <c r="A3323" s="3" t="s">
        <v>10031</v>
      </c>
      <c r="B3323" s="3"/>
      <c r="C3323" s="2"/>
      <c r="D3323" s="3" t="s">
        <v>10032</v>
      </c>
      <c r="E3323" s="3" t="s">
        <v>10033</v>
      </c>
      <c r="F3323" s="3" t="str">
        <f>"317-916-6770"</f>
        <v>317-916-6770</v>
      </c>
      <c r="G3323" s="3">
        <v>23511</v>
      </c>
      <c r="H3323" s="3" t="s">
        <v>892</v>
      </c>
    </row>
    <row r="3324" spans="1:8" ht="255.75" x14ac:dyDescent="0.25">
      <c r="A3324" s="3" t="s">
        <v>10034</v>
      </c>
      <c r="B3324" s="3"/>
      <c r="C3324" s="3" t="s">
        <v>10035</v>
      </c>
      <c r="D3324" s="3" t="s">
        <v>10036</v>
      </c>
      <c r="E3324" s="3" t="s">
        <v>10037</v>
      </c>
      <c r="F3324" s="3" t="str">
        <f>"765-588-6067"</f>
        <v>765-588-6067</v>
      </c>
      <c r="G3324" s="3">
        <v>541613</v>
      </c>
      <c r="H3324" s="3" t="s">
        <v>558</v>
      </c>
    </row>
    <row r="3325" spans="1:8" ht="64.5" x14ac:dyDescent="0.25">
      <c r="A3325" s="3" t="s">
        <v>10038</v>
      </c>
      <c r="B3325" s="3"/>
      <c r="C3325" s="3" t="str">
        <f>"Advertising and Marketing Services including but not limited to: -Public Relations -Telemarketing -List and Data Services -Print -Outdoor -Radio -Television -Direct Mail -Media Buying Services"</f>
        <v>Advertising and Marketing Services including but not limited to: -Public Relations -Telemarketing -List and Data Services -Print -Outdoor -Radio -Television -Direct Mail -Media Buying Services</v>
      </c>
      <c r="D3325" s="3" t="s">
        <v>10039</v>
      </c>
      <c r="E3325" s="3" t="s">
        <v>10040</v>
      </c>
      <c r="F3325" s="3" t="str">
        <f>"812-339-6700"</f>
        <v>812-339-6700</v>
      </c>
      <c r="G3325" s="3">
        <v>5418</v>
      </c>
      <c r="H3325" s="3" t="s">
        <v>1337</v>
      </c>
    </row>
    <row r="3326" spans="1:8" ht="64.5" x14ac:dyDescent="0.25">
      <c r="A3326" s="3" t="s">
        <v>10041</v>
      </c>
      <c r="B3326" s="3"/>
      <c r="C3326" s="3" t="str">
        <f>"Commercial Office Furniture Dealership. We provide furniture and installation. We also provide free design services to help plan your office. We have many manufacturers to choose from, most of GSA schedules."</f>
        <v>Commercial Office Furniture Dealership. We provide furniture and installation. We also provide free design services to help plan your office. We have many manufacturers to choose from, most of GSA schedules.</v>
      </c>
      <c r="D3326" s="3" t="s">
        <v>10042</v>
      </c>
      <c r="E3326" s="3" t="s">
        <v>10043</v>
      </c>
      <c r="F3326" s="3" t="str">
        <f>"317-802-2200"</f>
        <v>317-802-2200</v>
      </c>
      <c r="G3326" s="3">
        <v>442110</v>
      </c>
      <c r="H3326" s="3" t="s">
        <v>117</v>
      </c>
    </row>
    <row r="3327" spans="1:8" ht="51.75" x14ac:dyDescent="0.25">
      <c r="A3327" s="3" t="s">
        <v>10044</v>
      </c>
      <c r="B3327" s="3"/>
      <c r="C3327" s="3" t="str">
        <f>"Promotional items with your logo. Trade Show Giveaways. Special Event Souvenirs. Recognition Awards &amp; Gifts. Creative Possibilities For Business Promotion"</f>
        <v>Promotional items with your logo. Trade Show Giveaways. Special Event Souvenirs. Recognition Awards &amp; Gifts. Creative Possibilities For Business Promotion</v>
      </c>
      <c r="D3327" s="3" t="s">
        <v>10045</v>
      </c>
      <c r="E3327" s="3" t="s">
        <v>10046</v>
      </c>
      <c r="F3327" s="3" t="str">
        <f>"317-298-3100"</f>
        <v>317-298-3100</v>
      </c>
      <c r="G3327" s="3">
        <v>541890</v>
      </c>
      <c r="H3327" s="3" t="s">
        <v>401</v>
      </c>
    </row>
    <row r="3328" spans="1:8" ht="153.75" x14ac:dyDescent="0.25">
      <c r="A3328" s="3" t="s">
        <v>10047</v>
      </c>
      <c r="B3328" s="3"/>
      <c r="C3328" s="3" t="s">
        <v>10048</v>
      </c>
      <c r="D3328" s="3" t="s">
        <v>10049</v>
      </c>
      <c r="E3328" s="3" t="s">
        <v>10050</v>
      </c>
      <c r="F3328" s="3" t="str">
        <f>"317-872-4490"</f>
        <v>317-872-4490</v>
      </c>
      <c r="G3328" s="3">
        <v>323110</v>
      </c>
      <c r="H3328" s="3" t="s">
        <v>1900</v>
      </c>
    </row>
    <row r="3329" spans="1:8" ht="51.75" x14ac:dyDescent="0.25">
      <c r="A3329" s="3" t="s">
        <v>10051</v>
      </c>
      <c r="B3329" s="3"/>
      <c r="C3329" s="3" t="str">
        <f>"My business provides janitorial services that includes office cleaning, post construction clean up, commercial cleaning and move-in/ move-out cleaning."</f>
        <v>My business provides janitorial services that includes office cleaning, post construction clean up, commercial cleaning and move-in/ move-out cleaning.</v>
      </c>
      <c r="D3329" s="3" t="s">
        <v>9</v>
      </c>
      <c r="E3329" s="3" t="s">
        <v>10052</v>
      </c>
      <c r="F3329" s="3" t="str">
        <f>"317-200-2941"</f>
        <v>317-200-2941</v>
      </c>
      <c r="G3329" s="3">
        <v>561720</v>
      </c>
      <c r="H3329" s="3" t="s">
        <v>222</v>
      </c>
    </row>
    <row r="3330" spans="1:8" ht="39" x14ac:dyDescent="0.25">
      <c r="A3330" s="3" t="s">
        <v>10053</v>
      </c>
      <c r="B3330" s="3"/>
      <c r="C3330" s="3" t="str">
        <f>"Finish grading, seed &amp; straw, sod, restoration, cleanup, parking lot sweeping, light excavating."</f>
        <v>Finish grading, seed &amp; straw, sod, restoration, cleanup, parking lot sweeping, light excavating.</v>
      </c>
      <c r="D3330" s="3" t="s">
        <v>9</v>
      </c>
      <c r="E3330" s="3" t="s">
        <v>10054</v>
      </c>
      <c r="F3330" s="3" t="str">
        <f>"812-284-2855"</f>
        <v>812-284-2855</v>
      </c>
      <c r="G3330" s="3">
        <v>238910</v>
      </c>
      <c r="H3330" s="3" t="s">
        <v>886</v>
      </c>
    </row>
    <row r="3331" spans="1:8" ht="243" x14ac:dyDescent="0.25">
      <c r="A3331" s="3" t="s">
        <v>10055</v>
      </c>
      <c r="B3331" s="3"/>
      <c r="C3331" s="3" t="s">
        <v>10056</v>
      </c>
      <c r="D3331" s="3" t="s">
        <v>10057</v>
      </c>
      <c r="E3331" s="3" t="s">
        <v>10058</v>
      </c>
      <c r="F3331" s="3" t="str">
        <f>"812-372-3493"</f>
        <v>812-372-3493</v>
      </c>
      <c r="G3331" s="3">
        <v>4238</v>
      </c>
      <c r="H3331" s="3" t="s">
        <v>1565</v>
      </c>
    </row>
    <row r="3332" spans="1:8" ht="102.75" x14ac:dyDescent="0.25">
      <c r="A3332" s="3" t="s">
        <v>10059</v>
      </c>
      <c r="B3332" s="3"/>
      <c r="C3332" s="3" t="s">
        <v>10060</v>
      </c>
      <c r="D3332" s="3" t="s">
        <v>10061</v>
      </c>
      <c r="E3332" s="3" t="s">
        <v>46</v>
      </c>
      <c r="F3332" s="3" t="str">
        <f>"317-639-1551"</f>
        <v>317-639-1551</v>
      </c>
      <c r="G3332" s="3">
        <v>425120</v>
      </c>
      <c r="H3332" s="3" t="s">
        <v>58</v>
      </c>
    </row>
    <row r="3333" spans="1:8" ht="77.25" x14ac:dyDescent="0.25">
      <c r="A3333" s="3" t="s">
        <v>10062</v>
      </c>
      <c r="B3333" s="3"/>
      <c r="C3333" s="3" t="str">
        <f>"Design, installation and maintenance of water features. Full service water garden supplier of pumps, liners, plants and fish. Retail and wholesale sales, winter storage services and year round maintenance and repair service."</f>
        <v>Design, installation and maintenance of water features. Full service water garden supplier of pumps, liners, plants and fish. Retail and wholesale sales, winter storage services and year round maintenance and repair service.</v>
      </c>
      <c r="D3333" s="3" t="s">
        <v>10063</v>
      </c>
      <c r="E3333" s="3" t="s">
        <v>10064</v>
      </c>
      <c r="F3333" s="3" t="str">
        <f>"260 580 7663"</f>
        <v>260 580 7663</v>
      </c>
      <c r="G3333" s="3">
        <v>561730</v>
      </c>
      <c r="H3333" s="3" t="s">
        <v>65</v>
      </c>
    </row>
    <row r="3334" spans="1:8" ht="26.25" x14ac:dyDescent="0.25">
      <c r="A3334" s="3" t="s">
        <v>10065</v>
      </c>
      <c r="B3334" s="3"/>
      <c r="C3334" s="3" t="str">
        <f>"Complete Automotive Repair"</f>
        <v>Complete Automotive Repair</v>
      </c>
      <c r="D3334" s="3" t="s">
        <v>9</v>
      </c>
      <c r="E3334" s="3" t="s">
        <v>10066</v>
      </c>
      <c r="F3334" s="3" t="str">
        <f>"812-232-8633"</f>
        <v>812-232-8633</v>
      </c>
      <c r="G3334" s="3">
        <v>811</v>
      </c>
      <c r="H3334" s="3" t="s">
        <v>816</v>
      </c>
    </row>
    <row r="3335" spans="1:8" ht="64.5" x14ac:dyDescent="0.25">
      <c r="A3335" s="3" t="s">
        <v>10067</v>
      </c>
      <c r="B3335" s="3"/>
      <c r="C3335" s="3" t="str">
        <f>"Marketing consulting services; 25+ years of experience; direct mail advertising; video production; web development training; leadership development; corporate events development and facilitation"</f>
        <v>Marketing consulting services; 25+ years of experience; direct mail advertising; video production; web development training; leadership development; corporate events development and facilitation</v>
      </c>
      <c r="D3335" s="3" t="s">
        <v>10068</v>
      </c>
      <c r="E3335" s="3" t="s">
        <v>10069</v>
      </c>
      <c r="F3335" s="3" t="str">
        <f>"812-464-5244"</f>
        <v>812-464-5244</v>
      </c>
      <c r="G3335" s="3">
        <v>541613</v>
      </c>
      <c r="H3335" s="3" t="s">
        <v>558</v>
      </c>
    </row>
    <row r="3336" spans="1:8" ht="39" x14ac:dyDescent="0.25">
      <c r="A3336" s="3" t="s">
        <v>10070</v>
      </c>
      <c r="B3336" s="3"/>
      <c r="C3336" s="3" t="str">
        <f>"Marketing consulting and business development, specializing in sponsorships and events."</f>
        <v>Marketing consulting and business development, specializing in sponsorships and events.</v>
      </c>
      <c r="D3336" s="3" t="s">
        <v>10071</v>
      </c>
      <c r="E3336" s="3" t="s">
        <v>10072</v>
      </c>
      <c r="F3336" s="3" t="str">
        <f>"3176145835"</f>
        <v>3176145835</v>
      </c>
      <c r="G3336" s="3">
        <v>541613</v>
      </c>
      <c r="H3336" s="3" t="s">
        <v>558</v>
      </c>
    </row>
    <row r="3337" spans="1:8" ht="141" x14ac:dyDescent="0.25">
      <c r="A3337" s="3" t="s">
        <v>10073</v>
      </c>
      <c r="B3337" s="3"/>
      <c r="C3337" s="3" t="s">
        <v>10074</v>
      </c>
      <c r="D3337" s="3" t="s">
        <v>10075</v>
      </c>
      <c r="E3337" s="3" t="s">
        <v>10076</v>
      </c>
      <c r="F3337" s="3" t="str">
        <f>"219-944-0956"</f>
        <v>219-944-0956</v>
      </c>
      <c r="G3337" s="3">
        <v>541890</v>
      </c>
      <c r="H3337" s="3" t="s">
        <v>401</v>
      </c>
    </row>
    <row r="3338" spans="1:8" ht="141" x14ac:dyDescent="0.25">
      <c r="A3338" s="3" t="s">
        <v>10077</v>
      </c>
      <c r="B3338" s="3"/>
      <c r="C3338" s="3" t="s">
        <v>10078</v>
      </c>
      <c r="D3338" s="3" t="s">
        <v>10079</v>
      </c>
      <c r="E3338" s="3" t="s">
        <v>46</v>
      </c>
      <c r="F3338" s="3" t="str">
        <f>"317.879.9592"</f>
        <v>317.879.9592</v>
      </c>
      <c r="G3338" s="3">
        <v>541810</v>
      </c>
      <c r="H3338" s="3" t="s">
        <v>976</v>
      </c>
    </row>
    <row r="3339" spans="1:8" ht="64.5" x14ac:dyDescent="0.25">
      <c r="A3339" s="3" t="s">
        <v>10080</v>
      </c>
      <c r="B3339" s="3"/>
      <c r="C3339" s="3" t="str">
        <f>"Firebelly Marketing is an internet marketing firm specializing in website development, social media, email marketing, content development including writing, photography and video."</f>
        <v>Firebelly Marketing is an internet marketing firm specializing in website development, social media, email marketing, content development including writing, photography and video.</v>
      </c>
      <c r="D3339" s="3" t="s">
        <v>10081</v>
      </c>
      <c r="E3339" s="3" t="s">
        <v>10082</v>
      </c>
      <c r="F3339" s="3" t="str">
        <f>"3175574460"</f>
        <v>3175574460</v>
      </c>
      <c r="G3339" s="3">
        <v>541613</v>
      </c>
      <c r="H3339" s="3" t="s">
        <v>558</v>
      </c>
    </row>
    <row r="3340" spans="1:8" ht="64.5" x14ac:dyDescent="0.25">
      <c r="A3340" s="3" t="s">
        <v>10083</v>
      </c>
      <c r="B3340" s="3"/>
      <c r="C3340" s="3" t="str">
        <f>"We are a small fire protection company specializing in the installation, repair and maintenance of sprinkler systems. We look foward to providing a quality service you can rely on"</f>
        <v>We are a small fire protection company specializing in the installation, repair and maintenance of sprinkler systems. We look foward to providing a quality service you can rely on</v>
      </c>
      <c r="D3340" s="3" t="s">
        <v>9</v>
      </c>
      <c r="E3340" s="3" t="s">
        <v>10084</v>
      </c>
      <c r="F3340" s="3" t="str">
        <f>"812-537-0050"</f>
        <v>812-537-0050</v>
      </c>
      <c r="G3340" s="3">
        <v>92216</v>
      </c>
      <c r="H3340" s="3" t="s">
        <v>2246</v>
      </c>
    </row>
    <row r="3341" spans="1:8" ht="141" x14ac:dyDescent="0.25">
      <c r="A3341" s="3" t="s">
        <v>10085</v>
      </c>
      <c r="B3341" s="3"/>
      <c r="C3341" s="3" t="s">
        <v>10086</v>
      </c>
      <c r="D3341" s="3" t="s">
        <v>10087</v>
      </c>
      <c r="E3341" s="3" t="s">
        <v>10088</v>
      </c>
      <c r="F3341" s="3" t="str">
        <f>"219 921 1138"</f>
        <v>219 921 1138</v>
      </c>
      <c r="G3341" s="3">
        <v>611430</v>
      </c>
      <c r="H3341" s="3" t="s">
        <v>1224</v>
      </c>
    </row>
    <row r="3342" spans="1:8" ht="26.25" x14ac:dyDescent="0.25">
      <c r="A3342" s="3" t="s">
        <v>10089</v>
      </c>
      <c r="B3342" s="3"/>
      <c r="C3342" s="3" t="str">
        <f>" "</f>
        <v xml:space="preserve"> </v>
      </c>
      <c r="D3342" s="3" t="s">
        <v>10090</v>
      </c>
      <c r="E3342" s="3" t="s">
        <v>46</v>
      </c>
      <c r="F3342" s="3" t="str">
        <f>"800-321-4473"</f>
        <v>800-321-4473</v>
      </c>
      <c r="G3342" s="3">
        <v>541611</v>
      </c>
      <c r="H3342" s="3" t="s">
        <v>278</v>
      </c>
    </row>
    <row r="3343" spans="1:8" ht="51.75" x14ac:dyDescent="0.25">
      <c r="A3343" s="3" t="s">
        <v>10091</v>
      </c>
      <c r="B3343" s="3"/>
      <c r="C3343" s="3" t="str">
        <f>"Our services include commercial, residential, and right or way appraising and consulting. We mainly work in central and southern Indiana."</f>
        <v>Our services include commercial, residential, and right or way appraising and consulting. We mainly work in central and southern Indiana.</v>
      </c>
      <c r="D3343" s="3" t="s">
        <v>10092</v>
      </c>
      <c r="E3343" s="3" t="s">
        <v>10093</v>
      </c>
      <c r="F3343" s="3" t="str">
        <f>"8123370772"</f>
        <v>8123370772</v>
      </c>
      <c r="G3343" s="3">
        <v>531320</v>
      </c>
      <c r="H3343" s="3" t="s">
        <v>34</v>
      </c>
    </row>
    <row r="3344" spans="1:8" ht="26.25" x14ac:dyDescent="0.25">
      <c r="A3344" s="3" t="s">
        <v>10094</v>
      </c>
      <c r="B3344" s="3"/>
      <c r="C3344" s="3" t="str">
        <f>" "</f>
        <v xml:space="preserve"> </v>
      </c>
      <c r="D3344" s="3" t="s">
        <v>9</v>
      </c>
      <c r="E3344" s="3" t="s">
        <v>46</v>
      </c>
      <c r="F3344" s="3" t="str">
        <f>"260-483-5100"</f>
        <v>260-483-5100</v>
      </c>
      <c r="G3344" s="3">
        <v>484121</v>
      </c>
      <c r="H3344" s="3" t="s">
        <v>342</v>
      </c>
    </row>
    <row r="3345" spans="1:8" ht="39" x14ac:dyDescent="0.25">
      <c r="A3345" s="3" t="s">
        <v>10095</v>
      </c>
      <c r="B3345" s="3"/>
      <c r="C3345" s="2"/>
      <c r="D3345" s="3" t="s">
        <v>9</v>
      </c>
      <c r="E3345" s="3" t="s">
        <v>46</v>
      </c>
      <c r="F3345" s="2"/>
      <c r="G3345" s="3">
        <v>42361</v>
      </c>
      <c r="H3345" s="3" t="s">
        <v>2414</v>
      </c>
    </row>
    <row r="3346" spans="1:8" ht="51.75" x14ac:dyDescent="0.25">
      <c r="A3346" s="3" t="s">
        <v>10096</v>
      </c>
      <c r="B3346" s="3"/>
      <c r="C3346" s="3" t="str">
        <f>"First Group Engineering was established in 1986 as a professional engineering organization actively engaged in civil engineering consulting services."</f>
        <v>First Group Engineering was established in 1986 as a professional engineering organization actively engaged in civil engineering consulting services.</v>
      </c>
      <c r="D3346" s="3" t="s">
        <v>9</v>
      </c>
      <c r="E3346" s="3" t="s">
        <v>46</v>
      </c>
      <c r="F3346" s="3" t="str">
        <f>"317-290-9549"</f>
        <v>317-290-9549</v>
      </c>
      <c r="G3346" s="3">
        <v>541330</v>
      </c>
      <c r="H3346" s="3" t="s">
        <v>82</v>
      </c>
    </row>
    <row r="3347" spans="1:8" ht="39" x14ac:dyDescent="0.25">
      <c r="A3347" s="3" t="s">
        <v>10097</v>
      </c>
      <c r="B3347" s="3"/>
      <c r="C3347" s="3" t="str">
        <f>"We are a retailer/wholesaler/upfitter of vehicle emergency lighting and vehicle equipment."</f>
        <v>We are a retailer/wholesaler/upfitter of vehicle emergency lighting and vehicle equipment.</v>
      </c>
      <c r="D3347" s="3" t="s">
        <v>10098</v>
      </c>
      <c r="E3347" s="3" t="s">
        <v>10099</v>
      </c>
      <c r="F3347" s="3" t="str">
        <f>"7657543473"</f>
        <v>7657543473</v>
      </c>
      <c r="G3347" s="3">
        <v>811118</v>
      </c>
      <c r="H3347" s="3" t="s">
        <v>7678</v>
      </c>
    </row>
    <row r="3348" spans="1:8" ht="179.25" x14ac:dyDescent="0.25">
      <c r="A3348" s="3" t="s">
        <v>10100</v>
      </c>
      <c r="B3348" s="3"/>
      <c r="C3348" s="3" t="s">
        <v>10101</v>
      </c>
      <c r="D3348" s="3" t="s">
        <v>10102</v>
      </c>
      <c r="E3348" s="3" t="s">
        <v>10103</v>
      </c>
      <c r="F3348" s="3" t="str">
        <f>"773.809.3199"</f>
        <v>773.809.3199</v>
      </c>
      <c r="G3348" s="3">
        <v>541612</v>
      </c>
      <c r="H3348" s="3" t="s">
        <v>1923</v>
      </c>
    </row>
    <row r="3349" spans="1:8" ht="51.75" x14ac:dyDescent="0.25">
      <c r="A3349" s="3" t="s">
        <v>10104</v>
      </c>
      <c r="B3349" s="3"/>
      <c r="C3349" s="3" t="str">
        <f>"BUILDING AND FACILITY CONSTRUCTION MANAGEMENT AND MAINTENANCE, ENERGY CONSEVATION, ECONOMIC EVALUATION OF FACILITIES, TRAINING,"</f>
        <v>BUILDING AND FACILITY CONSTRUCTION MANAGEMENT AND MAINTENANCE, ENERGY CONSEVATION, ECONOMIC EVALUATION OF FACILITIES, TRAINING,</v>
      </c>
      <c r="D3349" s="3" t="s">
        <v>9</v>
      </c>
      <c r="E3349" s="3" t="s">
        <v>10105</v>
      </c>
      <c r="F3349" s="3" t="str">
        <f>"3172513007"</f>
        <v>3172513007</v>
      </c>
      <c r="G3349" s="3">
        <v>2362</v>
      </c>
      <c r="H3349" s="3" t="s">
        <v>423</v>
      </c>
    </row>
    <row r="3350" spans="1:8" ht="26.25" x14ac:dyDescent="0.25">
      <c r="A3350" s="3" t="s">
        <v>10106</v>
      </c>
      <c r="B3350" s="3"/>
      <c r="C3350" s="3" t="str">
        <f>" "</f>
        <v xml:space="preserve"> </v>
      </c>
      <c r="D3350" s="3" t="s">
        <v>9</v>
      </c>
      <c r="E3350" s="3" t="s">
        <v>46</v>
      </c>
      <c r="F3350" s="2"/>
      <c r="G3350" s="3">
        <v>531110</v>
      </c>
      <c r="H3350" s="3" t="s">
        <v>1311</v>
      </c>
    </row>
    <row r="3351" spans="1:8" ht="26.25" x14ac:dyDescent="0.25">
      <c r="A3351" s="3" t="s">
        <v>10107</v>
      </c>
      <c r="B3351" s="3"/>
      <c r="C3351" s="3" t="str">
        <f>"Print and print mangment, volume copy work \\ envelope printing"</f>
        <v>Print and print mangment, volume copy work \\ envelope printing</v>
      </c>
      <c r="D3351" s="3" t="s">
        <v>10108</v>
      </c>
      <c r="E3351" s="3" t="s">
        <v>10109</v>
      </c>
      <c r="F3351" s="3" t="str">
        <f>"317-255-9787"</f>
        <v>317-255-9787</v>
      </c>
      <c r="G3351" s="3">
        <v>323114</v>
      </c>
      <c r="H3351" s="3" t="s">
        <v>1068</v>
      </c>
    </row>
    <row r="3352" spans="1:8" ht="51.75" x14ac:dyDescent="0.25">
      <c r="A3352" s="3" t="s">
        <v>10110</v>
      </c>
      <c r="B3352" s="3"/>
      <c r="C3352" s="3" t="str">
        <f>"We are a full service water mitigation and restoration business. Further, we are certified in mold removal and mitigation and lead contractor."</f>
        <v>We are a full service water mitigation and restoration business. Further, we are certified in mold removal and mitigation and lead contractor.</v>
      </c>
      <c r="D3352" s="3" t="s">
        <v>10111</v>
      </c>
      <c r="E3352" s="3" t="s">
        <v>10112</v>
      </c>
      <c r="F3352" s="3" t="str">
        <f>"317-831-3108"</f>
        <v>317-831-3108</v>
      </c>
      <c r="G3352" s="3">
        <v>23599</v>
      </c>
      <c r="H3352" s="3" t="s">
        <v>248</v>
      </c>
    </row>
    <row r="3353" spans="1:8" ht="306.75" x14ac:dyDescent="0.25">
      <c r="A3353" s="3" t="s">
        <v>10113</v>
      </c>
      <c r="B3353" s="3"/>
      <c r="C3353" s="3" t="s">
        <v>10114</v>
      </c>
      <c r="D3353" s="3" t="s">
        <v>10115</v>
      </c>
      <c r="E3353" s="3" t="s">
        <v>10116</v>
      </c>
      <c r="F3353" s="3" t="str">
        <f>"1-877-276-6721"</f>
        <v>1-877-276-6721</v>
      </c>
      <c r="G3353" s="3">
        <v>23</v>
      </c>
      <c r="H3353" s="3" t="s">
        <v>133</v>
      </c>
    </row>
    <row r="3354" spans="1:8" ht="115.5" x14ac:dyDescent="0.25">
      <c r="A3354" s="3" t="s">
        <v>10117</v>
      </c>
      <c r="B3354" s="3"/>
      <c r="C3354" s="3" t="s">
        <v>10118</v>
      </c>
      <c r="D3354" s="3" t="s">
        <v>9</v>
      </c>
      <c r="E3354" s="3" t="s">
        <v>10119</v>
      </c>
      <c r="F3354" s="3" t="str">
        <f>"812-425-1145"</f>
        <v>812-425-1145</v>
      </c>
      <c r="G3354" s="3">
        <v>445299</v>
      </c>
      <c r="H3354" s="3" t="s">
        <v>7899</v>
      </c>
    </row>
    <row r="3355" spans="1:8" ht="39" x14ac:dyDescent="0.25">
      <c r="A3355" s="3" t="s">
        <v>10120</v>
      </c>
      <c r="B3355" s="3"/>
      <c r="C3355" s="3" t="str">
        <f>"Concrete contractor including footings, slabs, exterior concrete for residential and commercial work, new and restoration"</f>
        <v>Concrete contractor including footings, slabs, exterior concrete for residential and commercial work, new and restoration</v>
      </c>
      <c r="D3355" s="3" t="s">
        <v>9</v>
      </c>
      <c r="E3355" s="3" t="s">
        <v>10121</v>
      </c>
      <c r="F3355" s="3" t="str">
        <f>"317 897-5137"</f>
        <v>317 897-5137</v>
      </c>
      <c r="G3355" s="3">
        <v>23571</v>
      </c>
      <c r="H3355" s="3" t="s">
        <v>576</v>
      </c>
    </row>
    <row r="3356" spans="1:8" ht="90" x14ac:dyDescent="0.25">
      <c r="A3356" s="3" t="s">
        <v>10122</v>
      </c>
      <c r="B3356" s="3"/>
      <c r="C3356" s="3" t="str">
        <f>"Fischer Trucking is a truckload transportation provider specializing in the transportation of electronics and high value special commodities. We are equipped to provide a premium 48 state transportation service with air-ride and blanket wrap capabilities."</f>
        <v>Fischer Trucking is a truckload transportation provider specializing in the transportation of electronics and high value special commodities. We are equipped to provide a premium 48 state transportation service with air-ride and blanket wrap capabilities.</v>
      </c>
      <c r="D3356" s="3" t="s">
        <v>9</v>
      </c>
      <c r="E3356" s="3" t="s">
        <v>10123</v>
      </c>
      <c r="F3356" s="3" t="str">
        <f>"260-429-1500"</f>
        <v>260-429-1500</v>
      </c>
      <c r="G3356" s="3">
        <v>484230</v>
      </c>
      <c r="H3356" s="3" t="s">
        <v>4666</v>
      </c>
    </row>
    <row r="3357" spans="1:8" ht="128.25" x14ac:dyDescent="0.25">
      <c r="A3357" s="3" t="s">
        <v>10124</v>
      </c>
      <c r="B3357" s="3"/>
      <c r="C3357" s="3" t="s">
        <v>10125</v>
      </c>
      <c r="D3357" s="3" t="s">
        <v>10126</v>
      </c>
      <c r="E3357" s="3" t="s">
        <v>10127</v>
      </c>
      <c r="F3357" s="3" t="str">
        <f>"317-374-5158"</f>
        <v>317-374-5158</v>
      </c>
      <c r="G3357" s="3">
        <v>541511</v>
      </c>
      <c r="H3357" s="3" t="s">
        <v>122</v>
      </c>
    </row>
    <row r="3358" spans="1:8" ht="166.5" x14ac:dyDescent="0.25">
      <c r="A3358" s="3" t="s">
        <v>10128</v>
      </c>
      <c r="B3358" s="3"/>
      <c r="C3358" s="3" t="s">
        <v>10129</v>
      </c>
      <c r="D3358" s="3" t="s">
        <v>10130</v>
      </c>
      <c r="E3358" s="3" t="s">
        <v>10131</v>
      </c>
      <c r="F3358" s="3" t="str">
        <f>"765-427-1966"</f>
        <v>765-427-1966</v>
      </c>
      <c r="G3358" s="3">
        <v>541613</v>
      </c>
      <c r="H3358" s="3" t="s">
        <v>558</v>
      </c>
    </row>
    <row r="3359" spans="1:8" ht="204.75" x14ac:dyDescent="0.25">
      <c r="A3359" s="3" t="s">
        <v>10132</v>
      </c>
      <c r="B3359" s="3"/>
      <c r="C3359" s="3" t="s">
        <v>10133</v>
      </c>
      <c r="D3359" s="3" t="s">
        <v>10134</v>
      </c>
      <c r="E3359" s="3" t="s">
        <v>10135</v>
      </c>
      <c r="F3359" s="3" t="str">
        <f>"800-280-1179"</f>
        <v>800-280-1179</v>
      </c>
      <c r="G3359" s="3">
        <v>541211</v>
      </c>
      <c r="H3359" s="3" t="s">
        <v>337</v>
      </c>
    </row>
    <row r="3360" spans="1:8" ht="128.25" x14ac:dyDescent="0.25">
      <c r="A3360" s="3" t="s">
        <v>10136</v>
      </c>
      <c r="B3360" s="3"/>
      <c r="C3360" s="3" t="s">
        <v>10137</v>
      </c>
      <c r="D3360" s="3" t="s">
        <v>9</v>
      </c>
      <c r="E3360" s="3" t="s">
        <v>10138</v>
      </c>
      <c r="F3360" s="3" t="str">
        <f>"317-294-2482"</f>
        <v>317-294-2482</v>
      </c>
      <c r="G3360" s="3">
        <v>812990</v>
      </c>
      <c r="H3360" s="3" t="s">
        <v>294</v>
      </c>
    </row>
    <row r="3361" spans="1:8" ht="64.5" x14ac:dyDescent="0.25">
      <c r="A3361" s="3" t="s">
        <v>10139</v>
      </c>
      <c r="B3361" s="3"/>
      <c r="C3361" s="3" t="str">
        <f>"We provide new and used strength and cardiovascular equipment for exercise. Most of our products are of industrial strength and are suitable for heavy use settings."</f>
        <v>We provide new and used strength and cardiovascular equipment for exercise. Most of our products are of industrial strength and are suitable for heavy use settings.</v>
      </c>
      <c r="D3361" s="3" t="s">
        <v>10140</v>
      </c>
      <c r="E3361" s="3" t="s">
        <v>10141</v>
      </c>
      <c r="F3361" s="3" t="str">
        <f>"8122731543"</f>
        <v>8122731543</v>
      </c>
      <c r="G3361" s="3">
        <v>451110</v>
      </c>
      <c r="H3361" s="3" t="s">
        <v>3110</v>
      </c>
    </row>
    <row r="3362" spans="1:8" ht="141" x14ac:dyDescent="0.25">
      <c r="A3362" s="3" t="s">
        <v>10142</v>
      </c>
      <c r="B3362" s="3"/>
      <c r="C3362" s="3" t="s">
        <v>10143</v>
      </c>
      <c r="D3362" s="3" t="s">
        <v>10144</v>
      </c>
      <c r="E3362" s="3" t="s">
        <v>10145</v>
      </c>
      <c r="F3362" s="3" t="str">
        <f>"812-285-1943"</f>
        <v>812-285-1943</v>
      </c>
      <c r="G3362" s="3">
        <v>62111</v>
      </c>
      <c r="H3362" s="3" t="s">
        <v>9843</v>
      </c>
    </row>
    <row r="3363" spans="1:8" ht="39" x14ac:dyDescent="0.25">
      <c r="A3363" s="3" t="s">
        <v>10146</v>
      </c>
      <c r="B3363" s="3"/>
      <c r="C3363" s="3" t="str">
        <f>"sales of nutritional supplements, personal fitness training, childrens fitness, nutrition and exercise classes."</f>
        <v>sales of nutritional supplements, personal fitness training, childrens fitness, nutrition and exercise classes.</v>
      </c>
      <c r="D3363" s="3" t="s">
        <v>10147</v>
      </c>
      <c r="E3363" s="3" t="s">
        <v>10148</v>
      </c>
      <c r="F3363" s="3" t="str">
        <f>"219-775-0026"</f>
        <v>219-775-0026</v>
      </c>
      <c r="G3363" s="3">
        <v>713940</v>
      </c>
      <c r="H3363" s="3" t="s">
        <v>1471</v>
      </c>
    </row>
    <row r="3364" spans="1:8" ht="26.25" x14ac:dyDescent="0.25">
      <c r="A3364" s="3" t="s">
        <v>10149</v>
      </c>
      <c r="B3364" s="3"/>
      <c r="C3364" s="3" t="str">
        <f>"Commercial Construction and Maintenance"</f>
        <v>Commercial Construction and Maintenance</v>
      </c>
      <c r="D3364" s="3" t="s">
        <v>9</v>
      </c>
      <c r="E3364" s="3" t="s">
        <v>46</v>
      </c>
      <c r="F3364" s="3" t="str">
        <f>"317-786-8061"</f>
        <v>317-786-8061</v>
      </c>
      <c r="G3364" s="3">
        <v>23622</v>
      </c>
      <c r="H3364" s="3" t="s">
        <v>598</v>
      </c>
    </row>
    <row r="3365" spans="1:8" ht="115.5" x14ac:dyDescent="0.25">
      <c r="A3365" s="3" t="s">
        <v>10150</v>
      </c>
      <c r="B3365" s="3"/>
      <c r="C3365" s="3" t="s">
        <v>10151</v>
      </c>
      <c r="D3365" s="3" t="s">
        <v>9</v>
      </c>
      <c r="E3365" s="3" t="s">
        <v>10152</v>
      </c>
      <c r="F3365" s="3" t="str">
        <f>"219-928-3472"</f>
        <v>219-928-3472</v>
      </c>
      <c r="G3365" s="3">
        <v>561730</v>
      </c>
      <c r="H3365" s="3" t="s">
        <v>65</v>
      </c>
    </row>
    <row r="3366" spans="1:8" ht="51.75" x14ac:dyDescent="0.25">
      <c r="A3366" s="3" t="s">
        <v>10153</v>
      </c>
      <c r="B3366" s="3"/>
      <c r="C3366" s="3" t="str">
        <f>"Fitzgerald Forestry specializes in nursery stock tree planting. Much of this planting is for federally funded reforestation and watershed protection projects."</f>
        <v>Fitzgerald Forestry specializes in nursery stock tree planting. Much of this planting is for federally funded reforestation and watershed protection projects.</v>
      </c>
      <c r="D3366" s="3" t="s">
        <v>9</v>
      </c>
      <c r="E3366" s="3" t="s">
        <v>10154</v>
      </c>
      <c r="F3366" s="3" t="str">
        <f>"8123690007"</f>
        <v>8123690007</v>
      </c>
      <c r="G3366" s="3">
        <v>115310</v>
      </c>
      <c r="H3366" s="3" t="s">
        <v>2505</v>
      </c>
    </row>
    <row r="3367" spans="1:8" ht="319.5" x14ac:dyDescent="0.25">
      <c r="A3367" s="3" t="s">
        <v>10155</v>
      </c>
      <c r="B3367" s="3"/>
      <c r="C3367" s="3" t="s">
        <v>10156</v>
      </c>
      <c r="D3367" s="3" t="s">
        <v>10157</v>
      </c>
      <c r="E3367" s="3" t="s">
        <v>10158</v>
      </c>
      <c r="F3367" s="3" t="str">
        <f>"317-844-8300"</f>
        <v>317-844-8300</v>
      </c>
      <c r="G3367" s="3">
        <v>541211</v>
      </c>
      <c r="H3367" s="3" t="s">
        <v>337</v>
      </c>
    </row>
    <row r="3368" spans="1:8" ht="39" x14ac:dyDescent="0.25">
      <c r="A3368" s="3" t="s">
        <v>10159</v>
      </c>
      <c r="B3368" s="3"/>
      <c r="C3368" s="3" t="str">
        <f>"Retail establishment providing engraved signage, tags, plates, name badges,trophies, plaques and awards"</f>
        <v>Retail establishment providing engraved signage, tags, plates, name badges,trophies, plaques and awards</v>
      </c>
      <c r="D3368" s="3" t="s">
        <v>10160</v>
      </c>
      <c r="E3368" s="3" t="s">
        <v>10161</v>
      </c>
      <c r="F3368" s="3" t="str">
        <f>"219-477-5656"</f>
        <v>219-477-5656</v>
      </c>
      <c r="G3368" s="3">
        <v>453998</v>
      </c>
      <c r="H3368" s="3" t="s">
        <v>112</v>
      </c>
    </row>
    <row r="3369" spans="1:8" x14ac:dyDescent="0.25">
      <c r="A3369" s="3" t="s">
        <v>10162</v>
      </c>
      <c r="B3369" s="3"/>
      <c r="C3369" s="3" t="str">
        <f>"Auto and Truck Repair Specialist"</f>
        <v>Auto and Truck Repair Specialist</v>
      </c>
      <c r="D3369" s="3" t="s">
        <v>9</v>
      </c>
      <c r="E3369" s="3" t="s">
        <v>10163</v>
      </c>
      <c r="F3369" s="2"/>
      <c r="G3369" s="3">
        <v>811111</v>
      </c>
      <c r="H3369" s="3" t="s">
        <v>2383</v>
      </c>
    </row>
    <row r="3370" spans="1:8" ht="281.25" x14ac:dyDescent="0.25">
      <c r="A3370" s="3" t="s">
        <v>10164</v>
      </c>
      <c r="B3370" s="3"/>
      <c r="C3370" s="3" t="s">
        <v>10165</v>
      </c>
      <c r="D3370" s="3" t="s">
        <v>9</v>
      </c>
      <c r="E3370" s="3" t="s">
        <v>10166</v>
      </c>
      <c r="F3370" s="3" t="str">
        <f>"317-223-5114"</f>
        <v>317-223-5114</v>
      </c>
      <c r="G3370" s="3">
        <v>444190</v>
      </c>
      <c r="H3370" s="3" t="s">
        <v>1188</v>
      </c>
    </row>
    <row r="3371" spans="1:8" ht="306.75" x14ac:dyDescent="0.25">
      <c r="A3371" s="3" t="s">
        <v>10167</v>
      </c>
      <c r="B3371" s="3"/>
      <c r="C3371" s="3" t="s">
        <v>10168</v>
      </c>
      <c r="D3371" s="3" t="s">
        <v>10169</v>
      </c>
      <c r="E3371" s="3" t="s">
        <v>10170</v>
      </c>
      <c r="F3371" s="3" t="str">
        <f>"8888113736"</f>
        <v>8888113736</v>
      </c>
      <c r="G3371" s="3">
        <v>238160</v>
      </c>
      <c r="H3371" s="3" t="s">
        <v>144</v>
      </c>
    </row>
    <row r="3372" spans="1:8" ht="26.25" x14ac:dyDescent="0.25">
      <c r="A3372" s="3" t="s">
        <v>10171</v>
      </c>
      <c r="B3372" s="3"/>
      <c r="C3372" s="3" t="str">
        <f>"Professional, chauffeured transportation."</f>
        <v>Professional, chauffeured transportation.</v>
      </c>
      <c r="D3372" s="3" t="s">
        <v>10172</v>
      </c>
      <c r="E3372" s="3" t="s">
        <v>10173</v>
      </c>
      <c r="F3372" s="3" t="str">
        <f>"3174849880"</f>
        <v>3174849880</v>
      </c>
      <c r="G3372" s="3">
        <v>485320</v>
      </c>
      <c r="H3372" s="3" t="s">
        <v>3750</v>
      </c>
    </row>
    <row r="3373" spans="1:8" ht="39" x14ac:dyDescent="0.25">
      <c r="A3373" s="3" t="s">
        <v>10174</v>
      </c>
      <c r="B3373" s="3"/>
      <c r="C3373" s="3" t="str">
        <f>"Five Star Travel is a full service travel agency specializing in vacation packages, cruises, and international travel."</f>
        <v>Five Star Travel is a full service travel agency specializing in vacation packages, cruises, and international travel.</v>
      </c>
      <c r="D3373" s="3" t="s">
        <v>9</v>
      </c>
      <c r="E3373" s="3" t="s">
        <v>46</v>
      </c>
      <c r="F3373" s="3" t="str">
        <f>"8122344463"</f>
        <v>8122344463</v>
      </c>
      <c r="G3373" s="3">
        <v>56151</v>
      </c>
      <c r="H3373" s="3" t="s">
        <v>288</v>
      </c>
    </row>
    <row r="3374" spans="1:8" ht="26.25" x14ac:dyDescent="0.25">
      <c r="A3374" s="3" t="s">
        <v>10175</v>
      </c>
      <c r="B3374" s="3"/>
      <c r="C3374" s="3" t="str">
        <f>"Technology Consulting &amp; Services"</f>
        <v>Technology Consulting &amp; Services</v>
      </c>
      <c r="D3374" s="3" t="s">
        <v>10176</v>
      </c>
      <c r="E3374" s="3" t="s">
        <v>10177</v>
      </c>
      <c r="F3374" s="3" t="str">
        <f>"812-246-5257"</f>
        <v>812-246-5257</v>
      </c>
      <c r="G3374" s="3">
        <v>541512</v>
      </c>
      <c r="H3374" s="3" t="s">
        <v>19</v>
      </c>
    </row>
    <row r="3375" spans="1:8" ht="102.75" x14ac:dyDescent="0.25">
      <c r="A3375" s="3" t="s">
        <v>10178</v>
      </c>
      <c r="B3375" s="3"/>
      <c r="C3375" s="3" t="s">
        <v>10179</v>
      </c>
      <c r="D3375" s="3" t="s">
        <v>10180</v>
      </c>
      <c r="E3375" s="3" t="s">
        <v>10181</v>
      </c>
      <c r="F3375" s="3" t="str">
        <f>"317-514-3928"</f>
        <v>317-514-3928</v>
      </c>
      <c r="G3375" s="3">
        <v>315999</v>
      </c>
      <c r="H3375" s="3" t="s">
        <v>4357</v>
      </c>
    </row>
    <row r="3376" spans="1:8" ht="39" x14ac:dyDescent="0.25">
      <c r="A3376" s="3" t="s">
        <v>10182</v>
      </c>
      <c r="B3376" s="3"/>
      <c r="C3376" s="3" t="str">
        <f>"We offer flags and accessories. American Flag, USA Flag, State Flag, Indiana Flag, International Flags, Flag poles."</f>
        <v>We offer flags and accessories. American Flag, USA Flag, State Flag, Indiana Flag, International Flags, Flag poles.</v>
      </c>
      <c r="D3376" s="3" t="s">
        <v>9</v>
      </c>
      <c r="E3376" s="3" t="s">
        <v>10183</v>
      </c>
      <c r="F3376" s="3" t="str">
        <f>"812-618-7618"</f>
        <v>812-618-7618</v>
      </c>
      <c r="G3376" s="3">
        <v>453998</v>
      </c>
      <c r="H3376" s="3" t="s">
        <v>112</v>
      </c>
    </row>
    <row r="3377" spans="1:8" ht="39" x14ac:dyDescent="0.25">
      <c r="A3377" s="3" t="s">
        <v>10184</v>
      </c>
      <c r="B3377" s="3"/>
      <c r="C3377" s="3" t="str">
        <f>"Retail business that sells commercial and residential flags and flagpoles and accessories"</f>
        <v>Retail business that sells commercial and residential flags and flagpoles and accessories</v>
      </c>
      <c r="D3377" s="3" t="s">
        <v>9</v>
      </c>
      <c r="E3377" s="3" t="s">
        <v>10185</v>
      </c>
      <c r="F3377" s="3" t="str">
        <f>"812-339-8537"</f>
        <v>812-339-8537</v>
      </c>
      <c r="G3377" s="3">
        <v>454390</v>
      </c>
      <c r="H3377" s="3" t="s">
        <v>1348</v>
      </c>
    </row>
    <row r="3378" spans="1:8" ht="230.25" x14ac:dyDescent="0.25">
      <c r="A3378" s="3" t="s">
        <v>10186</v>
      </c>
      <c r="B3378" s="3"/>
      <c r="C3378" s="3" t="s">
        <v>10187</v>
      </c>
      <c r="D3378" s="3" t="s">
        <v>10188</v>
      </c>
      <c r="E3378" s="3" t="s">
        <v>10189</v>
      </c>
      <c r="F3378" s="3" t="str">
        <f>"8133302000"</f>
        <v>8133302000</v>
      </c>
      <c r="G3378" s="3">
        <v>541614</v>
      </c>
      <c r="H3378" s="3" t="s">
        <v>107</v>
      </c>
    </row>
    <row r="3379" spans="1:8" ht="153.75" x14ac:dyDescent="0.25">
      <c r="A3379" s="3" t="s">
        <v>10190</v>
      </c>
      <c r="B3379" s="3"/>
      <c r="C3379" s="3" t="s">
        <v>10191</v>
      </c>
      <c r="D3379" s="3" t="s">
        <v>10192</v>
      </c>
      <c r="E3379" s="3" t="s">
        <v>10193</v>
      </c>
      <c r="F3379" s="3" t="str">
        <f>"219-874-5600"</f>
        <v>219-874-5600</v>
      </c>
      <c r="G3379" s="3">
        <v>54151</v>
      </c>
      <c r="H3379" s="3" t="s">
        <v>188</v>
      </c>
    </row>
    <row r="3380" spans="1:8" ht="26.25" x14ac:dyDescent="0.25">
      <c r="A3380" s="3" t="s">
        <v>10194</v>
      </c>
      <c r="B3380" s="3"/>
      <c r="C3380" s="3" t="str">
        <f>" "</f>
        <v xml:space="preserve"> </v>
      </c>
      <c r="D3380" s="3" t="s">
        <v>9</v>
      </c>
      <c r="E3380" s="3" t="s">
        <v>46</v>
      </c>
      <c r="F3380" s="2"/>
      <c r="G3380" s="3">
        <v>44122</v>
      </c>
      <c r="H3380" s="3" t="s">
        <v>4211</v>
      </c>
    </row>
    <row r="3381" spans="1:8" ht="128.25" x14ac:dyDescent="0.25">
      <c r="A3381" s="3" t="s">
        <v>10195</v>
      </c>
      <c r="B3381" s="3"/>
      <c r="C3381" s="3" t="s">
        <v>10196</v>
      </c>
      <c r="D3381" s="3" t="s">
        <v>10197</v>
      </c>
      <c r="E3381" s="3" t="s">
        <v>10198</v>
      </c>
      <c r="F3381" s="3" t="str">
        <f>"317-229-3035"</f>
        <v>317-229-3035</v>
      </c>
      <c r="G3381" s="3">
        <v>541612</v>
      </c>
      <c r="H3381" s="3" t="s">
        <v>1923</v>
      </c>
    </row>
    <row r="3382" spans="1:8" ht="128.25" x14ac:dyDescent="0.25">
      <c r="A3382" s="3" t="s">
        <v>10199</v>
      </c>
      <c r="B3382" s="3"/>
      <c r="C3382" s="3" t="s">
        <v>10200</v>
      </c>
      <c r="D3382" s="3" t="s">
        <v>10201</v>
      </c>
      <c r="E3382" s="3" t="s">
        <v>10202</v>
      </c>
      <c r="F3382" s="3" t="str">
        <f>"219-714-7641"</f>
        <v>219-714-7641</v>
      </c>
      <c r="G3382" s="3">
        <v>45399</v>
      </c>
      <c r="H3382" s="3" t="s">
        <v>3215</v>
      </c>
    </row>
    <row r="3383" spans="1:8" ht="77.25" x14ac:dyDescent="0.25">
      <c r="A3383" s="3" t="s">
        <v>10199</v>
      </c>
      <c r="B3383" s="3"/>
      <c r="C3383" s="3" t="str">
        <f>"Flashlight Outlet is a wholesale distributor of quality professional lights and Pelican watertight cases. STREAMLIGHT - PELICAN - UNDERWATER KINETICS - NITECORE - FENIX -etc. Stop in our showroom on US Hwy. 30 in Valparaiso, IN"</f>
        <v>Flashlight Outlet is a wholesale distributor of quality professional lights and Pelican watertight cases. STREAMLIGHT - PELICAN - UNDERWATER KINETICS - NITECORE - FENIX -etc. Stop in our showroom on US Hwy. 30 in Valparaiso, IN</v>
      </c>
      <c r="D3383" s="3" t="s">
        <v>10203</v>
      </c>
      <c r="E3383" s="3" t="s">
        <v>10204</v>
      </c>
      <c r="F3383" s="3" t="str">
        <f>"219-714-7641"</f>
        <v>219-714-7641</v>
      </c>
      <c r="G3383" s="3">
        <v>423610</v>
      </c>
      <c r="H3383" s="3" t="s">
        <v>2414</v>
      </c>
    </row>
    <row r="3384" spans="1:8" ht="115.5" x14ac:dyDescent="0.25">
      <c r="A3384" s="3" t="s">
        <v>10205</v>
      </c>
      <c r="B3384" s="3"/>
      <c r="C3384" s="3" t="s">
        <v>10206</v>
      </c>
      <c r="D3384" s="3" t="s">
        <v>10207</v>
      </c>
      <c r="E3384" s="3" t="s">
        <v>10208</v>
      </c>
      <c r="F3384" s="3" t="str">
        <f>"765-525-5269"</f>
        <v>765-525-5269</v>
      </c>
      <c r="G3384" s="3">
        <v>337</v>
      </c>
      <c r="H3384" s="3" t="s">
        <v>6695</v>
      </c>
    </row>
    <row r="3385" spans="1:8" ht="39" x14ac:dyDescent="0.25">
      <c r="A3385" s="3" t="s">
        <v>10209</v>
      </c>
      <c r="B3385" s="3"/>
      <c r="C3385" s="3" t="str">
        <f>"Fleck Education Services builds pathways for students from high school graduation to college and career success."</f>
        <v>Fleck Education Services builds pathways for students from high school graduation to college and career success.</v>
      </c>
      <c r="D3385" s="3" t="s">
        <v>10210</v>
      </c>
      <c r="E3385" s="3" t="s">
        <v>10211</v>
      </c>
      <c r="F3385" s="3" t="str">
        <f>"317-748-0108"</f>
        <v>317-748-0108</v>
      </c>
      <c r="G3385" s="3">
        <v>611710</v>
      </c>
      <c r="H3385" s="3" t="s">
        <v>508</v>
      </c>
    </row>
    <row r="3386" spans="1:8" ht="64.5" x14ac:dyDescent="0.25">
      <c r="A3386" s="3" t="s">
        <v>10212</v>
      </c>
      <c r="B3386" s="3"/>
      <c r="C3386" s="3" t="str">
        <f>"Provides energy saving lighting solutions for Industrial, Commercial and Municipal customers. STEF also supplies Waste Water and Heat reclamation projects for Industrial Production facilities."</f>
        <v>Provides energy saving lighting solutions for Industrial, Commercial and Municipal customers. STEF also supplies Waste Water and Heat reclamation projects for Industrial Production facilities.</v>
      </c>
      <c r="D3386" s="3" t="s">
        <v>10213</v>
      </c>
      <c r="E3386" s="3" t="s">
        <v>10214</v>
      </c>
      <c r="F3386" s="3" t="str">
        <f>"317-752-3785"</f>
        <v>317-752-3785</v>
      </c>
      <c r="G3386" s="3">
        <v>23829</v>
      </c>
      <c r="H3386" s="3" t="s">
        <v>237</v>
      </c>
    </row>
    <row r="3387" spans="1:8" ht="115.5" x14ac:dyDescent="0.25">
      <c r="A3387" s="3" t="s">
        <v>10215</v>
      </c>
      <c r="B3387" s="3"/>
      <c r="C3387" s="3" t="s">
        <v>10216</v>
      </c>
      <c r="D3387" s="3" t="s">
        <v>10217</v>
      </c>
      <c r="E3387" s="3" t="s">
        <v>10218</v>
      </c>
      <c r="F3387" s="3" t="str">
        <f>"(317) 686-1515"</f>
        <v>(317) 686-1515</v>
      </c>
      <c r="G3387" s="3">
        <v>541110</v>
      </c>
      <c r="H3387" s="3" t="s">
        <v>2978</v>
      </c>
    </row>
    <row r="3388" spans="1:8" ht="64.5" x14ac:dyDescent="0.25">
      <c r="A3388" s="3" t="s">
        <v>10219</v>
      </c>
      <c r="B3388" s="3"/>
      <c r="C3388" s="3" t="str">
        <f>"We are a family owned new and used car retail car dealer. We pride ourselves in customer service and look to build long term relationships in an industry known for its lack of personal service."</f>
        <v>We are a family owned new and used car retail car dealer. We pride ourselves in customer service and look to build long term relationships in an industry known for its lack of personal service.</v>
      </c>
      <c r="D3388" s="3" t="s">
        <v>10220</v>
      </c>
      <c r="E3388" s="3" t="s">
        <v>10221</v>
      </c>
      <c r="F3388" s="3" t="str">
        <f>"317-738-4170"</f>
        <v>317-738-4170</v>
      </c>
      <c r="G3388" s="3">
        <v>4411</v>
      </c>
      <c r="H3388" s="3" t="s">
        <v>1015</v>
      </c>
    </row>
    <row r="3389" spans="1:8" ht="51.75" x14ac:dyDescent="0.25">
      <c r="A3389" s="3" t="s">
        <v>10222</v>
      </c>
      <c r="B3389" s="3"/>
      <c r="C3389" s="3" t="str">
        <f>"My company provides writing and public relations services to organizations or individuals seeking additional exposure and/or recognition."</f>
        <v>My company provides writing and public relations services to organizations or individuals seeking additional exposure and/or recognition.</v>
      </c>
      <c r="D3389" s="3" t="s">
        <v>10223</v>
      </c>
      <c r="E3389" s="3" t="s">
        <v>10224</v>
      </c>
      <c r="F3389" s="3" t="str">
        <f>"317-847-3659"</f>
        <v>317-847-3659</v>
      </c>
      <c r="G3389" s="3">
        <v>54182</v>
      </c>
      <c r="H3389" s="3" t="s">
        <v>795</v>
      </c>
    </row>
    <row r="3390" spans="1:8" ht="39" x14ac:dyDescent="0.25">
      <c r="A3390" s="3" t="s">
        <v>10225</v>
      </c>
      <c r="B3390" s="3"/>
      <c r="C3390" s="3" t="str">
        <f>"Dump truck hauling of stone, black dirt and sand to job sites and stockpiling of material."</f>
        <v>Dump truck hauling of stone, black dirt and sand to job sites and stockpiling of material.</v>
      </c>
      <c r="D3390" s="3" t="s">
        <v>9</v>
      </c>
      <c r="E3390" s="3" t="s">
        <v>46</v>
      </c>
      <c r="F3390" s="3" t="str">
        <f>"(219) 843-8382"</f>
        <v>(219) 843-8382</v>
      </c>
      <c r="G3390" s="3">
        <v>484110</v>
      </c>
      <c r="H3390" s="3" t="s">
        <v>644</v>
      </c>
    </row>
    <row r="3391" spans="1:8" ht="90" x14ac:dyDescent="0.25">
      <c r="A3391" s="3" t="s">
        <v>10226</v>
      </c>
      <c r="B3391" s="3"/>
      <c r="C3391" s="3" t="s">
        <v>10227</v>
      </c>
      <c r="D3391" s="3" t="s">
        <v>10228</v>
      </c>
      <c r="E3391" s="3" t="s">
        <v>10229</v>
      </c>
      <c r="F3391" s="3" t="str">
        <f>"317-872-0097"</f>
        <v>317-872-0097</v>
      </c>
      <c r="G3391" s="3">
        <v>42184</v>
      </c>
      <c r="H3391" s="3" t="s">
        <v>1601</v>
      </c>
    </row>
    <row r="3392" spans="1:8" ht="243" x14ac:dyDescent="0.25">
      <c r="A3392" s="3" t="s">
        <v>10230</v>
      </c>
      <c r="B3392" s="3"/>
      <c r="C3392" s="3" t="s">
        <v>10231</v>
      </c>
      <c r="D3392" s="3" t="s">
        <v>10232</v>
      </c>
      <c r="E3392" s="3" t="s">
        <v>10233</v>
      </c>
      <c r="F3392" s="3" t="str">
        <f>"317-839-6899"</f>
        <v>317-839-6899</v>
      </c>
      <c r="G3392" s="3">
        <v>541612</v>
      </c>
      <c r="H3392" s="3" t="s">
        <v>1923</v>
      </c>
    </row>
    <row r="3393" spans="1:8" ht="64.5" x14ac:dyDescent="0.25">
      <c r="A3393" s="3" t="s">
        <v>10234</v>
      </c>
      <c r="B3393" s="3"/>
      <c r="C3393" s="3" t="str">
        <f>"Business is employment agency placing candidates in areas of Administration, Finance and Professional for both temporary and permanent employer requirements."</f>
        <v>Business is employment agency placing candidates in areas of Administration, Finance and Professional for both temporary and permanent employer requirements.</v>
      </c>
      <c r="D3393" s="3" t="s">
        <v>10235</v>
      </c>
      <c r="E3393" s="3" t="s">
        <v>10236</v>
      </c>
      <c r="F3393" s="3" t="str">
        <f>"574-233-2150"</f>
        <v>574-233-2150</v>
      </c>
      <c r="G3393" s="3">
        <v>56131</v>
      </c>
      <c r="H3393" s="3" t="s">
        <v>1720</v>
      </c>
    </row>
    <row r="3394" spans="1:8" ht="306.75" x14ac:dyDescent="0.25">
      <c r="A3394" s="3" t="s">
        <v>10237</v>
      </c>
      <c r="B3394" s="3"/>
      <c r="C3394" s="3" t="s">
        <v>10238</v>
      </c>
      <c r="D3394" s="3" t="s">
        <v>10239</v>
      </c>
      <c r="E3394" s="3" t="s">
        <v>10240</v>
      </c>
      <c r="F3394" s="3" t="str">
        <f>"317-759-2575"</f>
        <v>317-759-2575</v>
      </c>
      <c r="G3394" s="3">
        <v>238330</v>
      </c>
      <c r="H3394" s="3" t="s">
        <v>2995</v>
      </c>
    </row>
    <row r="3395" spans="1:8" ht="39" x14ac:dyDescent="0.25">
      <c r="A3395" s="3" t="s">
        <v>10241</v>
      </c>
      <c r="B3395" s="3"/>
      <c r="C3395" s="3" t="str">
        <f>"Retail New Carpet; Vinyl Floors; Laminate Floors; Ceramic Tile; Carpet Pad; and related sundries; including installation."</f>
        <v>Retail New Carpet; Vinyl Floors; Laminate Floors; Ceramic Tile; Carpet Pad; and related sundries; including installation.</v>
      </c>
      <c r="D3395" s="3" t="s">
        <v>9</v>
      </c>
      <c r="E3395" s="3" t="s">
        <v>10242</v>
      </c>
      <c r="F3395" s="3" t="str">
        <f>"574-299-9804"</f>
        <v>574-299-9804</v>
      </c>
      <c r="G3395" s="3">
        <v>442210</v>
      </c>
      <c r="H3395" s="3" t="s">
        <v>2301</v>
      </c>
    </row>
    <row r="3396" spans="1:8" ht="179.25" x14ac:dyDescent="0.25">
      <c r="A3396" s="3" t="s">
        <v>10243</v>
      </c>
      <c r="B3396" s="3"/>
      <c r="C3396" s="3" t="s">
        <v>10244</v>
      </c>
      <c r="D3396" s="3" t="s">
        <v>10245</v>
      </c>
      <c r="E3396" s="3" t="s">
        <v>10246</v>
      </c>
      <c r="F3396" s="3" t="str">
        <f>"219 326 7011"</f>
        <v>219 326 7011</v>
      </c>
      <c r="G3396" s="3">
        <v>44221</v>
      </c>
      <c r="H3396" s="3" t="s">
        <v>2301</v>
      </c>
    </row>
    <row r="3397" spans="1:8" ht="77.25" x14ac:dyDescent="0.25">
      <c r="A3397" s="3" t="s">
        <v>10247</v>
      </c>
      <c r="B3397" s="3"/>
      <c r="C3397" s="3" t="str">
        <f>"Flor-Tek provides consulting, inspecting, specifications and installation for all types of commercial and residential flooring with primary focus on Resin Flooring We help you be sure your floor is always up to the Health and Safety requirements."</f>
        <v>Flor-Tek provides consulting, inspecting, specifications and installation for all types of commercial and residential flooring with primary focus on Resin Flooring We help you be sure your floor is always up to the Health and Safety requirements.</v>
      </c>
      <c r="D3397" s="3" t="s">
        <v>9</v>
      </c>
      <c r="E3397" s="3" t="s">
        <v>10248</v>
      </c>
      <c r="F3397" s="3" t="str">
        <f>"317-258-8976"</f>
        <v>317-258-8976</v>
      </c>
      <c r="G3397" s="3">
        <v>23552</v>
      </c>
      <c r="H3397" s="3" t="s">
        <v>955</v>
      </c>
    </row>
    <row r="3398" spans="1:8" ht="51.75" x14ac:dyDescent="0.25">
      <c r="A3398" s="3" t="s">
        <v>10249</v>
      </c>
      <c r="B3398" s="3"/>
      <c r="C3398" s="3" t="str">
        <f>"FloraAnn Accessories is a company that designs and creates totebags and other specialty products at the customer's request, using select fabrics."</f>
        <v>FloraAnn Accessories is a company that designs and creates totebags and other specialty products at the customer's request, using select fabrics.</v>
      </c>
      <c r="D3398" s="3" t="s">
        <v>9</v>
      </c>
      <c r="E3398" s="3" t="s">
        <v>10250</v>
      </c>
      <c r="F3398" s="3" t="str">
        <f>"317-459-4614"</f>
        <v>317-459-4614</v>
      </c>
      <c r="G3398" s="3">
        <v>315999</v>
      </c>
      <c r="H3398" s="3" t="s">
        <v>4357</v>
      </c>
    </row>
    <row r="3399" spans="1:8" ht="64.5" x14ac:dyDescent="0.25">
      <c r="A3399" s="3" t="s">
        <v>10251</v>
      </c>
      <c r="B3399" s="3"/>
      <c r="C3399" s="3" t="str">
        <f>"Flores Services, LLC provides staffing on a contract or fee basis to perform administrative, human resources, technical, data entry, clerical and other support services."</f>
        <v>Flores Services, LLC provides staffing on a contract or fee basis to perform administrative, human resources, technical, data entry, clerical and other support services.</v>
      </c>
      <c r="D3399" s="3" t="s">
        <v>10252</v>
      </c>
      <c r="E3399" s="3" t="s">
        <v>10253</v>
      </c>
      <c r="F3399" s="3" t="str">
        <f>"765-342-9919"</f>
        <v>765-342-9919</v>
      </c>
      <c r="G3399" s="3">
        <v>561210</v>
      </c>
      <c r="H3399" s="3" t="s">
        <v>1697</v>
      </c>
    </row>
    <row r="3400" spans="1:8" ht="64.5" x14ac:dyDescent="0.25">
      <c r="A3400" s="3" t="s">
        <v>10254</v>
      </c>
      <c r="B3400" s="3"/>
      <c r="C3400" s="3" t="str">
        <f>"We are a health department, MCH &amp; WIC office. We issue birth and death certificates, restaurant inspections. Prenatal health care needs and assist with nutrition with women and children."</f>
        <v>We are a health department, MCH &amp; WIC office. We issue birth and death certificates, restaurant inspections. Prenatal health care needs and assist with nutrition with women and children.</v>
      </c>
      <c r="D3400" s="3" t="s">
        <v>10255</v>
      </c>
      <c r="E3400" s="3" t="s">
        <v>10256</v>
      </c>
      <c r="F3400" s="3" t="str">
        <f>"812-948-4726"</f>
        <v>812-948-4726</v>
      </c>
      <c r="G3400" s="3">
        <v>922130</v>
      </c>
      <c r="H3400" s="3" t="s">
        <v>10257</v>
      </c>
    </row>
    <row r="3401" spans="1:8" ht="64.5" x14ac:dyDescent="0.25">
      <c r="A3401" s="3" t="s">
        <v>10258</v>
      </c>
      <c r="B3401" s="3"/>
      <c r="C3401" s="3" t="str">
        <f>"Floyd E. Burroughs &amp; Associates, Inc. is principally engaged in public works projects, providing design engineering and construction supervision services to federal and state agencies, cities and towns."</f>
        <v>Floyd E. Burroughs &amp; Associates, Inc. is principally engaged in public works projects, providing design engineering and construction supervision services to federal and state agencies, cities and towns.</v>
      </c>
      <c r="D3401" s="3" t="s">
        <v>10259</v>
      </c>
      <c r="E3401" s="3" t="s">
        <v>10260</v>
      </c>
      <c r="F3401" s="3" t="str">
        <f>"317-849-9722"</f>
        <v>317-849-9722</v>
      </c>
      <c r="G3401" s="3">
        <v>54133</v>
      </c>
      <c r="H3401" s="3" t="s">
        <v>82</v>
      </c>
    </row>
    <row r="3402" spans="1:8" ht="77.25" x14ac:dyDescent="0.25">
      <c r="A3402" s="3" t="s">
        <v>10261</v>
      </c>
      <c r="B3402" s="3"/>
      <c r="C3402" s="3" t="str">
        <f>"Floyd Trucking, LLC. is a small ""MBE"" owned dump truck Co in the city of Indianapolis, In. Just got certified with the ISMDC on May 11th, 2012. Am looking for any oppertunities I may have. Donald Floyd Smith,Jr."</f>
        <v>Floyd Trucking, LLC. is a small "MBE" owned dump truck Co in the city of Indianapolis, In. Just got certified with the ISMDC on May 11th, 2012. Am looking for any oppertunities I may have. Donald Floyd Smith,Jr.</v>
      </c>
      <c r="D3402" s="3" t="s">
        <v>9</v>
      </c>
      <c r="E3402" s="3" t="s">
        <v>10262</v>
      </c>
      <c r="F3402" s="3" t="str">
        <f>"317-507-2907"</f>
        <v>317-507-2907</v>
      </c>
      <c r="G3402" s="3">
        <v>484220</v>
      </c>
      <c r="H3402" s="3" t="s">
        <v>11</v>
      </c>
    </row>
    <row r="3403" spans="1:8" ht="39" x14ac:dyDescent="0.25">
      <c r="A3403" s="3" t="s">
        <v>10263</v>
      </c>
      <c r="B3403" s="3"/>
      <c r="C3403" s="3" t="str">
        <f>"Water and Wastewater Services to Cities and Towns within Indiana. We are certified in both Water and Wastewater."</f>
        <v>Water and Wastewater Services to Cities and Towns within Indiana. We are certified in both Water and Wastewater.</v>
      </c>
      <c r="D3403" s="3" t="s">
        <v>9</v>
      </c>
      <c r="E3403" s="3" t="s">
        <v>10264</v>
      </c>
      <c r="F3403" s="3" t="str">
        <f>"(812) 397-0341"</f>
        <v>(812) 397-0341</v>
      </c>
      <c r="G3403" s="3">
        <v>54161</v>
      </c>
      <c r="H3403" s="3" t="s">
        <v>1221</v>
      </c>
    </row>
    <row r="3404" spans="1:8" ht="26.25" x14ac:dyDescent="0.25">
      <c r="A3404" s="3" t="s">
        <v>10265</v>
      </c>
      <c r="B3404" s="3"/>
      <c r="C3404" s="3" t="str">
        <f>"Autobody repair and refinishing work on cars, pickups, and large trucks."</f>
        <v>Autobody repair and refinishing work on cars, pickups, and large trucks.</v>
      </c>
      <c r="D3404" s="3" t="s">
        <v>10266</v>
      </c>
      <c r="E3404" s="3" t="s">
        <v>10267</v>
      </c>
      <c r="F3404" s="3" t="str">
        <f>"812-945-4395"</f>
        <v>812-945-4395</v>
      </c>
      <c r="G3404" s="3">
        <v>811111</v>
      </c>
      <c r="H3404" s="3" t="s">
        <v>2383</v>
      </c>
    </row>
    <row r="3405" spans="1:8" ht="77.25" x14ac:dyDescent="0.25">
      <c r="A3405" s="3" t="s">
        <v>10268</v>
      </c>
      <c r="B3405" s="3"/>
      <c r="C3405" s="3" t="str">
        <f>"Fluid Waste Services has been in the utility construction business since 1989. Specializing in Pipeline/Sewer cleaning, Pipeline/Sewer Televising, Tank Cleaning, Pipeline Rehabilitation/Lining and Vacuum Hydro-Excavation/Potholing."</f>
        <v>Fluid Waste Services has been in the utility construction business since 1989. Specializing in Pipeline/Sewer cleaning, Pipeline/Sewer Televising, Tank Cleaning, Pipeline Rehabilitation/Lining and Vacuum Hydro-Excavation/Potholing.</v>
      </c>
      <c r="D3405" s="3" t="s">
        <v>10269</v>
      </c>
      <c r="E3405" s="3" t="s">
        <v>10270</v>
      </c>
      <c r="F3405" s="3" t="str">
        <f>"317-773-7996"</f>
        <v>317-773-7996</v>
      </c>
      <c r="G3405" s="3">
        <v>562998</v>
      </c>
      <c r="H3405" s="3" t="s">
        <v>1530</v>
      </c>
    </row>
    <row r="3406" spans="1:8" ht="26.25" x14ac:dyDescent="0.25">
      <c r="A3406" s="3" t="s">
        <v>10271</v>
      </c>
      <c r="B3406" s="3"/>
      <c r="C3406" s="3" t="str">
        <f>"Real Estate Developer"</f>
        <v>Real Estate Developer</v>
      </c>
      <c r="D3406" s="3" t="s">
        <v>9</v>
      </c>
      <c r="E3406" s="3" t="s">
        <v>10272</v>
      </c>
      <c r="F3406" s="3" t="str">
        <f>"317-396-1600"</f>
        <v>317-396-1600</v>
      </c>
      <c r="G3406" s="3">
        <v>531</v>
      </c>
      <c r="H3406" s="3" t="s">
        <v>74</v>
      </c>
    </row>
    <row r="3407" spans="1:8" ht="64.5" x14ac:dyDescent="0.25">
      <c r="A3407" s="3" t="s">
        <v>10273</v>
      </c>
      <c r="B3407" s="3"/>
      <c r="C3407" s="3" t="str">
        <f>"Business-to-business institutional pharmacy serving long term care facilities such as nursing homes, group homes, assisted living facilities, and workplace clinics."</f>
        <v>Business-to-business institutional pharmacy serving long term care facilities such as nursing homes, group homes, assisted living facilities, and workplace clinics.</v>
      </c>
      <c r="D3407" s="3" t="s">
        <v>10274</v>
      </c>
      <c r="E3407" s="3" t="s">
        <v>10275</v>
      </c>
      <c r="F3407" s="3" t="str">
        <f>"866-308-4990"</f>
        <v>866-308-4990</v>
      </c>
      <c r="G3407" s="3">
        <v>446110</v>
      </c>
      <c r="H3407" s="3" t="s">
        <v>3738</v>
      </c>
    </row>
    <row r="3408" spans="1:8" ht="26.25" x14ac:dyDescent="0.25">
      <c r="A3408" s="3" t="s">
        <v>10276</v>
      </c>
      <c r="B3408" s="3"/>
      <c r="C3408" s="3" t="str">
        <f>"Environmental &amp; Demolition Contracting Services"</f>
        <v>Environmental &amp; Demolition Contracting Services</v>
      </c>
      <c r="D3408" s="3" t="s">
        <v>9</v>
      </c>
      <c r="E3408" s="3" t="s">
        <v>10277</v>
      </c>
      <c r="F3408" s="3" t="str">
        <f>"317-272-6590"</f>
        <v>317-272-6590</v>
      </c>
      <c r="G3408" s="3">
        <v>562910</v>
      </c>
      <c r="H3408" s="3" t="s">
        <v>2278</v>
      </c>
    </row>
    <row r="3409" spans="1:8" ht="179.25" x14ac:dyDescent="0.25">
      <c r="A3409" s="3" t="s">
        <v>10278</v>
      </c>
      <c r="B3409" s="3"/>
      <c r="C3409" s="3" t="s">
        <v>10279</v>
      </c>
      <c r="D3409" s="3" t="s">
        <v>10280</v>
      </c>
      <c r="E3409" s="3" t="s">
        <v>10281</v>
      </c>
      <c r="F3409" s="2"/>
      <c r="G3409" s="3">
        <v>54</v>
      </c>
      <c r="H3409" s="3" t="s">
        <v>179</v>
      </c>
    </row>
    <row r="3410" spans="1:8" ht="26.25" x14ac:dyDescent="0.25">
      <c r="A3410" s="3" t="s">
        <v>10282</v>
      </c>
      <c r="B3410" s="3"/>
      <c r="C3410" s="3" t="str">
        <f>" "</f>
        <v xml:space="preserve"> </v>
      </c>
      <c r="D3410" s="3" t="s">
        <v>9</v>
      </c>
      <c r="E3410" s="3" t="s">
        <v>46</v>
      </c>
      <c r="F3410" s="3" t="str">
        <f>"765-647-3212"</f>
        <v>765-647-3212</v>
      </c>
      <c r="G3410" s="3">
        <v>23</v>
      </c>
      <c r="H3410" s="3" t="s">
        <v>133</v>
      </c>
    </row>
    <row r="3411" spans="1:8" ht="39" x14ac:dyDescent="0.25">
      <c r="A3411" s="3" t="s">
        <v>10283</v>
      </c>
      <c r="B3411" s="3"/>
      <c r="C3411" s="3" t="str">
        <f>"To provide Homemaker/Parent Aid support to at-risk and/or neglected children and their families"</f>
        <v>To provide Homemaker/Parent Aid support to at-risk and/or neglected children and their families</v>
      </c>
      <c r="D3411" s="3" t="s">
        <v>9</v>
      </c>
      <c r="E3411" s="3" t="s">
        <v>10284</v>
      </c>
      <c r="F3411" s="3" t="str">
        <f>"812-720-0983"</f>
        <v>812-720-0983</v>
      </c>
      <c r="G3411" s="3">
        <v>6241</v>
      </c>
      <c r="H3411" s="3" t="s">
        <v>2210</v>
      </c>
    </row>
    <row r="3412" spans="1:8" ht="26.25" x14ac:dyDescent="0.25">
      <c r="A3412" s="3" t="s">
        <v>10285</v>
      </c>
      <c r="B3412" s="3"/>
      <c r="C3412" s="3" t="str">
        <f>"Food Bank serving non-profit agencies in 6 northern Indiana counties"</f>
        <v>Food Bank serving non-profit agencies in 6 northern Indiana counties</v>
      </c>
      <c r="D3412" s="3" t="s">
        <v>10286</v>
      </c>
      <c r="E3412" s="3" t="s">
        <v>46</v>
      </c>
      <c r="F3412" s="3" t="str">
        <f>"574-232-9986"</f>
        <v>574-232-9986</v>
      </c>
      <c r="G3412" s="3">
        <v>624210</v>
      </c>
      <c r="H3412" s="3" t="s">
        <v>2017</v>
      </c>
    </row>
    <row r="3413" spans="1:8" ht="77.25" x14ac:dyDescent="0.25">
      <c r="A3413" s="3" t="s">
        <v>10287</v>
      </c>
      <c r="B3413" s="3"/>
      <c r="C3413" s="3" t="str">
        <f>"Force 5 Media is a Marketing Communications firm specializing in web sites, CD-ROM, DVD, as well as print, video production and live presentation events. We provide media solutions to help businesses achieve their marketing and sales goals."</f>
        <v>Force 5 Media is a Marketing Communications firm specializing in web sites, CD-ROM, DVD, as well as print, video production and live presentation events. We provide media solutions to help businesses achieve their marketing and sales goals.</v>
      </c>
      <c r="D3413" s="3" t="s">
        <v>10288</v>
      </c>
      <c r="E3413" s="3" t="s">
        <v>10289</v>
      </c>
      <c r="F3413" s="3" t="str">
        <f>"574-234-2060"</f>
        <v>574-234-2060</v>
      </c>
      <c r="G3413" s="3">
        <v>541511</v>
      </c>
      <c r="H3413" s="3" t="s">
        <v>122</v>
      </c>
    </row>
    <row r="3414" spans="1:8" ht="26.25" x14ac:dyDescent="0.25">
      <c r="A3414" s="3" t="s">
        <v>10290</v>
      </c>
      <c r="B3414" s="3"/>
      <c r="C3414" s="3" t="str">
        <f>"Heating and Cooling Maintenance, Replacement and Repair."</f>
        <v>Heating and Cooling Maintenance, Replacement and Repair.</v>
      </c>
      <c r="D3414" s="3" t="s">
        <v>9</v>
      </c>
      <c r="E3414" s="3" t="s">
        <v>10291</v>
      </c>
      <c r="F3414" s="3" t="str">
        <f>"317-504-0420"</f>
        <v>317-504-0420</v>
      </c>
      <c r="G3414" s="3">
        <v>238220</v>
      </c>
      <c r="H3414" s="3" t="s">
        <v>348</v>
      </c>
    </row>
    <row r="3415" spans="1:8" ht="51.75" x14ac:dyDescent="0.25">
      <c r="A3415" s="3" t="s">
        <v>10292</v>
      </c>
      <c r="B3415" s="3"/>
      <c r="C3415" s="3" t="str">
        <f>"A Ford New Car &amp; Truck dealership with Service, Parts, &amp; Collision Repair Center located in Anderson, IN. 100% Female owned &amp; operated."</f>
        <v>A Ford New Car &amp; Truck dealership with Service, Parts, &amp; Collision Repair Center located in Anderson, IN. 100% Female owned &amp; operated.</v>
      </c>
      <c r="D3415" s="3" t="s">
        <v>10293</v>
      </c>
      <c r="E3415" s="3" t="s">
        <v>10294</v>
      </c>
      <c r="F3415" s="3" t="str">
        <f>"7656493673"</f>
        <v>7656493673</v>
      </c>
      <c r="G3415" s="3">
        <v>441110</v>
      </c>
      <c r="H3415" s="3" t="s">
        <v>2588</v>
      </c>
    </row>
    <row r="3416" spans="1:8" ht="26.25" x14ac:dyDescent="0.25">
      <c r="A3416" s="3" t="s">
        <v>10295</v>
      </c>
      <c r="B3416" s="3"/>
      <c r="C3416" s="3" t="str">
        <f>"This business is engaged in the hauling of sand, gravel, topsoil, rubble, brush etc..."</f>
        <v>This business is engaged in the hauling of sand, gravel, topsoil, rubble, brush etc...</v>
      </c>
      <c r="D3416" s="3" t="s">
        <v>10296</v>
      </c>
      <c r="E3416" s="3" t="s">
        <v>10297</v>
      </c>
      <c r="F3416" s="3" t="str">
        <f>"317-828-3301"</f>
        <v>317-828-3301</v>
      </c>
      <c r="G3416" s="3">
        <v>484220</v>
      </c>
      <c r="H3416" s="3" t="s">
        <v>11</v>
      </c>
    </row>
    <row r="3417" spans="1:8" ht="39" x14ac:dyDescent="0.25">
      <c r="A3417" s="3" t="s">
        <v>10298</v>
      </c>
      <c r="B3417" s="3"/>
      <c r="C3417" s="3" t="str">
        <f>"Provider of custom, enterprise software application development and management consulting services."</f>
        <v>Provider of custom, enterprise software application development and management consulting services.</v>
      </c>
      <c r="D3417" s="3" t="s">
        <v>9</v>
      </c>
      <c r="E3417" s="3" t="s">
        <v>10299</v>
      </c>
      <c r="F3417" s="3" t="str">
        <f>"317.490.1168"</f>
        <v>317.490.1168</v>
      </c>
      <c r="G3417" s="3">
        <v>541511</v>
      </c>
      <c r="H3417" s="3" t="s">
        <v>122</v>
      </c>
    </row>
    <row r="3418" spans="1:8" ht="243" x14ac:dyDescent="0.25">
      <c r="A3418" s="3" t="s">
        <v>10300</v>
      </c>
      <c r="B3418" s="3"/>
      <c r="C3418" s="3" t="s">
        <v>10301</v>
      </c>
      <c r="D3418" s="3" t="s">
        <v>10302</v>
      </c>
      <c r="E3418" s="3" t="s">
        <v>10303</v>
      </c>
      <c r="F3418" s="3" t="str">
        <f>"800-930-3562"</f>
        <v>800-930-3562</v>
      </c>
      <c r="G3418" s="3">
        <v>621399</v>
      </c>
      <c r="H3418" s="3" t="s">
        <v>2306</v>
      </c>
    </row>
    <row r="3419" spans="1:8" ht="26.25" x14ac:dyDescent="0.25">
      <c r="A3419" s="3" t="s">
        <v>10304</v>
      </c>
      <c r="B3419" s="3"/>
      <c r="C3419" s="2"/>
      <c r="D3419" s="3" t="s">
        <v>9</v>
      </c>
      <c r="E3419" s="3" t="s">
        <v>10305</v>
      </c>
      <c r="F3419" s="3" t="str">
        <f>"317-819-4141"</f>
        <v>317-819-4141</v>
      </c>
      <c r="G3419" s="3">
        <v>52421</v>
      </c>
      <c r="H3419" s="3" t="s">
        <v>1183</v>
      </c>
    </row>
    <row r="3420" spans="1:8" ht="26.25" x14ac:dyDescent="0.25">
      <c r="A3420" s="3" t="s">
        <v>10306</v>
      </c>
      <c r="B3420" s="3"/>
      <c r="C3420" s="3" t="str">
        <f>"Land Surveying Services"</f>
        <v>Land Surveying Services</v>
      </c>
      <c r="D3420" s="3" t="s">
        <v>9</v>
      </c>
      <c r="E3420" s="3" t="s">
        <v>10307</v>
      </c>
      <c r="F3420" s="3" t="str">
        <f>"812-358-4170"</f>
        <v>812-358-4170</v>
      </c>
      <c r="G3420" s="3">
        <v>541370</v>
      </c>
      <c r="H3420" s="3" t="s">
        <v>160</v>
      </c>
    </row>
    <row r="3421" spans="1:8" ht="166.5" x14ac:dyDescent="0.25">
      <c r="A3421" s="3" t="s">
        <v>10308</v>
      </c>
      <c r="B3421" s="3"/>
      <c r="C3421" s="3" t="s">
        <v>10309</v>
      </c>
      <c r="D3421" s="3" t="s">
        <v>9</v>
      </c>
      <c r="E3421" s="3" t="s">
        <v>10310</v>
      </c>
      <c r="F3421" s="3" t="str">
        <f>"(317) 426-3945"</f>
        <v>(317) 426-3945</v>
      </c>
      <c r="G3421" s="3">
        <v>23521</v>
      </c>
      <c r="H3421" s="3" t="s">
        <v>462</v>
      </c>
    </row>
    <row r="3422" spans="1:8" ht="26.25" x14ac:dyDescent="0.25">
      <c r="A3422" s="3" t="s">
        <v>10311</v>
      </c>
      <c r="B3422" s="3"/>
      <c r="C3422" s="3" t="str">
        <f>"Civil engineering/site design and land surveying."</f>
        <v>Civil engineering/site design and land surveying.</v>
      </c>
      <c r="D3422" s="3" t="s">
        <v>10312</v>
      </c>
      <c r="E3422" s="3" t="s">
        <v>10313</v>
      </c>
      <c r="F3422" s="3" t="str">
        <f>"317-352-7052"</f>
        <v>317-352-7052</v>
      </c>
      <c r="G3422" s="3">
        <v>54133</v>
      </c>
      <c r="H3422" s="3" t="s">
        <v>82</v>
      </c>
    </row>
    <row r="3423" spans="1:8" ht="39" x14ac:dyDescent="0.25">
      <c r="A3423" s="3" t="s">
        <v>10314</v>
      </c>
      <c r="B3423" s="3"/>
      <c r="C3423" s="3" t="str">
        <f>"installation of under ground sprinklers systems sales , service, add on seasonal contracts ect."</f>
        <v>installation of under ground sprinklers systems sales , service, add on seasonal contracts ect.</v>
      </c>
      <c r="D3423" s="3" t="s">
        <v>10315</v>
      </c>
      <c r="E3423" s="3" t="s">
        <v>10316</v>
      </c>
      <c r="F3423" s="3" t="str">
        <f>"317-418-8039"</f>
        <v>317-418-8039</v>
      </c>
      <c r="G3423" s="3">
        <v>22131</v>
      </c>
      <c r="H3423" s="3" t="s">
        <v>1833</v>
      </c>
    </row>
    <row r="3424" spans="1:8" ht="64.5" x14ac:dyDescent="0.25">
      <c r="A3424" s="3" t="s">
        <v>10317</v>
      </c>
      <c r="B3424" s="3"/>
      <c r="C3424" s="3" t="str">
        <f>"Business-to-business institutional pharmacy serving long term care facilities such as nursing homes, group homes, assisted living facilities, and workplace clinics."</f>
        <v>Business-to-business institutional pharmacy serving long term care facilities such as nursing homes, group homes, assisted living facilities, and workplace clinics.</v>
      </c>
      <c r="D3424" s="3" t="s">
        <v>10318</v>
      </c>
      <c r="E3424" s="3" t="s">
        <v>10275</v>
      </c>
      <c r="F3424" s="3" t="str">
        <f>"866-308-4990"</f>
        <v>866-308-4990</v>
      </c>
      <c r="G3424" s="3">
        <v>446110</v>
      </c>
      <c r="H3424" s="3" t="s">
        <v>3738</v>
      </c>
    </row>
    <row r="3425" spans="1:8" ht="166.5" x14ac:dyDescent="0.25">
      <c r="A3425" s="3" t="s">
        <v>10319</v>
      </c>
      <c r="B3425" s="3"/>
      <c r="C3425" s="3" t="s">
        <v>10320</v>
      </c>
      <c r="D3425" s="3" t="s">
        <v>10321</v>
      </c>
      <c r="E3425" s="3" t="s">
        <v>10322</v>
      </c>
      <c r="F3425" s="3" t="str">
        <f>"765-342-2300"</f>
        <v>765-342-2300</v>
      </c>
      <c r="G3425" s="3">
        <v>326199</v>
      </c>
      <c r="H3425" s="3" t="s">
        <v>2129</v>
      </c>
    </row>
    <row r="3426" spans="1:8" ht="26.25" x14ac:dyDescent="0.25">
      <c r="A3426" s="3" t="s">
        <v>10323</v>
      </c>
      <c r="B3426" s="3"/>
      <c r="C3426" s="3" t="str">
        <f>"Design &amp; Build Full Service Commercial Contractor"</f>
        <v>Design &amp; Build Full Service Commercial Contractor</v>
      </c>
      <c r="D3426" s="3" t="s">
        <v>10324</v>
      </c>
      <c r="E3426" s="3" t="s">
        <v>10325</v>
      </c>
      <c r="F3426" s="3" t="str">
        <f>"5742729420"</f>
        <v>5742729420</v>
      </c>
      <c r="G3426" s="3">
        <v>236220</v>
      </c>
      <c r="H3426" s="3" t="s">
        <v>598</v>
      </c>
    </row>
    <row r="3427" spans="1:8" ht="64.5" x14ac:dyDescent="0.25">
      <c r="A3427" s="3" t="s">
        <v>10326</v>
      </c>
      <c r="B3427" s="3"/>
      <c r="C3427" s="3" t="str">
        <f>"Commercial Laundry Equipment - Sales - Service Layout &amp; Mechanical Drawings and Planning Custom Wash Programming for any type of Linen Custom Chemical Laundry Systems"</f>
        <v>Commercial Laundry Equipment - Sales - Service Layout &amp; Mechanical Drawings and Planning Custom Wash Programming for any type of Linen Custom Chemical Laundry Systems</v>
      </c>
      <c r="D3427" s="3" t="s">
        <v>10327</v>
      </c>
      <c r="E3427" s="3" t="s">
        <v>10328</v>
      </c>
      <c r="F3427" s="3" t="str">
        <f>"1-877-615-5922"</f>
        <v>1-877-615-5922</v>
      </c>
      <c r="G3427" s="3">
        <v>423620</v>
      </c>
      <c r="H3427" s="3" t="s">
        <v>4421</v>
      </c>
    </row>
    <row r="3428" spans="1:8" ht="26.25" x14ac:dyDescent="0.25">
      <c r="A3428" s="3" t="s">
        <v>10329</v>
      </c>
      <c r="B3428" s="3"/>
      <c r="C3428" s="3" t="str">
        <f>"commercial roofing contractor"</f>
        <v>commercial roofing contractor</v>
      </c>
      <c r="D3428" s="3" t="s">
        <v>9</v>
      </c>
      <c r="E3428" s="3" t="s">
        <v>46</v>
      </c>
      <c r="F3428" s="3" t="str">
        <f>"260-422-9529"</f>
        <v>260-422-9529</v>
      </c>
      <c r="G3428" s="3">
        <v>238</v>
      </c>
      <c r="H3428" s="3" t="s">
        <v>397</v>
      </c>
    </row>
    <row r="3429" spans="1:8" ht="319.5" x14ac:dyDescent="0.25">
      <c r="A3429" s="3" t="s">
        <v>10330</v>
      </c>
      <c r="B3429" s="3"/>
      <c r="C3429" s="3" t="s">
        <v>10331</v>
      </c>
      <c r="D3429" s="3" t="s">
        <v>10332</v>
      </c>
      <c r="E3429" s="3" t="s">
        <v>10333</v>
      </c>
      <c r="F3429" s="3" t="str">
        <f>"260-745-3100"</f>
        <v>260-745-3100</v>
      </c>
      <c r="G3429" s="3">
        <v>624190</v>
      </c>
      <c r="H3429" s="3" t="s">
        <v>54</v>
      </c>
    </row>
    <row r="3430" spans="1:8" ht="26.25" x14ac:dyDescent="0.25">
      <c r="A3430" s="3" t="s">
        <v>10334</v>
      </c>
      <c r="B3430" s="3"/>
      <c r="C3430" s="3" t="str">
        <f>"Develop affordable housing for the state"</f>
        <v>Develop affordable housing for the state</v>
      </c>
      <c r="D3430" s="3" t="s">
        <v>9</v>
      </c>
      <c r="E3430" s="3" t="s">
        <v>10335</v>
      </c>
      <c r="F3430" s="3" t="str">
        <f>"317-938-5893"</f>
        <v>317-938-5893</v>
      </c>
      <c r="G3430" s="3">
        <v>23322</v>
      </c>
      <c r="H3430" s="3" t="s">
        <v>10336</v>
      </c>
    </row>
    <row r="3431" spans="1:8" ht="77.25" x14ac:dyDescent="0.25">
      <c r="A3431" s="3" t="s">
        <v>10337</v>
      </c>
      <c r="B3431" s="3"/>
      <c r="C3431" s="3" t="str">
        <f>"We provide full architectural services, including consulting, design, construction documents, construction administration, mechanical, electrical, plumbing, energy audits, physical needs assessments, planning, drafting."</f>
        <v>We provide full architectural services, including consulting, design, construction documents, construction administration, mechanical, electrical, plumbing, energy audits, physical needs assessments, planning, drafting.</v>
      </c>
      <c r="D3431" s="3" t="s">
        <v>10338</v>
      </c>
      <c r="E3431" s="3" t="s">
        <v>10339</v>
      </c>
      <c r="F3431" s="3" t="str">
        <f>"574-233-2119"</f>
        <v>574-233-2119</v>
      </c>
      <c r="G3431" s="3">
        <v>541310</v>
      </c>
      <c r="H3431" s="3" t="s">
        <v>446</v>
      </c>
    </row>
    <row r="3432" spans="1:8" ht="153.75" x14ac:dyDescent="0.25">
      <c r="A3432" s="3" t="s">
        <v>10340</v>
      </c>
      <c r="B3432" s="3"/>
      <c r="C3432" s="3" t="s">
        <v>10341</v>
      </c>
      <c r="D3432" s="3" t="s">
        <v>10342</v>
      </c>
      <c r="E3432" s="3" t="s">
        <v>10343</v>
      </c>
      <c r="F3432" s="3" t="str">
        <f>"(260) 413-0659"</f>
        <v>(260) 413-0659</v>
      </c>
      <c r="G3432" s="3">
        <v>541511</v>
      </c>
      <c r="H3432" s="3" t="s">
        <v>122</v>
      </c>
    </row>
    <row r="3433" spans="1:8" ht="51.75" x14ac:dyDescent="0.25">
      <c r="A3433" s="3" t="s">
        <v>10344</v>
      </c>
      <c r="B3433" s="3"/>
      <c r="C3433" s="3" t="str">
        <f>"Payroll accounting services, bookkeeping, clerical and e-rate administration and retail saless and installation of window treatments (light control products)."</f>
        <v>Payroll accounting services, bookkeeping, clerical and e-rate administration and retail saless and installation of window treatments (light control products).</v>
      </c>
      <c r="D3433" s="3" t="s">
        <v>9</v>
      </c>
      <c r="E3433" s="3" t="s">
        <v>10345</v>
      </c>
      <c r="F3433" s="3" t="str">
        <f>"765-855-2498"</f>
        <v>765-855-2498</v>
      </c>
      <c r="G3433" s="3">
        <v>444190</v>
      </c>
      <c r="H3433" s="3" t="s">
        <v>1188</v>
      </c>
    </row>
    <row r="3434" spans="1:8" ht="51.75" x14ac:dyDescent="0.25">
      <c r="A3434" s="3" t="s">
        <v>10346</v>
      </c>
      <c r="B3434" s="3"/>
      <c r="C3434" s="3" t="str">
        <f>"Foso Construction, LLC. is a general contractor that specializes in underground utility installation, rehabilitation and vac truck services."</f>
        <v>Foso Construction, LLC. is a general contractor that specializes in underground utility installation, rehabilitation and vac truck services.</v>
      </c>
      <c r="D3434" s="3" t="s">
        <v>10347</v>
      </c>
      <c r="E3434" s="3" t="s">
        <v>10348</v>
      </c>
      <c r="F3434" s="3" t="str">
        <f>"317-362-0645"</f>
        <v>317-362-0645</v>
      </c>
      <c r="G3434" s="3">
        <v>236220</v>
      </c>
      <c r="H3434" s="3" t="s">
        <v>598</v>
      </c>
    </row>
    <row r="3435" spans="1:8" ht="217.5" x14ac:dyDescent="0.25">
      <c r="A3435" s="3" t="s">
        <v>10349</v>
      </c>
      <c r="B3435" s="3"/>
      <c r="C3435" s="3" t="s">
        <v>10350</v>
      </c>
      <c r="D3435" s="3" t="s">
        <v>10351</v>
      </c>
      <c r="E3435" s="3" t="s">
        <v>10352</v>
      </c>
      <c r="F3435" s="3" t="str">
        <f>"800-244-9809"</f>
        <v>800-244-9809</v>
      </c>
      <c r="G3435" s="3">
        <v>54143</v>
      </c>
      <c r="H3435" s="3" t="s">
        <v>78</v>
      </c>
    </row>
    <row r="3436" spans="1:8" ht="26.25" x14ac:dyDescent="0.25">
      <c r="A3436" s="3" t="s">
        <v>10353</v>
      </c>
      <c r="B3436" s="3"/>
      <c r="C3436" s="3" t="str">
        <f>"Excavation, crane, welding, piping &amp; trucking"</f>
        <v>Excavation, crane, welding, piping &amp; trucking</v>
      </c>
      <c r="D3436" s="3" t="s">
        <v>9</v>
      </c>
      <c r="E3436" s="3" t="s">
        <v>10354</v>
      </c>
      <c r="F3436" s="3" t="str">
        <f>"812-445-3110"</f>
        <v>812-445-3110</v>
      </c>
      <c r="G3436" s="3">
        <v>23891</v>
      </c>
      <c r="H3436" s="3" t="s">
        <v>886</v>
      </c>
    </row>
    <row r="3437" spans="1:8" ht="128.25" x14ac:dyDescent="0.25">
      <c r="A3437" s="3" t="s">
        <v>10355</v>
      </c>
      <c r="B3437" s="3"/>
      <c r="C3437" s="3" t="s">
        <v>10356</v>
      </c>
      <c r="D3437" s="3" t="s">
        <v>10357</v>
      </c>
      <c r="E3437" s="3" t="s">
        <v>10358</v>
      </c>
      <c r="F3437" s="3" t="str">
        <f>"317-594-9933"</f>
        <v>317-594-9933</v>
      </c>
      <c r="G3437" s="3">
        <v>54137</v>
      </c>
      <c r="H3437" s="3" t="s">
        <v>160</v>
      </c>
    </row>
    <row r="3438" spans="1:8" ht="26.25" x14ac:dyDescent="0.25">
      <c r="A3438" s="3" t="s">
        <v>10359</v>
      </c>
      <c r="B3438" s="3"/>
      <c r="C3438" s="3" t="str">
        <f>" "</f>
        <v xml:space="preserve"> </v>
      </c>
      <c r="D3438" s="3" t="s">
        <v>10360</v>
      </c>
      <c r="E3438" s="3" t="s">
        <v>46</v>
      </c>
      <c r="F3438" s="3" t="str">
        <f>"800-382-0808"</f>
        <v>800-382-0808</v>
      </c>
      <c r="G3438" s="3">
        <v>51119</v>
      </c>
      <c r="H3438" s="3" t="s">
        <v>10361</v>
      </c>
    </row>
    <row r="3439" spans="1:8" ht="217.5" x14ac:dyDescent="0.25">
      <c r="A3439" s="3" t="s">
        <v>10362</v>
      </c>
      <c r="B3439" s="3"/>
      <c r="C3439" s="3" t="s">
        <v>10363</v>
      </c>
      <c r="D3439" s="3" t="s">
        <v>10364</v>
      </c>
      <c r="E3439" s="3" t="s">
        <v>10365</v>
      </c>
      <c r="F3439" s="3" t="str">
        <f>"317-339-8869"</f>
        <v>317-339-8869</v>
      </c>
      <c r="G3439" s="3">
        <v>541219</v>
      </c>
      <c r="H3439" s="3" t="s">
        <v>2010</v>
      </c>
    </row>
    <row r="3440" spans="1:8" ht="192" x14ac:dyDescent="0.25">
      <c r="A3440" s="3" t="s">
        <v>10366</v>
      </c>
      <c r="B3440" s="3"/>
      <c r="C3440" s="3" t="s">
        <v>10367</v>
      </c>
      <c r="D3440" s="3" t="s">
        <v>10368</v>
      </c>
      <c r="E3440" s="3" t="s">
        <v>10369</v>
      </c>
      <c r="F3440" s="3" t="str">
        <f>"317.208.1717"</f>
        <v>317.208.1717</v>
      </c>
      <c r="G3440" s="3">
        <v>541511</v>
      </c>
      <c r="H3440" s="3" t="s">
        <v>122</v>
      </c>
    </row>
    <row r="3441" spans="1:8" ht="51.75" x14ac:dyDescent="0.25">
      <c r="A3441" s="3" t="s">
        <v>10370</v>
      </c>
      <c r="B3441" s="3"/>
      <c r="C3441" s="3" t="str">
        <f>"Picture framing for wide range of artwork and objects. Consultation for commercial jobs with regard to artwork supply and layout provided. Installation also provided."</f>
        <v>Picture framing for wide range of artwork and objects. Consultation for commercial jobs with regard to artwork supply and layout provided. Installation also provided.</v>
      </c>
      <c r="D3441" s="3" t="s">
        <v>9</v>
      </c>
      <c r="E3441" s="3" t="s">
        <v>10371</v>
      </c>
      <c r="F3441" s="3" t="str">
        <f>"317.228.9532"</f>
        <v>317.228.9532</v>
      </c>
      <c r="G3441" s="3">
        <v>453920</v>
      </c>
      <c r="H3441" s="3" t="s">
        <v>2616</v>
      </c>
    </row>
    <row r="3442" spans="1:8" ht="26.25" x14ac:dyDescent="0.25">
      <c r="A3442" s="3" t="s">
        <v>10372</v>
      </c>
      <c r="B3442" s="3"/>
      <c r="C3442" s="3" t="str">
        <f>"Floor covering retail sales"</f>
        <v>Floor covering retail sales</v>
      </c>
      <c r="D3442" s="3" t="s">
        <v>9</v>
      </c>
      <c r="E3442" s="3" t="s">
        <v>46</v>
      </c>
      <c r="F3442" s="3" t="str">
        <f>"812/523-3400"</f>
        <v>812/523-3400</v>
      </c>
      <c r="G3442" s="3">
        <v>442210</v>
      </c>
      <c r="H3442" s="3" t="s">
        <v>2301</v>
      </c>
    </row>
    <row r="3443" spans="1:8" ht="294" x14ac:dyDescent="0.25">
      <c r="A3443" s="3" t="s">
        <v>10373</v>
      </c>
      <c r="B3443" s="3"/>
      <c r="C3443" s="3" t="s">
        <v>10374</v>
      </c>
      <c r="D3443" s="3" t="s">
        <v>10375</v>
      </c>
      <c r="E3443" s="3" t="s">
        <v>10376</v>
      </c>
      <c r="F3443" s="3" t="str">
        <f>"800-264-1405"</f>
        <v>800-264-1405</v>
      </c>
      <c r="G3443" s="3">
        <v>721110</v>
      </c>
      <c r="H3443" s="3" t="s">
        <v>872</v>
      </c>
    </row>
    <row r="3444" spans="1:8" ht="51.75" x14ac:dyDescent="0.25">
      <c r="A3444" s="3" t="s">
        <v>10377</v>
      </c>
      <c r="B3444" s="3"/>
      <c r="C3444" s="3" t="str">
        <f>"The purpose of Fourth Generation Investing is to assist state, local, federal government, and commercial businesses with all contruction and remodeling needs"</f>
        <v>The purpose of Fourth Generation Investing is to assist state, local, federal government, and commercial businesses with all contruction and remodeling needs</v>
      </c>
      <c r="D3444" s="3" t="s">
        <v>9</v>
      </c>
      <c r="E3444" s="3" t="s">
        <v>10378</v>
      </c>
      <c r="F3444" s="3" t="str">
        <f>"317-9374514"</f>
        <v>317-9374514</v>
      </c>
      <c r="G3444" s="3">
        <v>23</v>
      </c>
      <c r="H3444" s="3" t="s">
        <v>133</v>
      </c>
    </row>
    <row r="3445" spans="1:8" ht="26.25" x14ac:dyDescent="0.25">
      <c r="A3445" s="3" t="s">
        <v>10379</v>
      </c>
      <c r="B3445" s="3"/>
      <c r="C3445" s="3" t="str">
        <f>" "</f>
        <v xml:space="preserve"> </v>
      </c>
      <c r="D3445" s="3" t="s">
        <v>9</v>
      </c>
      <c r="E3445" s="3" t="s">
        <v>10380</v>
      </c>
      <c r="F3445" s="3" t="str">
        <f>"765-884-0730"</f>
        <v>765-884-0730</v>
      </c>
      <c r="G3445" s="3">
        <v>11</v>
      </c>
      <c r="H3445" s="3" t="s">
        <v>175</v>
      </c>
    </row>
    <row r="3446" spans="1:8" ht="102.75" x14ac:dyDescent="0.25">
      <c r="A3446" s="3" t="s">
        <v>10381</v>
      </c>
      <c r="B3446" s="3"/>
      <c r="C3446" s="3" t="s">
        <v>10382</v>
      </c>
      <c r="D3446" s="3" t="s">
        <v>10383</v>
      </c>
      <c r="E3446" s="3" t="s">
        <v>10384</v>
      </c>
      <c r="F3446" s="3" t="str">
        <f>"317-466-1368"</f>
        <v>317-466-1368</v>
      </c>
      <c r="G3446" s="3">
        <v>444190</v>
      </c>
      <c r="H3446" s="3" t="s">
        <v>1188</v>
      </c>
    </row>
    <row r="3447" spans="1:8" ht="166.5" x14ac:dyDescent="0.25">
      <c r="A3447" s="3" t="s">
        <v>10385</v>
      </c>
      <c r="B3447" s="3"/>
      <c r="C3447" s="3" t="s">
        <v>10386</v>
      </c>
      <c r="D3447" s="3" t="s">
        <v>10387</v>
      </c>
      <c r="E3447" s="3" t="s">
        <v>10388</v>
      </c>
      <c r="F3447" s="3" t="str">
        <f>"812-383-9911"</f>
        <v>812-383-9911</v>
      </c>
      <c r="G3447" s="3">
        <v>541620</v>
      </c>
      <c r="H3447" s="3" t="s">
        <v>216</v>
      </c>
    </row>
    <row r="3448" spans="1:8" ht="26.25" x14ac:dyDescent="0.25">
      <c r="A3448" s="3" t="s">
        <v>10389</v>
      </c>
      <c r="B3448" s="3"/>
      <c r="C3448" s="3" t="str">
        <f>"WE sell and service farm equipment and outdoor power equipment."</f>
        <v>WE sell and service farm equipment and outdoor power equipment.</v>
      </c>
      <c r="D3448" s="3" t="s">
        <v>10390</v>
      </c>
      <c r="E3448" s="3" t="s">
        <v>10391</v>
      </c>
      <c r="F3448" s="3" t="str">
        <f>"765-932-4133"</f>
        <v>765-932-4133</v>
      </c>
      <c r="G3448" s="3">
        <v>444210</v>
      </c>
      <c r="H3448" s="3" t="s">
        <v>392</v>
      </c>
    </row>
    <row r="3449" spans="1:8" ht="39" x14ac:dyDescent="0.25">
      <c r="A3449" s="3" t="s">
        <v>10392</v>
      </c>
      <c r="B3449" s="3"/>
      <c r="C3449" s="3" t="str">
        <f>"Manufacture frames, mats glass, mirrors, posters and related supplies wholesale, retail and for distribution."</f>
        <v>Manufacture frames, mats glass, mirrors, posters and related supplies wholesale, retail and for distribution.</v>
      </c>
      <c r="D3449" s="3" t="s">
        <v>9</v>
      </c>
      <c r="E3449" s="3" t="s">
        <v>46</v>
      </c>
      <c r="F3449" s="2"/>
      <c r="G3449" s="3">
        <v>423220</v>
      </c>
      <c r="H3449" s="3" t="s">
        <v>3550</v>
      </c>
    </row>
    <row r="3450" spans="1:8" ht="77.25" x14ac:dyDescent="0.25">
      <c r="A3450" s="3" t="s">
        <v>10393</v>
      </c>
      <c r="B3450" s="3"/>
      <c r="C3450" s="3" t="str">
        <f>"We produce banners, signs, corporate and fleet vinyl graphics and vehicle wraps. We also offer business cards, full graphic design services, logo design, re-branding services, corporate branding, decaland label design and production."</f>
        <v>We produce banners, signs, corporate and fleet vinyl graphics and vehicle wraps. We also offer business cards, full graphic design services, logo design, re-branding services, corporate branding, decaland label design and production.</v>
      </c>
      <c r="D3450" s="3" t="s">
        <v>10394</v>
      </c>
      <c r="E3450" s="3" t="s">
        <v>10395</v>
      </c>
      <c r="F3450" s="3" t="str">
        <f>"888-383-7911"</f>
        <v>888-383-7911</v>
      </c>
      <c r="G3450" s="3">
        <v>339950</v>
      </c>
      <c r="H3450" s="3" t="s">
        <v>68</v>
      </c>
    </row>
    <row r="3451" spans="1:8" ht="77.25" x14ac:dyDescent="0.25">
      <c r="A3451" s="3" t="s">
        <v>10396</v>
      </c>
      <c r="B3451" s="3"/>
      <c r="C3451" s="3" t="str">
        <f>"Francesville Drain Tile is an Indiana based manufacturer of corrugated high density polyethylene (HDPE) pipe and fittings used for control and drainage of storm water in agricultural, industrial construction, and residential construction applications."</f>
        <v>Francesville Drain Tile is an Indiana based manufacturer of corrugated high density polyethylene (HDPE) pipe and fittings used for control and drainage of storm water in agricultural, industrial construction, and residential construction applications.</v>
      </c>
      <c r="D3451" s="3" t="s">
        <v>10397</v>
      </c>
      <c r="E3451" s="3" t="s">
        <v>10398</v>
      </c>
      <c r="F3451" s="3" t="str">
        <f>"219-567-9133"</f>
        <v>219-567-9133</v>
      </c>
      <c r="G3451" s="3">
        <v>326122</v>
      </c>
      <c r="H3451" s="3" t="s">
        <v>6717</v>
      </c>
    </row>
    <row r="3452" spans="1:8" ht="39" x14ac:dyDescent="0.25">
      <c r="A3452" s="3" t="s">
        <v>10399</v>
      </c>
      <c r="B3452" s="3"/>
      <c r="C3452" s="3" t="str">
        <f>"We sell Commercial, Personal, Group Health, and Individual Life &amp; Health Insurance."</f>
        <v>We sell Commercial, Personal, Group Health, and Individual Life &amp; Health Insurance.</v>
      </c>
      <c r="D3452" s="3" t="s">
        <v>9</v>
      </c>
      <c r="E3452" s="3" t="s">
        <v>10400</v>
      </c>
      <c r="F3452" s="3" t="str">
        <f>"317-262-2250"</f>
        <v>317-262-2250</v>
      </c>
      <c r="G3452" s="3">
        <v>524210</v>
      </c>
      <c r="H3452" s="3" t="s">
        <v>1183</v>
      </c>
    </row>
    <row r="3453" spans="1:8" ht="39" x14ac:dyDescent="0.25">
      <c r="A3453" s="3" t="s">
        <v>10401</v>
      </c>
      <c r="B3453" s="3"/>
      <c r="C3453" s="3" t="str">
        <f>"Civil engineering firm providing highways, roads and street design services. We also provide construction inspection services."</f>
        <v>Civil engineering firm providing highways, roads and street design services. We also provide construction inspection services.</v>
      </c>
      <c r="D3453" s="3" t="s">
        <v>10402</v>
      </c>
      <c r="E3453" s="3" t="s">
        <v>10403</v>
      </c>
      <c r="F3453" s="3" t="str">
        <f>"317-782-8500"</f>
        <v>317-782-8500</v>
      </c>
      <c r="G3453" s="3">
        <v>54133</v>
      </c>
      <c r="H3453" s="3" t="s">
        <v>82</v>
      </c>
    </row>
    <row r="3454" spans="1:8" ht="39" x14ac:dyDescent="0.25">
      <c r="A3454" s="3" t="s">
        <v>10404</v>
      </c>
      <c r="B3454" s="3"/>
      <c r="C3454" s="3" t="str">
        <f>"Frangipani is an all natural skin care line including face washes, face serums, hand and face lotions, and body oils."</f>
        <v>Frangipani is an all natural skin care line including face washes, face serums, hand and face lotions, and body oils.</v>
      </c>
      <c r="D3454" s="3" t="s">
        <v>10405</v>
      </c>
      <c r="E3454" s="3" t="s">
        <v>10406</v>
      </c>
      <c r="F3454" s="3" t="str">
        <f>"3177825009"</f>
        <v>3177825009</v>
      </c>
      <c r="G3454" s="3">
        <v>44612</v>
      </c>
      <c r="H3454" s="3" t="s">
        <v>10407</v>
      </c>
    </row>
    <row r="3455" spans="1:8" ht="39" x14ac:dyDescent="0.25">
      <c r="A3455" s="3" t="s">
        <v>10408</v>
      </c>
      <c r="B3455" s="3"/>
      <c r="C3455" s="3" t="str">
        <f>"Commercial plumbing, heating, air conditioning, and process piping contractor."</f>
        <v>Commercial plumbing, heating, air conditioning, and process piping contractor.</v>
      </c>
      <c r="D3455" s="3" t="s">
        <v>9</v>
      </c>
      <c r="E3455" s="3" t="s">
        <v>46</v>
      </c>
      <c r="F3455" s="3" t="str">
        <f>"317-357-2337"</f>
        <v>317-357-2337</v>
      </c>
      <c r="G3455" s="3">
        <v>238220</v>
      </c>
      <c r="H3455" s="3" t="s">
        <v>348</v>
      </c>
    </row>
    <row r="3456" spans="1:8" ht="39" x14ac:dyDescent="0.25">
      <c r="A3456" s="3" t="s">
        <v>10409</v>
      </c>
      <c r="B3456" s="3"/>
      <c r="C3456" s="3" t="str">
        <f>"Industrial, Residential, and Construction Supplies"</f>
        <v>Industrial, Residential, and Construction Supplies</v>
      </c>
      <c r="D3456" s="3" t="s">
        <v>9</v>
      </c>
      <c r="E3456" s="3" t="s">
        <v>10410</v>
      </c>
      <c r="F3456" s="3" t="str">
        <f>"765-689-7419"</f>
        <v>765-689-7419</v>
      </c>
      <c r="G3456" s="3">
        <v>423810</v>
      </c>
      <c r="H3456" s="3" t="s">
        <v>4276</v>
      </c>
    </row>
    <row r="3457" spans="1:8" ht="64.5" x14ac:dyDescent="0.25">
      <c r="A3457" s="3" t="s">
        <v>10411</v>
      </c>
      <c r="B3457" s="3"/>
      <c r="C3457" s="3" t="str">
        <f>"Frank's Violins has been serving Indiana for over 30 years. Violin, viola, cello, bass, bows, mandolin, guitar, and more. Sales, repair, instruction, music, sheet music, and accessories 317-251-5950"</f>
        <v>Frank's Violins has been serving Indiana for over 30 years. Violin, viola, cello, bass, bows, mandolin, guitar, and more. Sales, repair, instruction, music, sheet music, and accessories 317-251-5950</v>
      </c>
      <c r="D3457" s="3" t="s">
        <v>10412</v>
      </c>
      <c r="E3457" s="3" t="s">
        <v>10413</v>
      </c>
      <c r="F3457" s="3" t="str">
        <f>"317-251-5950"</f>
        <v>317-251-5950</v>
      </c>
      <c r="G3457" s="3">
        <v>45114</v>
      </c>
      <c r="H3457" s="3" t="s">
        <v>10414</v>
      </c>
    </row>
    <row r="3458" spans="1:8" ht="26.25" x14ac:dyDescent="0.25">
      <c r="A3458" s="3" t="s">
        <v>10415</v>
      </c>
      <c r="B3458" s="3"/>
      <c r="C3458" s="3" t="str">
        <f>"Sales &amp; service for Municipal &amp; Industrial Water &amp; Wastewater treatment systems."</f>
        <v>Sales &amp; service for Municipal &amp; Industrial Water &amp; Wastewater treatment systems.</v>
      </c>
      <c r="D3458" s="3" t="s">
        <v>9</v>
      </c>
      <c r="E3458" s="3" t="s">
        <v>46</v>
      </c>
      <c r="F3458" s="2"/>
      <c r="G3458" s="3">
        <v>541330</v>
      </c>
      <c r="H3458" s="3" t="s">
        <v>82</v>
      </c>
    </row>
    <row r="3459" spans="1:8" ht="102.75" x14ac:dyDescent="0.25">
      <c r="A3459" s="3" t="s">
        <v>10416</v>
      </c>
      <c r="B3459" s="3"/>
      <c r="C3459" s="3" t="s">
        <v>10417</v>
      </c>
      <c r="D3459" s="3" t="s">
        <v>9</v>
      </c>
      <c r="E3459" s="3" t="s">
        <v>10418</v>
      </c>
      <c r="F3459" s="3" t="str">
        <f>"317/822-8455"</f>
        <v>317/822-8455</v>
      </c>
      <c r="G3459" s="3">
        <v>453920</v>
      </c>
      <c r="H3459" s="3" t="s">
        <v>2616</v>
      </c>
    </row>
    <row r="3460" spans="1:8" x14ac:dyDescent="0.25">
      <c r="A3460" s="3" t="s">
        <v>10419</v>
      </c>
      <c r="B3460" s="3"/>
      <c r="C3460" s="3" t="str">
        <f>" "</f>
        <v xml:space="preserve"> </v>
      </c>
      <c r="D3460" s="3" t="s">
        <v>9</v>
      </c>
      <c r="E3460" s="3" t="s">
        <v>46</v>
      </c>
      <c r="F3460" s="2"/>
      <c r="G3460" s="3">
        <v>921190</v>
      </c>
      <c r="H3460" s="3" t="s">
        <v>4809</v>
      </c>
    </row>
    <row r="3461" spans="1:8" ht="39" x14ac:dyDescent="0.25">
      <c r="A3461" s="3" t="s">
        <v>10420</v>
      </c>
      <c r="B3461" s="3"/>
      <c r="C3461" s="3" t="str">
        <f>"Drywall, Finish drywall, wood and metal framing, commerical insulation and Accoustical Ceilings"</f>
        <v>Drywall, Finish drywall, wood and metal framing, commerical insulation and Accoustical Ceilings</v>
      </c>
      <c r="D3461" s="3" t="s">
        <v>10421</v>
      </c>
      <c r="E3461" s="3" t="s">
        <v>10422</v>
      </c>
      <c r="F3461" s="3" t="str">
        <f>"8129899481"</f>
        <v>8129899481</v>
      </c>
      <c r="G3461" s="3">
        <v>238310</v>
      </c>
      <c r="H3461" s="3" t="s">
        <v>2526</v>
      </c>
    </row>
    <row r="3462" spans="1:8" ht="39" x14ac:dyDescent="0.25">
      <c r="A3462" s="3" t="s">
        <v>10423</v>
      </c>
      <c r="B3462" s="3"/>
      <c r="C3462" s="3" t="str">
        <f>"build dies for metal stampings and have presses from 60-600 tons. Have ISO9001:2008 certification and lab"</f>
        <v>build dies for metal stampings and have presses from 60-600 tons. Have ISO9001:2008 certification and lab</v>
      </c>
      <c r="D3462" s="3" t="s">
        <v>10424</v>
      </c>
      <c r="E3462" s="3" t="s">
        <v>10425</v>
      </c>
      <c r="F3462" s="3" t="str">
        <f>"765-282-5138"</f>
        <v>765-282-5138</v>
      </c>
      <c r="G3462" s="3">
        <v>322110</v>
      </c>
      <c r="H3462" s="3" t="s">
        <v>10426</v>
      </c>
    </row>
    <row r="3463" spans="1:8" ht="77.25" x14ac:dyDescent="0.25">
      <c r="A3463" s="3" t="s">
        <v>10427</v>
      </c>
      <c r="B3463" s="3"/>
      <c r="C3463" s="3" t="str">
        <f>"Frascio provides high quality decorative door lever sets and other door hardware, including entry sets and cabinet hardware. All Frascio products are solid brass and are produced with Italian style and craftsmanship."</f>
        <v>Frascio provides high quality decorative door lever sets and other door hardware, including entry sets and cabinet hardware. All Frascio products are solid brass and are produced with Italian style and craftsmanship.</v>
      </c>
      <c r="D3463" s="3" t="s">
        <v>10428</v>
      </c>
      <c r="E3463" s="3" t="s">
        <v>10429</v>
      </c>
      <c r="F3463" s="3" t="str">
        <f>"3173582355"</f>
        <v>3173582355</v>
      </c>
      <c r="G3463" s="3">
        <v>423710</v>
      </c>
      <c r="H3463" s="3" t="s">
        <v>6956</v>
      </c>
    </row>
    <row r="3464" spans="1:8" ht="64.5" x14ac:dyDescent="0.25">
      <c r="A3464" s="3" t="s">
        <v>10430</v>
      </c>
      <c r="B3464" s="3"/>
      <c r="C3464" s="3" t="str">
        <f>"Full service wholesale optical laboratory, manufacturing lenses and suppling frames for the optical industry, including safety glasses, glass, polycarboonate, HI-index and Trivex lenses."</f>
        <v>Full service wholesale optical laboratory, manufacturing lenses and suppling frames for the optical industry, including safety glasses, glass, polycarboonate, HI-index and Trivex lenses.</v>
      </c>
      <c r="D3464" s="3" t="s">
        <v>9</v>
      </c>
      <c r="E3464" s="3" t="s">
        <v>10431</v>
      </c>
      <c r="F3464" s="3" t="str">
        <f>"260-747-9653"</f>
        <v>260-747-9653</v>
      </c>
      <c r="G3464" s="3">
        <v>339115</v>
      </c>
      <c r="H3464" s="3" t="s">
        <v>2570</v>
      </c>
    </row>
    <row r="3465" spans="1:8" ht="64.5" x14ac:dyDescent="0.25">
      <c r="A3465" s="3" t="s">
        <v>10432</v>
      </c>
      <c r="B3465" s="3"/>
      <c r="C3465" s="3" t="str">
        <f>"Freckles Graphics, Inc. is a state-of-the-art screenprinting, embroidery and graphics company that specializes in custom apparel, design and promotional products at a price you can afford."</f>
        <v>Freckles Graphics, Inc. is a state-of-the-art screenprinting, embroidery and graphics company that specializes in custom apparel, design and promotional products at a price you can afford.</v>
      </c>
      <c r="D3465" s="3" t="s">
        <v>10433</v>
      </c>
      <c r="E3465" s="3" t="s">
        <v>10434</v>
      </c>
      <c r="F3465" s="3" t="str">
        <f>"7654498463"</f>
        <v>7654498463</v>
      </c>
      <c r="G3465" s="3">
        <v>313312</v>
      </c>
      <c r="H3465" s="3" t="s">
        <v>4766</v>
      </c>
    </row>
    <row r="3466" spans="1:8" ht="64.5" x14ac:dyDescent="0.25">
      <c r="A3466" s="3" t="s">
        <v>10435</v>
      </c>
      <c r="B3466" s="3"/>
      <c r="C3466" s="3" t="str">
        <f>"Consulting services in the area of leadership, organization, and community development. Work with for profit and not for profit groups on planning, evaluation, training, etc."</f>
        <v>Consulting services in the area of leadership, organization, and community development. Work with for profit and not for profit groups on planning, evaluation, training, etc.</v>
      </c>
      <c r="D3466" s="3" t="s">
        <v>9</v>
      </c>
      <c r="E3466" s="3" t="s">
        <v>10436</v>
      </c>
      <c r="F3466" s="3" t="str">
        <f>"812-372-7263"</f>
        <v>812-372-7263</v>
      </c>
      <c r="G3466" s="3">
        <v>541990</v>
      </c>
      <c r="H3466" s="3" t="s">
        <v>378</v>
      </c>
    </row>
    <row r="3467" spans="1:8" ht="39" x14ac:dyDescent="0.25">
      <c r="A3467" s="3" t="s">
        <v>10437</v>
      </c>
      <c r="B3467" s="3"/>
      <c r="C3467" s="3" t="str">
        <f>"Residential, commercial and industrial office cleaning, carpet cleaning, floor maintenance."</f>
        <v>Residential, commercial and industrial office cleaning, carpet cleaning, floor maintenance.</v>
      </c>
      <c r="D3467" s="3" t="s">
        <v>9</v>
      </c>
      <c r="E3467" s="3" t="s">
        <v>46</v>
      </c>
      <c r="F3467" s="2"/>
      <c r="G3467" s="3">
        <v>561720</v>
      </c>
      <c r="H3467" s="3" t="s">
        <v>222</v>
      </c>
    </row>
    <row r="3468" spans="1:8" ht="281.25" x14ac:dyDescent="0.25">
      <c r="A3468" s="3" t="s">
        <v>10438</v>
      </c>
      <c r="B3468" s="3"/>
      <c r="C3468" s="3" t="s">
        <v>10439</v>
      </c>
      <c r="D3468" s="3" t="s">
        <v>10440</v>
      </c>
      <c r="E3468" s="3" t="s">
        <v>10441</v>
      </c>
      <c r="F3468" s="3" t="str">
        <f>"(317) 777-6493"</f>
        <v>(317) 777-6493</v>
      </c>
      <c r="G3468" s="3">
        <v>238220</v>
      </c>
      <c r="H3468" s="3" t="s">
        <v>348</v>
      </c>
    </row>
    <row r="3469" spans="1:8" ht="115.5" x14ac:dyDescent="0.25">
      <c r="A3469" s="3" t="s">
        <v>10442</v>
      </c>
      <c r="B3469" s="3"/>
      <c r="C3469" s="3" t="s">
        <v>10443</v>
      </c>
      <c r="D3469" s="3" t="s">
        <v>10444</v>
      </c>
      <c r="E3469" s="3" t="s">
        <v>10445</v>
      </c>
      <c r="F3469" s="3" t="str">
        <f>"574-536-4072"</f>
        <v>574-536-4072</v>
      </c>
      <c r="G3469" s="3">
        <v>314999</v>
      </c>
      <c r="H3469" s="3" t="s">
        <v>6142</v>
      </c>
    </row>
    <row r="3470" spans="1:8" ht="26.25" x14ac:dyDescent="0.25">
      <c r="A3470" s="3" t="s">
        <v>10446</v>
      </c>
      <c r="B3470" s="3"/>
      <c r="C3470" s="3" t="str">
        <f>"Institutional pharmacy serving long term care, MR/DD, and correctional facilities."</f>
        <v>Institutional pharmacy serving long term care, MR/DD, and correctional facilities.</v>
      </c>
      <c r="D3470" s="3" t="s">
        <v>9</v>
      </c>
      <c r="E3470" s="3" t="s">
        <v>10447</v>
      </c>
      <c r="F3470" s="3" t="str">
        <f>"888-852-1553"</f>
        <v>888-852-1553</v>
      </c>
      <c r="G3470" s="3">
        <v>446110</v>
      </c>
      <c r="H3470" s="3" t="s">
        <v>3738</v>
      </c>
    </row>
    <row r="3471" spans="1:8" ht="64.5" x14ac:dyDescent="0.25">
      <c r="A3471" s="3" t="s">
        <v>10448</v>
      </c>
      <c r="B3471" s="3"/>
      <c r="C3471" s="3" t="str">
        <f>"Staffing and Solutions company providing programming solutions to Federal, State and Corporate clients regarding technology solutions including design, implementation, support and refresh requirements."</f>
        <v>Staffing and Solutions company providing programming solutions to Federal, State and Corporate clients regarding technology solutions including design, implementation, support and refresh requirements.</v>
      </c>
      <c r="D3471" s="3" t="s">
        <v>10449</v>
      </c>
      <c r="E3471" s="3" t="s">
        <v>10450</v>
      </c>
      <c r="F3471" s="3" t="str">
        <f>"317-201-6569"</f>
        <v>317-201-6569</v>
      </c>
      <c r="G3471" s="3">
        <v>54151</v>
      </c>
      <c r="H3471" s="3" t="s">
        <v>188</v>
      </c>
    </row>
    <row r="3472" spans="1:8" ht="294" x14ac:dyDescent="0.25">
      <c r="A3472" s="3" t="s">
        <v>10451</v>
      </c>
      <c r="B3472" s="3"/>
      <c r="C3472" s="3" t="s">
        <v>10452</v>
      </c>
      <c r="D3472" s="3" t="s">
        <v>10449</v>
      </c>
      <c r="E3472" s="3" t="s">
        <v>10450</v>
      </c>
      <c r="F3472" s="3" t="str">
        <f>"(317) 549-9744"</f>
        <v>(317) 549-9744</v>
      </c>
      <c r="G3472" s="3">
        <v>5613</v>
      </c>
      <c r="H3472" s="3" t="s">
        <v>1882</v>
      </c>
    </row>
    <row r="3473" spans="1:8" ht="51.75" x14ac:dyDescent="0.25">
      <c r="A3473" s="3" t="s">
        <v>10453</v>
      </c>
      <c r="B3473" s="3"/>
      <c r="C3473" s="3" t="str">
        <f>"Installation, service, repair of HVAC equipment specializing in industrial/commercial. Facilities Management"</f>
        <v>Installation, service, repair of HVAC equipment specializing in industrial/commercial. Facilities Management</v>
      </c>
      <c r="D3473" s="3" t="s">
        <v>9</v>
      </c>
      <c r="E3473" s="3" t="s">
        <v>10454</v>
      </c>
      <c r="F3473" s="3" t="str">
        <f>"317-888-2778"</f>
        <v>317-888-2778</v>
      </c>
      <c r="G3473" s="3">
        <v>238220</v>
      </c>
      <c r="H3473" s="3" t="s">
        <v>348</v>
      </c>
    </row>
    <row r="3474" spans="1:8" ht="39" x14ac:dyDescent="0.25">
      <c r="A3474" s="3" t="s">
        <v>10455</v>
      </c>
      <c r="B3474" s="3"/>
      <c r="C3474" s="3" t="str">
        <f>"Dump Truck Services WithTri-axle Trucks. Hauling Stone, Gravel, Dirt, Construction Debri, Asphalt"</f>
        <v>Dump Truck Services WithTri-axle Trucks. Hauling Stone, Gravel, Dirt, Construction Debri, Asphalt</v>
      </c>
      <c r="D3474" s="3" t="s">
        <v>9</v>
      </c>
      <c r="E3474" s="3" t="s">
        <v>10456</v>
      </c>
      <c r="F3474" s="3" t="str">
        <f>"317-809-4965"</f>
        <v>317-809-4965</v>
      </c>
      <c r="G3474" s="3">
        <v>484220</v>
      </c>
      <c r="H3474" s="3" t="s">
        <v>11</v>
      </c>
    </row>
    <row r="3475" spans="1:8" ht="26.25" x14ac:dyDescent="0.25">
      <c r="A3475" s="3" t="s">
        <v>10457</v>
      </c>
      <c r="B3475" s="3"/>
      <c r="C3475" s="3" t="str">
        <f>"Complete Logistics services"</f>
        <v>Complete Logistics services</v>
      </c>
      <c r="D3475" s="3" t="s">
        <v>10458</v>
      </c>
      <c r="E3475" s="3" t="s">
        <v>46</v>
      </c>
      <c r="F3475" s="3" t="str">
        <f>"888-788-0166"</f>
        <v>888-788-0166</v>
      </c>
      <c r="G3475" s="3">
        <v>484122</v>
      </c>
      <c r="H3475" s="3" t="s">
        <v>8546</v>
      </c>
    </row>
    <row r="3476" spans="1:8" ht="128.25" x14ac:dyDescent="0.25">
      <c r="A3476" s="3" t="s">
        <v>10459</v>
      </c>
      <c r="B3476" s="3"/>
      <c r="C3476" s="3" t="s">
        <v>10460</v>
      </c>
      <c r="D3476" s="3" t="s">
        <v>9</v>
      </c>
      <c r="E3476" s="3" t="s">
        <v>10461</v>
      </c>
      <c r="F3476" s="3" t="str">
        <f>"317-250-8018"</f>
        <v>317-250-8018</v>
      </c>
      <c r="G3476" s="3">
        <v>54161</v>
      </c>
      <c r="H3476" s="3" t="s">
        <v>1221</v>
      </c>
    </row>
    <row r="3477" spans="1:8" ht="26.25" x14ac:dyDescent="0.25">
      <c r="A3477" s="3" t="s">
        <v>10462</v>
      </c>
      <c r="B3477" s="3"/>
      <c r="C3477" s="3" t="str">
        <f>" "</f>
        <v xml:space="preserve"> </v>
      </c>
      <c r="D3477" s="3" t="s">
        <v>9</v>
      </c>
      <c r="E3477" s="3" t="s">
        <v>46</v>
      </c>
      <c r="F3477" s="2"/>
      <c r="G3477" s="3">
        <v>21232</v>
      </c>
      <c r="H3477" s="3" t="s">
        <v>7166</v>
      </c>
    </row>
    <row r="3478" spans="1:8" ht="204.75" x14ac:dyDescent="0.25">
      <c r="A3478" s="3" t="s">
        <v>10463</v>
      </c>
      <c r="B3478" s="3"/>
      <c r="C3478" s="3" t="s">
        <v>10464</v>
      </c>
      <c r="D3478" s="3" t="s">
        <v>10465</v>
      </c>
      <c r="E3478" s="3" t="s">
        <v>10466</v>
      </c>
      <c r="F3478" s="3" t="str">
        <f>"3176634577"</f>
        <v>3176634577</v>
      </c>
      <c r="G3478" s="3">
        <v>54131</v>
      </c>
      <c r="H3478" s="3" t="s">
        <v>446</v>
      </c>
    </row>
    <row r="3479" spans="1:8" ht="51.75" x14ac:dyDescent="0.25">
      <c r="A3479" s="3" t="s">
        <v>10467</v>
      </c>
      <c r="B3479" s="3"/>
      <c r="C3479" s="3" t="str">
        <f>"Fresh Start Counseling Services specializes in alchol and drug abuse counseling.A for profit outpatient facility,providing other related services."</f>
        <v>Fresh Start Counseling Services specializes in alchol and drug abuse counseling.A for profit outpatient facility,providing other related services.</v>
      </c>
      <c r="D3479" s="3" t="s">
        <v>9</v>
      </c>
      <c r="E3479" s="3" t="s">
        <v>46</v>
      </c>
      <c r="F3479" s="3" t="str">
        <f>"(219)933-7990"</f>
        <v>(219)933-7990</v>
      </c>
      <c r="G3479" s="3">
        <v>624190</v>
      </c>
      <c r="H3479" s="3" t="s">
        <v>54</v>
      </c>
    </row>
    <row r="3480" spans="1:8" ht="26.25" x14ac:dyDescent="0.25">
      <c r="A3480" s="3" t="s">
        <v>10468</v>
      </c>
      <c r="B3480" s="3"/>
      <c r="C3480" s="3" t="str">
        <f>"Local and regional hauling of asphalt, stone, and coal"</f>
        <v>Local and regional hauling of asphalt, stone, and coal</v>
      </c>
      <c r="D3480" s="3" t="s">
        <v>9</v>
      </c>
      <c r="E3480" s="3" t="s">
        <v>10469</v>
      </c>
      <c r="F3480" s="3" t="str">
        <f>"812-482-1510"</f>
        <v>812-482-1510</v>
      </c>
      <c r="G3480" s="3">
        <v>484110</v>
      </c>
      <c r="H3480" s="3" t="s">
        <v>644</v>
      </c>
    </row>
    <row r="3481" spans="1:8" ht="26.25" x14ac:dyDescent="0.25">
      <c r="A3481" s="3" t="s">
        <v>10470</v>
      </c>
      <c r="B3481" s="3"/>
      <c r="C3481" s="3" t="str">
        <f>"Family owned trucking and site excavating business founded in 1950."</f>
        <v>Family owned trucking and site excavating business founded in 1950.</v>
      </c>
      <c r="D3481" s="3" t="s">
        <v>9</v>
      </c>
      <c r="E3481" s="3" t="s">
        <v>10471</v>
      </c>
      <c r="F3481" s="3" t="str">
        <f>"260-750-4940"</f>
        <v>260-750-4940</v>
      </c>
      <c r="G3481" s="3">
        <v>238910</v>
      </c>
      <c r="H3481" s="3" t="s">
        <v>886</v>
      </c>
    </row>
    <row r="3482" spans="1:8" ht="153.75" x14ac:dyDescent="0.25">
      <c r="A3482" s="3" t="s">
        <v>10472</v>
      </c>
      <c r="B3482" s="3"/>
      <c r="C3482" s="3" t="s">
        <v>10473</v>
      </c>
      <c r="D3482" s="3" t="s">
        <v>10474</v>
      </c>
      <c r="E3482" s="3" t="s">
        <v>10475</v>
      </c>
      <c r="F3482" s="3" t="str">
        <f>"3174183716"</f>
        <v>3174183716</v>
      </c>
      <c r="G3482" s="3">
        <v>3113</v>
      </c>
      <c r="H3482" s="3" t="s">
        <v>10476</v>
      </c>
    </row>
    <row r="3483" spans="1:8" ht="39" x14ac:dyDescent="0.25">
      <c r="A3483" s="3" t="s">
        <v>10477</v>
      </c>
      <c r="B3483" s="3"/>
      <c r="C3483" s="3" t="str">
        <f>"AHA CPR/First Aid Training, Pre-employment urine drug screens, TB training and TB testing, Other trainings available as well."</f>
        <v>AHA CPR/First Aid Training, Pre-employment urine drug screens, TB training and TB testing, Other trainings available as well.</v>
      </c>
      <c r="D3483" s="3" t="s">
        <v>9</v>
      </c>
      <c r="E3483" s="3" t="s">
        <v>10478</v>
      </c>
      <c r="F3483" s="3" t="str">
        <f>"765-307-0688"</f>
        <v>765-307-0688</v>
      </c>
      <c r="G3483" s="3">
        <v>62</v>
      </c>
      <c r="H3483" s="3" t="s">
        <v>1168</v>
      </c>
    </row>
    <row r="3484" spans="1:8" ht="102.75" x14ac:dyDescent="0.25">
      <c r="A3484" s="3" t="s">
        <v>10479</v>
      </c>
      <c r="B3484" s="3"/>
      <c r="C3484" s="3" t="s">
        <v>10480</v>
      </c>
      <c r="D3484" s="3" t="s">
        <v>10481</v>
      </c>
      <c r="E3484" s="3" t="s">
        <v>10482</v>
      </c>
      <c r="F3484" s="3" t="str">
        <f>"219-736-5493"</f>
        <v>219-736-5493</v>
      </c>
      <c r="G3484" s="3">
        <v>611710</v>
      </c>
      <c r="H3484" s="3" t="s">
        <v>508</v>
      </c>
    </row>
    <row r="3485" spans="1:8" ht="141" x14ac:dyDescent="0.25">
      <c r="A3485" s="3" t="s">
        <v>10483</v>
      </c>
      <c r="B3485" s="3"/>
      <c r="C3485" s="3" t="s">
        <v>10484</v>
      </c>
      <c r="D3485" s="3" t="s">
        <v>9</v>
      </c>
      <c r="E3485" s="3" t="s">
        <v>10485</v>
      </c>
      <c r="F3485" s="3" t="str">
        <f>"317-859-1895"</f>
        <v>317-859-1895</v>
      </c>
      <c r="G3485" s="3">
        <v>561499</v>
      </c>
      <c r="H3485" s="3" t="s">
        <v>3092</v>
      </c>
    </row>
    <row r="3486" spans="1:8" ht="77.25" x14ac:dyDescent="0.25">
      <c r="A3486" s="3" t="s">
        <v>10486</v>
      </c>
      <c r="B3486" s="3"/>
      <c r="C3486" s="3" t="str">
        <f>"Production and prototype manfacturing shop. Focus includes machining all different types of materials for the production of new products. Shop has cnc turning, five axis milling and full auto-cad capabilities."</f>
        <v>Production and prototype manfacturing shop. Focus includes machining all different types of materials for the production of new products. Shop has cnc turning, five axis milling and full auto-cad capabilities.</v>
      </c>
      <c r="D3486" s="3" t="s">
        <v>9</v>
      </c>
      <c r="E3486" s="3" t="s">
        <v>46</v>
      </c>
      <c r="F3486" s="3" t="str">
        <f>"317-326-0258"</f>
        <v>317-326-0258</v>
      </c>
      <c r="G3486" s="3">
        <v>333512</v>
      </c>
      <c r="H3486" s="3" t="s">
        <v>10487</v>
      </c>
    </row>
    <row r="3487" spans="1:8" ht="51.75" x14ac:dyDescent="0.25">
      <c r="A3487" s="3" t="s">
        <v>10488</v>
      </c>
      <c r="B3487" s="3"/>
      <c r="C3487" s="3" t="str">
        <f>"LED lighting experts for commercial, industrial, and municipal applications. Proud to represent several American made products."</f>
        <v>LED lighting experts for commercial, industrial, and municipal applications. Proud to represent several American made products.</v>
      </c>
      <c r="D3487" s="3" t="s">
        <v>10489</v>
      </c>
      <c r="E3487" s="3" t="s">
        <v>10490</v>
      </c>
      <c r="F3487" s="2"/>
      <c r="G3487" s="3">
        <v>335122</v>
      </c>
      <c r="H3487" s="3" t="s">
        <v>3895</v>
      </c>
    </row>
    <row r="3488" spans="1:8" ht="26.25" x14ac:dyDescent="0.25">
      <c r="A3488" s="3" t="s">
        <v>10491</v>
      </c>
      <c r="B3488" s="3"/>
      <c r="C3488" s="3" t="str">
        <f>"Construction Inspection, Project Management and Aircraft Layout and Design"</f>
        <v>Construction Inspection, Project Management and Aircraft Layout and Design</v>
      </c>
      <c r="D3488" s="3" t="s">
        <v>9</v>
      </c>
      <c r="E3488" s="3" t="s">
        <v>10492</v>
      </c>
      <c r="F3488" s="3" t="str">
        <f>"317-271-2842"</f>
        <v>317-271-2842</v>
      </c>
      <c r="G3488" s="3">
        <v>541330</v>
      </c>
      <c r="H3488" s="3" t="s">
        <v>82</v>
      </c>
    </row>
    <row r="3489" spans="1:8" ht="230.25" x14ac:dyDescent="0.25">
      <c r="A3489" s="3" t="s">
        <v>10493</v>
      </c>
      <c r="B3489" s="3"/>
      <c r="C3489" s="3" t="s">
        <v>10494</v>
      </c>
      <c r="D3489" s="3" t="s">
        <v>10495</v>
      </c>
      <c r="E3489" s="3" t="s">
        <v>46</v>
      </c>
      <c r="F3489" s="3" t="str">
        <f>"765-854-0739"</f>
        <v>765-854-0739</v>
      </c>
      <c r="G3489" s="3">
        <v>5415</v>
      </c>
      <c r="H3489" s="3" t="s">
        <v>188</v>
      </c>
    </row>
    <row r="3490" spans="1:8" ht="102.75" x14ac:dyDescent="0.25">
      <c r="A3490" s="3" t="s">
        <v>10496</v>
      </c>
      <c r="B3490" s="3"/>
      <c r="C3490" s="3" t="s">
        <v>10497</v>
      </c>
      <c r="D3490" s="3" t="s">
        <v>10498</v>
      </c>
      <c r="E3490" s="3" t="s">
        <v>10499</v>
      </c>
      <c r="F3490" s="3" t="str">
        <f>"5135287823"</f>
        <v>5135287823</v>
      </c>
      <c r="G3490" s="3">
        <v>561320</v>
      </c>
      <c r="H3490" s="3" t="s">
        <v>15</v>
      </c>
    </row>
    <row r="3491" spans="1:8" ht="77.25" x14ac:dyDescent="0.25">
      <c r="A3491" s="3" t="s">
        <v>10500</v>
      </c>
      <c r="B3491" s="3"/>
      <c r="C3491" s="3" t="str">
        <f>"Provide structural and civil engineering design and assessment services to architects, heavy industrial, contractors, developers, manufacturing community. Experienced personnel and advancing tools to amplify performance."</f>
        <v>Provide structural and civil engineering design and assessment services to architects, heavy industrial, contractors, developers, manufacturing community. Experienced personnel and advancing tools to amplify performance.</v>
      </c>
      <c r="D3491" s="3" t="s">
        <v>10501</v>
      </c>
      <c r="E3491" s="3" t="s">
        <v>10502</v>
      </c>
      <c r="F3491" s="3" t="str">
        <f>"574-271-7088"</f>
        <v>574-271-7088</v>
      </c>
      <c r="G3491" s="3">
        <v>541330</v>
      </c>
      <c r="H3491" s="3" t="s">
        <v>82</v>
      </c>
    </row>
    <row r="3492" spans="1:8" ht="26.25" x14ac:dyDescent="0.25">
      <c r="A3492" s="3" t="s">
        <v>10503</v>
      </c>
      <c r="B3492" s="3"/>
      <c r="C3492" s="3" t="str">
        <f>"Broadline Distributor - USDA inspected custom cutter of beef, pork &amp; poultry"</f>
        <v>Broadline Distributor - USDA inspected custom cutter of beef, pork &amp; poultry</v>
      </c>
      <c r="D3492" s="3" t="s">
        <v>10504</v>
      </c>
      <c r="E3492" s="3" t="s">
        <v>10505</v>
      </c>
      <c r="F3492" s="3" t="str">
        <f>"812-883-2196"</f>
        <v>812-883-2196</v>
      </c>
      <c r="G3492" s="3">
        <v>42247</v>
      </c>
      <c r="H3492" s="3" t="s">
        <v>10506</v>
      </c>
    </row>
    <row r="3493" spans="1:8" ht="64.5" x14ac:dyDescent="0.25">
      <c r="A3493" s="3" t="s">
        <v>10507</v>
      </c>
      <c r="B3493" s="3"/>
      <c r="C3493" s="3" t="str">
        <f>"Consultancy: Business Analysis, Business Improvement, IT Planning, Performance Measurement, Business Process Reengineering, Business Case Assessment, Risk Management, Project Management"</f>
        <v>Consultancy: Business Analysis, Business Improvement, IT Planning, Performance Measurement, Business Process Reengineering, Business Case Assessment, Risk Management, Project Management</v>
      </c>
      <c r="D3493" s="3" t="s">
        <v>10508</v>
      </c>
      <c r="E3493" s="3" t="s">
        <v>10509</v>
      </c>
      <c r="F3493" s="3" t="str">
        <f>"317.581.8995"</f>
        <v>317.581.8995</v>
      </c>
      <c r="G3493" s="3">
        <v>541611</v>
      </c>
      <c r="H3493" s="3" t="s">
        <v>278</v>
      </c>
    </row>
    <row r="3494" spans="1:8" ht="90" x14ac:dyDescent="0.25">
      <c r="A3494" s="3" t="s">
        <v>10510</v>
      </c>
      <c r="B3494" s="3"/>
      <c r="C3494" s="3" t="str">
        <f>"Fry Tech Edible Oils provides economical, convenient and easy cooking oil solutions. We have a full line of oils at very competitive prices and the easiest packaging available. From fresh oil to waist we can take care of all you cooking oil needs."</f>
        <v>Fry Tech Edible Oils provides economical, convenient and easy cooking oil solutions. We have a full line of oils at very competitive prices and the easiest packaging available. From fresh oil to waist we can take care of all you cooking oil needs.</v>
      </c>
      <c r="D3494" s="3" t="s">
        <v>9</v>
      </c>
      <c r="E3494" s="3" t="s">
        <v>10511</v>
      </c>
      <c r="F3494" s="3" t="str">
        <f>"317-826-9444"</f>
        <v>317-826-9444</v>
      </c>
      <c r="G3494" s="3">
        <v>424490</v>
      </c>
      <c r="H3494" s="3" t="s">
        <v>10512</v>
      </c>
    </row>
    <row r="3495" spans="1:8" ht="64.5" x14ac:dyDescent="0.25">
      <c r="A3495" s="3" t="s">
        <v>10513</v>
      </c>
      <c r="B3495" s="3"/>
      <c r="C3495" s="3" t="str">
        <f>"Buy individual and group health insurance plans, life insurance plans, dental insurance plans. We broker for many different carriers. We'll find you the best plan for your budget needs."</f>
        <v>Buy individual and group health insurance plans, life insurance plans, dental insurance plans. We broker for many different carriers. We'll find you the best plan for your budget needs.</v>
      </c>
      <c r="D3495" s="3" t="s">
        <v>10514</v>
      </c>
      <c r="E3495" s="3" t="s">
        <v>10515</v>
      </c>
      <c r="F3495" s="3" t="str">
        <f>"(317)475-3000"</f>
        <v>(317)475-3000</v>
      </c>
      <c r="G3495" s="3">
        <v>524114</v>
      </c>
      <c r="H3495" s="3" t="s">
        <v>678</v>
      </c>
    </row>
    <row r="3496" spans="1:8" ht="179.25" x14ac:dyDescent="0.25">
      <c r="A3496" s="3" t="s">
        <v>10516</v>
      </c>
      <c r="B3496" s="3"/>
      <c r="C3496" s="3" t="s">
        <v>10517</v>
      </c>
      <c r="D3496" s="3" t="s">
        <v>10518</v>
      </c>
      <c r="E3496" s="3" t="s">
        <v>10519</v>
      </c>
      <c r="F3496" s="3" t="str">
        <f>"317-488-8888"</f>
        <v>317-488-8888</v>
      </c>
      <c r="G3496" s="3">
        <v>541310</v>
      </c>
      <c r="H3496" s="3" t="s">
        <v>446</v>
      </c>
    </row>
    <row r="3497" spans="1:8" ht="319.5" x14ac:dyDescent="0.25">
      <c r="A3497" s="3" t="s">
        <v>10520</v>
      </c>
      <c r="B3497" s="3"/>
      <c r="C3497" s="3" t="s">
        <v>10521</v>
      </c>
      <c r="D3497" s="3" t="s">
        <v>10522</v>
      </c>
      <c r="E3497" s="3" t="s">
        <v>10523</v>
      </c>
      <c r="F3497" s="3" t="str">
        <f>"812-583-7947"</f>
        <v>812-583-7947</v>
      </c>
      <c r="G3497" s="3">
        <v>541330</v>
      </c>
      <c r="H3497" s="3" t="s">
        <v>82</v>
      </c>
    </row>
    <row r="3498" spans="1:8" ht="204.75" x14ac:dyDescent="0.25">
      <c r="A3498" s="3" t="s">
        <v>10524</v>
      </c>
      <c r="B3498" s="3"/>
      <c r="C3498" s="3" t="s">
        <v>10525</v>
      </c>
      <c r="D3498" s="3" t="s">
        <v>10526</v>
      </c>
      <c r="E3498" s="3" t="s">
        <v>10527</v>
      </c>
      <c r="F3498" s="3" t="str">
        <f>"812-384-7181"</f>
        <v>812-384-7181</v>
      </c>
      <c r="G3498" s="3">
        <v>541330</v>
      </c>
      <c r="H3498" s="3" t="s">
        <v>82</v>
      </c>
    </row>
    <row r="3499" spans="1:8" ht="115.5" x14ac:dyDescent="0.25">
      <c r="A3499" s="3" t="s">
        <v>10528</v>
      </c>
      <c r="B3499" s="3"/>
      <c r="C3499" s="3" t="s">
        <v>10529</v>
      </c>
      <c r="D3499" s="3" t="s">
        <v>10530</v>
      </c>
      <c r="E3499" s="3" t="s">
        <v>10531</v>
      </c>
      <c r="F3499" s="3" t="str">
        <f>"260-726-8345"</f>
        <v>260-726-8345</v>
      </c>
      <c r="G3499" s="3">
        <v>332710</v>
      </c>
      <c r="H3499" s="3" t="s">
        <v>387</v>
      </c>
    </row>
    <row r="3500" spans="1:8" ht="26.25" x14ac:dyDescent="0.25">
      <c r="A3500" s="3" t="s">
        <v>10532</v>
      </c>
      <c r="B3500" s="3"/>
      <c r="C3500" s="3" t="str">
        <f>"This is local county government offices."</f>
        <v>This is local county government offices.</v>
      </c>
      <c r="D3500" s="3" t="s">
        <v>10533</v>
      </c>
      <c r="E3500" s="3" t="s">
        <v>10534</v>
      </c>
      <c r="F3500" s="3" t="str">
        <f>"574-223-2912"</f>
        <v>574-223-2912</v>
      </c>
      <c r="G3500" s="3">
        <v>921190</v>
      </c>
      <c r="H3500" s="3" t="s">
        <v>4809</v>
      </c>
    </row>
    <row r="3501" spans="1:8" ht="26.25" x14ac:dyDescent="0.25">
      <c r="A3501" s="3" t="s">
        <v>10535</v>
      </c>
      <c r="B3501" s="3"/>
      <c r="C3501" s="3" t="str">
        <f>"NAPA Auto Parts. This includes industrial and truck supplies and parts."</f>
        <v>NAPA Auto Parts. This includes industrial and truck supplies and parts.</v>
      </c>
      <c r="D3501" s="3" t="s">
        <v>9</v>
      </c>
      <c r="E3501" s="3" t="s">
        <v>46</v>
      </c>
      <c r="F3501" s="3" t="str">
        <f>"812-275-4424"</f>
        <v>812-275-4424</v>
      </c>
      <c r="G3501" s="3">
        <v>441310</v>
      </c>
      <c r="H3501" s="3" t="s">
        <v>1699</v>
      </c>
    </row>
    <row r="3502" spans="1:8" ht="26.25" x14ac:dyDescent="0.25">
      <c r="A3502" s="3" t="s">
        <v>10536</v>
      </c>
      <c r="B3502" s="3"/>
      <c r="C3502" s="3" t="str">
        <f>"Retail Hardware store in downtown Indianapolis."</f>
        <v>Retail Hardware store in downtown Indianapolis.</v>
      </c>
      <c r="D3502" s="3" t="s">
        <v>10537</v>
      </c>
      <c r="E3502" s="3" t="s">
        <v>10538</v>
      </c>
      <c r="F3502" s="3" t="str">
        <f>"317 636-7377"</f>
        <v>317 636-7377</v>
      </c>
      <c r="G3502" s="3">
        <v>44413</v>
      </c>
      <c r="H3502" s="3" t="s">
        <v>2597</v>
      </c>
    </row>
    <row r="3503" spans="1:8" ht="204.75" x14ac:dyDescent="0.25">
      <c r="A3503" s="3" t="s">
        <v>10539</v>
      </c>
      <c r="B3503" s="3"/>
      <c r="C3503" s="3" t="s">
        <v>10540</v>
      </c>
      <c r="D3503" s="3" t="s">
        <v>10541</v>
      </c>
      <c r="E3503" s="3" t="s">
        <v>10542</v>
      </c>
      <c r="F3503" s="3" t="str">
        <f>"(317) 955-1300"</f>
        <v>(317) 955-1300</v>
      </c>
      <c r="G3503" s="3">
        <v>5415</v>
      </c>
      <c r="H3503" s="3" t="s">
        <v>188</v>
      </c>
    </row>
    <row r="3504" spans="1:8" ht="166.5" x14ac:dyDescent="0.25">
      <c r="A3504" s="3" t="s">
        <v>10543</v>
      </c>
      <c r="B3504" s="3"/>
      <c r="C3504" s="3" t="s">
        <v>10544</v>
      </c>
      <c r="D3504" s="3" t="s">
        <v>10545</v>
      </c>
      <c r="E3504" s="3" t="s">
        <v>10546</v>
      </c>
      <c r="F3504" s="3" t="str">
        <f>"414-921-0443"</f>
        <v>414-921-0443</v>
      </c>
      <c r="G3504" s="3">
        <v>541330</v>
      </c>
      <c r="H3504" s="3" t="s">
        <v>82</v>
      </c>
    </row>
    <row r="3505" spans="1:8" ht="26.25" x14ac:dyDescent="0.25">
      <c r="A3505" s="3" t="s">
        <v>10547</v>
      </c>
      <c r="B3505" s="3"/>
      <c r="C3505" s="3" t="str">
        <f>"Landscape Architecture and Planning Services"</f>
        <v>Landscape Architecture and Planning Services</v>
      </c>
      <c r="D3505" s="3" t="s">
        <v>10548</v>
      </c>
      <c r="E3505" s="3" t="s">
        <v>10549</v>
      </c>
      <c r="F3505" s="3" t="str">
        <f>"317-441-6964"</f>
        <v>317-441-6964</v>
      </c>
      <c r="G3505" s="3">
        <v>541320</v>
      </c>
      <c r="H3505" s="3" t="s">
        <v>2241</v>
      </c>
    </row>
    <row r="3506" spans="1:8" ht="128.25" x14ac:dyDescent="0.25">
      <c r="A3506" s="3" t="s">
        <v>10550</v>
      </c>
      <c r="B3506" s="3"/>
      <c r="C3506" s="3" t="s">
        <v>10551</v>
      </c>
      <c r="D3506" s="3" t="s">
        <v>10552</v>
      </c>
      <c r="E3506" s="3" t="s">
        <v>10553</v>
      </c>
      <c r="F3506" s="3" t="str">
        <f>"574-320-8835"</f>
        <v>574-320-8835</v>
      </c>
      <c r="G3506" s="3">
        <v>238210</v>
      </c>
      <c r="H3506" s="3" t="s">
        <v>306</v>
      </c>
    </row>
    <row r="3507" spans="1:8" ht="51.75" x14ac:dyDescent="0.25">
      <c r="A3507" s="3" t="s">
        <v>10554</v>
      </c>
      <c r="B3507" s="3"/>
      <c r="C3507" s="3" t="str">
        <f>"audio visual services and products, project management, business consultation, graphic services for print and web, professional procurement"</f>
        <v>audio visual services and products, project management, business consultation, graphic services for print and web, professional procurement</v>
      </c>
      <c r="D3507" s="3" t="s">
        <v>10555</v>
      </c>
      <c r="E3507" s="3" t="s">
        <v>10556</v>
      </c>
      <c r="F3507" s="3" t="str">
        <f>"219-972-1090"</f>
        <v>219-972-1090</v>
      </c>
      <c r="G3507" s="3">
        <v>443112</v>
      </c>
      <c r="H3507" s="3" t="s">
        <v>3890</v>
      </c>
    </row>
    <row r="3508" spans="1:8" ht="26.25" x14ac:dyDescent="0.25">
      <c r="A3508" s="3" t="s">
        <v>10557</v>
      </c>
      <c r="B3508" s="3"/>
      <c r="C3508" s="3" t="str">
        <f>"Transportation, Supply Chain, Logistics, Consulting, Warehousing, Fulfillment"</f>
        <v>Transportation, Supply Chain, Logistics, Consulting, Warehousing, Fulfillment</v>
      </c>
      <c r="D3508" s="3" t="s">
        <v>10558</v>
      </c>
      <c r="E3508" s="3" t="s">
        <v>10559</v>
      </c>
      <c r="F3508" s="3" t="str">
        <f>"800 727 3962"</f>
        <v>800 727 3962</v>
      </c>
      <c r="G3508" s="3">
        <v>541614</v>
      </c>
      <c r="H3508" s="3" t="s">
        <v>107</v>
      </c>
    </row>
    <row r="3509" spans="1:8" ht="51.75" x14ac:dyDescent="0.25">
      <c r="A3509" s="3" t="s">
        <v>10560</v>
      </c>
      <c r="B3509" s="3"/>
      <c r="C3509" s="3" t="str">
        <f>"Custom thermoforming of ABS plastic up to 48"" X 96"" sheet. CNC machining of flat stock up to 1"" thick and 4 ft X 8 ft plastic or plywood."</f>
        <v>Custom thermoforming of ABS plastic up to 48" X 96" sheet. CNC machining of flat stock up to 1" thick and 4 ft X 8 ft plastic or plywood.</v>
      </c>
      <c r="D3509" s="3" t="s">
        <v>10561</v>
      </c>
      <c r="E3509" s="3" t="s">
        <v>10562</v>
      </c>
      <c r="F3509" s="3" t="str">
        <f>"574-293-4004"</f>
        <v>574-293-4004</v>
      </c>
      <c r="G3509" s="3">
        <v>3261</v>
      </c>
      <c r="H3509" s="3" t="s">
        <v>2127</v>
      </c>
    </row>
    <row r="3510" spans="1:8" ht="64.5" x14ac:dyDescent="0.25">
      <c r="A3510" s="3" t="s">
        <v>10563</v>
      </c>
      <c r="B3510" s="3"/>
      <c r="C3510" s="3" t="str">
        <f>"We design &amp; install custom vehicle graphics for the automotive &amp; rv industry as well as individual consumers (since 1993) . We have recently diversified into the electronics market , as of 2008."</f>
        <v>We design &amp; install custom vehicle graphics for the automotive &amp; rv industry as well as individual consumers (since 1993) . We have recently diversified into the electronics market , as of 2008.</v>
      </c>
      <c r="D3510" s="3" t="s">
        <v>9</v>
      </c>
      <c r="E3510" s="3" t="s">
        <v>46</v>
      </c>
      <c r="F3510" s="2"/>
      <c r="G3510" s="3">
        <v>54143</v>
      </c>
      <c r="H3510" s="3" t="s">
        <v>78</v>
      </c>
    </row>
    <row r="3511" spans="1:8" ht="90" x14ac:dyDescent="0.25">
      <c r="A3511" s="3" t="s">
        <v>10564</v>
      </c>
      <c r="B3511" s="3"/>
      <c r="C3511" s="3" t="s">
        <v>10565</v>
      </c>
      <c r="D3511" s="3" t="s">
        <v>10566</v>
      </c>
      <c r="E3511" s="3" t="s">
        <v>10567</v>
      </c>
      <c r="F3511" s="3" t="str">
        <f>"317-403-1922"</f>
        <v>317-403-1922</v>
      </c>
      <c r="G3511" s="3">
        <v>238130</v>
      </c>
      <c r="H3511" s="3" t="s">
        <v>10568</v>
      </c>
    </row>
    <row r="3512" spans="1:8" x14ac:dyDescent="0.25">
      <c r="A3512" s="3" t="s">
        <v>10569</v>
      </c>
      <c r="B3512" s="3"/>
      <c r="C3512" s="2"/>
      <c r="D3512" s="3" t="s">
        <v>9</v>
      </c>
      <c r="E3512" s="3" t="s">
        <v>46</v>
      </c>
      <c r="F3512" s="2"/>
      <c r="G3512" s="3">
        <v>44413</v>
      </c>
      <c r="H3512" s="3" t="s">
        <v>2597</v>
      </c>
    </row>
    <row r="3513" spans="1:8" ht="26.25" x14ac:dyDescent="0.25">
      <c r="A3513" s="3" t="s">
        <v>10570</v>
      </c>
      <c r="B3513" s="3"/>
      <c r="C3513" s="3" t="str">
        <f>"Specialized farming supplies."</f>
        <v>Specialized farming supplies.</v>
      </c>
      <c r="D3513" s="3" t="s">
        <v>9</v>
      </c>
      <c r="E3513" s="3" t="s">
        <v>46</v>
      </c>
      <c r="F3513" s="3" t="str">
        <f>"219/843-3331"</f>
        <v>219/843-3331</v>
      </c>
      <c r="G3513" s="3">
        <v>111</v>
      </c>
      <c r="H3513" s="3" t="s">
        <v>6077</v>
      </c>
    </row>
    <row r="3514" spans="1:8" ht="153.75" x14ac:dyDescent="0.25">
      <c r="A3514" s="3" t="s">
        <v>10571</v>
      </c>
      <c r="B3514" s="3"/>
      <c r="C3514" s="3" t="s">
        <v>10572</v>
      </c>
      <c r="D3514" s="3" t="s">
        <v>10573</v>
      </c>
      <c r="E3514" s="3" t="s">
        <v>10574</v>
      </c>
      <c r="F3514" s="3" t="str">
        <f>"317 632 3762"</f>
        <v>317 632 3762</v>
      </c>
      <c r="G3514" s="3">
        <v>23</v>
      </c>
      <c r="H3514" s="3" t="s">
        <v>133</v>
      </c>
    </row>
    <row r="3515" spans="1:8" ht="39" x14ac:dyDescent="0.25">
      <c r="A3515" s="3" t="s">
        <v>10575</v>
      </c>
      <c r="B3515" s="3"/>
      <c r="C3515" s="3" t="str">
        <f>"Provide security services to residential and commercial clients. Security officers, alarm and video systems"</f>
        <v>Provide security services to residential and commercial clients. Security officers, alarm and video systems</v>
      </c>
      <c r="D3515" s="3" t="s">
        <v>10576</v>
      </c>
      <c r="E3515" s="3" t="s">
        <v>10577</v>
      </c>
      <c r="F3515" s="3" t="str">
        <f>"(812) 332-2190"</f>
        <v>(812) 332-2190</v>
      </c>
      <c r="G3515" s="3">
        <v>51112</v>
      </c>
      <c r="H3515" s="3" t="s">
        <v>149</v>
      </c>
    </row>
    <row r="3516" spans="1:8" ht="128.25" x14ac:dyDescent="0.25">
      <c r="A3516" s="3" t="s">
        <v>10578</v>
      </c>
      <c r="B3516" s="3"/>
      <c r="C3516" s="3" t="s">
        <v>10579</v>
      </c>
      <c r="D3516" s="3" t="s">
        <v>10580</v>
      </c>
      <c r="E3516" s="3" t="s">
        <v>10581</v>
      </c>
      <c r="F3516" s="3" t="str">
        <f>"317-546-0262"</f>
        <v>317-546-0262</v>
      </c>
      <c r="G3516" s="3">
        <v>237110</v>
      </c>
      <c r="H3516" s="3" t="s">
        <v>901</v>
      </c>
    </row>
    <row r="3517" spans="1:8" ht="77.25" x14ac:dyDescent="0.25">
      <c r="A3517" s="3" t="s">
        <v>10582</v>
      </c>
      <c r="B3517" s="3"/>
      <c r="C3517" s="3" t="str">
        <f>"Since 1960, G.E. Marshall Inc. has built a tradition of excellence in sitework, excavation, grading, utilities, watermain, storm sewer, sanitary sewer and demolition projects, for private, commercial, industrial and governmental clients."</f>
        <v>Since 1960, G.E. Marshall Inc. has built a tradition of excellence in sitework, excavation, grading, utilities, watermain, storm sewer, sanitary sewer and demolition projects, for private, commercial, industrial and governmental clients.</v>
      </c>
      <c r="D3517" s="3" t="s">
        <v>10583</v>
      </c>
      <c r="E3517" s="3" t="s">
        <v>10584</v>
      </c>
      <c r="F3517" s="3" t="str">
        <f>"219 462-3415"</f>
        <v>219 462-3415</v>
      </c>
      <c r="G3517" s="3">
        <v>238910</v>
      </c>
      <c r="H3517" s="3" t="s">
        <v>886</v>
      </c>
    </row>
    <row r="3518" spans="1:8" ht="51.75" x14ac:dyDescent="0.25">
      <c r="A3518" s="3" t="s">
        <v>10585</v>
      </c>
      <c r="B3518" s="3"/>
      <c r="C3518" s="3" t="str">
        <f>"Engineering technical services company providing, Information assurance, Test and Evaluation, data analysis, logistics, and field repair support"</f>
        <v>Engineering technical services company providing, Information assurance, Test and Evaluation, data analysis, logistics, and field repair support</v>
      </c>
      <c r="D3518" s="3" t="s">
        <v>10586</v>
      </c>
      <c r="E3518" s="3" t="s">
        <v>10587</v>
      </c>
      <c r="F3518" s="3" t="str">
        <f>"812-340-3626"</f>
        <v>812-340-3626</v>
      </c>
      <c r="G3518" s="3">
        <v>541330</v>
      </c>
      <c r="H3518" s="3" t="s">
        <v>82</v>
      </c>
    </row>
    <row r="3519" spans="1:8" ht="26.25" x14ac:dyDescent="0.25">
      <c r="A3519" s="3" t="s">
        <v>10588</v>
      </c>
      <c r="B3519" s="3"/>
      <c r="C3519" s="2"/>
      <c r="D3519" s="3" t="s">
        <v>9</v>
      </c>
      <c r="E3519" s="3" t="s">
        <v>10589</v>
      </c>
      <c r="F3519" s="3" t="str">
        <f>"317-925-6450"</f>
        <v>317-925-6450</v>
      </c>
      <c r="G3519" s="3">
        <v>23411</v>
      </c>
      <c r="H3519" s="3" t="s">
        <v>2406</v>
      </c>
    </row>
    <row r="3520" spans="1:8" ht="26.25" x14ac:dyDescent="0.25">
      <c r="A3520" s="3" t="s">
        <v>10590</v>
      </c>
      <c r="B3520" s="3"/>
      <c r="C3520" s="3" t="str">
        <f>"Provide wrecker services and patroller services on INDOT construction sites."</f>
        <v>Provide wrecker services and patroller services on INDOT construction sites.</v>
      </c>
      <c r="D3520" s="3" t="s">
        <v>9</v>
      </c>
      <c r="E3520" s="3" t="s">
        <v>10591</v>
      </c>
      <c r="F3520" s="3" t="str">
        <f>"260-444-3176"</f>
        <v>260-444-3176</v>
      </c>
      <c r="G3520" s="3">
        <v>488410</v>
      </c>
      <c r="H3520" s="3" t="s">
        <v>4171</v>
      </c>
    </row>
    <row r="3521" spans="1:8" ht="64.5" x14ac:dyDescent="0.25">
      <c r="A3521" s="3" t="s">
        <v>10592</v>
      </c>
      <c r="B3521" s="3"/>
      <c r="C3521" s="3" t="str">
        <f>"Complete lines of quality, trusted name brand automotive, truck, and offroad vehicle parts at wholesale prices. Drop shipments can be made to facilities at anytime."</f>
        <v>Complete lines of quality, trusted name brand automotive, truck, and offroad vehicle parts at wholesale prices. Drop shipments can be made to facilities at anytime.</v>
      </c>
      <c r="D3521" s="3" t="s">
        <v>10593</v>
      </c>
      <c r="E3521" s="3" t="s">
        <v>10594</v>
      </c>
      <c r="F3521" s="3" t="str">
        <f>"219-962-2211"</f>
        <v>219-962-2211</v>
      </c>
      <c r="G3521" s="3">
        <v>441310</v>
      </c>
      <c r="H3521" s="3" t="s">
        <v>1699</v>
      </c>
    </row>
    <row r="3522" spans="1:8" ht="243" x14ac:dyDescent="0.25">
      <c r="A3522" s="3" t="s">
        <v>10595</v>
      </c>
      <c r="B3522" s="3"/>
      <c r="C3522" s="3" t="s">
        <v>10596</v>
      </c>
      <c r="D3522" s="3" t="s">
        <v>9</v>
      </c>
      <c r="E3522" s="3" t="s">
        <v>10597</v>
      </c>
      <c r="F3522" s="3" t="str">
        <f>"219-845-5476"</f>
        <v>219-845-5476</v>
      </c>
      <c r="G3522" s="3">
        <v>541690</v>
      </c>
      <c r="H3522" s="3" t="s">
        <v>652</v>
      </c>
    </row>
    <row r="3523" spans="1:8" ht="217.5" x14ac:dyDescent="0.25">
      <c r="A3523" s="3" t="s">
        <v>10595</v>
      </c>
      <c r="B3523" s="3"/>
      <c r="C3523" s="3" t="s">
        <v>10598</v>
      </c>
      <c r="D3523" s="3" t="s">
        <v>9</v>
      </c>
      <c r="E3523" s="3" t="s">
        <v>10597</v>
      </c>
      <c r="F3523" s="3" t="str">
        <f>"219-845-7912"</f>
        <v>219-845-7912</v>
      </c>
      <c r="G3523" s="3">
        <v>99999</v>
      </c>
      <c r="H3523" s="3" t="s">
        <v>8262</v>
      </c>
    </row>
    <row r="3524" spans="1:8" ht="128.25" x14ac:dyDescent="0.25">
      <c r="A3524" s="3" t="s">
        <v>10599</v>
      </c>
      <c r="B3524" s="3"/>
      <c r="C3524" s="3" t="s">
        <v>10600</v>
      </c>
      <c r="D3524" s="3" t="s">
        <v>9</v>
      </c>
      <c r="E3524" s="3" t="s">
        <v>10601</v>
      </c>
      <c r="F3524" s="3" t="str">
        <f>"1-812-354-1717"</f>
        <v>1-812-354-1717</v>
      </c>
      <c r="G3524" s="3">
        <v>11511</v>
      </c>
      <c r="H3524" s="3" t="s">
        <v>10602</v>
      </c>
    </row>
    <row r="3525" spans="1:8" ht="51.75" x14ac:dyDescent="0.25">
      <c r="A3525" s="3" t="s">
        <v>10603</v>
      </c>
      <c r="B3525" s="3"/>
      <c r="C3525" s="3" t="str">
        <f>"LANDSCAPING, WEED ABATEMENT,RIGHT OF WAY, MOWING,BUSHHOGGING,GENERAL PROPERTY MAINTENANCE,LAND RESTORATION"</f>
        <v>LANDSCAPING, WEED ABATEMENT,RIGHT OF WAY, MOWING,BUSHHOGGING,GENERAL PROPERTY MAINTENANCE,LAND RESTORATION</v>
      </c>
      <c r="D3525" s="3" t="s">
        <v>10604</v>
      </c>
      <c r="E3525" s="3" t="s">
        <v>10605</v>
      </c>
      <c r="F3525" s="3" t="str">
        <f>"260-493-9531"</f>
        <v>260-493-9531</v>
      </c>
      <c r="G3525" s="3">
        <v>561730</v>
      </c>
      <c r="H3525" s="3" t="s">
        <v>65</v>
      </c>
    </row>
    <row r="3526" spans="1:8" ht="26.25" x14ac:dyDescent="0.25">
      <c r="A3526" s="3" t="s">
        <v>10606</v>
      </c>
      <c r="B3526" s="3"/>
      <c r="C3526" s="3" t="str">
        <f>"Management &amp; Employee Training, Evaluating &amp; Coaching."</f>
        <v>Management &amp; Employee Training, Evaluating &amp; Coaching.</v>
      </c>
      <c r="D3526" s="3" t="s">
        <v>10607</v>
      </c>
      <c r="E3526" s="3" t="s">
        <v>10608</v>
      </c>
      <c r="F3526" s="3" t="str">
        <f>"812.248.9838"</f>
        <v>812.248.9838</v>
      </c>
      <c r="G3526" s="3">
        <v>561110</v>
      </c>
      <c r="H3526" s="3" t="s">
        <v>4383</v>
      </c>
    </row>
    <row r="3527" spans="1:8" ht="90" x14ac:dyDescent="0.25">
      <c r="A3527" s="3" t="s">
        <v>10609</v>
      </c>
      <c r="B3527" s="3"/>
      <c r="C3527" s="3" t="str">
        <f>"Plumbing Contractor providing services to the utility industry, residential and commercial... * Plumbing Repair &amp; Installation * Utility Construction * Project Management * Skilled Trades for Construction, Manufacturing and Engineering Services"</f>
        <v>Plumbing Contractor providing services to the utility industry, residential and commercial... * Plumbing Repair &amp; Installation * Utility Construction * Project Management * Skilled Trades for Construction, Manufacturing and Engineering Services</v>
      </c>
      <c r="D3527" s="3" t="s">
        <v>10580</v>
      </c>
      <c r="E3527" s="3" t="s">
        <v>10610</v>
      </c>
      <c r="F3527" s="3" t="str">
        <f>"317/546-0262"</f>
        <v>317/546-0262</v>
      </c>
      <c r="G3527" s="3">
        <v>238220</v>
      </c>
      <c r="H3527" s="3" t="s">
        <v>348</v>
      </c>
    </row>
    <row r="3528" spans="1:8" ht="128.25" x14ac:dyDescent="0.25">
      <c r="A3528" s="3" t="s">
        <v>10611</v>
      </c>
      <c r="B3528" s="3"/>
      <c r="C3528" s="3" t="s">
        <v>10612</v>
      </c>
      <c r="D3528" s="3" t="s">
        <v>10613</v>
      </c>
      <c r="E3528" s="3" t="s">
        <v>10614</v>
      </c>
      <c r="F3528" s="3" t="str">
        <f>"317-662-0865"</f>
        <v>317-662-0865</v>
      </c>
      <c r="G3528" s="3">
        <v>541611</v>
      </c>
      <c r="H3528" s="3" t="s">
        <v>278</v>
      </c>
    </row>
    <row r="3529" spans="1:8" ht="51.75" x14ac:dyDescent="0.25">
      <c r="A3529" s="3" t="s">
        <v>10615</v>
      </c>
      <c r="B3529" s="3"/>
      <c r="C3529" s="3" t="str">
        <f>"G3 Logistics, LLC is a Logistics Company that handles any and all needs of our customers. G3 Transport, LLC is the Asset side of the company . 51% of G3 is owned by 2 females"</f>
        <v>G3 Logistics, LLC is a Logistics Company that handles any and all needs of our customers. G3 Transport, LLC is the Asset side of the company . 51% of G3 is owned by 2 females</v>
      </c>
      <c r="D3529" s="3" t="s">
        <v>10616</v>
      </c>
      <c r="E3529" s="3" t="s">
        <v>10617</v>
      </c>
      <c r="F3529" s="3" t="str">
        <f>"317-215-4835"</f>
        <v>317-215-4835</v>
      </c>
      <c r="G3529" s="3">
        <v>48</v>
      </c>
      <c r="H3529" s="3" t="s">
        <v>104</v>
      </c>
    </row>
    <row r="3530" spans="1:8" ht="128.25" x14ac:dyDescent="0.25">
      <c r="A3530" s="3" t="s">
        <v>10618</v>
      </c>
      <c r="B3530" s="3"/>
      <c r="C3530" s="3" t="s">
        <v>10619</v>
      </c>
      <c r="D3530" s="3" t="s">
        <v>10620</v>
      </c>
      <c r="E3530" s="3" t="s">
        <v>46</v>
      </c>
      <c r="F3530" s="3" t="str">
        <f>"317-872-8888"</f>
        <v>317-872-8888</v>
      </c>
      <c r="G3530" s="3">
        <v>51333</v>
      </c>
      <c r="H3530" s="3" t="s">
        <v>540</v>
      </c>
    </row>
    <row r="3531" spans="1:8" ht="102.75" x14ac:dyDescent="0.25">
      <c r="A3531" s="3" t="s">
        <v>10621</v>
      </c>
      <c r="B3531" s="3"/>
      <c r="C3531" s="3" t="s">
        <v>10622</v>
      </c>
      <c r="D3531" s="3" t="s">
        <v>10623</v>
      </c>
      <c r="E3531" s="3" t="s">
        <v>10624</v>
      </c>
      <c r="F3531" s="3" t="str">
        <f>"317.887.4740"</f>
        <v>317.887.4740</v>
      </c>
      <c r="G3531" s="3">
        <v>561612</v>
      </c>
      <c r="H3531" s="3" t="s">
        <v>362</v>
      </c>
    </row>
    <row r="3532" spans="1:8" ht="39" x14ac:dyDescent="0.25">
      <c r="A3532" s="3" t="s">
        <v>10625</v>
      </c>
      <c r="B3532" s="3"/>
      <c r="C3532" s="3" t="str">
        <f>"Our company is a cleaning and maintenace company that does residential and commercial jobs"</f>
        <v>Our company is a cleaning and maintenace company that does residential and commercial jobs</v>
      </c>
      <c r="D3532" s="3" t="s">
        <v>9</v>
      </c>
      <c r="E3532" s="3" t="s">
        <v>4432</v>
      </c>
      <c r="F3532" s="3" t="str">
        <f>"2195312595"</f>
        <v>2195312595</v>
      </c>
      <c r="G3532" s="3">
        <v>238</v>
      </c>
      <c r="H3532" s="3" t="s">
        <v>397</v>
      </c>
    </row>
    <row r="3533" spans="1:8" ht="26.25" x14ac:dyDescent="0.25">
      <c r="A3533" s="3" t="s">
        <v>10626</v>
      </c>
      <c r="B3533" s="3"/>
      <c r="C3533" s="3" t="str">
        <f>"We specialize in the sale and supply of all products for food service and vending."</f>
        <v>We specialize in the sale and supply of all products for food service and vending.</v>
      </c>
      <c r="D3533" s="3" t="s">
        <v>9</v>
      </c>
      <c r="E3533" s="3" t="s">
        <v>4432</v>
      </c>
      <c r="F3533" s="3" t="str">
        <f>"2192929235"</f>
        <v>2192929235</v>
      </c>
      <c r="G3533" s="3">
        <v>722310</v>
      </c>
      <c r="H3533" s="3" t="s">
        <v>3051</v>
      </c>
    </row>
    <row r="3534" spans="1:8" ht="39" x14ac:dyDescent="0.25">
      <c r="A3534" s="3" t="s">
        <v>10627</v>
      </c>
      <c r="B3534" s="3"/>
      <c r="C3534" s="3" t="str">
        <f>"Photofinishing, retail camera sales and related photographic supplies and camera equipment"</f>
        <v>Photofinishing, retail camera sales and related photographic supplies and camera equipment</v>
      </c>
      <c r="D3534" s="3" t="s">
        <v>10628</v>
      </c>
      <c r="E3534" s="3" t="s">
        <v>10629</v>
      </c>
      <c r="F3534" s="3" t="str">
        <f>"812-235-7111"</f>
        <v>812-235-7111</v>
      </c>
      <c r="G3534" s="3">
        <v>443130</v>
      </c>
      <c r="H3534" s="3" t="s">
        <v>10630</v>
      </c>
    </row>
    <row r="3535" spans="1:8" ht="128.25" x14ac:dyDescent="0.25">
      <c r="A3535" s="3" t="s">
        <v>10631</v>
      </c>
      <c r="B3535" s="3"/>
      <c r="C3535" s="3" t="s">
        <v>10632</v>
      </c>
      <c r="D3535" s="3" t="s">
        <v>9</v>
      </c>
      <c r="E3535" s="3" t="s">
        <v>10633</v>
      </c>
      <c r="F3535" s="3" t="str">
        <f>"317-695-5272"</f>
        <v>317-695-5272</v>
      </c>
      <c r="G3535" s="3">
        <v>2362</v>
      </c>
      <c r="H3535" s="3" t="s">
        <v>423</v>
      </c>
    </row>
    <row r="3536" spans="1:8" ht="39" x14ac:dyDescent="0.25">
      <c r="A3536" s="3" t="s">
        <v>10634</v>
      </c>
      <c r="B3536" s="3"/>
      <c r="C3536" s="3" t="str">
        <f>"Servicing Agriculture Contracting, Painting REsidential and Commercial, Cleaning and Janitorial Services"</f>
        <v>Servicing Agriculture Contracting, Painting REsidential and Commercial, Cleaning and Janitorial Services</v>
      </c>
      <c r="D3536" s="3" t="s">
        <v>9</v>
      </c>
      <c r="E3536" s="3" t="s">
        <v>10635</v>
      </c>
      <c r="F3536" s="3" t="str">
        <f>"765-449-4544"</f>
        <v>765-449-4544</v>
      </c>
      <c r="G3536" s="3">
        <v>115115</v>
      </c>
      <c r="H3536" s="3" t="s">
        <v>10636</v>
      </c>
    </row>
    <row r="3537" spans="1:8" ht="90" x14ac:dyDescent="0.25">
      <c r="A3537" s="3" t="s">
        <v>10637</v>
      </c>
      <c r="B3537" s="3"/>
      <c r="C3537" s="3" t="str">
        <f>"Metal stamping, fabrication, welding, assembly, and warehousing. Unique value proposition - proven track record (over 30 yrs. in business), flexible manufacuturing capabilities, experienced workforce, inhouse Tool and Die, and TS16949 certified."</f>
        <v>Metal stamping, fabrication, welding, assembly, and warehousing. Unique value proposition - proven track record (over 30 yrs. in business), flexible manufacuturing capabilities, experienced workforce, inhouse Tool and Die, and TS16949 certified.</v>
      </c>
      <c r="D3537" s="3" t="s">
        <v>10638</v>
      </c>
      <c r="E3537" s="3" t="s">
        <v>10639</v>
      </c>
      <c r="F3537" s="3" t="str">
        <f>"317-407-3627"</f>
        <v>317-407-3627</v>
      </c>
      <c r="G3537" s="3">
        <v>332116</v>
      </c>
      <c r="H3537" s="3" t="s">
        <v>2954</v>
      </c>
    </row>
    <row r="3538" spans="1:8" ht="102.75" x14ac:dyDescent="0.25">
      <c r="A3538" s="3" t="s">
        <v>10640</v>
      </c>
      <c r="B3538" s="3"/>
      <c r="C3538" s="3" t="s">
        <v>10641</v>
      </c>
      <c r="D3538" s="3" t="s">
        <v>9</v>
      </c>
      <c r="E3538" s="3" t="s">
        <v>10642</v>
      </c>
      <c r="F3538" s="3" t="str">
        <f>"574-272-0600"</f>
        <v>574-272-0600</v>
      </c>
      <c r="G3538" s="3">
        <v>23829</v>
      </c>
      <c r="H3538" s="3" t="s">
        <v>237</v>
      </c>
    </row>
    <row r="3539" spans="1:8" ht="26.25" x14ac:dyDescent="0.25">
      <c r="A3539" s="3" t="s">
        <v>10643</v>
      </c>
      <c r="B3539" s="3"/>
      <c r="C3539" s="3" t="str">
        <f>"painting and papering needs, airless spray,etc."</f>
        <v>painting and papering needs, airless spray,etc.</v>
      </c>
      <c r="D3539" s="3" t="s">
        <v>10644</v>
      </c>
      <c r="E3539" s="3" t="s">
        <v>10645</v>
      </c>
      <c r="F3539" s="3" t="str">
        <f>"765-855-1542"</f>
        <v>765-855-1542</v>
      </c>
      <c r="G3539" s="3">
        <v>238320</v>
      </c>
      <c r="H3539" s="3" t="s">
        <v>462</v>
      </c>
    </row>
    <row r="3540" spans="1:8" ht="26.25" x14ac:dyDescent="0.25">
      <c r="A3540" s="3" t="s">
        <v>10646</v>
      </c>
      <c r="B3540" s="3"/>
      <c r="C3540" s="3" t="str">
        <f>"signs and graphic displays manufacturing and installation of all types"</f>
        <v>signs and graphic displays manufacturing and installation of all types</v>
      </c>
      <c r="D3540" s="3" t="s">
        <v>9</v>
      </c>
      <c r="E3540" s="3" t="s">
        <v>10647</v>
      </c>
      <c r="F3540" s="3" t="str">
        <f>"317 334 1149"</f>
        <v>317 334 1149</v>
      </c>
      <c r="G3540" s="3">
        <v>339950</v>
      </c>
      <c r="H3540" s="3" t="s">
        <v>68</v>
      </c>
    </row>
    <row r="3541" spans="1:8" ht="39" x14ac:dyDescent="0.25">
      <c r="A3541" s="3" t="s">
        <v>10648</v>
      </c>
      <c r="B3541" s="3"/>
      <c r="C3541" s="3" t="str">
        <f>"We are in the business of supplying wholesale goods in a manner that most efficient and convenient for our customers."</f>
        <v>We are in the business of supplying wholesale goods in a manner that most efficient and convenient for our customers.</v>
      </c>
      <c r="D3541" s="3" t="s">
        <v>9</v>
      </c>
      <c r="E3541" s="3" t="s">
        <v>10649</v>
      </c>
      <c r="F3541" s="2"/>
      <c r="G3541" s="3">
        <v>423</v>
      </c>
      <c r="H3541" s="3" t="s">
        <v>1561</v>
      </c>
    </row>
    <row r="3542" spans="1:8" ht="294" x14ac:dyDescent="0.25">
      <c r="A3542" s="3" t="s">
        <v>10650</v>
      </c>
      <c r="B3542" s="3"/>
      <c r="C3542" s="3" t="s">
        <v>10651</v>
      </c>
      <c r="D3542" s="3" t="s">
        <v>10652</v>
      </c>
      <c r="E3542" s="3" t="s">
        <v>10653</v>
      </c>
      <c r="F3542" s="3" t="str">
        <f>"260-426-8457"</f>
        <v>260-426-8457</v>
      </c>
      <c r="G3542" s="3">
        <v>238220</v>
      </c>
      <c r="H3542" s="3" t="s">
        <v>348</v>
      </c>
    </row>
    <row r="3543" spans="1:8" ht="39" x14ac:dyDescent="0.25">
      <c r="A3543" s="3" t="s">
        <v>10654</v>
      </c>
      <c r="B3543" s="3"/>
      <c r="C3543" s="3" t="str">
        <f>"New and Used vehicle sales. Parts and Service for Dodge,Chrysler and Jeep vehicles."</f>
        <v>New and Used vehicle sales. Parts and Service for Dodge,Chrysler and Jeep vehicles.</v>
      </c>
      <c r="D3543" s="3" t="s">
        <v>10655</v>
      </c>
      <c r="E3543" s="3" t="s">
        <v>10656</v>
      </c>
      <c r="F3543" s="3" t="str">
        <f>"(317)357-8001"</f>
        <v>(317)357-8001</v>
      </c>
      <c r="G3543" s="3">
        <v>441110</v>
      </c>
      <c r="H3543" s="3" t="s">
        <v>2588</v>
      </c>
    </row>
    <row r="3544" spans="1:8" ht="115.5" x14ac:dyDescent="0.25">
      <c r="A3544" s="3" t="s">
        <v>10657</v>
      </c>
      <c r="B3544" s="3"/>
      <c r="C3544" s="3" t="s">
        <v>10658</v>
      </c>
      <c r="D3544" s="3" t="s">
        <v>10659</v>
      </c>
      <c r="E3544" s="3" t="s">
        <v>10660</v>
      </c>
      <c r="F3544" s="3" t="str">
        <f>"219-924-4855"</f>
        <v>219-924-4855</v>
      </c>
      <c r="G3544" s="3">
        <v>54181</v>
      </c>
      <c r="H3544" s="3" t="s">
        <v>976</v>
      </c>
    </row>
    <row r="3545" spans="1:8" ht="39" x14ac:dyDescent="0.25">
      <c r="A3545" s="3" t="s">
        <v>10661</v>
      </c>
      <c r="B3545" s="3"/>
      <c r="C3545" s="3" t="str">
        <f>"Rental tools and equipment for construction, lawn &amp; garden, and party and event."</f>
        <v>Rental tools and equipment for construction, lawn &amp; garden, and party and event.</v>
      </c>
      <c r="D3545" s="3" t="s">
        <v>10662</v>
      </c>
      <c r="E3545" s="3" t="s">
        <v>10663</v>
      </c>
      <c r="F3545" s="3" t="str">
        <f>"1-219-872-9177"</f>
        <v>1-219-872-9177</v>
      </c>
      <c r="G3545" s="3">
        <v>532</v>
      </c>
      <c r="H3545" s="3" t="s">
        <v>2610</v>
      </c>
    </row>
    <row r="3546" spans="1:8" ht="115.5" x14ac:dyDescent="0.25">
      <c r="A3546" s="3" t="s">
        <v>10664</v>
      </c>
      <c r="B3546" s="3"/>
      <c r="C3546" s="3" t="s">
        <v>10665</v>
      </c>
      <c r="D3546" s="3" t="s">
        <v>10666</v>
      </c>
      <c r="E3546" s="3" t="s">
        <v>10667</v>
      </c>
      <c r="F3546" s="3" t="str">
        <f>"317-856-4300"</f>
        <v>317-856-4300</v>
      </c>
      <c r="G3546" s="3">
        <v>423990</v>
      </c>
      <c r="H3546" s="3" t="s">
        <v>983</v>
      </c>
    </row>
    <row r="3547" spans="1:8" ht="319.5" x14ac:dyDescent="0.25">
      <c r="A3547" s="3" t="s">
        <v>10668</v>
      </c>
      <c r="B3547" s="3"/>
      <c r="C3547" s="3" t="s">
        <v>10669</v>
      </c>
      <c r="D3547" s="3" t="s">
        <v>10670</v>
      </c>
      <c r="E3547" s="3" t="s">
        <v>10671</v>
      </c>
      <c r="F3547" s="3" t="str">
        <f>"(317) 449-0033 - EXT 101"</f>
        <v>(317) 449-0033 - EXT 101</v>
      </c>
      <c r="G3547" s="3">
        <v>541330</v>
      </c>
      <c r="H3547" s="3" t="s">
        <v>82</v>
      </c>
    </row>
    <row r="3548" spans="1:8" ht="26.25" x14ac:dyDescent="0.25">
      <c r="A3548" s="3" t="s">
        <v>10672</v>
      </c>
      <c r="B3548" s="3"/>
      <c r="C3548" s="3" t="str">
        <f>"Hilton Indianapolis Hotel &amp; Suites, 120 West Market Street, Indianapolis, IN 46204"</f>
        <v>Hilton Indianapolis Hotel &amp; Suites, 120 West Market Street, Indianapolis, IN 46204</v>
      </c>
      <c r="D3548" s="3" t="s">
        <v>9</v>
      </c>
      <c r="E3548" s="3" t="s">
        <v>46</v>
      </c>
      <c r="F3548" s="3" t="str">
        <f>"317-972-0600"</f>
        <v>317-972-0600</v>
      </c>
      <c r="G3548" s="3">
        <v>721110</v>
      </c>
      <c r="H3548" s="3" t="s">
        <v>872</v>
      </c>
    </row>
    <row r="3549" spans="1:8" ht="166.5" x14ac:dyDescent="0.25">
      <c r="A3549" s="3" t="s">
        <v>10673</v>
      </c>
      <c r="B3549" s="3"/>
      <c r="C3549" s="3" t="s">
        <v>10674</v>
      </c>
      <c r="D3549" s="3" t="s">
        <v>10675</v>
      </c>
      <c r="E3549" s="3" t="s">
        <v>10676</v>
      </c>
      <c r="F3549" s="3" t="str">
        <f>"3178818648"</f>
        <v>3178818648</v>
      </c>
      <c r="G3549" s="3">
        <v>42</v>
      </c>
      <c r="H3549" s="3" t="s">
        <v>674</v>
      </c>
    </row>
    <row r="3550" spans="1:8" ht="26.25" x14ac:dyDescent="0.25">
      <c r="A3550" s="3" t="s">
        <v>10677</v>
      </c>
      <c r="B3550" s="3"/>
      <c r="C3550" s="3" t="str">
        <f>"A small Consulting Engineering Firm"</f>
        <v>A small Consulting Engineering Firm</v>
      </c>
      <c r="D3550" s="3" t="s">
        <v>9</v>
      </c>
      <c r="E3550" s="3" t="s">
        <v>10678</v>
      </c>
      <c r="F3550" s="3" t="str">
        <f>"2193911000"</f>
        <v>2193911000</v>
      </c>
      <c r="G3550" s="3">
        <v>541330</v>
      </c>
      <c r="H3550" s="3" t="s">
        <v>82</v>
      </c>
    </row>
    <row r="3551" spans="1:8" ht="141" x14ac:dyDescent="0.25">
      <c r="A3551" s="3" t="s">
        <v>10679</v>
      </c>
      <c r="B3551" s="3"/>
      <c r="C3551" s="3" t="s">
        <v>10680</v>
      </c>
      <c r="D3551" s="3" t="s">
        <v>10681</v>
      </c>
      <c r="E3551" s="3" t="s">
        <v>10682</v>
      </c>
      <c r="F3551" s="3" t="str">
        <f>"7656208505"</f>
        <v>7656208505</v>
      </c>
      <c r="G3551" s="3">
        <v>23</v>
      </c>
      <c r="H3551" s="3" t="s">
        <v>133</v>
      </c>
    </row>
    <row r="3552" spans="1:8" ht="26.25" x14ac:dyDescent="0.25">
      <c r="A3552" s="3" t="s">
        <v>10683</v>
      </c>
      <c r="B3552" s="3"/>
      <c r="C3552" s="3" t="str">
        <f>" "</f>
        <v xml:space="preserve"> </v>
      </c>
      <c r="D3552" s="3" t="s">
        <v>10684</v>
      </c>
      <c r="E3552" s="3" t="s">
        <v>46</v>
      </c>
      <c r="F3552" s="3" t="str">
        <f>"317-215-5758"</f>
        <v>317-215-5758</v>
      </c>
      <c r="G3552" s="3">
        <v>48</v>
      </c>
      <c r="H3552" s="3" t="s">
        <v>104</v>
      </c>
    </row>
    <row r="3553" spans="1:8" ht="26.25" x14ac:dyDescent="0.25">
      <c r="A3553" s="3" t="s">
        <v>10685</v>
      </c>
      <c r="B3553" s="3"/>
      <c r="C3553" s="3" t="str">
        <f>" "</f>
        <v xml:space="preserve"> </v>
      </c>
      <c r="D3553" s="3" t="s">
        <v>9</v>
      </c>
      <c r="E3553" s="3" t="s">
        <v>10686</v>
      </c>
      <c r="F3553" s="3" t="str">
        <f>"812-934-4029"</f>
        <v>812-934-4029</v>
      </c>
      <c r="G3553" s="3">
        <v>23</v>
      </c>
      <c r="H3553" s="3" t="s">
        <v>133</v>
      </c>
    </row>
    <row r="3554" spans="1:8" ht="153.75" x14ac:dyDescent="0.25">
      <c r="A3554" s="3" t="s">
        <v>10687</v>
      </c>
      <c r="B3554" s="3"/>
      <c r="C3554" s="3" t="s">
        <v>10688</v>
      </c>
      <c r="D3554" s="3" t="s">
        <v>10689</v>
      </c>
      <c r="E3554" s="3" t="s">
        <v>10690</v>
      </c>
      <c r="F3554" s="3" t="str">
        <f>"317 377-0540"</f>
        <v>317 377-0540</v>
      </c>
      <c r="G3554" s="3">
        <v>523930</v>
      </c>
      <c r="H3554" s="3" t="s">
        <v>2936</v>
      </c>
    </row>
    <row r="3555" spans="1:8" ht="51.75" x14ac:dyDescent="0.25">
      <c r="A3555" s="3" t="s">
        <v>10691</v>
      </c>
      <c r="B3555" s="3"/>
      <c r="C3555" s="3" t="str">
        <f>"Electrical specialty company providing outside/inside commercial lighting; energy savings on inductive motors and demand response"</f>
        <v>Electrical specialty company providing outside/inside commercial lighting; energy savings on inductive motors and demand response</v>
      </c>
      <c r="D3555" s="3" t="s">
        <v>10692</v>
      </c>
      <c r="E3555" s="3" t="s">
        <v>10693</v>
      </c>
      <c r="F3555" s="3" t="str">
        <f>"317-758-1507"</f>
        <v>317-758-1507</v>
      </c>
      <c r="G3555" s="3">
        <v>238210</v>
      </c>
      <c r="H3555" s="3" t="s">
        <v>306</v>
      </c>
    </row>
    <row r="3556" spans="1:8" ht="64.5" x14ac:dyDescent="0.25">
      <c r="A3556" s="3" t="s">
        <v>10694</v>
      </c>
      <c r="B3556" s="3"/>
      <c r="C3556" s="3" t="str">
        <f>"Community and economic development consultants. Services include transportation planning, public involvement, needs asssessments, program development, and contract compliance."</f>
        <v>Community and economic development consultants. Services include transportation planning, public involvement, needs asssessments, program development, and contract compliance.</v>
      </c>
      <c r="D3556" s="3" t="s">
        <v>10695</v>
      </c>
      <c r="E3556" s="3" t="s">
        <v>10696</v>
      </c>
      <c r="F3556" s="3" t="str">
        <f>"3172919670"</f>
        <v>3172919670</v>
      </c>
      <c r="G3556" s="3">
        <v>541618</v>
      </c>
      <c r="H3556" s="3" t="s">
        <v>3527</v>
      </c>
    </row>
    <row r="3557" spans="1:8" ht="26.25" x14ac:dyDescent="0.25">
      <c r="A3557" s="3" t="s">
        <v>10697</v>
      </c>
      <c r="B3557" s="3"/>
      <c r="C3557" s="3" t="str">
        <f>"Commercial/Retail, institutional, multi-family residence general contractor."</f>
        <v>Commercial/Retail, institutional, multi-family residence general contractor.</v>
      </c>
      <c r="D3557" s="3" t="s">
        <v>10698</v>
      </c>
      <c r="E3557" s="3" t="s">
        <v>46</v>
      </c>
      <c r="F3557" s="3" t="str">
        <f>"317-638-3355"</f>
        <v>317-638-3355</v>
      </c>
      <c r="G3557" s="3">
        <v>236220</v>
      </c>
      <c r="H3557" s="3" t="s">
        <v>598</v>
      </c>
    </row>
    <row r="3558" spans="1:8" ht="77.25" x14ac:dyDescent="0.25">
      <c r="A3558" s="3" t="s">
        <v>10699</v>
      </c>
      <c r="B3558" s="3"/>
      <c r="C3558" s="3" t="str">
        <f>"Retail sales and service of new John Deere Farm and Lawn and Grounds care equipment and attachements, and used Farm and Lawn and Grounds Care Equipment, including repair parts for the aforementioned equipment"</f>
        <v>Retail sales and service of new John Deere Farm and Lawn and Grounds care equipment and attachements, and used Farm and Lawn and Grounds Care Equipment, including repair parts for the aforementioned equipment</v>
      </c>
      <c r="D3558" s="3" t="s">
        <v>10700</v>
      </c>
      <c r="E3558" s="3" t="s">
        <v>10701</v>
      </c>
      <c r="F3558" s="3" t="str">
        <f>"574-453-2084"</f>
        <v>574-453-2084</v>
      </c>
      <c r="G3558" s="3">
        <v>44</v>
      </c>
      <c r="H3558" s="3" t="s">
        <v>574</v>
      </c>
    </row>
    <row r="3559" spans="1:8" ht="230.25" x14ac:dyDescent="0.25">
      <c r="A3559" s="3" t="s">
        <v>10702</v>
      </c>
      <c r="B3559" s="3"/>
      <c r="C3559" s="3" t="s">
        <v>10703</v>
      </c>
      <c r="D3559" s="3" t="s">
        <v>10704</v>
      </c>
      <c r="E3559" s="3" t="s">
        <v>10705</v>
      </c>
      <c r="F3559" s="3" t="str">
        <f>"2604829043"</f>
        <v>2604829043</v>
      </c>
      <c r="G3559" s="3">
        <v>423610</v>
      </c>
      <c r="H3559" s="3" t="s">
        <v>2414</v>
      </c>
    </row>
    <row r="3560" spans="1:8" ht="64.5" x14ac:dyDescent="0.25">
      <c r="A3560" s="3" t="s">
        <v>10706</v>
      </c>
      <c r="B3560" s="3"/>
      <c r="C3560" s="3" t="str">
        <f>"Provide strategic marketing, communications, public relations, and fundraising consulting, planning, and implementation services to achieve dramatic, measurable results."</f>
        <v>Provide strategic marketing, communications, public relations, and fundraising consulting, planning, and implementation services to achieve dramatic, measurable results.</v>
      </c>
      <c r="D3560" s="3" t="s">
        <v>9</v>
      </c>
      <c r="E3560" s="3" t="s">
        <v>10707</v>
      </c>
      <c r="F3560" s="3" t="str">
        <f>"317-985-5523"</f>
        <v>317-985-5523</v>
      </c>
      <c r="G3560" s="3">
        <v>541613</v>
      </c>
      <c r="H3560" s="3" t="s">
        <v>558</v>
      </c>
    </row>
    <row r="3561" spans="1:8" ht="102.75" x14ac:dyDescent="0.25">
      <c r="A3561" s="3" t="s">
        <v>10708</v>
      </c>
      <c r="B3561" s="3"/>
      <c r="C3561" s="3" t="s">
        <v>10709</v>
      </c>
      <c r="D3561" s="3" t="s">
        <v>10710</v>
      </c>
      <c r="E3561" s="3" t="s">
        <v>10711</v>
      </c>
      <c r="F3561" s="3" t="str">
        <f>"8122356167"</f>
        <v>8122356167</v>
      </c>
      <c r="G3561" s="3">
        <v>333994</v>
      </c>
      <c r="H3561" s="3" t="s">
        <v>10712</v>
      </c>
    </row>
    <row r="3562" spans="1:8" ht="26.25" x14ac:dyDescent="0.25">
      <c r="A3562" s="3" t="s">
        <v>10713</v>
      </c>
      <c r="B3562" s="3"/>
      <c r="C3562" s="3" t="str">
        <f>"retail farm equipment, livestock, construction, lawn -garden equipment"</f>
        <v>retail farm equipment, livestock, construction, lawn -garden equipment</v>
      </c>
      <c r="D3562" s="3" t="s">
        <v>10714</v>
      </c>
      <c r="E3562" s="3" t="s">
        <v>10715</v>
      </c>
      <c r="F3562" s="3" t="str">
        <f>"765-294-2256"</f>
        <v>765-294-2256</v>
      </c>
      <c r="G3562" s="3">
        <v>11291</v>
      </c>
      <c r="H3562" s="3" t="s">
        <v>4833</v>
      </c>
    </row>
    <row r="3563" spans="1:8" ht="39" x14ac:dyDescent="0.25">
      <c r="A3563" s="3" t="s">
        <v>10716</v>
      </c>
      <c r="B3563" s="3"/>
      <c r="C3563" s="3" t="str">
        <f>"Sale of wholesale refrigeration, air conditioning, heating, equipment, parts, and supplies."</f>
        <v>Sale of wholesale refrigeration, air conditioning, heating, equipment, parts, and supplies.</v>
      </c>
      <c r="D3563" s="3" t="s">
        <v>9</v>
      </c>
      <c r="E3563" s="3" t="s">
        <v>10717</v>
      </c>
      <c r="F3563" s="3" t="str">
        <f>"812-424-2471"</f>
        <v>812-424-2471</v>
      </c>
      <c r="G3563" s="3">
        <v>221330</v>
      </c>
      <c r="H3563" s="3" t="s">
        <v>5198</v>
      </c>
    </row>
    <row r="3564" spans="1:8" ht="26.25" x14ac:dyDescent="0.25">
      <c r="A3564" s="3" t="s">
        <v>10718</v>
      </c>
      <c r="B3564" s="3"/>
      <c r="C3564" s="3" t="str">
        <f>"RETAILER OF ART AND OFFICE SUPPLIES AND EQUIPMENT"</f>
        <v>RETAILER OF ART AND OFFICE SUPPLIES AND EQUIPMENT</v>
      </c>
      <c r="D3564" s="3" t="s">
        <v>9</v>
      </c>
      <c r="E3564" s="3" t="s">
        <v>10719</v>
      </c>
      <c r="F3564" s="3" t="str">
        <f>"219 874-4003"</f>
        <v>219 874-4003</v>
      </c>
      <c r="G3564" s="3">
        <v>453210</v>
      </c>
      <c r="H3564" s="3" t="s">
        <v>431</v>
      </c>
    </row>
    <row r="3565" spans="1:8" ht="51.75" x14ac:dyDescent="0.25">
      <c r="A3565" s="3" t="s">
        <v>10720</v>
      </c>
      <c r="B3565" s="3"/>
      <c r="C3565" s="3" t="str">
        <f>"Union general contractor. We perform work in southern &amp; central Indiana. Established in 1945. Specializing in industrial, institutional &amp; commercial work"</f>
        <v>Union general contractor. We perform work in southern &amp; central Indiana. Established in 1945. Specializing in industrial, institutional &amp; commercial work</v>
      </c>
      <c r="D3565" s="3" t="s">
        <v>9</v>
      </c>
      <c r="E3565" s="3" t="s">
        <v>46</v>
      </c>
      <c r="F3565" s="3" t="str">
        <f>"317/359-9501"</f>
        <v>317/359-9501</v>
      </c>
      <c r="G3565" s="3">
        <v>236</v>
      </c>
      <c r="H3565" s="3" t="s">
        <v>291</v>
      </c>
    </row>
    <row r="3566" spans="1:8" ht="166.5" x14ac:dyDescent="0.25">
      <c r="A3566" s="3" t="s">
        <v>10721</v>
      </c>
      <c r="B3566" s="3"/>
      <c r="C3566" s="3" t="s">
        <v>10722</v>
      </c>
      <c r="D3566" s="3" t="s">
        <v>10723</v>
      </c>
      <c r="E3566" s="3" t="s">
        <v>10724</v>
      </c>
      <c r="F3566" s="3" t="str">
        <f>"3176909116"</f>
        <v>3176909116</v>
      </c>
      <c r="G3566" s="3">
        <v>423450</v>
      </c>
      <c r="H3566" s="3" t="s">
        <v>1406</v>
      </c>
    </row>
    <row r="3567" spans="1:8" ht="217.5" x14ac:dyDescent="0.25">
      <c r="A3567" s="3" t="s">
        <v>10725</v>
      </c>
      <c r="B3567" s="3"/>
      <c r="C3567" s="3" t="s">
        <v>10726</v>
      </c>
      <c r="D3567" s="3" t="s">
        <v>10727</v>
      </c>
      <c r="E3567" s="3" t="s">
        <v>10728</v>
      </c>
      <c r="F3567" s="3" t="str">
        <f>"708-474-4488"</f>
        <v>708-474-4488</v>
      </c>
      <c r="G3567" s="3">
        <v>423450</v>
      </c>
      <c r="H3567" s="3" t="s">
        <v>1406</v>
      </c>
    </row>
    <row r="3568" spans="1:8" ht="115.5" x14ac:dyDescent="0.25">
      <c r="A3568" s="3" t="s">
        <v>10729</v>
      </c>
      <c r="B3568" s="3"/>
      <c r="C3568" s="3" t="s">
        <v>10730</v>
      </c>
      <c r="D3568" s="3" t="s">
        <v>9</v>
      </c>
      <c r="E3568" s="3" t="s">
        <v>46</v>
      </c>
      <c r="F3568" s="3" t="str">
        <f>"502 296-9842"</f>
        <v>502 296-9842</v>
      </c>
      <c r="G3568" s="3">
        <v>23</v>
      </c>
      <c r="H3568" s="3" t="s">
        <v>133</v>
      </c>
    </row>
    <row r="3569" spans="1:8" ht="294" x14ac:dyDescent="0.25">
      <c r="A3569" s="3" t="s">
        <v>10731</v>
      </c>
      <c r="B3569" s="3"/>
      <c r="C3569" s="3" t="s">
        <v>10732</v>
      </c>
      <c r="D3569" s="3" t="s">
        <v>10733</v>
      </c>
      <c r="E3569" s="3" t="s">
        <v>10734</v>
      </c>
      <c r="F3569" s="3" t="str">
        <f>"812-401-5454"</f>
        <v>812-401-5454</v>
      </c>
      <c r="G3569" s="3">
        <v>541612</v>
      </c>
      <c r="H3569" s="3" t="s">
        <v>1923</v>
      </c>
    </row>
    <row r="3570" spans="1:8" ht="90" x14ac:dyDescent="0.25">
      <c r="A3570" s="3" t="s">
        <v>10735</v>
      </c>
      <c r="B3570" s="3"/>
      <c r="C3570" s="3" t="str">
        <f>"GENERAL CONTRACTOR, SITE LOGISTICS, GRASS CUTTING, SNOW REMOVAL, CONCRETE/CARPENTER, PORT-O-LET PROVIDER &amp; MAINTENANCE, CONCRETE DEMO, HAULING, EXCAVATING, DIRT/STONE GRATING, UTILITY LOCATING, CONCRETE POURING, ETC."</f>
        <v>GENERAL CONTRACTOR, SITE LOGISTICS, GRASS CUTTING, SNOW REMOVAL, CONCRETE/CARPENTER, PORT-O-LET PROVIDER &amp; MAINTENANCE, CONCRETE DEMO, HAULING, EXCAVATING, DIRT/STONE GRATING, UTILITY LOCATING, CONCRETE POURING, ETC.</v>
      </c>
      <c r="D3570" s="3" t="s">
        <v>9</v>
      </c>
      <c r="E3570" s="3" t="s">
        <v>10736</v>
      </c>
      <c r="F3570" s="3" t="str">
        <f>"317-538-2876"</f>
        <v>317-538-2876</v>
      </c>
      <c r="G3570" s="3">
        <v>2362</v>
      </c>
      <c r="H3570" s="3" t="s">
        <v>423</v>
      </c>
    </row>
    <row r="3571" spans="1:8" ht="102.75" x14ac:dyDescent="0.25">
      <c r="A3571" s="3" t="s">
        <v>10737</v>
      </c>
      <c r="B3571" s="3"/>
      <c r="C3571" s="3" t="s">
        <v>10738</v>
      </c>
      <c r="D3571" s="3" t="s">
        <v>10739</v>
      </c>
      <c r="E3571" s="3" t="s">
        <v>10740</v>
      </c>
      <c r="F3571" s="3" t="str">
        <f>"317-898-3510"</f>
        <v>317-898-3510</v>
      </c>
      <c r="G3571" s="3">
        <v>423</v>
      </c>
      <c r="H3571" s="3" t="s">
        <v>1561</v>
      </c>
    </row>
    <row r="3572" spans="1:8" ht="26.25" x14ac:dyDescent="0.25">
      <c r="A3572" s="3" t="s">
        <v>10741</v>
      </c>
      <c r="B3572" s="3"/>
      <c r="C3572" s="3" t="str">
        <f>" "</f>
        <v xml:space="preserve"> </v>
      </c>
      <c r="D3572" s="3" t="s">
        <v>9</v>
      </c>
      <c r="E3572" s="3" t="s">
        <v>10742</v>
      </c>
      <c r="F3572" s="3" t="str">
        <f>"260-273-9325"</f>
        <v>260-273-9325</v>
      </c>
      <c r="G3572" s="3">
        <v>425120</v>
      </c>
      <c r="H3572" s="3" t="s">
        <v>58</v>
      </c>
    </row>
    <row r="3573" spans="1:8" ht="64.5" x14ac:dyDescent="0.25">
      <c r="A3573" s="3" t="s">
        <v>10743</v>
      </c>
      <c r="B3573" s="3"/>
      <c r="C3573" s="3" t="str">
        <f>"GNA Assessment Professionals contracts with County Government to provide real property assessment services. We also assessment education, training and consulting services."</f>
        <v>GNA Assessment Professionals contracts with County Government to provide real property assessment services. We also assessment education, training and consulting services.</v>
      </c>
      <c r="D3573" s="3" t="s">
        <v>9</v>
      </c>
      <c r="E3573" s="3" t="s">
        <v>10744</v>
      </c>
      <c r="F3573" s="3" t="str">
        <f>"812-593-5308"</f>
        <v>812-593-5308</v>
      </c>
      <c r="G3573" s="3">
        <v>531320</v>
      </c>
      <c r="H3573" s="3" t="s">
        <v>34</v>
      </c>
    </row>
    <row r="3574" spans="1:8" ht="90" x14ac:dyDescent="0.25">
      <c r="A3574" s="3" t="s">
        <v>10745</v>
      </c>
      <c r="B3574" s="3"/>
      <c r="C3574" s="3" t="str">
        <f>"COMPLETE VALVE REPAIR AND PIPING SPECIALIZES IN ALL VALVE AND ACTUATOR REPAIR AS WELL AS INDUSTRIAL,COMMERCIAL,PROCESS,AND OXYGEN PIPING SYSTEMS. WE ALSO OFFER NON-DESTRUCTIVE METALURGICAL TESTING SERVICES"</f>
        <v>COMPLETE VALVE REPAIR AND PIPING SPECIALIZES IN ALL VALVE AND ACTUATOR REPAIR AS WELL AS INDUSTRIAL,COMMERCIAL,PROCESS,AND OXYGEN PIPING SYSTEMS. WE ALSO OFFER NON-DESTRUCTIVE METALURGICAL TESTING SERVICES</v>
      </c>
      <c r="D3574" s="3" t="s">
        <v>9</v>
      </c>
      <c r="E3574" s="3" t="s">
        <v>10746</v>
      </c>
      <c r="F3574" s="3" t="str">
        <f>"219-764-3337"</f>
        <v>219-764-3337</v>
      </c>
      <c r="G3574" s="3">
        <v>235</v>
      </c>
      <c r="H3574" s="3" t="s">
        <v>259</v>
      </c>
    </row>
    <row r="3575" spans="1:8" ht="128.25" x14ac:dyDescent="0.25">
      <c r="A3575" s="3" t="s">
        <v>10747</v>
      </c>
      <c r="B3575" s="3"/>
      <c r="C3575" s="3" t="s">
        <v>10748</v>
      </c>
      <c r="D3575" s="3" t="s">
        <v>9</v>
      </c>
      <c r="E3575" s="3" t="s">
        <v>10749</v>
      </c>
      <c r="F3575" s="3" t="str">
        <f>"317 845-0820"</f>
        <v>317 845-0820</v>
      </c>
      <c r="G3575" s="3">
        <v>541611</v>
      </c>
      <c r="H3575" s="3" t="s">
        <v>278</v>
      </c>
    </row>
    <row r="3576" spans="1:8" ht="192" x14ac:dyDescent="0.25">
      <c r="A3576" s="3" t="s">
        <v>10750</v>
      </c>
      <c r="B3576" s="3"/>
      <c r="C3576" s="3" t="s">
        <v>10751</v>
      </c>
      <c r="D3576" s="3" t="s">
        <v>10752</v>
      </c>
      <c r="E3576" s="3" t="s">
        <v>10753</v>
      </c>
      <c r="F3576" s="3" t="str">
        <f>"317-400-8830"</f>
        <v>317-400-8830</v>
      </c>
      <c r="G3576" s="3">
        <v>611</v>
      </c>
      <c r="H3576" s="3" t="s">
        <v>140</v>
      </c>
    </row>
    <row r="3577" spans="1:8" ht="51.75" x14ac:dyDescent="0.25">
      <c r="A3577" s="3" t="s">
        <v>10754</v>
      </c>
      <c r="B3577" s="3"/>
      <c r="C3577" s="3" t="str">
        <f>"We are a ful service PROMOTIONAL PRODUCTS DISTRIBUTOR , SCREEN PRINTER , EMBRIODER of full line of apparel and headwear."</f>
        <v>We are a ful service PROMOTIONAL PRODUCTS DISTRIBUTOR , SCREEN PRINTER , EMBRIODER of full line of apparel and headwear.</v>
      </c>
      <c r="D3577" s="3" t="s">
        <v>10755</v>
      </c>
      <c r="E3577" s="3" t="s">
        <v>10756</v>
      </c>
      <c r="F3577" s="3" t="str">
        <f>"317-202-2754"</f>
        <v>317-202-2754</v>
      </c>
      <c r="G3577" s="3">
        <v>541890</v>
      </c>
      <c r="H3577" s="3" t="s">
        <v>401</v>
      </c>
    </row>
    <row r="3578" spans="1:8" ht="153.75" x14ac:dyDescent="0.25">
      <c r="A3578" s="3" t="s">
        <v>10757</v>
      </c>
      <c r="B3578" s="3"/>
      <c r="C3578" s="3" t="s">
        <v>10758</v>
      </c>
      <c r="D3578" s="3" t="s">
        <v>10759</v>
      </c>
      <c r="E3578" s="3" t="s">
        <v>10760</v>
      </c>
      <c r="F3578" s="3" t="str">
        <f>"317-845-1805"</f>
        <v>317-845-1805</v>
      </c>
      <c r="G3578" s="3">
        <v>238220</v>
      </c>
      <c r="H3578" s="3" t="s">
        <v>348</v>
      </c>
    </row>
    <row r="3579" spans="1:8" ht="26.25" x14ac:dyDescent="0.25">
      <c r="A3579" s="3" t="s">
        <v>10761</v>
      </c>
      <c r="B3579" s="3"/>
      <c r="C3579" s="3" t="str">
        <f>"Manufacturing and sales of canvas, vinyl &amp; poly tarps"</f>
        <v>Manufacturing and sales of canvas, vinyl &amp; poly tarps</v>
      </c>
      <c r="D3579" s="3" t="s">
        <v>10762</v>
      </c>
      <c r="E3579" s="3" t="s">
        <v>10763</v>
      </c>
      <c r="F3579" s="3" t="str">
        <f>"812-879-4224"</f>
        <v>812-879-4224</v>
      </c>
      <c r="G3579" s="3">
        <v>3399</v>
      </c>
      <c r="H3579" s="3" t="s">
        <v>2236</v>
      </c>
    </row>
    <row r="3580" spans="1:8" ht="128.25" x14ac:dyDescent="0.25">
      <c r="A3580" s="3" t="s">
        <v>10764</v>
      </c>
      <c r="B3580" s="3"/>
      <c r="C3580" s="3" t="s">
        <v>10765</v>
      </c>
      <c r="D3580" s="3" t="s">
        <v>9</v>
      </c>
      <c r="E3580" s="3" t="s">
        <v>10766</v>
      </c>
      <c r="F3580" s="3" t="str">
        <f>"812-853-8995"</f>
        <v>812-853-8995</v>
      </c>
      <c r="G3580" s="3">
        <v>23593</v>
      </c>
      <c r="H3580" s="3" t="s">
        <v>71</v>
      </c>
    </row>
    <row r="3581" spans="1:8" ht="192" x14ac:dyDescent="0.25">
      <c r="A3581" s="3" t="s">
        <v>10767</v>
      </c>
      <c r="B3581" s="3"/>
      <c r="C3581" s="3" t="s">
        <v>10768</v>
      </c>
      <c r="D3581" s="3" t="s">
        <v>10769</v>
      </c>
      <c r="E3581" s="3" t="s">
        <v>10770</v>
      </c>
      <c r="F3581" s="3" t="str">
        <f>"800-888-3833"</f>
        <v>800-888-3833</v>
      </c>
      <c r="G3581" s="3">
        <v>335122</v>
      </c>
      <c r="H3581" s="3" t="s">
        <v>3895</v>
      </c>
    </row>
    <row r="3582" spans="1:8" ht="51.75" x14ac:dyDescent="0.25">
      <c r="A3582" s="3" t="s">
        <v>10771</v>
      </c>
      <c r="B3582" s="3"/>
      <c r="C3582" s="3" t="str">
        <f>"In business 15 years, we provide industrial and commercial and residential plumbing services as well as plumbing parts, piping and fittings, valves, fixtures, etc."</f>
        <v>In business 15 years, we provide industrial and commercial and residential plumbing services as well as plumbing parts, piping and fittings, valves, fixtures, etc.</v>
      </c>
      <c r="D3582" s="3" t="s">
        <v>9</v>
      </c>
      <c r="E3582" s="3" t="s">
        <v>10772</v>
      </c>
      <c r="F3582" s="3" t="str">
        <f>"260-744-1944"</f>
        <v>260-744-1944</v>
      </c>
      <c r="G3582" s="3">
        <v>238220</v>
      </c>
      <c r="H3582" s="3" t="s">
        <v>348</v>
      </c>
    </row>
    <row r="3583" spans="1:8" ht="102.75" x14ac:dyDescent="0.25">
      <c r="A3583" s="3" t="s">
        <v>10773</v>
      </c>
      <c r="B3583" s="3"/>
      <c r="C3583" s="3" t="s">
        <v>10774</v>
      </c>
      <c r="D3583" s="3" t="s">
        <v>9</v>
      </c>
      <c r="E3583" s="3" t="s">
        <v>10775</v>
      </c>
      <c r="F3583" s="3" t="str">
        <f>"800-373-9955"</f>
        <v>800-373-9955</v>
      </c>
      <c r="G3583" s="3">
        <v>484210</v>
      </c>
      <c r="H3583" s="3" t="s">
        <v>8993</v>
      </c>
    </row>
    <row r="3584" spans="1:8" ht="115.5" x14ac:dyDescent="0.25">
      <c r="A3584" s="3" t="s">
        <v>10776</v>
      </c>
      <c r="B3584" s="3"/>
      <c r="C3584" s="3" t="s">
        <v>10777</v>
      </c>
      <c r="D3584" s="3" t="s">
        <v>10778</v>
      </c>
      <c r="E3584" s="3" t="s">
        <v>10779</v>
      </c>
      <c r="F3584" s="3" t="str">
        <f>"2604850327"</f>
        <v>2604850327</v>
      </c>
      <c r="G3584" s="3">
        <v>624110</v>
      </c>
      <c r="H3584" s="3" t="s">
        <v>628</v>
      </c>
    </row>
    <row r="3585" spans="1:8" ht="230.25" x14ac:dyDescent="0.25">
      <c r="A3585" s="3" t="s">
        <v>10780</v>
      </c>
      <c r="B3585" s="3"/>
      <c r="C3585" s="3" t="s">
        <v>10781</v>
      </c>
      <c r="D3585" s="3" t="s">
        <v>10782</v>
      </c>
      <c r="E3585" s="3" t="s">
        <v>46</v>
      </c>
      <c r="F3585" s="3" t="str">
        <f>"317.632.8341"</f>
        <v>317.632.8341</v>
      </c>
      <c r="G3585" s="3">
        <v>23493</v>
      </c>
      <c r="H3585" s="3" t="s">
        <v>2950</v>
      </c>
    </row>
    <row r="3586" spans="1:8" ht="26.25" x14ac:dyDescent="0.25">
      <c r="A3586" s="3" t="s">
        <v>10783</v>
      </c>
      <c r="B3586" s="3"/>
      <c r="C3586" s="3" t="str">
        <f>"Wholesale printing supplies and equipment."</f>
        <v>Wholesale printing supplies and equipment.</v>
      </c>
      <c r="D3586" s="3" t="s">
        <v>10784</v>
      </c>
      <c r="E3586" s="3" t="s">
        <v>10785</v>
      </c>
      <c r="F3586" s="3" t="str">
        <f>"219-947-1518"</f>
        <v>219-947-1518</v>
      </c>
      <c r="G3586" s="3">
        <v>423830</v>
      </c>
      <c r="H3586" s="3" t="s">
        <v>172</v>
      </c>
    </row>
    <row r="3587" spans="1:8" ht="115.5" x14ac:dyDescent="0.25">
      <c r="A3587" s="3" t="s">
        <v>10786</v>
      </c>
      <c r="B3587" s="3"/>
      <c r="C3587" s="3" t="s">
        <v>10787</v>
      </c>
      <c r="D3587" s="3" t="s">
        <v>10788</v>
      </c>
      <c r="E3587" s="3" t="s">
        <v>10789</v>
      </c>
      <c r="F3587" s="3" t="str">
        <f>"3173351706"</f>
        <v>3173351706</v>
      </c>
      <c r="G3587" s="3">
        <v>334512</v>
      </c>
      <c r="H3587" s="3" t="s">
        <v>7722</v>
      </c>
    </row>
    <row r="3588" spans="1:8" ht="64.5" x14ac:dyDescent="0.25">
      <c r="A3588" s="3" t="s">
        <v>10790</v>
      </c>
      <c r="B3588" s="3"/>
      <c r="C3588" s="3" t="str">
        <f>"Medium/Heavy Truck &amp; Light Duty Vehicle Repair, Drive ability electrical, brakes both air and hydraulic and suspension. Engine and transmission service wheel alignment and tires."</f>
        <v>Medium/Heavy Truck &amp; Light Duty Vehicle Repair, Drive ability electrical, brakes both air and hydraulic and suspension. Engine and transmission service wheel alignment and tires.</v>
      </c>
      <c r="D3588" s="3" t="s">
        <v>10791</v>
      </c>
      <c r="E3588" s="3" t="s">
        <v>10792</v>
      </c>
      <c r="F3588" s="3" t="str">
        <f>"812-526-0222"</f>
        <v>812-526-0222</v>
      </c>
      <c r="G3588" s="3">
        <v>811111</v>
      </c>
      <c r="H3588" s="3" t="s">
        <v>2383</v>
      </c>
    </row>
    <row r="3589" spans="1:8" ht="26.25" x14ac:dyDescent="0.25">
      <c r="A3589" s="3" t="s">
        <v>10793</v>
      </c>
      <c r="B3589" s="3"/>
      <c r="C3589" s="3" t="str">
        <f>"Limited Liabilty Company"</f>
        <v>Limited Liabilty Company</v>
      </c>
      <c r="D3589" s="3" t="s">
        <v>9</v>
      </c>
      <c r="E3589" s="3" t="s">
        <v>46</v>
      </c>
      <c r="F3589" s="3" t="str">
        <f>"812-637-5777"</f>
        <v>812-637-5777</v>
      </c>
      <c r="G3589" s="3">
        <v>722</v>
      </c>
      <c r="H3589" s="3" t="s">
        <v>5711</v>
      </c>
    </row>
    <row r="3590" spans="1:8" ht="192" x14ac:dyDescent="0.25">
      <c r="A3590" s="3" t="s">
        <v>10794</v>
      </c>
      <c r="B3590" s="3"/>
      <c r="C3590" s="3" t="s">
        <v>10795</v>
      </c>
      <c r="D3590" s="3" t="s">
        <v>10796</v>
      </c>
      <c r="E3590" s="3" t="s">
        <v>10797</v>
      </c>
      <c r="F3590" s="3" t="str">
        <f>"260-744-2525"</f>
        <v>260-744-2525</v>
      </c>
      <c r="G3590" s="3">
        <v>517310</v>
      </c>
      <c r="H3590" s="3" t="s">
        <v>540</v>
      </c>
    </row>
    <row r="3591" spans="1:8" ht="319.5" x14ac:dyDescent="0.25">
      <c r="A3591" s="3" t="s">
        <v>10798</v>
      </c>
      <c r="B3591" s="3"/>
      <c r="C3591" s="3" t="s">
        <v>10799</v>
      </c>
      <c r="D3591" s="3" t="s">
        <v>10800</v>
      </c>
      <c r="E3591" s="3" t="s">
        <v>10801</v>
      </c>
      <c r="F3591" s="3" t="str">
        <f>"317-347-3650"</f>
        <v>317-347-3650</v>
      </c>
      <c r="G3591" s="3">
        <v>541330</v>
      </c>
      <c r="H3591" s="3" t="s">
        <v>82</v>
      </c>
    </row>
    <row r="3592" spans="1:8" ht="26.25" x14ac:dyDescent="0.25">
      <c r="A3592" s="3" t="s">
        <v>10802</v>
      </c>
      <c r="B3592" s="3"/>
      <c r="C3592" s="3" t="str">
        <f>"Chemical and Food Additive Distributor"</f>
        <v>Chemical and Food Additive Distributor</v>
      </c>
      <c r="D3592" s="3" t="s">
        <v>10803</v>
      </c>
      <c r="E3592" s="3" t="s">
        <v>10804</v>
      </c>
      <c r="F3592" s="3" t="str">
        <f>"800-392-8954"</f>
        <v>800-392-8954</v>
      </c>
      <c r="G3592" s="3">
        <v>424690</v>
      </c>
      <c r="H3592" s="3" t="s">
        <v>2494</v>
      </c>
    </row>
    <row r="3593" spans="1:8" ht="51.75" x14ac:dyDescent="0.25">
      <c r="A3593" s="3" t="s">
        <v>10805</v>
      </c>
      <c r="B3593" s="3"/>
      <c r="C3593" s="3" t="str">
        <f>"Janitorial services for commercial, industrial, medical, pharmaceutical including construction cleaning and window cleaning."</f>
        <v>Janitorial services for commercial, industrial, medical, pharmaceutical including construction cleaning and window cleaning.</v>
      </c>
      <c r="D3593" s="3" t="s">
        <v>10806</v>
      </c>
      <c r="E3593" s="3" t="s">
        <v>10807</v>
      </c>
      <c r="F3593" s="3" t="str">
        <f>"317-262-1133"</f>
        <v>317-262-1133</v>
      </c>
      <c r="G3593" s="3">
        <v>561720</v>
      </c>
      <c r="H3593" s="3" t="s">
        <v>222</v>
      </c>
    </row>
    <row r="3594" spans="1:8" ht="153.75" x14ac:dyDescent="0.25">
      <c r="A3594" s="3" t="s">
        <v>10808</v>
      </c>
      <c r="B3594" s="3"/>
      <c r="C3594" s="3" t="s">
        <v>10809</v>
      </c>
      <c r="D3594" s="3" t="s">
        <v>10810</v>
      </c>
      <c r="E3594" s="3" t="s">
        <v>10811</v>
      </c>
      <c r="F3594" s="3" t="str">
        <f>"574-288-3459"</f>
        <v>574-288-3459</v>
      </c>
      <c r="G3594" s="3">
        <v>326299</v>
      </c>
      <c r="H3594" s="3" t="s">
        <v>7095</v>
      </c>
    </row>
    <row r="3595" spans="1:8" ht="26.25" x14ac:dyDescent="0.25">
      <c r="A3595" s="3" t="s">
        <v>10812</v>
      </c>
      <c r="B3595" s="3"/>
      <c r="C3595" s="3" t="str">
        <f>"Wholeseller Of Automotive &amp; Truck &amp; Industrial Parts."</f>
        <v>Wholeseller Of Automotive &amp; Truck &amp; Industrial Parts.</v>
      </c>
      <c r="D3595" s="3" t="s">
        <v>9</v>
      </c>
      <c r="E3595" s="3" t="s">
        <v>10813</v>
      </c>
      <c r="F3595" s="3" t="str">
        <f>"765-664-5573"</f>
        <v>765-664-5573</v>
      </c>
      <c r="G3595" s="3">
        <v>441310</v>
      </c>
      <c r="H3595" s="3" t="s">
        <v>1699</v>
      </c>
    </row>
    <row r="3596" spans="1:8" ht="281.25" x14ac:dyDescent="0.25">
      <c r="A3596" s="3" t="s">
        <v>10814</v>
      </c>
      <c r="B3596" s="3"/>
      <c r="C3596" s="3" t="s">
        <v>10815</v>
      </c>
      <c r="D3596" s="3" t="s">
        <v>10816</v>
      </c>
      <c r="E3596" s="3" t="s">
        <v>10817</v>
      </c>
      <c r="F3596" s="3" t="str">
        <f>"3175781700"</f>
        <v>3175781700</v>
      </c>
      <c r="G3596" s="3">
        <v>561320</v>
      </c>
      <c r="H3596" s="3" t="s">
        <v>15</v>
      </c>
    </row>
    <row r="3597" spans="1:8" ht="39" x14ac:dyDescent="0.25">
      <c r="A3597" s="3" t="s">
        <v>10818</v>
      </c>
      <c r="B3597" s="3"/>
      <c r="C3597" s="3" t="str">
        <f>"Motorcycle/ATV/Scooters, Personal Watercraft, Power Equipment Dealer, Parts&amp; Accessories, Sales &amp; Service"</f>
        <v>Motorcycle/ATV/Scooters, Personal Watercraft, Power Equipment Dealer, Parts&amp; Accessories, Sales &amp; Service</v>
      </c>
      <c r="D3597" s="3" t="s">
        <v>10819</v>
      </c>
      <c r="E3597" s="3" t="s">
        <v>10820</v>
      </c>
      <c r="F3597" s="3" t="str">
        <f>"812-339-0199"</f>
        <v>812-339-0199</v>
      </c>
      <c r="G3597" s="3">
        <v>441221</v>
      </c>
      <c r="H3597" s="3" t="s">
        <v>3299</v>
      </c>
    </row>
    <row r="3598" spans="1:8" ht="217.5" x14ac:dyDescent="0.25">
      <c r="A3598" s="3" t="s">
        <v>10821</v>
      </c>
      <c r="B3598" s="3"/>
      <c r="C3598" s="3" t="s">
        <v>10822</v>
      </c>
      <c r="D3598" s="3" t="s">
        <v>10823</v>
      </c>
      <c r="E3598" s="3" t="s">
        <v>10824</v>
      </c>
      <c r="F3598" s="3" t="str">
        <f>"574.293.0974"</f>
        <v>574.293.0974</v>
      </c>
      <c r="G3598" s="3">
        <v>332710</v>
      </c>
      <c r="H3598" s="3" t="s">
        <v>387</v>
      </c>
    </row>
    <row r="3599" spans="1:8" ht="77.25" x14ac:dyDescent="0.25">
      <c r="A3599" s="3" t="s">
        <v>10825</v>
      </c>
      <c r="B3599" s="3"/>
      <c r="C3599" s="3" t="str">
        <f>"We are a family owned Commerical Truck Tire business in a state of the art building, located at the toll road and south bend bypass. 5 bays, all major manufacturers, 7 service trucks for on the road service and mobile truck/trailer alignment."</f>
        <v>We are a family owned Commerical Truck Tire business in a state of the art building, located at the toll road and south bend bypass. 5 bays, all major manufacturers, 7 service trucks for on the road service and mobile truck/trailer alignment.</v>
      </c>
      <c r="D3599" s="3" t="s">
        <v>10826</v>
      </c>
      <c r="E3599" s="3" t="s">
        <v>46</v>
      </c>
      <c r="F3599" s="3" t="str">
        <f>"800-732-0918"</f>
        <v>800-732-0918</v>
      </c>
      <c r="G3599" s="3">
        <v>441320</v>
      </c>
      <c r="H3599" s="3" t="s">
        <v>190</v>
      </c>
    </row>
    <row r="3600" spans="1:8" ht="192" x14ac:dyDescent="0.25">
      <c r="A3600" s="3" t="s">
        <v>10827</v>
      </c>
      <c r="B3600" s="3"/>
      <c r="C3600" s="3" t="s">
        <v>10828</v>
      </c>
      <c r="D3600" s="3" t="s">
        <v>10829</v>
      </c>
      <c r="E3600" s="3" t="s">
        <v>10830</v>
      </c>
      <c r="F3600" s="3" t="str">
        <f>"3175804200"</f>
        <v>3175804200</v>
      </c>
      <c r="G3600" s="3">
        <v>541511</v>
      </c>
      <c r="H3600" s="3" t="s">
        <v>122</v>
      </c>
    </row>
    <row r="3601" spans="1:8" ht="115.5" x14ac:dyDescent="0.25">
      <c r="A3601" s="3" t="s">
        <v>10831</v>
      </c>
      <c r="B3601" s="3"/>
      <c r="C3601" s="3" t="s">
        <v>10832</v>
      </c>
      <c r="D3601" s="3" t="s">
        <v>10833</v>
      </c>
      <c r="E3601" s="3" t="s">
        <v>10834</v>
      </c>
      <c r="F3601" s="3" t="str">
        <f>"504-962-5360"</f>
        <v>504-962-5360</v>
      </c>
      <c r="G3601" s="3">
        <v>541330</v>
      </c>
      <c r="H3601" s="3" t="s">
        <v>82</v>
      </c>
    </row>
    <row r="3602" spans="1:8" ht="26.25" x14ac:dyDescent="0.25">
      <c r="A3602" s="3" t="s">
        <v>10835</v>
      </c>
      <c r="B3602" s="3"/>
      <c r="C3602" s="3" t="str">
        <f>"Job shop with open time on CNC lathe and mill"</f>
        <v>Job shop with open time on CNC lathe and mill</v>
      </c>
      <c r="D3602" s="3" t="s">
        <v>10836</v>
      </c>
      <c r="E3602" s="3" t="s">
        <v>10837</v>
      </c>
      <c r="F3602" s="3" t="str">
        <f>"260-724-7186"</f>
        <v>260-724-7186</v>
      </c>
      <c r="G3602" s="3">
        <v>2359</v>
      </c>
      <c r="H3602" s="3" t="s">
        <v>631</v>
      </c>
    </row>
    <row r="3603" spans="1:8" ht="153.75" x14ac:dyDescent="0.25">
      <c r="A3603" s="3" t="s">
        <v>10838</v>
      </c>
      <c r="B3603" s="3"/>
      <c r="C3603" s="3" t="s">
        <v>10839</v>
      </c>
      <c r="D3603" s="3" t="s">
        <v>10840</v>
      </c>
      <c r="E3603" s="3" t="s">
        <v>10841</v>
      </c>
      <c r="F3603" s="3" t="str">
        <f>"317-570-4900"</f>
        <v>317-570-4900</v>
      </c>
      <c r="G3603" s="3">
        <v>541511</v>
      </c>
      <c r="H3603" s="3" t="s">
        <v>122</v>
      </c>
    </row>
    <row r="3604" spans="1:8" ht="26.25" x14ac:dyDescent="0.25">
      <c r="A3604" s="3" t="s">
        <v>10842</v>
      </c>
      <c r="B3604" s="3"/>
      <c r="C3604" s="3" t="str">
        <f>"public accounting with emphasis on small business and tax compliance"</f>
        <v>public accounting with emphasis on small business and tax compliance</v>
      </c>
      <c r="D3604" s="3" t="s">
        <v>9</v>
      </c>
      <c r="E3604" s="3" t="s">
        <v>10843</v>
      </c>
      <c r="F3604" s="3" t="str">
        <f>"812-448-2021"</f>
        <v>812-448-2021</v>
      </c>
      <c r="G3604" s="3">
        <v>541211</v>
      </c>
      <c r="H3604" s="3" t="s">
        <v>337</v>
      </c>
    </row>
    <row r="3605" spans="1:8" ht="230.25" x14ac:dyDescent="0.25">
      <c r="A3605" s="3" t="s">
        <v>10844</v>
      </c>
      <c r="B3605" s="3"/>
      <c r="C3605" s="3" t="s">
        <v>10845</v>
      </c>
      <c r="D3605" s="3" t="s">
        <v>9</v>
      </c>
      <c r="E3605" s="3" t="s">
        <v>10846</v>
      </c>
      <c r="F3605" s="3" t="str">
        <f>"317-224-6960"</f>
        <v>317-224-6960</v>
      </c>
      <c r="G3605" s="3">
        <v>561611</v>
      </c>
      <c r="H3605" s="3" t="s">
        <v>581</v>
      </c>
    </row>
    <row r="3606" spans="1:8" ht="39" x14ac:dyDescent="0.25">
      <c r="A3606" s="3" t="s">
        <v>10847</v>
      </c>
      <c r="B3606" s="3"/>
      <c r="C3606" s="3" t="str">
        <f>"Law firm offering services in estates, wills, business, domestic, collections and many other areas. Centered on Service."</f>
        <v>Law firm offering services in estates, wills, business, domestic, collections and many other areas. Centered on Service.</v>
      </c>
      <c r="D3606" s="3" t="s">
        <v>10848</v>
      </c>
      <c r="E3606" s="3" t="s">
        <v>10849</v>
      </c>
      <c r="F3606" s="3" t="str">
        <f>"765-423-1001"</f>
        <v>765-423-1001</v>
      </c>
      <c r="G3606" s="3">
        <v>541110</v>
      </c>
      <c r="H3606" s="3" t="s">
        <v>2978</v>
      </c>
    </row>
    <row r="3607" spans="1:8" ht="90" x14ac:dyDescent="0.25">
      <c r="A3607" s="3" t="s">
        <v>10850</v>
      </c>
      <c r="B3607" s="3"/>
      <c r="C3607" s="3" t="s">
        <v>10851</v>
      </c>
      <c r="D3607" s="3" t="s">
        <v>10852</v>
      </c>
      <c r="E3607" s="3" t="s">
        <v>10853</v>
      </c>
      <c r="F3607" s="3" t="str">
        <f>"317-6270804"</f>
        <v>317-6270804</v>
      </c>
      <c r="G3607" s="3">
        <v>54189</v>
      </c>
      <c r="H3607" s="3" t="s">
        <v>401</v>
      </c>
    </row>
    <row r="3608" spans="1:8" ht="64.5" x14ac:dyDescent="0.25">
      <c r="A3608" s="3" t="s">
        <v>10854</v>
      </c>
      <c r="B3608" s="3"/>
      <c r="C3608" s="3" t="str">
        <f>"We are a seller of high quality hand tools and specialty tools to both large and small businesses and government contractors. The majority of our tools are made in the U.S.A."</f>
        <v>We are a seller of high quality hand tools and specialty tools to both large and small businesses and government contractors. The majority of our tools are made in the U.S.A.</v>
      </c>
      <c r="D3608" s="3" t="s">
        <v>9</v>
      </c>
      <c r="E3608" s="3" t="s">
        <v>10855</v>
      </c>
      <c r="F3608" s="3" t="str">
        <f>"812-935-7900"</f>
        <v>812-935-7900</v>
      </c>
      <c r="G3608" s="3">
        <v>444130</v>
      </c>
      <c r="H3608" s="3" t="s">
        <v>2597</v>
      </c>
    </row>
    <row r="3609" spans="1:8" ht="294" x14ac:dyDescent="0.25">
      <c r="A3609" s="3" t="s">
        <v>10856</v>
      </c>
      <c r="B3609" s="3"/>
      <c r="C3609" s="3" t="s">
        <v>10857</v>
      </c>
      <c r="D3609" s="3" t="s">
        <v>10858</v>
      </c>
      <c r="E3609" s="3" t="s">
        <v>10859</v>
      </c>
      <c r="F3609" s="3" t="str">
        <f>"219-989-1954"</f>
        <v>219-989-1954</v>
      </c>
      <c r="G3609" s="3">
        <v>541330</v>
      </c>
      <c r="H3609" s="3" t="s">
        <v>82</v>
      </c>
    </row>
    <row r="3610" spans="1:8" ht="204.75" x14ac:dyDescent="0.25">
      <c r="A3610" s="3" t="s">
        <v>10860</v>
      </c>
      <c r="B3610" s="3"/>
      <c r="C3610" s="3" t="s">
        <v>10861</v>
      </c>
      <c r="D3610" s="3" t="s">
        <v>10862</v>
      </c>
      <c r="E3610" s="3" t="s">
        <v>10863</v>
      </c>
      <c r="F3610" s="3" t="str">
        <f>"317-815-4967"</f>
        <v>317-815-4967</v>
      </c>
      <c r="G3610" s="3">
        <v>5415</v>
      </c>
      <c r="H3610" s="3" t="s">
        <v>188</v>
      </c>
    </row>
    <row r="3611" spans="1:8" ht="51.75" x14ac:dyDescent="0.25">
      <c r="A3611" s="3" t="s">
        <v>10864</v>
      </c>
      <c r="B3611" s="3"/>
      <c r="C3611" s="3" t="str">
        <f>"We are a WBE landscape design, construct ,and maintenance firm. We operate primarily in central Indiana. We are very good at what we do!"</f>
        <v>We are a WBE landscape design, construct ,and maintenance firm. We operate primarily in central Indiana. We are very good at what we do!</v>
      </c>
      <c r="D3611" s="3" t="s">
        <v>10865</v>
      </c>
      <c r="E3611" s="3" t="s">
        <v>10866</v>
      </c>
      <c r="F3611" s="3" t="str">
        <f>"317251 4769"</f>
        <v>317251 4769</v>
      </c>
      <c r="G3611" s="3">
        <v>541320</v>
      </c>
      <c r="H3611" s="3" t="s">
        <v>2241</v>
      </c>
    </row>
    <row r="3612" spans="1:8" ht="51.75" x14ac:dyDescent="0.25">
      <c r="A3612" s="3" t="s">
        <v>10867</v>
      </c>
      <c r="B3612" s="3"/>
      <c r="C3612" s="3" t="str">
        <f>"Minority-owned and operated business dedicated to providing quality, pre-fabricated metal materials to construction and mechanical contractors."</f>
        <v>Minority-owned and operated business dedicated to providing quality, pre-fabricated metal materials to construction and mechanical contractors.</v>
      </c>
      <c r="D3612" s="3" t="s">
        <v>9</v>
      </c>
      <c r="E3612" s="3" t="s">
        <v>10868</v>
      </c>
      <c r="F3612" s="3" t="str">
        <f>"317-536-7408"</f>
        <v>317-536-7408</v>
      </c>
      <c r="G3612" s="3">
        <v>423510</v>
      </c>
      <c r="H3612" s="3" t="s">
        <v>10869</v>
      </c>
    </row>
    <row r="3613" spans="1:8" ht="26.25" x14ac:dyDescent="0.25">
      <c r="A3613" s="3" t="s">
        <v>10870</v>
      </c>
      <c r="B3613" s="3"/>
      <c r="C3613" s="3" t="str">
        <f>" "</f>
        <v xml:space="preserve"> </v>
      </c>
      <c r="D3613" s="3" t="s">
        <v>10871</v>
      </c>
      <c r="E3613" s="3" t="s">
        <v>10872</v>
      </c>
      <c r="F3613" s="3" t="str">
        <f>"219-887-5233"</f>
        <v>219-887-5233</v>
      </c>
      <c r="G3613" s="3">
        <v>23</v>
      </c>
      <c r="H3613" s="3" t="s">
        <v>133</v>
      </c>
    </row>
    <row r="3614" spans="1:8" ht="51.75" x14ac:dyDescent="0.25">
      <c r="A3614" s="3" t="s">
        <v>10873</v>
      </c>
      <c r="B3614" s="3"/>
      <c r="C3614" s="3" t="str">
        <f>"The Garland Guild, Inc. is a decorative painting company specializing in the conservation, documentation, replication and design of period decorative finishes."</f>
        <v>The Garland Guild, Inc. is a decorative painting company specializing in the conservation, documentation, replication and design of period decorative finishes.</v>
      </c>
      <c r="D3614" s="3" t="s">
        <v>9</v>
      </c>
      <c r="E3614" s="3" t="s">
        <v>10874</v>
      </c>
      <c r="F3614" s="3" t="str">
        <f>"317-638-0553"</f>
        <v>317-638-0553</v>
      </c>
      <c r="G3614" s="3">
        <v>238990</v>
      </c>
      <c r="H3614" s="3" t="s">
        <v>481</v>
      </c>
    </row>
    <row r="3615" spans="1:8" ht="26.25" x14ac:dyDescent="0.25">
      <c r="A3615" s="3" t="s">
        <v>10875</v>
      </c>
      <c r="B3615" s="3"/>
      <c r="C3615" s="3" t="str">
        <f>"IT support and install Landscaping services Web development Audio video install"</f>
        <v>IT support and install Landscaping services Web development Audio video install</v>
      </c>
      <c r="D3615" s="3" t="s">
        <v>9</v>
      </c>
      <c r="E3615" s="3" t="s">
        <v>10876</v>
      </c>
      <c r="F3615" s="3" t="str">
        <f>"3173452651"</f>
        <v>3173452651</v>
      </c>
      <c r="G3615" s="3">
        <v>561730</v>
      </c>
      <c r="H3615" s="3" t="s">
        <v>65</v>
      </c>
    </row>
    <row r="3616" spans="1:8" ht="26.25" x14ac:dyDescent="0.25">
      <c r="A3616" s="3" t="s">
        <v>10877</v>
      </c>
      <c r="B3616" s="3"/>
      <c r="C3616" s="3" t="str">
        <f>"Barbecue Restaurant; Catering Service"</f>
        <v>Barbecue Restaurant; Catering Service</v>
      </c>
      <c r="D3616" s="3" t="s">
        <v>10878</v>
      </c>
      <c r="E3616" s="3" t="s">
        <v>10879</v>
      </c>
      <c r="F3616" s="3" t="str">
        <f>"317-722-0506"</f>
        <v>317-722-0506</v>
      </c>
      <c r="G3616" s="3">
        <v>722110</v>
      </c>
      <c r="H3616" s="3" t="s">
        <v>1307</v>
      </c>
    </row>
    <row r="3617" spans="1:8" ht="90" x14ac:dyDescent="0.25">
      <c r="A3617" s="3" t="s">
        <v>10880</v>
      </c>
      <c r="B3617" s="3"/>
      <c r="C3617" s="3" t="s">
        <v>10881</v>
      </c>
      <c r="D3617" s="3" t="s">
        <v>9</v>
      </c>
      <c r="E3617" s="3" t="s">
        <v>10882</v>
      </c>
      <c r="F3617" s="3" t="str">
        <f>"219-803-7745"</f>
        <v>219-803-7745</v>
      </c>
      <c r="G3617" s="3">
        <v>484220</v>
      </c>
      <c r="H3617" s="3" t="s">
        <v>11</v>
      </c>
    </row>
    <row r="3618" spans="1:8" ht="26.25" x14ac:dyDescent="0.25">
      <c r="A3618" s="3" t="s">
        <v>10883</v>
      </c>
      <c r="B3618" s="3"/>
      <c r="C3618" s="3" t="str">
        <f>"Medical and dental health care services."</f>
        <v>Medical and dental health care services.</v>
      </c>
      <c r="D3618" s="3" t="s">
        <v>9</v>
      </c>
      <c r="E3618" s="3" t="s">
        <v>10884</v>
      </c>
      <c r="F3618" s="3" t="str">
        <f>"2198801190"</f>
        <v>2198801190</v>
      </c>
      <c r="G3618" s="3">
        <v>621111</v>
      </c>
      <c r="H3618" s="3" t="s">
        <v>2002</v>
      </c>
    </row>
    <row r="3619" spans="1:8" ht="26.25" x14ac:dyDescent="0.25">
      <c r="A3619" s="3" t="s">
        <v>10885</v>
      </c>
      <c r="B3619" s="3"/>
      <c r="C3619" s="3" t="str">
        <f>"replacement windows, vinyl siding, remodeling"</f>
        <v>replacement windows, vinyl siding, remodeling</v>
      </c>
      <c r="D3619" s="3" t="s">
        <v>9</v>
      </c>
      <c r="E3619" s="3" t="s">
        <v>46</v>
      </c>
      <c r="F3619" s="3" t="str">
        <f>"812-482-7837"</f>
        <v>812-482-7837</v>
      </c>
      <c r="G3619" s="3">
        <v>238990</v>
      </c>
      <c r="H3619" s="3" t="s">
        <v>481</v>
      </c>
    </row>
    <row r="3620" spans="1:8" ht="77.25" x14ac:dyDescent="0.25">
      <c r="A3620" s="3" t="s">
        <v>10886</v>
      </c>
      <c r="B3620" s="3"/>
      <c r="C3620" s="3" t="str">
        <f>"Sheet Metal Fabrication, HVAC Air Distribution Products, Shearing, Slitting, Stamping, Spot Welding, Assembly, Roll Forming, Press Brakes, Special machinery building, Engineering, 300,000 sq. ft. Crane building, 90 employees,."</f>
        <v>Sheet Metal Fabrication, HVAC Air Distribution Products, Shearing, Slitting, Stamping, Spot Welding, Assembly, Roll Forming, Press Brakes, Special machinery building, Engineering, 300,000 sq. ft. Crane building, 90 employees,.</v>
      </c>
      <c r="D3620" s="3" t="s">
        <v>9</v>
      </c>
      <c r="E3620" s="3" t="s">
        <v>10887</v>
      </c>
      <c r="F3620" s="3" t="str">
        <f>"219-885-3232"</f>
        <v>219-885-3232</v>
      </c>
      <c r="G3620" s="3">
        <v>3312</v>
      </c>
      <c r="H3620" s="3" t="s">
        <v>1251</v>
      </c>
    </row>
    <row r="3621" spans="1:8" ht="51.75" x14ac:dyDescent="0.25">
      <c r="A3621" s="3" t="s">
        <v>10888</v>
      </c>
      <c r="B3621" s="3"/>
      <c r="C3621" s="3" t="str">
        <f>"CNC Milling and Turning, Manual Milling and turning of all metals and plastics Custom and build to print Welding of all metals"</f>
        <v>CNC Milling and Turning, Manual Milling and turning of all metals and plastics Custom and build to print Welding of all metals</v>
      </c>
      <c r="D3621" s="3" t="s">
        <v>9</v>
      </c>
      <c r="E3621" s="3" t="s">
        <v>10889</v>
      </c>
      <c r="F3621" s="3" t="str">
        <f>"812-279-6780"</f>
        <v>812-279-6780</v>
      </c>
      <c r="G3621" s="3">
        <v>332710</v>
      </c>
      <c r="H3621" s="3" t="s">
        <v>387</v>
      </c>
    </row>
    <row r="3622" spans="1:8" ht="115.5" x14ac:dyDescent="0.25">
      <c r="A3622" s="3" t="s">
        <v>10890</v>
      </c>
      <c r="B3622" s="3"/>
      <c r="C3622" s="3" t="s">
        <v>10891</v>
      </c>
      <c r="D3622" s="3" t="s">
        <v>9</v>
      </c>
      <c r="E3622" s="3" t="s">
        <v>10892</v>
      </c>
      <c r="F3622" s="3" t="str">
        <f>"219-885-5556"</f>
        <v>219-885-5556</v>
      </c>
      <c r="G3622" s="3">
        <v>23599</v>
      </c>
      <c r="H3622" s="3" t="s">
        <v>248</v>
      </c>
    </row>
    <row r="3623" spans="1:8" ht="51.75" x14ac:dyDescent="0.25">
      <c r="A3623" s="3" t="s">
        <v>10893</v>
      </c>
      <c r="B3623" s="3"/>
      <c r="C3623" s="3" t="str">
        <f>"Commercial Tire (truck and light and heavy construction and mining) tires and service. Truck tire retreading and repairing. Lt truck and heavy truck alignment and repair"</f>
        <v>Commercial Tire (truck and light and heavy construction and mining) tires and service. Truck tire retreading and repairing. Lt truck and heavy truck alignment and repair</v>
      </c>
      <c r="D3623" s="3" t="s">
        <v>9</v>
      </c>
      <c r="E3623" s="3" t="s">
        <v>46</v>
      </c>
      <c r="F3623" s="3" t="str">
        <f>"812-232-7269"</f>
        <v>812-232-7269</v>
      </c>
      <c r="G3623" s="3">
        <v>336</v>
      </c>
      <c r="H3623" s="3" t="s">
        <v>2720</v>
      </c>
    </row>
    <row r="3624" spans="1:8" ht="39" x14ac:dyDescent="0.25">
      <c r="A3624" s="3" t="s">
        <v>10894</v>
      </c>
      <c r="B3624" s="3"/>
      <c r="C3624" s="3" t="str">
        <f>"Sell, service, install gate operators and garage doors. We sell, service and install access control systems."</f>
        <v>Sell, service, install gate operators and garage doors. We sell, service and install access control systems.</v>
      </c>
      <c r="D3624" s="3" t="s">
        <v>9</v>
      </c>
      <c r="E3624" s="3" t="s">
        <v>10895</v>
      </c>
      <c r="F3624" s="3" t="str">
        <f>"317-563-2926"</f>
        <v>317-563-2926</v>
      </c>
      <c r="G3624" s="3">
        <v>238</v>
      </c>
      <c r="H3624" s="3" t="s">
        <v>397</v>
      </c>
    </row>
    <row r="3625" spans="1:8" ht="26.25" x14ac:dyDescent="0.25">
      <c r="A3625" s="3" t="s">
        <v>10896</v>
      </c>
      <c r="B3625" s="3"/>
      <c r="C3625" s="3" t="str">
        <f>"Individual consultant providing engineering services"</f>
        <v>Individual consultant providing engineering services</v>
      </c>
      <c r="D3625" s="3" t="s">
        <v>9</v>
      </c>
      <c r="E3625" s="3" t="s">
        <v>10897</v>
      </c>
      <c r="F3625" s="3" t="str">
        <f>"7659323237"</f>
        <v>7659323237</v>
      </c>
      <c r="G3625" s="3">
        <v>54133</v>
      </c>
      <c r="H3625" s="3" t="s">
        <v>82</v>
      </c>
    </row>
    <row r="3626" spans="1:8" ht="153.75" x14ac:dyDescent="0.25">
      <c r="A3626" s="3" t="s">
        <v>10898</v>
      </c>
      <c r="B3626" s="3"/>
      <c r="C3626" s="3" t="s">
        <v>10899</v>
      </c>
      <c r="D3626" s="3" t="s">
        <v>10900</v>
      </c>
      <c r="E3626" s="3" t="s">
        <v>10901</v>
      </c>
      <c r="F3626" s="3" t="str">
        <f>"765-649-1900"</f>
        <v>765-649-1900</v>
      </c>
      <c r="G3626" s="3">
        <v>624110</v>
      </c>
      <c r="H3626" s="3" t="s">
        <v>628</v>
      </c>
    </row>
    <row r="3627" spans="1:8" ht="166.5" x14ac:dyDescent="0.25">
      <c r="A3627" s="3" t="s">
        <v>10902</v>
      </c>
      <c r="B3627" s="3"/>
      <c r="C3627" s="3" t="s">
        <v>10903</v>
      </c>
      <c r="D3627" s="3" t="s">
        <v>10904</v>
      </c>
      <c r="E3627" s="3" t="s">
        <v>10905</v>
      </c>
      <c r="F3627" s="3" t="str">
        <f>"219-934-2800"</f>
        <v>219-934-2800</v>
      </c>
      <c r="G3627" s="3">
        <v>423420</v>
      </c>
      <c r="H3627" s="3" t="s">
        <v>521</v>
      </c>
    </row>
    <row r="3628" spans="1:8" ht="26.25" x14ac:dyDescent="0.25">
      <c r="A3628" s="3" t="s">
        <v>10906</v>
      </c>
      <c r="B3628" s="3"/>
      <c r="C3628" s="3" t="str">
        <f>"Plumbing, Boiler Heat, Sewer and Water Main"</f>
        <v>Plumbing, Boiler Heat, Sewer and Water Main</v>
      </c>
      <c r="D3628" s="3" t="s">
        <v>10907</v>
      </c>
      <c r="E3628" s="3" t="s">
        <v>10908</v>
      </c>
      <c r="F3628" s="3" t="str">
        <f>"(219) 924-6972"</f>
        <v>(219) 924-6972</v>
      </c>
      <c r="G3628" s="3">
        <v>238220</v>
      </c>
      <c r="H3628" s="3" t="s">
        <v>348</v>
      </c>
    </row>
    <row r="3629" spans="1:8" ht="115.5" x14ac:dyDescent="0.25">
      <c r="A3629" s="3" t="s">
        <v>10909</v>
      </c>
      <c r="B3629" s="3"/>
      <c r="C3629" s="3" t="s">
        <v>10910</v>
      </c>
      <c r="D3629" s="3" t="s">
        <v>10911</v>
      </c>
      <c r="E3629" s="3" t="s">
        <v>46</v>
      </c>
      <c r="F3629" s="3" t="str">
        <f>"317-472-6455"</f>
        <v>317-472-6455</v>
      </c>
      <c r="G3629" s="3">
        <v>541330</v>
      </c>
      <c r="H3629" s="3" t="s">
        <v>82</v>
      </c>
    </row>
    <row r="3630" spans="1:8" x14ac:dyDescent="0.25">
      <c r="A3630" s="3" t="s">
        <v>10912</v>
      </c>
      <c r="B3630" s="3"/>
      <c r="C3630" s="3" t="str">
        <f>"Asphalt Paving &amp; Concrete Construction"</f>
        <v>Asphalt Paving &amp; Concrete Construction</v>
      </c>
      <c r="D3630" s="3" t="s">
        <v>9</v>
      </c>
      <c r="E3630" s="3" t="s">
        <v>46</v>
      </c>
      <c r="F3630" s="2"/>
      <c r="G3630" s="3">
        <v>237310</v>
      </c>
      <c r="H3630" s="3" t="s">
        <v>768</v>
      </c>
    </row>
    <row r="3631" spans="1:8" ht="26.25" x14ac:dyDescent="0.25">
      <c r="A3631" s="3" t="s">
        <v>10913</v>
      </c>
      <c r="B3631" s="3"/>
      <c r="C3631" s="3" t="str">
        <f>"Electrical Contractors/all aspects of electrical construction"</f>
        <v>Electrical Contractors/all aspects of electrical construction</v>
      </c>
      <c r="D3631" s="3" t="s">
        <v>10914</v>
      </c>
      <c r="E3631" s="3" t="s">
        <v>10915</v>
      </c>
      <c r="F3631" s="3" t="str">
        <f>"317-843-0577"</f>
        <v>317-843-0577</v>
      </c>
      <c r="G3631" s="3">
        <v>238210</v>
      </c>
      <c r="H3631" s="3" t="s">
        <v>306</v>
      </c>
    </row>
    <row r="3632" spans="1:8" ht="39" x14ac:dyDescent="0.25">
      <c r="A3632" s="3" t="s">
        <v>10916</v>
      </c>
      <c r="B3632" s="3"/>
      <c r="C3632" s="3" t="str">
        <f>"Gebert's Cleaning Service provides janitorial services and lawn mowing services for businesses in southern Indiana."</f>
        <v>Gebert's Cleaning Service provides janitorial services and lawn mowing services for businesses in southern Indiana.</v>
      </c>
      <c r="D3632" s="3" t="s">
        <v>9</v>
      </c>
      <c r="E3632" s="3" t="s">
        <v>10917</v>
      </c>
      <c r="F3632" s="3" t="str">
        <f>"812-254-4658"</f>
        <v>812-254-4658</v>
      </c>
      <c r="G3632" s="3">
        <v>561720</v>
      </c>
      <c r="H3632" s="3" t="s">
        <v>222</v>
      </c>
    </row>
    <row r="3633" spans="1:8" ht="26.25" x14ac:dyDescent="0.25">
      <c r="A3633" s="3" t="s">
        <v>10918</v>
      </c>
      <c r="B3633" s="3"/>
      <c r="C3633" s="3" t="str">
        <f>"Property Tax Consulting Firm/Attorney at Law"</f>
        <v>Property Tax Consulting Firm/Attorney at Law</v>
      </c>
      <c r="D3633" s="3" t="s">
        <v>9</v>
      </c>
      <c r="E3633" s="3" t="s">
        <v>10919</v>
      </c>
      <c r="F3633" s="3" t="str">
        <f>"765-482-1330"</f>
        <v>765-482-1330</v>
      </c>
      <c r="G3633" s="3">
        <v>541110</v>
      </c>
      <c r="H3633" s="3" t="s">
        <v>2978</v>
      </c>
    </row>
    <row r="3634" spans="1:8" ht="51.75" x14ac:dyDescent="0.25">
      <c r="A3634" s="3" t="s">
        <v>10920</v>
      </c>
      <c r="B3634" s="3"/>
      <c r="C3634" s="3" t="str">
        <f>"Travel arrangements to include air, rental car, lodging, tour packages, business meeting arrangements, leisure and corporate travel."</f>
        <v>Travel arrangements to include air, rental car, lodging, tour packages, business meeting arrangements, leisure and corporate travel.</v>
      </c>
      <c r="D3634" s="3" t="s">
        <v>10921</v>
      </c>
      <c r="E3634" s="3" t="s">
        <v>10922</v>
      </c>
      <c r="F3634" s="3" t="str">
        <f>"800-467-7800"</f>
        <v>800-467-7800</v>
      </c>
      <c r="G3634" s="3">
        <v>56151</v>
      </c>
      <c r="H3634" s="3" t="s">
        <v>288</v>
      </c>
    </row>
    <row r="3635" spans="1:8" ht="90" x14ac:dyDescent="0.25">
      <c r="A3635" s="3" t="s">
        <v>10923</v>
      </c>
      <c r="B3635" s="3"/>
      <c r="C3635" s="3" t="str">
        <f>"Provide a variety of consulting services to not-for-profit organizations. Services include: project management, strategic planning and implementation, organizational operations audits, fund development and Executive Transition Management."</f>
        <v>Provide a variety of consulting services to not-for-profit organizations. Services include: project management, strategic planning and implementation, organizational operations audits, fund development and Executive Transition Management.</v>
      </c>
      <c r="D3635" s="3" t="s">
        <v>9</v>
      </c>
      <c r="E3635" s="3" t="s">
        <v>10924</v>
      </c>
      <c r="F3635" s="3" t="str">
        <f>"3174324187"</f>
        <v>3174324187</v>
      </c>
      <c r="G3635" s="3">
        <v>541612</v>
      </c>
      <c r="H3635" s="3" t="s">
        <v>1923</v>
      </c>
    </row>
    <row r="3636" spans="1:8" ht="26.25" x14ac:dyDescent="0.25">
      <c r="A3636" s="3" t="s">
        <v>10925</v>
      </c>
      <c r="B3636" s="3"/>
      <c r="C3636" s="3" t="str">
        <f>"structural steel fabrication, floor and roof deck sales"</f>
        <v>structural steel fabrication, floor and roof deck sales</v>
      </c>
      <c r="D3636" s="3" t="s">
        <v>10926</v>
      </c>
      <c r="E3636" s="3" t="s">
        <v>10927</v>
      </c>
      <c r="F3636" s="3" t="str">
        <f>"3173599521"</f>
        <v>3173599521</v>
      </c>
      <c r="G3636" s="3">
        <v>332312</v>
      </c>
      <c r="H3636" s="3" t="s">
        <v>2180</v>
      </c>
    </row>
    <row r="3637" spans="1:8" ht="77.25" x14ac:dyDescent="0.25">
      <c r="A3637" s="3" t="s">
        <v>10928</v>
      </c>
      <c r="B3637" s="3"/>
      <c r="C3637" s="3" t="str">
        <f>"We can help you attract and retain clients and employees thru marketing and promotional items. Silk screen, embroidery, corporate gifts, awards, ad specialty, food, candy signs, banners custom projects and much more."</f>
        <v>We can help you attract and retain clients and employees thru marketing and promotional items. Silk screen, embroidery, corporate gifts, awards, ad specialty, food, candy signs, banners custom projects and much more.</v>
      </c>
      <c r="D3637" s="3" t="s">
        <v>10929</v>
      </c>
      <c r="E3637" s="3" t="s">
        <v>10930</v>
      </c>
      <c r="F3637" s="3" t="str">
        <f>"317-782-0940"</f>
        <v>317-782-0940</v>
      </c>
      <c r="G3637" s="3">
        <v>453220</v>
      </c>
      <c r="H3637" s="3" t="s">
        <v>274</v>
      </c>
    </row>
    <row r="3638" spans="1:8" ht="102.75" x14ac:dyDescent="0.25">
      <c r="A3638" s="3" t="s">
        <v>10931</v>
      </c>
      <c r="B3638" s="3"/>
      <c r="C3638" s="3" t="s">
        <v>10932</v>
      </c>
      <c r="D3638" s="3" t="s">
        <v>10933</v>
      </c>
      <c r="E3638" s="3" t="s">
        <v>46</v>
      </c>
      <c r="F3638" s="2"/>
      <c r="G3638" s="3">
        <v>441229</v>
      </c>
      <c r="H3638" s="3" t="s">
        <v>3721</v>
      </c>
    </row>
    <row r="3639" spans="1:8" ht="230.25" x14ac:dyDescent="0.25">
      <c r="A3639" s="3" t="s">
        <v>10934</v>
      </c>
      <c r="B3639" s="3"/>
      <c r="C3639" s="3" t="s">
        <v>10935</v>
      </c>
      <c r="D3639" s="3" t="s">
        <v>10936</v>
      </c>
      <c r="E3639" s="3" t="s">
        <v>10937</v>
      </c>
      <c r="F3639" s="3" t="str">
        <f>"812-654-3650"</f>
        <v>812-654-3650</v>
      </c>
      <c r="G3639" s="3">
        <v>8113</v>
      </c>
      <c r="H3639" s="3" t="s">
        <v>1895</v>
      </c>
    </row>
    <row r="3640" spans="1:8" ht="26.25" x14ac:dyDescent="0.25">
      <c r="A3640" s="3" t="s">
        <v>10938</v>
      </c>
      <c r="B3640" s="3"/>
      <c r="C3640" s="3" t="str">
        <f>"Emergency generator preventative maintenance and repair."</f>
        <v>Emergency generator preventative maintenance and repair.</v>
      </c>
      <c r="D3640" s="3" t="s">
        <v>9</v>
      </c>
      <c r="E3640" s="3" t="s">
        <v>10939</v>
      </c>
      <c r="F3640" s="3" t="str">
        <f>"812-534-3027"</f>
        <v>812-534-3027</v>
      </c>
      <c r="G3640" s="3">
        <v>81</v>
      </c>
      <c r="H3640" s="3" t="s">
        <v>751</v>
      </c>
    </row>
    <row r="3641" spans="1:8" ht="115.5" x14ac:dyDescent="0.25">
      <c r="A3641" s="3" t="s">
        <v>10940</v>
      </c>
      <c r="B3641" s="3"/>
      <c r="C3641" s="3" t="s">
        <v>10941</v>
      </c>
      <c r="D3641" s="3" t="s">
        <v>10942</v>
      </c>
      <c r="E3641" s="3" t="s">
        <v>10943</v>
      </c>
      <c r="F3641" s="3" t="str">
        <f>"866-432-1040 EXT 711"</f>
        <v>866-432-1040 EXT 711</v>
      </c>
      <c r="G3641" s="3">
        <v>541219</v>
      </c>
      <c r="H3641" s="3" t="s">
        <v>2010</v>
      </c>
    </row>
    <row r="3642" spans="1:8" ht="90" x14ac:dyDescent="0.25">
      <c r="A3642" s="3" t="s">
        <v>10944</v>
      </c>
      <c r="B3642" s="3"/>
      <c r="C3642" s="3" t="s">
        <v>10945</v>
      </c>
      <c r="D3642" s="3" t="s">
        <v>10946</v>
      </c>
      <c r="E3642" s="3" t="s">
        <v>10947</v>
      </c>
      <c r="F3642" s="3" t="str">
        <f>"317-897-7000"</f>
        <v>317-897-7000</v>
      </c>
      <c r="G3642" s="3">
        <v>3329</v>
      </c>
      <c r="H3642" s="3" t="s">
        <v>6800</v>
      </c>
    </row>
    <row r="3643" spans="1:8" ht="179.25" x14ac:dyDescent="0.25">
      <c r="A3643" s="3" t="s">
        <v>10948</v>
      </c>
      <c r="B3643" s="3"/>
      <c r="C3643" s="3" t="s">
        <v>10949</v>
      </c>
      <c r="D3643" s="3" t="s">
        <v>10950</v>
      </c>
      <c r="E3643" s="3" t="s">
        <v>10951</v>
      </c>
      <c r="F3643" s="3" t="str">
        <f>"317-872-9790"</f>
        <v>317-872-9790</v>
      </c>
      <c r="G3643" s="3">
        <v>721110</v>
      </c>
      <c r="H3643" s="3" t="s">
        <v>872</v>
      </c>
    </row>
    <row r="3644" spans="1:8" ht="77.25" x14ac:dyDescent="0.25">
      <c r="A3644" s="3" t="s">
        <v>10952</v>
      </c>
      <c r="B3644" s="3"/>
      <c r="C3644" s="3" t="str">
        <f>"Gen Med is an Indiana owned and operated wholesale providor of medical, surgical and pharmaceutical supplies. Gen Med carries over 2,000 items in its Evansville warehouse and most items are delivered or shipped the same or next day."</f>
        <v>Gen Med is an Indiana owned and operated wholesale providor of medical, surgical and pharmaceutical supplies. Gen Med carries over 2,000 items in its Evansville warehouse and most items are delivered or shipped the same or next day.</v>
      </c>
      <c r="D3644" s="3" t="s">
        <v>10953</v>
      </c>
      <c r="E3644" s="3" t="s">
        <v>10954</v>
      </c>
      <c r="F3644" s="3" t="str">
        <f>"812-437-8800"</f>
        <v>812-437-8800</v>
      </c>
      <c r="G3644" s="3">
        <v>423450</v>
      </c>
      <c r="H3644" s="3" t="s">
        <v>1406</v>
      </c>
    </row>
    <row r="3645" spans="1:8" ht="26.25" x14ac:dyDescent="0.25">
      <c r="A3645" s="3" t="s">
        <v>10955</v>
      </c>
      <c r="B3645" s="3"/>
      <c r="C3645" s="3" t="str">
        <f>"tool rental"</f>
        <v>tool rental</v>
      </c>
      <c r="D3645" s="3" t="s">
        <v>10956</v>
      </c>
      <c r="E3645" s="3" t="s">
        <v>10957</v>
      </c>
      <c r="F3645" s="3" t="str">
        <f>"8124769571"</f>
        <v>8124769571</v>
      </c>
      <c r="G3645" s="3">
        <v>532310</v>
      </c>
      <c r="H3645" s="3" t="s">
        <v>10958</v>
      </c>
    </row>
    <row r="3646" spans="1:8" ht="51.75" x14ac:dyDescent="0.25">
      <c r="A3646" s="3" t="s">
        <v>10959</v>
      </c>
      <c r="B3646" s="3"/>
      <c r="C3646" s="3" t="str">
        <f>"We provide the following services for all type elevators and escalators. Preventative maintenance, installations, modernizations, repairs and all type tests."</f>
        <v>We provide the following services for all type elevators and escalators. Preventative maintenance, installations, modernizations, repairs and all type tests.</v>
      </c>
      <c r="D3646" s="3" t="s">
        <v>10960</v>
      </c>
      <c r="E3646" s="3" t="s">
        <v>10961</v>
      </c>
      <c r="F3646" s="3" t="str">
        <f>"317-632-4846"</f>
        <v>317-632-4846</v>
      </c>
      <c r="G3646" s="3">
        <v>238990</v>
      </c>
      <c r="H3646" s="3" t="s">
        <v>481</v>
      </c>
    </row>
    <row r="3647" spans="1:8" ht="204.75" x14ac:dyDescent="0.25">
      <c r="A3647" s="3" t="s">
        <v>10962</v>
      </c>
      <c r="B3647" s="3"/>
      <c r="C3647" s="3" t="s">
        <v>10963</v>
      </c>
      <c r="D3647" s="3" t="s">
        <v>10964</v>
      </c>
      <c r="E3647" s="3" t="s">
        <v>10965</v>
      </c>
      <c r="F3647" s="3" t="str">
        <f>"800-728-8808"</f>
        <v>800-728-8808</v>
      </c>
      <c r="G3647" s="3">
        <v>62134</v>
      </c>
      <c r="H3647" s="3" t="s">
        <v>10966</v>
      </c>
    </row>
    <row r="3648" spans="1:8" ht="217.5" x14ac:dyDescent="0.25">
      <c r="A3648" s="3" t="s">
        <v>10967</v>
      </c>
      <c r="B3648" s="3"/>
      <c r="C3648" s="3" t="s">
        <v>10968</v>
      </c>
      <c r="D3648" s="3" t="s">
        <v>9</v>
      </c>
      <c r="E3648" s="3" t="s">
        <v>10969</v>
      </c>
      <c r="F3648" s="3" t="str">
        <f>"219-614-1879"</f>
        <v>219-614-1879</v>
      </c>
      <c r="G3648" s="3">
        <v>423610</v>
      </c>
      <c r="H3648" s="3" t="s">
        <v>2414</v>
      </c>
    </row>
    <row r="3649" spans="1:8" ht="77.25" x14ac:dyDescent="0.25">
      <c r="A3649" s="3" t="s">
        <v>10970</v>
      </c>
      <c r="B3649" s="3"/>
      <c r="C3649" s="3" t="str">
        <f>"Electrical contractor for energy management services. Wholesale supplier for Treehaven ,Honeywell ITS equipment, Naztec traffic signal equipment. Cabinet and panelboard shop for ITS cabinets, traffic signal cabinets and lighting panels."</f>
        <v>Electrical contractor for energy management services. Wholesale supplier for Treehaven ,Honeywell ITS equipment, Naztec traffic signal equipment. Cabinet and panelboard shop for ITS cabinets, traffic signal cabinets and lighting panels.</v>
      </c>
      <c r="D3649" s="3" t="s">
        <v>9</v>
      </c>
      <c r="E3649" s="3" t="s">
        <v>10971</v>
      </c>
      <c r="F3649" s="3" t="str">
        <f>"3174960763"</f>
        <v>3174960763</v>
      </c>
      <c r="G3649" s="3">
        <v>2353</v>
      </c>
      <c r="H3649" s="3" t="s">
        <v>306</v>
      </c>
    </row>
    <row r="3650" spans="1:8" ht="39" x14ac:dyDescent="0.25">
      <c r="A3650" s="3" t="s">
        <v>10972</v>
      </c>
      <c r="B3650" s="3"/>
      <c r="C3650" s="3" t="str">
        <f>"Total wound and patient care management solutions specializing in wound and bariatric patient care"</f>
        <v>Total wound and patient care management solutions specializing in wound and bariatric patient care</v>
      </c>
      <c r="D3650" s="3" t="s">
        <v>10973</v>
      </c>
      <c r="E3650" s="3" t="s">
        <v>46</v>
      </c>
      <c r="F3650" s="3" t="str">
        <f>"800-392-0955"</f>
        <v>800-392-0955</v>
      </c>
      <c r="G3650" s="3">
        <v>532291</v>
      </c>
      <c r="H3650" s="3" t="s">
        <v>1861</v>
      </c>
    </row>
    <row r="3651" spans="1:8" ht="153.75" x14ac:dyDescent="0.25">
      <c r="A3651" s="3" t="s">
        <v>10974</v>
      </c>
      <c r="B3651" s="3"/>
      <c r="C3651" s="3" t="s">
        <v>10975</v>
      </c>
      <c r="D3651" s="3" t="s">
        <v>9</v>
      </c>
      <c r="E3651" s="3" t="s">
        <v>10976</v>
      </c>
      <c r="F3651" s="3" t="str">
        <f>"260-456-1480"</f>
        <v>260-456-1480</v>
      </c>
      <c r="G3651" s="3">
        <v>624229</v>
      </c>
      <c r="H3651" s="3" t="s">
        <v>9862</v>
      </c>
    </row>
    <row r="3652" spans="1:8" ht="192" x14ac:dyDescent="0.25">
      <c r="A3652" s="3" t="s">
        <v>10977</v>
      </c>
      <c r="B3652" s="3"/>
      <c r="C3652" s="3" t="s">
        <v>10978</v>
      </c>
      <c r="D3652" s="3" t="s">
        <v>10979</v>
      </c>
      <c r="E3652" s="3" t="s">
        <v>10980</v>
      </c>
      <c r="F3652" s="3" t="str">
        <f>"800-455-0659"</f>
        <v>800-455-0659</v>
      </c>
      <c r="G3652" s="3">
        <v>53131</v>
      </c>
      <c r="H3652" s="3" t="s">
        <v>7550</v>
      </c>
    </row>
    <row r="3653" spans="1:8" ht="77.25" x14ac:dyDescent="0.25">
      <c r="A3653" s="3" t="s">
        <v>10981</v>
      </c>
      <c r="B3653" s="3"/>
      <c r="C3653" s="3" t="str">
        <f>"Genesis Security Group, LLC. is a provider of uniformed, armed and unarmed security officers, security patrols, personal protection, event security, undercover and loss prevention officers, as well as consulting and training."</f>
        <v>Genesis Security Group, LLC. is a provider of uniformed, armed and unarmed security officers, security patrols, personal protection, event security, undercover and loss prevention officers, as well as consulting and training.</v>
      </c>
      <c r="D3653" s="3" t="s">
        <v>10982</v>
      </c>
      <c r="E3653" s="3" t="s">
        <v>10983</v>
      </c>
      <c r="F3653" s="3" t="str">
        <f>"317-620-1489"</f>
        <v>317-620-1489</v>
      </c>
      <c r="G3653" s="3">
        <v>561612</v>
      </c>
      <c r="H3653" s="3" t="s">
        <v>362</v>
      </c>
    </row>
    <row r="3654" spans="1:8" ht="90" x14ac:dyDescent="0.25">
      <c r="A3654" s="3" t="s">
        <v>10984</v>
      </c>
      <c r="B3654" s="3"/>
      <c r="C3654" s="3" t="s">
        <v>10985</v>
      </c>
      <c r="D3654" s="3" t="s">
        <v>10986</v>
      </c>
      <c r="E3654" s="3" t="s">
        <v>10987</v>
      </c>
      <c r="F3654" s="3" t="str">
        <f>"260-447-6349"</f>
        <v>260-447-6349</v>
      </c>
      <c r="G3654" s="3">
        <v>23829</v>
      </c>
      <c r="H3654" s="3" t="s">
        <v>237</v>
      </c>
    </row>
    <row r="3655" spans="1:8" ht="115.5" x14ac:dyDescent="0.25">
      <c r="A3655" s="3" t="s">
        <v>10988</v>
      </c>
      <c r="B3655" s="3"/>
      <c r="C3655" s="3" t="s">
        <v>10989</v>
      </c>
      <c r="D3655" s="3" t="s">
        <v>10990</v>
      </c>
      <c r="E3655" s="3" t="s">
        <v>10991</v>
      </c>
      <c r="F3655" s="3" t="str">
        <f>"812.546.5562"</f>
        <v>812.546.5562</v>
      </c>
      <c r="G3655" s="3">
        <v>11</v>
      </c>
      <c r="H3655" s="3" t="s">
        <v>175</v>
      </c>
    </row>
    <row r="3656" spans="1:8" ht="90" x14ac:dyDescent="0.25">
      <c r="A3656" s="3" t="s">
        <v>10992</v>
      </c>
      <c r="B3656" s="3"/>
      <c r="C3656" s="3" t="s">
        <v>10993</v>
      </c>
      <c r="D3656" s="3" t="s">
        <v>10994</v>
      </c>
      <c r="E3656" s="3" t="s">
        <v>10995</v>
      </c>
      <c r="F3656" s="3" t="str">
        <f>"812-325-4477"</f>
        <v>812-325-4477</v>
      </c>
      <c r="G3656" s="3">
        <v>541330</v>
      </c>
      <c r="H3656" s="3" t="s">
        <v>82</v>
      </c>
    </row>
    <row r="3657" spans="1:8" ht="64.5" x14ac:dyDescent="0.25">
      <c r="A3657" s="3" t="s">
        <v>10996</v>
      </c>
      <c r="B3657" s="3"/>
      <c r="C3657" s="3" t="str">
        <f>"Genric Security provides a variety of security services including guards, close protection operators, penetration testing, security surveys, investigations and surveillance."</f>
        <v>Genric Security provides a variety of security services including guards, close protection operators, penetration testing, security surveys, investigations and surveillance.</v>
      </c>
      <c r="D3657" s="3" t="s">
        <v>10997</v>
      </c>
      <c r="E3657" s="3" t="s">
        <v>10998</v>
      </c>
      <c r="F3657" s="3" t="str">
        <f>"1.407.476.2059"</f>
        <v>1.407.476.2059</v>
      </c>
      <c r="G3657" s="3">
        <v>561612</v>
      </c>
      <c r="H3657" s="3" t="s">
        <v>362</v>
      </c>
    </row>
    <row r="3658" spans="1:8" ht="102.75" x14ac:dyDescent="0.25">
      <c r="A3658" s="3" t="s">
        <v>10999</v>
      </c>
      <c r="B3658" s="3"/>
      <c r="C3658" s="3" t="s">
        <v>11000</v>
      </c>
      <c r="D3658" s="3" t="s">
        <v>9</v>
      </c>
      <c r="E3658" s="3" t="s">
        <v>11001</v>
      </c>
      <c r="F3658" s="3" t="str">
        <f>"(317) 385-7637"</f>
        <v>(317) 385-7637</v>
      </c>
      <c r="G3658" s="3">
        <v>541330</v>
      </c>
      <c r="H3658" s="3" t="s">
        <v>82</v>
      </c>
    </row>
    <row r="3659" spans="1:8" ht="64.5" x14ac:dyDescent="0.25">
      <c r="A3659" s="3" t="s">
        <v>11002</v>
      </c>
      <c r="B3659" s="3"/>
      <c r="C3659" s="3" t="str">
        <f>"GeodataBasics, LLC provides geographic information systems (GIS) based services. These services include data creation, application development, data analysis and display, and consulting."</f>
        <v>GeodataBasics, LLC provides geographic information systems (GIS) based services. These services include data creation, application development, data analysis and display, and consulting.</v>
      </c>
      <c r="D3659" s="3" t="s">
        <v>11003</v>
      </c>
      <c r="E3659" s="3" t="s">
        <v>11004</v>
      </c>
      <c r="F3659" s="3" t="str">
        <f>"8123274013"</f>
        <v>8123274013</v>
      </c>
      <c r="G3659" s="3">
        <v>518210</v>
      </c>
      <c r="H3659" s="3" t="s">
        <v>3133</v>
      </c>
    </row>
    <row r="3660" spans="1:8" ht="26.25" x14ac:dyDescent="0.25">
      <c r="A3660" s="3" t="s">
        <v>11005</v>
      </c>
      <c r="B3660" s="3"/>
      <c r="C3660" s="3" t="str">
        <f>"Pickup and delivery of clean clothes and laundry"</f>
        <v>Pickup and delivery of clean clothes and laundry</v>
      </c>
      <c r="D3660" s="3" t="s">
        <v>11006</v>
      </c>
      <c r="E3660" s="3" t="s">
        <v>11007</v>
      </c>
      <c r="F3660" s="3" t="str">
        <f>"3174460265"</f>
        <v>3174460265</v>
      </c>
      <c r="G3660" s="3">
        <v>8123</v>
      </c>
      <c r="H3660" s="3" t="s">
        <v>11008</v>
      </c>
    </row>
    <row r="3661" spans="1:8" ht="77.25" x14ac:dyDescent="0.25">
      <c r="A3661" s="3" t="s">
        <v>11009</v>
      </c>
      <c r="B3661" s="3"/>
      <c r="C3661" s="3" t="str">
        <f>"George Junior Republic in Indiana provides residential group home treatment for adolescent males as well as counseling, case management, and independent living services services to individuals and families."</f>
        <v>George Junior Republic in Indiana provides residential group home treatment for adolescent males as well as counseling, case management, and independent living services services to individuals and families.</v>
      </c>
      <c r="D3661" s="3" t="s">
        <v>11010</v>
      </c>
      <c r="E3661" s="3" t="s">
        <v>46</v>
      </c>
      <c r="F3661" s="3" t="str">
        <f>"724-458-9330"</f>
        <v>724-458-9330</v>
      </c>
      <c r="G3661" s="3">
        <v>62411</v>
      </c>
      <c r="H3661" s="3" t="s">
        <v>628</v>
      </c>
    </row>
    <row r="3662" spans="1:8" ht="306.75" x14ac:dyDescent="0.25">
      <c r="A3662" s="3" t="s">
        <v>11011</v>
      </c>
      <c r="B3662" s="3"/>
      <c r="C3662" s="3" t="s">
        <v>11012</v>
      </c>
      <c r="D3662" s="3" t="s">
        <v>11013</v>
      </c>
      <c r="E3662" s="3" t="s">
        <v>11014</v>
      </c>
      <c r="F3662" s="3" t="str">
        <f>"317-670-8084"</f>
        <v>317-670-8084</v>
      </c>
      <c r="G3662" s="3">
        <v>611430</v>
      </c>
      <c r="H3662" s="3" t="s">
        <v>1224</v>
      </c>
    </row>
    <row r="3663" spans="1:8" ht="64.5" x14ac:dyDescent="0.25">
      <c r="A3663" s="3" t="s">
        <v>11015</v>
      </c>
      <c r="B3663" s="3"/>
      <c r="C3663" s="3" t="str">
        <f>"Indianapolis Recorder is a weekly African-American Newspaper reporting community news, including religion, education, sports, business and politics. The Recorder offers national, local and legal advertising."</f>
        <v>Indianapolis Recorder is a weekly African-American Newspaper reporting community news, including religion, education, sports, business and politics. The Recorder offers national, local and legal advertising.</v>
      </c>
      <c r="D3663" s="3" t="s">
        <v>11016</v>
      </c>
      <c r="E3663" s="3" t="s">
        <v>11017</v>
      </c>
      <c r="F3663" s="3" t="str">
        <f>"317-924-5143"</f>
        <v>317-924-5143</v>
      </c>
      <c r="G3663" s="3">
        <v>511110</v>
      </c>
      <c r="H3663" s="3" t="s">
        <v>8225</v>
      </c>
    </row>
    <row r="3664" spans="1:8" x14ac:dyDescent="0.25">
      <c r="A3664" s="3" t="s">
        <v>11018</v>
      </c>
      <c r="B3664" s="3"/>
      <c r="C3664" s="3" t="str">
        <f>"Commercial Bridge Building Contractor"</f>
        <v>Commercial Bridge Building Contractor</v>
      </c>
      <c r="D3664" s="3" t="s">
        <v>9</v>
      </c>
      <c r="E3664" s="3" t="s">
        <v>11019</v>
      </c>
      <c r="F3664" s="2"/>
      <c r="G3664" s="3">
        <v>237</v>
      </c>
      <c r="H3664" s="3" t="s">
        <v>11020</v>
      </c>
    </row>
    <row r="3665" spans="1:8" ht="26.25" x14ac:dyDescent="0.25">
      <c r="A3665" s="3" t="s">
        <v>11021</v>
      </c>
      <c r="B3665" s="3"/>
      <c r="C3665" s="3" t="str">
        <f>"High end furniture and home furnishings store - retail and design."</f>
        <v>High end furniture and home furnishings store - retail and design.</v>
      </c>
      <c r="D3665" s="3" t="s">
        <v>9</v>
      </c>
      <c r="E3665" s="3" t="s">
        <v>11022</v>
      </c>
      <c r="F3665" s="3" t="str">
        <f>"219-769-6301"</f>
        <v>219-769-6301</v>
      </c>
      <c r="G3665" s="3">
        <v>442</v>
      </c>
      <c r="H3665" s="3" t="s">
        <v>3369</v>
      </c>
    </row>
    <row r="3666" spans="1:8" ht="51.75" x14ac:dyDescent="0.25">
      <c r="A3666" s="3" t="s">
        <v>11023</v>
      </c>
      <c r="B3666" s="3"/>
      <c r="C3666" s="3" t="str">
        <f>"Subsurface Exploration, Construction Material and Laboratory Testing, Geotechnical Engineering and Consulting Services."</f>
        <v>Subsurface Exploration, Construction Material and Laboratory Testing, Geotechnical Engineering and Consulting Services.</v>
      </c>
      <c r="D3666" s="3" t="s">
        <v>11024</v>
      </c>
      <c r="E3666" s="3" t="s">
        <v>11025</v>
      </c>
      <c r="F3666" s="3" t="str">
        <f>"260-497-8127"</f>
        <v>260-497-8127</v>
      </c>
      <c r="G3666" s="3">
        <v>541330</v>
      </c>
      <c r="H3666" s="3" t="s">
        <v>82</v>
      </c>
    </row>
    <row r="3667" spans="1:8" ht="39" x14ac:dyDescent="0.25">
      <c r="A3667" s="3" t="s">
        <v>11026</v>
      </c>
      <c r="B3667" s="3"/>
      <c r="C3667" s="3" t="str">
        <f>"Installation of Geothermal heating &amp; cooling systems for residential and light commercial."</f>
        <v>Installation of Geothermal heating &amp; cooling systems for residential and light commercial.</v>
      </c>
      <c r="D3667" s="3" t="s">
        <v>9</v>
      </c>
      <c r="E3667" s="3" t="s">
        <v>11027</v>
      </c>
      <c r="F3667" s="3" t="str">
        <f>"260-925-4655"</f>
        <v>260-925-4655</v>
      </c>
      <c r="G3667" s="3">
        <v>238220</v>
      </c>
      <c r="H3667" s="3" t="s">
        <v>348</v>
      </c>
    </row>
    <row r="3668" spans="1:8" ht="230.25" x14ac:dyDescent="0.25">
      <c r="A3668" s="3" t="s">
        <v>11028</v>
      </c>
      <c r="B3668" s="3"/>
      <c r="C3668" s="3" t="s">
        <v>11029</v>
      </c>
      <c r="D3668" s="3" t="s">
        <v>11030</v>
      </c>
      <c r="E3668" s="3" t="s">
        <v>11031</v>
      </c>
      <c r="F3668" s="3" t="str">
        <f>"317 225-2206"</f>
        <v>317 225-2206</v>
      </c>
      <c r="G3668" s="3">
        <v>541430</v>
      </c>
      <c r="H3668" s="3" t="s">
        <v>78</v>
      </c>
    </row>
    <row r="3669" spans="1:8" ht="26.25" x14ac:dyDescent="0.25">
      <c r="A3669" s="3" t="s">
        <v>11032</v>
      </c>
      <c r="B3669" s="3"/>
      <c r="C3669" s="2"/>
      <c r="D3669" s="3" t="s">
        <v>11033</v>
      </c>
      <c r="E3669" s="3" t="s">
        <v>11034</v>
      </c>
      <c r="F3669" s="3" t="str">
        <f>"260-625-9053"</f>
        <v>260-625-9053</v>
      </c>
      <c r="G3669" s="3">
        <v>424420</v>
      </c>
      <c r="H3669" s="3" t="s">
        <v>8121</v>
      </c>
    </row>
    <row r="3670" spans="1:8" ht="204.75" x14ac:dyDescent="0.25">
      <c r="A3670" s="3" t="s">
        <v>11035</v>
      </c>
      <c r="B3670" s="3"/>
      <c r="C3670" s="3" t="s">
        <v>11036</v>
      </c>
      <c r="D3670" s="3" t="s">
        <v>11037</v>
      </c>
      <c r="E3670" s="3" t="s">
        <v>11038</v>
      </c>
      <c r="F3670" s="3" t="str">
        <f>"260 459-9900"</f>
        <v>260 459-9900</v>
      </c>
      <c r="G3670" s="3">
        <v>621610</v>
      </c>
      <c r="H3670" s="3" t="s">
        <v>328</v>
      </c>
    </row>
    <row r="3671" spans="1:8" ht="39" x14ac:dyDescent="0.25">
      <c r="A3671" s="3" t="s">
        <v>11039</v>
      </c>
      <c r="B3671" s="3"/>
      <c r="C3671" s="3" t="str">
        <f>"Construction and Rehabilitation of Water and Wastewater Treatment Plants, along with other General Contracting."</f>
        <v>Construction and Rehabilitation of Water and Wastewater Treatment Plants, along with other General Contracting.</v>
      </c>
      <c r="D3671" s="3" t="s">
        <v>11040</v>
      </c>
      <c r="E3671" s="3" t="s">
        <v>11041</v>
      </c>
      <c r="F3671" s="3" t="str">
        <f>"260-484-9183"</f>
        <v>260-484-9183</v>
      </c>
      <c r="G3671" s="3">
        <v>23</v>
      </c>
      <c r="H3671" s="3" t="s">
        <v>133</v>
      </c>
    </row>
    <row r="3672" spans="1:8" ht="39" x14ac:dyDescent="0.25">
      <c r="A3672" s="3" t="s">
        <v>11042</v>
      </c>
      <c r="B3672" s="3"/>
      <c r="C3672" s="3" t="str">
        <f>"I have a small welding &amp; fab shop capable of Mig or stick welding, torch cutting, aluminum welding, sawing and drilling."</f>
        <v>I have a small welding &amp; fab shop capable of Mig or stick welding, torch cutting, aluminum welding, sawing and drilling.</v>
      </c>
      <c r="D3672" s="3" t="s">
        <v>9</v>
      </c>
      <c r="E3672" s="3" t="s">
        <v>11043</v>
      </c>
      <c r="F3672" s="3" t="str">
        <f>"812-583-1715"</f>
        <v>812-583-1715</v>
      </c>
      <c r="G3672" s="3">
        <v>332313</v>
      </c>
      <c r="H3672" s="3" t="s">
        <v>11044</v>
      </c>
    </row>
    <row r="3673" spans="1:8" x14ac:dyDescent="0.25">
      <c r="A3673" s="3" t="s">
        <v>11045</v>
      </c>
      <c r="B3673" s="3"/>
      <c r="C3673" s="3" t="str">
        <f>" "</f>
        <v xml:space="preserve"> </v>
      </c>
      <c r="D3673" s="3" t="s">
        <v>9</v>
      </c>
      <c r="E3673" s="3" t="s">
        <v>46</v>
      </c>
      <c r="F3673" s="2"/>
      <c r="G3673" s="3">
        <v>561990</v>
      </c>
      <c r="H3673" s="3" t="s">
        <v>219</v>
      </c>
    </row>
    <row r="3674" spans="1:8" ht="26.25" x14ac:dyDescent="0.25">
      <c r="A3674" s="3" t="s">
        <v>11046</v>
      </c>
      <c r="B3674" s="3"/>
      <c r="C3674" s="3" t="str">
        <f>" "</f>
        <v xml:space="preserve"> </v>
      </c>
      <c r="D3674" s="3" t="s">
        <v>9</v>
      </c>
      <c r="E3674" s="3" t="s">
        <v>11047</v>
      </c>
      <c r="F3674" s="3" t="str">
        <f>"812-985-3426"</f>
        <v>812-985-3426</v>
      </c>
      <c r="G3674" s="3">
        <v>81111</v>
      </c>
      <c r="H3674" s="3" t="s">
        <v>96</v>
      </c>
    </row>
    <row r="3675" spans="1:8" ht="39" x14ac:dyDescent="0.25">
      <c r="A3675" s="3" t="s">
        <v>11048</v>
      </c>
      <c r="B3675" s="3"/>
      <c r="C3675" s="3" t="str">
        <f>"Building interior cleaning during and immediately after construction. General office, house and industrial cleaning."</f>
        <v>Building interior cleaning during and immediately after construction. General office, house and industrial cleaning.</v>
      </c>
      <c r="D3675" s="3" t="s">
        <v>9</v>
      </c>
      <c r="E3675" s="3" t="s">
        <v>11049</v>
      </c>
      <c r="F3675" s="3" t="str">
        <f>"(812)865-2834"</f>
        <v>(812)865-2834</v>
      </c>
      <c r="G3675" s="3">
        <v>238990</v>
      </c>
      <c r="H3675" s="3" t="s">
        <v>481</v>
      </c>
    </row>
    <row r="3676" spans="1:8" ht="306.75" x14ac:dyDescent="0.25">
      <c r="A3676" s="3" t="s">
        <v>11050</v>
      </c>
      <c r="B3676" s="3"/>
      <c r="C3676" s="3" t="s">
        <v>11051</v>
      </c>
      <c r="D3676" s="3" t="s">
        <v>11052</v>
      </c>
      <c r="E3676" s="3" t="s">
        <v>11053</v>
      </c>
      <c r="F3676" s="3" t="str">
        <f>"8888519084"</f>
        <v>8888519084</v>
      </c>
      <c r="G3676" s="3">
        <v>337</v>
      </c>
      <c r="H3676" s="3" t="s">
        <v>6695</v>
      </c>
    </row>
    <row r="3677" spans="1:8" ht="77.25" x14ac:dyDescent="0.25">
      <c r="A3677" s="3" t="s">
        <v>11054</v>
      </c>
      <c r="B3677" s="3"/>
      <c r="C3677" s="3" t="str">
        <f>"Get Started Supply is a flexible, agile supply company taloring its products to the current needs of the marketplace. We worked with a number of distributors in a variety of areas to provide quality products at a competitive price."</f>
        <v>Get Started Supply is a flexible, agile supply company taloring its products to the current needs of the marketplace. We worked with a number of distributors in a variety of areas to provide quality products at a competitive price.</v>
      </c>
      <c r="D3677" s="3" t="s">
        <v>11055</v>
      </c>
      <c r="E3677" s="3" t="s">
        <v>11056</v>
      </c>
      <c r="F3677" s="3" t="str">
        <f>"(317) 523-3943"</f>
        <v>(317) 523-3943</v>
      </c>
      <c r="G3677" s="3">
        <v>45439</v>
      </c>
      <c r="H3677" s="3" t="s">
        <v>1348</v>
      </c>
    </row>
    <row r="3678" spans="1:8" ht="26.25" x14ac:dyDescent="0.25">
      <c r="A3678" s="3" t="s">
        <v>11054</v>
      </c>
      <c r="B3678" s="3"/>
      <c r="C3678" s="3" t="str">
        <f>"We provide a variety of consumer electronics for a reasonable cost."</f>
        <v>We provide a variety of consumer electronics for a reasonable cost.</v>
      </c>
      <c r="D3678" s="3" t="s">
        <v>9</v>
      </c>
      <c r="E3678" s="3" t="s">
        <v>11056</v>
      </c>
      <c r="F3678" s="3" t="str">
        <f>"317 523 3943"</f>
        <v>317 523 3943</v>
      </c>
      <c r="G3678" s="3">
        <v>4236</v>
      </c>
      <c r="H3678" s="3" t="s">
        <v>11057</v>
      </c>
    </row>
    <row r="3679" spans="1:8" ht="51.75" x14ac:dyDescent="0.25">
      <c r="A3679" s="3" t="s">
        <v>11058</v>
      </c>
      <c r="B3679" s="3"/>
      <c r="C3679" s="3" t="str">
        <f>"Get Stuff, Inc. provides advertising promotional products such as logoed mugs, pens, embroidered apparel and 500,000 other items to business."</f>
        <v>Get Stuff, Inc. provides advertising promotional products such as logoed mugs, pens, embroidered apparel and 500,000 other items to business.</v>
      </c>
      <c r="D3679" s="3" t="s">
        <v>9</v>
      </c>
      <c r="E3679" s="3" t="s">
        <v>11059</v>
      </c>
      <c r="F3679" s="3" t="str">
        <f>"219-923-7883"</f>
        <v>219-923-7883</v>
      </c>
      <c r="G3679" s="3">
        <v>541800</v>
      </c>
      <c r="H3679" s="2"/>
    </row>
    <row r="3680" spans="1:8" ht="51.75" x14ac:dyDescent="0.25">
      <c r="A3680" s="3" t="s">
        <v>11060</v>
      </c>
      <c r="B3680" s="3"/>
      <c r="C3680" s="3" t="str">
        <f>"commercial pest management and control. Bird Control, Aquatic weed and algae control. Ornamental plant and turf pest control. School IPM programs"</f>
        <v>commercial pest management and control. Bird Control, Aquatic weed and algae control. Ornamental plant and turf pest control. School IPM programs</v>
      </c>
      <c r="D3680" s="3" t="s">
        <v>9</v>
      </c>
      <c r="E3680" s="3" t="s">
        <v>11061</v>
      </c>
      <c r="F3680" s="3" t="str">
        <f>"317-910-1346"</f>
        <v>317-910-1346</v>
      </c>
      <c r="G3680" s="3">
        <v>561710</v>
      </c>
      <c r="H3680" s="3" t="s">
        <v>946</v>
      </c>
    </row>
    <row r="3681" spans="1:8" ht="115.5" x14ac:dyDescent="0.25">
      <c r="A3681" s="3" t="s">
        <v>11062</v>
      </c>
      <c r="B3681" s="3"/>
      <c r="C3681" s="3" t="s">
        <v>11063</v>
      </c>
      <c r="D3681" s="3" t="s">
        <v>11064</v>
      </c>
      <c r="E3681" s="3" t="s">
        <v>11065</v>
      </c>
      <c r="F3681" s="3" t="str">
        <f>"812-299-1156"</f>
        <v>812-299-1156</v>
      </c>
      <c r="G3681" s="3">
        <v>623990</v>
      </c>
      <c r="H3681" s="3" t="s">
        <v>11066</v>
      </c>
    </row>
    <row r="3682" spans="1:8" ht="51.75" x14ac:dyDescent="0.25">
      <c r="A3682" s="3" t="s">
        <v>11067</v>
      </c>
      <c r="B3682" s="3"/>
      <c r="C3682" s="3" t="str">
        <f>"Gibraltar Construction Corp is a commercial construction general contractor specializing in both public and private commercial construction projects."</f>
        <v>Gibraltar Construction Corp is a commercial construction general contractor specializing in both public and private commercial construction projects.</v>
      </c>
      <c r="D3682" s="3" t="s">
        <v>11068</v>
      </c>
      <c r="E3682" s="3" t="s">
        <v>11069</v>
      </c>
      <c r="F3682" s="3" t="str">
        <f>"3173751588"</f>
        <v>3173751588</v>
      </c>
      <c r="G3682" s="3">
        <v>236220</v>
      </c>
      <c r="H3682" s="3" t="s">
        <v>598</v>
      </c>
    </row>
    <row r="3683" spans="1:8" ht="102.75" x14ac:dyDescent="0.25">
      <c r="A3683" s="3" t="s">
        <v>11070</v>
      </c>
      <c r="B3683" s="3"/>
      <c r="C3683" s="3" t="s">
        <v>11071</v>
      </c>
      <c r="D3683" s="3" t="s">
        <v>11072</v>
      </c>
      <c r="E3683" s="3" t="s">
        <v>11073</v>
      </c>
      <c r="F3683" s="3" t="str">
        <f>"812-232-6287"</f>
        <v>812-232-6287</v>
      </c>
      <c r="G3683" s="3">
        <v>541990</v>
      </c>
      <c r="H3683" s="3" t="s">
        <v>378</v>
      </c>
    </row>
    <row r="3684" spans="1:8" ht="102.75" x14ac:dyDescent="0.25">
      <c r="A3684" s="3" t="s">
        <v>11074</v>
      </c>
      <c r="B3684" s="3"/>
      <c r="C3684" s="3" t="s">
        <v>11075</v>
      </c>
      <c r="D3684" s="3" t="s">
        <v>9</v>
      </c>
      <c r="E3684" s="3" t="s">
        <v>46</v>
      </c>
      <c r="F3684" s="2"/>
      <c r="G3684" s="3">
        <v>23</v>
      </c>
      <c r="H3684" s="3" t="s">
        <v>133</v>
      </c>
    </row>
    <row r="3685" spans="1:8" ht="128.25" x14ac:dyDescent="0.25">
      <c r="A3685" s="3" t="s">
        <v>11076</v>
      </c>
      <c r="B3685" s="3"/>
      <c r="C3685" s="3" t="s">
        <v>11077</v>
      </c>
      <c r="D3685" s="3" t="s">
        <v>11078</v>
      </c>
      <c r="E3685" s="3" t="s">
        <v>11079</v>
      </c>
      <c r="F3685" s="3" t="str">
        <f>"317-366-3555"</f>
        <v>317-366-3555</v>
      </c>
      <c r="G3685" s="3">
        <v>541511</v>
      </c>
      <c r="H3685" s="3" t="s">
        <v>122</v>
      </c>
    </row>
    <row r="3686" spans="1:8" ht="51.75" x14ac:dyDescent="0.25">
      <c r="A3686" s="3" t="s">
        <v>11080</v>
      </c>
      <c r="B3686" s="3"/>
      <c r="C3686" s="3" t="str">
        <f>"Electrical contractor who does work in commercial and industrial settings, horizontial directional drilling, augering, bucket truck services, trenching"</f>
        <v>Electrical contractor who does work in commercial and industrial settings, horizontial directional drilling, augering, bucket truck services, trenching</v>
      </c>
      <c r="D3686" s="3" t="s">
        <v>9</v>
      </c>
      <c r="E3686" s="3" t="s">
        <v>46</v>
      </c>
      <c r="F3686" s="2"/>
      <c r="G3686" s="3">
        <v>23531</v>
      </c>
      <c r="H3686" s="3" t="s">
        <v>306</v>
      </c>
    </row>
    <row r="3687" spans="1:8" ht="51.75" x14ac:dyDescent="0.25">
      <c r="A3687" s="3" t="s">
        <v>11081</v>
      </c>
      <c r="B3687" s="3"/>
      <c r="C3687" s="3" t="str">
        <f>"Gifts, Etc. is gift basket company . We do gift baskets for all occasions. Also, corporate gifting available. Hooiser Hospitality Basket makes a great Indiana gift."</f>
        <v>Gifts, Etc. is gift basket company . We do gift baskets for all occasions. Also, corporate gifting available. Hooiser Hospitality Basket makes a great Indiana gift.</v>
      </c>
      <c r="D3687" s="3" t="s">
        <v>11082</v>
      </c>
      <c r="E3687" s="3" t="s">
        <v>11083</v>
      </c>
      <c r="F3687" s="3" t="str">
        <f>"765-647-3672"</f>
        <v>765-647-3672</v>
      </c>
      <c r="G3687" s="3">
        <v>453220</v>
      </c>
      <c r="H3687" s="3" t="s">
        <v>274</v>
      </c>
    </row>
    <row r="3688" spans="1:8" ht="64.5" x14ac:dyDescent="0.25">
      <c r="A3688" s="3" t="s">
        <v>11084</v>
      </c>
      <c r="B3688" s="3"/>
      <c r="C3688" s="3" t="str">
        <f>"Landscape design, installation and maintenance. Hardscape design and installation including walls, walks, patios. Tree services including removal, trimming, and stump grinding."</f>
        <v>Landscape design, installation and maintenance. Hardscape design and installation including walls, walks, patios. Tree services including removal, trimming, and stump grinding.</v>
      </c>
      <c r="D3688" s="3" t="s">
        <v>9</v>
      </c>
      <c r="E3688" s="3" t="s">
        <v>46</v>
      </c>
      <c r="F3688" s="3" t="str">
        <f>"812-934-2733"</f>
        <v>812-934-2733</v>
      </c>
      <c r="G3688" s="3">
        <v>561730</v>
      </c>
      <c r="H3688" s="3" t="s">
        <v>65</v>
      </c>
    </row>
    <row r="3689" spans="1:8" ht="51.75" x14ac:dyDescent="0.25">
      <c r="A3689" s="3" t="s">
        <v>11085</v>
      </c>
      <c r="B3689" s="3"/>
      <c r="C3689" s="3" t="str">
        <f>"Home inspection, Commercial building inspection, Radon measurement, Radon mitigation, Termite (WDI) inspection, other building inspection services"</f>
        <v>Home inspection, Commercial building inspection, Radon measurement, Radon mitigation, Termite (WDI) inspection, other building inspection services</v>
      </c>
      <c r="D3689" s="3" t="s">
        <v>11086</v>
      </c>
      <c r="E3689" s="3" t="s">
        <v>11087</v>
      </c>
      <c r="F3689" s="3" t="str">
        <f>"765-868-3150"</f>
        <v>765-868-3150</v>
      </c>
      <c r="G3689" s="3">
        <v>531390</v>
      </c>
      <c r="H3689" s="3" t="s">
        <v>623</v>
      </c>
    </row>
    <row r="3690" spans="1:8" ht="115.5" x14ac:dyDescent="0.25">
      <c r="A3690" s="3" t="s">
        <v>11088</v>
      </c>
      <c r="B3690" s="3"/>
      <c r="C3690" s="3" t="s">
        <v>11089</v>
      </c>
      <c r="D3690" s="3" t="s">
        <v>11090</v>
      </c>
      <c r="E3690" s="3" t="s">
        <v>11091</v>
      </c>
      <c r="F3690" s="3" t="str">
        <f>"317-450-7349"</f>
        <v>317-450-7349</v>
      </c>
      <c r="G3690" s="3">
        <v>541330</v>
      </c>
      <c r="H3690" s="3" t="s">
        <v>82</v>
      </c>
    </row>
    <row r="3691" spans="1:8" ht="26.25" x14ac:dyDescent="0.25">
      <c r="A3691" s="3" t="s">
        <v>11092</v>
      </c>
      <c r="B3691" s="3"/>
      <c r="C3691" s="3" t="str">
        <f>"land clearing and drainage operation"</f>
        <v>land clearing and drainage operation</v>
      </c>
      <c r="D3691" s="3" t="s">
        <v>11093</v>
      </c>
      <c r="E3691" s="3" t="s">
        <v>11094</v>
      </c>
      <c r="F3691" s="3" t="str">
        <f>"1812-386-7037"</f>
        <v>1812-386-7037</v>
      </c>
      <c r="G3691" s="3">
        <v>23593</v>
      </c>
      <c r="H3691" s="3" t="s">
        <v>71</v>
      </c>
    </row>
    <row r="3692" spans="1:8" ht="102.75" x14ac:dyDescent="0.25">
      <c r="A3692" s="3" t="s">
        <v>11095</v>
      </c>
      <c r="B3692" s="3"/>
      <c r="C3692" s="3" t="s">
        <v>11096</v>
      </c>
      <c r="D3692" s="3" t="s">
        <v>11097</v>
      </c>
      <c r="E3692" s="3" t="s">
        <v>11098</v>
      </c>
      <c r="F3692" s="3" t="str">
        <f>"812-332-0005"</f>
        <v>812-332-0005</v>
      </c>
      <c r="G3692" s="3">
        <v>53132</v>
      </c>
      <c r="H3692" s="3" t="s">
        <v>34</v>
      </c>
    </row>
    <row r="3693" spans="1:8" x14ac:dyDescent="0.25">
      <c r="A3693" s="3" t="s">
        <v>11099</v>
      </c>
      <c r="B3693" s="3"/>
      <c r="C3693" s="3" t="str">
        <f>" "</f>
        <v xml:space="preserve"> </v>
      </c>
      <c r="D3693" s="3" t="s">
        <v>9</v>
      </c>
      <c r="E3693" s="3" t="s">
        <v>46</v>
      </c>
      <c r="F3693" s="2"/>
      <c r="G3693" s="3">
        <v>451110</v>
      </c>
      <c r="H3693" s="3" t="s">
        <v>3110</v>
      </c>
    </row>
    <row r="3694" spans="1:8" ht="90" x14ac:dyDescent="0.25">
      <c r="A3694" s="3" t="s">
        <v>11100</v>
      </c>
      <c r="B3694" s="3"/>
      <c r="C3694" s="3" t="str">
        <f>"Gillespie Florists is a full service florist proudly serving Marion, Hendricks, Hamilton and surrounding counties. Gillespie Florists has been family owned and operated since 1965. Worldwide delivery is available through the Teleflora wire service."</f>
        <v>Gillespie Florists is a full service florist proudly serving Marion, Hendricks, Hamilton and surrounding counties. Gillespie Florists has been family owned and operated since 1965. Worldwide delivery is available through the Teleflora wire service.</v>
      </c>
      <c r="D3694" s="3" t="s">
        <v>11101</v>
      </c>
      <c r="E3694" s="3" t="s">
        <v>11102</v>
      </c>
      <c r="F3694" s="3" t="str">
        <f>"317.273.1100"</f>
        <v>317.273.1100</v>
      </c>
      <c r="G3694" s="3">
        <v>453110</v>
      </c>
      <c r="H3694" s="3" t="s">
        <v>2584</v>
      </c>
    </row>
    <row r="3695" spans="1:8" ht="51.75" x14ac:dyDescent="0.25">
      <c r="A3695" s="3" t="s">
        <v>11103</v>
      </c>
      <c r="B3695" s="3"/>
      <c r="C3695" s="3" t="str">
        <f>"Case Management Services for individuals receiving Medicaid Waiver Services - inlcuding person centered planning facilitation."</f>
        <v>Case Management Services for individuals receiving Medicaid Waiver Services - inlcuding person centered planning facilitation.</v>
      </c>
      <c r="D3695" s="3" t="s">
        <v>9</v>
      </c>
      <c r="E3695" s="3" t="s">
        <v>11104</v>
      </c>
      <c r="F3695" s="3" t="str">
        <f>"(317) 251-4641"</f>
        <v>(317) 251-4641</v>
      </c>
      <c r="G3695" s="3">
        <v>81331</v>
      </c>
      <c r="H3695" s="3" t="s">
        <v>5487</v>
      </c>
    </row>
    <row r="3696" spans="1:8" ht="51.75" x14ac:dyDescent="0.25">
      <c r="A3696" s="3" t="s">
        <v>11105</v>
      </c>
      <c r="B3696" s="3"/>
      <c r="C3696" s="3" t="str">
        <f>"Home Center: suppliers of buidling materials, hardware needs, kitchen cabinets, flooring, electrical, plumbing and full service Tool Rental."</f>
        <v>Home Center: suppliers of buidling materials, hardware needs, kitchen cabinets, flooring, electrical, plumbing and full service Tool Rental.</v>
      </c>
      <c r="D3696" s="3" t="s">
        <v>11106</v>
      </c>
      <c r="E3696" s="3" t="s">
        <v>11107</v>
      </c>
      <c r="F3696" s="3" t="str">
        <f>"812-934-4282"</f>
        <v>812-934-4282</v>
      </c>
      <c r="G3696" s="3">
        <v>444110</v>
      </c>
      <c r="H3696" s="3" t="s">
        <v>3072</v>
      </c>
    </row>
    <row r="3697" spans="1:8" ht="128.25" x14ac:dyDescent="0.25">
      <c r="A3697" s="3" t="s">
        <v>11108</v>
      </c>
      <c r="B3697" s="3"/>
      <c r="C3697" s="3" t="s">
        <v>11109</v>
      </c>
      <c r="D3697" s="3" t="s">
        <v>9</v>
      </c>
      <c r="E3697" s="3" t="s">
        <v>11110</v>
      </c>
      <c r="F3697" s="3" t="str">
        <f>"812-953-1261"</f>
        <v>812-953-1261</v>
      </c>
      <c r="G3697" s="3">
        <v>22111</v>
      </c>
      <c r="H3697" s="3" t="s">
        <v>11111</v>
      </c>
    </row>
    <row r="3698" spans="1:8" ht="51.75" x14ac:dyDescent="0.25">
      <c r="A3698" s="3" t="s">
        <v>11112</v>
      </c>
      <c r="B3698" s="3"/>
      <c r="C3698" s="3" t="str">
        <f>"Ornamental Iron Railings for Contractors and DIY, Iron Fence, Steel Fence, Baked Enamel Painting Services, Metal Finishing Services - Baked Enamel"</f>
        <v>Ornamental Iron Railings for Contractors and DIY, Iron Fence, Steel Fence, Baked Enamel Painting Services, Metal Finishing Services - Baked Enamel</v>
      </c>
      <c r="D3698" s="3" t="s">
        <v>11113</v>
      </c>
      <c r="E3698" s="3" t="s">
        <v>11114</v>
      </c>
      <c r="F3698" s="3" t="str">
        <f>"260-724-9155"</f>
        <v>260-724-9155</v>
      </c>
      <c r="G3698" s="3">
        <v>33232</v>
      </c>
      <c r="H3698" s="3" t="s">
        <v>11115</v>
      </c>
    </row>
    <row r="3699" spans="1:8" ht="153.75" x14ac:dyDescent="0.25">
      <c r="A3699" s="3" t="s">
        <v>11116</v>
      </c>
      <c r="B3699" s="3"/>
      <c r="C3699" s="3" t="s">
        <v>11117</v>
      </c>
      <c r="D3699" s="3" t="s">
        <v>11118</v>
      </c>
      <c r="E3699" s="3" t="s">
        <v>11119</v>
      </c>
      <c r="F3699" s="3" t="str">
        <f>"574-642-4004"</f>
        <v>574-642-4004</v>
      </c>
      <c r="G3699" s="3">
        <v>339991</v>
      </c>
      <c r="H3699" s="3" t="s">
        <v>11120</v>
      </c>
    </row>
    <row r="3700" spans="1:8" ht="90" x14ac:dyDescent="0.25">
      <c r="A3700" s="3" t="s">
        <v>11116</v>
      </c>
      <c r="B3700" s="3"/>
      <c r="C3700" s="3" t="s">
        <v>11121</v>
      </c>
      <c r="D3700" s="3" t="s">
        <v>11118</v>
      </c>
      <c r="E3700" s="3" t="s">
        <v>11119</v>
      </c>
      <c r="F3700" s="3" t="str">
        <f>"574-642-4004"</f>
        <v>574-642-4004</v>
      </c>
      <c r="G3700" s="3">
        <v>339991</v>
      </c>
      <c r="H3700" s="3" t="s">
        <v>11120</v>
      </c>
    </row>
    <row r="3701" spans="1:8" ht="26.25" x14ac:dyDescent="0.25">
      <c r="A3701" s="3" t="s">
        <v>11122</v>
      </c>
      <c r="B3701" s="3"/>
      <c r="C3701" s="3" t="str">
        <f>"Professional engineering and design services"</f>
        <v>Professional engineering and design services</v>
      </c>
      <c r="D3701" s="3" t="s">
        <v>9</v>
      </c>
      <c r="E3701" s="3" t="s">
        <v>11123</v>
      </c>
      <c r="F3701" s="3" t="str">
        <f>"812-204-3807"</f>
        <v>812-204-3807</v>
      </c>
      <c r="G3701" s="3">
        <v>237990</v>
      </c>
      <c r="H3701" s="3" t="s">
        <v>2631</v>
      </c>
    </row>
    <row r="3702" spans="1:8" ht="332.25" x14ac:dyDescent="0.25">
      <c r="A3702" s="3" t="s">
        <v>11124</v>
      </c>
      <c r="B3702" s="3"/>
      <c r="C3702" s="3" t="s">
        <v>11125</v>
      </c>
      <c r="D3702" s="3" t="s">
        <v>11126</v>
      </c>
      <c r="E3702" s="3" t="s">
        <v>11127</v>
      </c>
      <c r="F3702" s="3" t="str">
        <f>"317-819-0890"</f>
        <v>317-819-0890</v>
      </c>
      <c r="G3702" s="3">
        <v>541611</v>
      </c>
      <c r="H3702" s="3" t="s">
        <v>278</v>
      </c>
    </row>
    <row r="3703" spans="1:8" ht="26.25" x14ac:dyDescent="0.25">
      <c r="A3703" s="3" t="s">
        <v>11128</v>
      </c>
      <c r="B3703" s="3"/>
      <c r="C3703" s="3" t="str">
        <f>"We provide Information Network Services to our clients."</f>
        <v>We provide Information Network Services to our clients.</v>
      </c>
      <c r="D3703" s="3" t="s">
        <v>11129</v>
      </c>
      <c r="E3703" s="3" t="s">
        <v>11130</v>
      </c>
      <c r="F3703" s="3" t="str">
        <f>"219-801-7181"</f>
        <v>219-801-7181</v>
      </c>
      <c r="G3703" s="3">
        <v>811212</v>
      </c>
      <c r="H3703" s="3" t="s">
        <v>1632</v>
      </c>
    </row>
    <row r="3704" spans="1:8" ht="51.75" x14ac:dyDescent="0.25">
      <c r="A3704" s="3" t="s">
        <v>11131</v>
      </c>
      <c r="B3704" s="3"/>
      <c r="C3704" s="3" t="str">
        <f>"Gipson Legal and Consulting LLC is able to provide both legal, financial, government and business advice to a myriad of entities/agnecies."</f>
        <v>Gipson Legal and Consulting LLC is able to provide both legal, financial, government and business advice to a myriad of entities/agnecies.</v>
      </c>
      <c r="D3704" s="3" t="s">
        <v>9</v>
      </c>
      <c r="E3704" s="3" t="s">
        <v>46</v>
      </c>
      <c r="F3704" s="2"/>
      <c r="G3704" s="3">
        <v>541611</v>
      </c>
      <c r="H3704" s="3" t="s">
        <v>278</v>
      </c>
    </row>
    <row r="3705" spans="1:8" ht="77.25" x14ac:dyDescent="0.25">
      <c r="A3705" s="3" t="s">
        <v>11132</v>
      </c>
      <c r="B3705" s="3"/>
      <c r="C3705" s="3" t="str">
        <f>"In business for over fifty years, this family run Italian restaurant offers homemade sauces from secret family recipes. Customer favorites include lasagna, spaghetti and meatballs, and veal or chicken parmesan. Beer and wine available with meals."</f>
        <v>In business for over fifty years, this family run Italian restaurant offers homemade sauces from secret family recipes. Customer favorites include lasagna, spaghetti and meatballs, and veal or chicken parmesan. Beer and wine available with meals.</v>
      </c>
      <c r="D3705" s="3" t="s">
        <v>9</v>
      </c>
      <c r="E3705" s="3" t="s">
        <v>46</v>
      </c>
      <c r="F3705" s="3" t="str">
        <f>"7658329410"</f>
        <v>7658329410</v>
      </c>
      <c r="G3705" s="3">
        <v>7221</v>
      </c>
      <c r="H3705" s="3" t="s">
        <v>1307</v>
      </c>
    </row>
    <row r="3706" spans="1:8" ht="51.75" x14ac:dyDescent="0.25">
      <c r="A3706" s="3" t="s">
        <v>11133</v>
      </c>
      <c r="B3706" s="3"/>
      <c r="C3706" s="3" t="str">
        <f>"Real Estate Sales, Leasing, Build-to-suit, and Property Management of Apartments, Commercial, Industrial, Retail, Vacant Land, and Warehouse"</f>
        <v>Real Estate Sales, Leasing, Build-to-suit, and Property Management of Apartments, Commercial, Industrial, Retail, Vacant Land, and Warehouse</v>
      </c>
      <c r="D3706" s="3" t="s">
        <v>11134</v>
      </c>
      <c r="E3706" s="3" t="s">
        <v>11135</v>
      </c>
      <c r="F3706" s="3" t="str">
        <f>"(812)471-2600"</f>
        <v>(812)471-2600</v>
      </c>
      <c r="G3706" s="3">
        <v>53</v>
      </c>
      <c r="H3706" s="3" t="s">
        <v>2336</v>
      </c>
    </row>
    <row r="3707" spans="1:8" ht="319.5" x14ac:dyDescent="0.25">
      <c r="A3707" s="3" t="s">
        <v>11136</v>
      </c>
      <c r="B3707" s="3"/>
      <c r="C3707" s="3" t="s">
        <v>11137</v>
      </c>
      <c r="D3707" s="3" t="s">
        <v>11138</v>
      </c>
      <c r="E3707" s="3" t="s">
        <v>11139</v>
      </c>
      <c r="F3707" s="3" t="str">
        <f>"317-875-5592"</f>
        <v>317-875-5592</v>
      </c>
      <c r="G3707" s="3">
        <v>339</v>
      </c>
      <c r="H3707" s="3" t="s">
        <v>1092</v>
      </c>
    </row>
    <row r="3708" spans="1:8" ht="90" x14ac:dyDescent="0.25">
      <c r="A3708" s="3" t="s">
        <v>11140</v>
      </c>
      <c r="B3708" s="3"/>
      <c r="C3708" s="3" t="str">
        <f>"We are a glass &amp; glazing contractor. We also are a distributor for Agalite shower enclosures, US Alumimum and Arch metal and doors, plate glass, laminated glass, mirrors and acrylic, vinyl and aluminum windows. We can supply only or supply and install."</f>
        <v>We are a glass &amp; glazing contractor. We also are a distributor for Agalite shower enclosures, US Alumimum and Arch metal and doors, plate glass, laminated glass, mirrors and acrylic, vinyl and aluminum windows. We can supply only or supply and install.</v>
      </c>
      <c r="D3708" s="3" t="s">
        <v>9</v>
      </c>
      <c r="E3708" s="3" t="s">
        <v>11141</v>
      </c>
      <c r="F3708" s="3" t="str">
        <f>"219-949-1705"</f>
        <v>219-949-1705</v>
      </c>
      <c r="G3708" s="3">
        <v>238150</v>
      </c>
      <c r="H3708" s="3" t="s">
        <v>2530</v>
      </c>
    </row>
    <row r="3709" spans="1:8" ht="26.25" x14ac:dyDescent="0.25">
      <c r="A3709" s="3" t="s">
        <v>11142</v>
      </c>
      <c r="B3709" s="3"/>
      <c r="C3709" s="3" t="str">
        <f>" "</f>
        <v xml:space="preserve"> </v>
      </c>
      <c r="D3709" s="3" t="s">
        <v>9</v>
      </c>
      <c r="E3709" s="3" t="s">
        <v>11143</v>
      </c>
      <c r="F3709" s="3" t="str">
        <f>"3177287201"</f>
        <v>3177287201</v>
      </c>
      <c r="G3709" s="3">
        <v>2352</v>
      </c>
      <c r="H3709" s="3" t="s">
        <v>462</v>
      </c>
    </row>
    <row r="3710" spans="1:8" ht="26.25" x14ac:dyDescent="0.25">
      <c r="A3710" s="3" t="s">
        <v>11144</v>
      </c>
      <c r="B3710" s="3"/>
      <c r="C3710" s="3" t="str">
        <f>"Gleaners Food Bank of Indiana helps charities feed people in need."</f>
        <v>Gleaners Food Bank of Indiana helps charities feed people in need.</v>
      </c>
      <c r="D3710" s="3" t="s">
        <v>11145</v>
      </c>
      <c r="E3710" s="3" t="s">
        <v>11146</v>
      </c>
      <c r="F3710" s="3" t="str">
        <f>"(800) 944-9166"</f>
        <v>(800) 944-9166</v>
      </c>
      <c r="G3710" s="3">
        <v>624210</v>
      </c>
      <c r="H3710" s="3" t="s">
        <v>2017</v>
      </c>
    </row>
    <row r="3711" spans="1:8" ht="102.75" x14ac:dyDescent="0.25">
      <c r="A3711" s="3" t="s">
        <v>11147</v>
      </c>
      <c r="B3711" s="3"/>
      <c r="C3711" s="3" t="s">
        <v>11148</v>
      </c>
      <c r="D3711" s="3" t="s">
        <v>9</v>
      </c>
      <c r="E3711" s="3" t="s">
        <v>11149</v>
      </c>
      <c r="F3711" s="3" t="str">
        <f>"317-873-8973"</f>
        <v>317-873-8973</v>
      </c>
      <c r="G3711" s="3">
        <v>42339</v>
      </c>
      <c r="H3711" s="3" t="s">
        <v>1863</v>
      </c>
    </row>
    <row r="3712" spans="1:8" ht="192" x14ac:dyDescent="0.25">
      <c r="A3712" s="3" t="s">
        <v>11150</v>
      </c>
      <c r="B3712" s="3"/>
      <c r="C3712" s="3" t="s">
        <v>11151</v>
      </c>
      <c r="D3712" s="3" t="s">
        <v>11152</v>
      </c>
      <c r="E3712" s="3" t="s">
        <v>11153</v>
      </c>
      <c r="F3712" s="3" t="str">
        <f>"866-812-1727"</f>
        <v>866-812-1727</v>
      </c>
      <c r="G3712" s="3">
        <v>541612</v>
      </c>
      <c r="H3712" s="3" t="s">
        <v>1923</v>
      </c>
    </row>
    <row r="3713" spans="1:8" ht="39" x14ac:dyDescent="0.25">
      <c r="A3713" s="3" t="s">
        <v>11154</v>
      </c>
      <c r="B3713" s="3"/>
      <c r="C3713" s="3" t="str">
        <f>"Distributor of a product with patent-pending Distributor of other products that will be developed"</f>
        <v>Distributor of a product with patent-pending Distributor of other products that will be developed</v>
      </c>
      <c r="D3713" s="3" t="s">
        <v>9</v>
      </c>
      <c r="E3713" s="3" t="s">
        <v>11155</v>
      </c>
      <c r="F3713" s="3" t="str">
        <f>"317-634-6365"</f>
        <v>317-634-6365</v>
      </c>
      <c r="G3713" s="3">
        <v>9999</v>
      </c>
      <c r="H3713" s="3" t="s">
        <v>8262</v>
      </c>
    </row>
    <row r="3714" spans="1:8" ht="77.25" x14ac:dyDescent="0.25">
      <c r="A3714" s="3" t="s">
        <v>11156</v>
      </c>
      <c r="B3714" s="3"/>
      <c r="C3714" s="3" t="str">
        <f>"Sales, service and installation of automotive and collision repair equipment, to include: Paint booths, prep stations, mixing rooms, front end aligners, tire changers, wheel balancers, brake lathes and lifts."</f>
        <v>Sales, service and installation of automotive and collision repair equipment, to include: Paint booths, prep stations, mixing rooms, front end aligners, tire changers, wheel balancers, brake lathes and lifts.</v>
      </c>
      <c r="D3714" s="3" t="s">
        <v>9</v>
      </c>
      <c r="E3714" s="3" t="s">
        <v>11157</v>
      </c>
      <c r="F3714" s="3" t="str">
        <f>"812-951-3123"</f>
        <v>812-951-3123</v>
      </c>
      <c r="G3714" s="3">
        <v>42399</v>
      </c>
      <c r="H3714" s="3" t="s">
        <v>983</v>
      </c>
    </row>
    <row r="3715" spans="1:8" ht="26.25" x14ac:dyDescent="0.25">
      <c r="A3715" s="3" t="s">
        <v>11158</v>
      </c>
      <c r="B3715" s="3"/>
      <c r="C3715" s="3" t="str">
        <f>"Discount shipping services through DHL Express"</f>
        <v>Discount shipping services through DHL Express</v>
      </c>
      <c r="D3715" s="3" t="s">
        <v>9</v>
      </c>
      <c r="E3715" s="3" t="s">
        <v>11159</v>
      </c>
      <c r="F3715" s="3" t="str">
        <f>"317-788-7263"</f>
        <v>317-788-7263</v>
      </c>
      <c r="G3715" s="3">
        <v>8129</v>
      </c>
      <c r="H3715" s="3" t="s">
        <v>11160</v>
      </c>
    </row>
    <row r="3716" spans="1:8" ht="90" x14ac:dyDescent="0.25">
      <c r="A3716" s="3" t="s">
        <v>11161</v>
      </c>
      <c r="B3716" s="3"/>
      <c r="C3716" s="3" t="str">
        <f>"We Supply Hand and Power Tools, Generators, Pumps,Maintenance Supplies,Safety Equipment and Supplies, Janitorial Supplies, Paper Products, MRO SUPPLIES, Ladders, Horticultural Tools(Hoe,Spade,Post Hole Digger,Rake Garden and Lawn Tools.) Herbicides"</f>
        <v>We Supply Hand and Power Tools, Generators, Pumps,Maintenance Supplies,Safety Equipment and Supplies, Janitorial Supplies, Paper Products, MRO SUPPLIES, Ladders, Horticultural Tools(Hoe,Spade,Post Hole Digger,Rake Garden and Lawn Tools.) Herbicides</v>
      </c>
      <c r="D3716" s="3" t="s">
        <v>11162</v>
      </c>
      <c r="E3716" s="3" t="s">
        <v>11163</v>
      </c>
      <c r="F3716" s="3" t="str">
        <f>"317-450-0757"</f>
        <v>317-450-0757</v>
      </c>
      <c r="G3716" s="3">
        <v>425120</v>
      </c>
      <c r="H3716" s="3" t="s">
        <v>58</v>
      </c>
    </row>
    <row r="3717" spans="1:8" ht="26.25" x14ac:dyDescent="0.25">
      <c r="A3717" s="3" t="s">
        <v>11164</v>
      </c>
      <c r="B3717" s="3"/>
      <c r="C3717" s="3" t="str">
        <f>"Diving, Dredging, Marine Construction"</f>
        <v>Diving, Dredging, Marine Construction</v>
      </c>
      <c r="D3717" s="3" t="s">
        <v>11165</v>
      </c>
      <c r="E3717" s="3" t="s">
        <v>11166</v>
      </c>
      <c r="F3717" s="3" t="str">
        <f>"219-924-6755"</f>
        <v>219-924-6755</v>
      </c>
      <c r="G3717" s="3">
        <v>561990</v>
      </c>
      <c r="H3717" s="3" t="s">
        <v>219</v>
      </c>
    </row>
    <row r="3718" spans="1:8" ht="64.5" x14ac:dyDescent="0.25">
      <c r="A3718" s="3" t="s">
        <v>11167</v>
      </c>
      <c r="B3718" s="3"/>
      <c r="C3718" s="3" t="str">
        <f>"Commercial property and casualty insurance agency offering placement and service of property, workers' compensation, general liability, automobile, excess liability and surety bonds lines."</f>
        <v>Commercial property and casualty insurance agency offering placement and service of property, workers' compensation, general liability, automobile, excess liability and surety bonds lines.</v>
      </c>
      <c r="D3718" s="3" t="s">
        <v>11168</v>
      </c>
      <c r="E3718" s="3" t="s">
        <v>11169</v>
      </c>
      <c r="F3718" s="3" t="str">
        <f>"(317) 805-4975"</f>
        <v>(317) 805-4975</v>
      </c>
      <c r="G3718" s="3">
        <v>52421</v>
      </c>
      <c r="H3718" s="3" t="s">
        <v>1183</v>
      </c>
    </row>
    <row r="3719" spans="1:8" ht="51.75" x14ac:dyDescent="0.25">
      <c r="A3719" s="3" t="s">
        <v>11170</v>
      </c>
      <c r="B3719" s="3"/>
      <c r="C3719" s="3" t="str">
        <f>"All Land Surveying projects, Site plan design, Subdivision design, plat of survey, ALTA, mapping, GPS Survey, Construction Engineering."</f>
        <v>All Land Surveying projects, Site plan design, Subdivision design, plat of survey, ALTA, mapping, GPS Survey, Construction Engineering.</v>
      </c>
      <c r="D3719" s="3" t="s">
        <v>11171</v>
      </c>
      <c r="E3719" s="3" t="s">
        <v>11172</v>
      </c>
      <c r="F3719" s="3" t="str">
        <f>"2198724444"</f>
        <v>2198724444</v>
      </c>
      <c r="G3719" s="3">
        <v>541370</v>
      </c>
      <c r="H3719" s="3" t="s">
        <v>160</v>
      </c>
    </row>
    <row r="3720" spans="1:8" ht="128.25" x14ac:dyDescent="0.25">
      <c r="A3720" s="3" t="s">
        <v>11173</v>
      </c>
      <c r="B3720" s="3"/>
      <c r="C3720" s="3" t="s">
        <v>11174</v>
      </c>
      <c r="D3720" s="3" t="s">
        <v>11175</v>
      </c>
      <c r="E3720" s="3" t="s">
        <v>11176</v>
      </c>
      <c r="F3720" s="3" t="str">
        <f>"(219 769-9400"</f>
        <v>(219 769-9400</v>
      </c>
      <c r="G3720" s="3">
        <v>561720</v>
      </c>
      <c r="H3720" s="3" t="s">
        <v>222</v>
      </c>
    </row>
    <row r="3721" spans="1:8" ht="26.25" x14ac:dyDescent="0.25">
      <c r="A3721" s="3" t="s">
        <v>11177</v>
      </c>
      <c r="B3721" s="3"/>
      <c r="C3721" s="3" t="str">
        <f>" "</f>
        <v xml:space="preserve"> </v>
      </c>
      <c r="D3721" s="3" t="s">
        <v>9</v>
      </c>
      <c r="E3721" s="3" t="s">
        <v>46</v>
      </c>
      <c r="F3721" s="2"/>
      <c r="G3721" s="3">
        <v>236220</v>
      </c>
      <c r="H3721" s="3" t="s">
        <v>598</v>
      </c>
    </row>
    <row r="3722" spans="1:8" ht="192" x14ac:dyDescent="0.25">
      <c r="A3722" s="3" t="s">
        <v>11178</v>
      </c>
      <c r="B3722" s="3"/>
      <c r="C3722" s="3" t="s">
        <v>11179</v>
      </c>
      <c r="D3722" s="3" t="s">
        <v>11180</v>
      </c>
      <c r="E3722" s="3" t="s">
        <v>11181</v>
      </c>
      <c r="F3722" s="3" t="str">
        <f>"317-370-6791"</f>
        <v>317-370-6791</v>
      </c>
      <c r="G3722" s="3">
        <v>5416</v>
      </c>
      <c r="H3722" s="3" t="s">
        <v>194</v>
      </c>
    </row>
    <row r="3723" spans="1:8" ht="26.25" x14ac:dyDescent="0.25">
      <c r="A3723" s="3" t="s">
        <v>11182</v>
      </c>
      <c r="B3723" s="3"/>
      <c r="C3723" s="2"/>
      <c r="D3723" s="3" t="s">
        <v>11183</v>
      </c>
      <c r="E3723" s="3" t="s">
        <v>11184</v>
      </c>
      <c r="F3723" s="3" t="str">
        <f>"317/848-2022"</f>
        <v>317/848-2022</v>
      </c>
      <c r="G3723" s="3">
        <v>541611</v>
      </c>
      <c r="H3723" s="3" t="s">
        <v>278</v>
      </c>
    </row>
    <row r="3724" spans="1:8" ht="26.25" x14ac:dyDescent="0.25">
      <c r="A3724" s="3" t="s">
        <v>11185</v>
      </c>
      <c r="B3724" s="3"/>
      <c r="C3724" s="3" t="str">
        <f>"My business offers Uniformed guard and patrol services and investigation services"</f>
        <v>My business offers Uniformed guard and patrol services and investigation services</v>
      </c>
      <c r="D3724" s="3" t="s">
        <v>9</v>
      </c>
      <c r="E3724" s="3" t="s">
        <v>11186</v>
      </c>
      <c r="F3724" s="3" t="str">
        <f>"773-577-4313"</f>
        <v>773-577-4313</v>
      </c>
      <c r="G3724" s="3">
        <v>561612</v>
      </c>
      <c r="H3724" s="3" t="s">
        <v>362</v>
      </c>
    </row>
    <row r="3725" spans="1:8" ht="230.25" x14ac:dyDescent="0.25">
      <c r="A3725" s="3" t="s">
        <v>11187</v>
      </c>
      <c r="B3725" s="3"/>
      <c r="C3725" s="3" t="s">
        <v>11188</v>
      </c>
      <c r="D3725" s="3" t="s">
        <v>9</v>
      </c>
      <c r="E3725" s="3" t="s">
        <v>11189</v>
      </c>
      <c r="F3725" s="3" t="str">
        <f>"317-698-3619"</f>
        <v>317-698-3619</v>
      </c>
      <c r="G3725" s="3">
        <v>561612</v>
      </c>
      <c r="H3725" s="3" t="s">
        <v>362</v>
      </c>
    </row>
    <row r="3726" spans="1:8" ht="26.25" x14ac:dyDescent="0.25">
      <c r="A3726" s="3" t="s">
        <v>11190</v>
      </c>
      <c r="B3726" s="3"/>
      <c r="C3726" s="3" t="str">
        <f>"Security shredding and recycling services Paper shredding"</f>
        <v>Security shredding and recycling services Paper shredding</v>
      </c>
      <c r="D3726" s="3" t="s">
        <v>11191</v>
      </c>
      <c r="E3726" s="3" t="s">
        <v>11192</v>
      </c>
      <c r="F3726" s="3" t="str">
        <f>"317-844-5522"</f>
        <v>317-844-5522</v>
      </c>
      <c r="G3726" s="3">
        <v>23599</v>
      </c>
      <c r="H3726" s="3" t="s">
        <v>248</v>
      </c>
    </row>
    <row r="3727" spans="1:8" ht="64.5" x14ac:dyDescent="0.25">
      <c r="A3727" s="3" t="s">
        <v>11193</v>
      </c>
      <c r="B3727" s="3"/>
      <c r="C3727" s="3" t="str">
        <f>"Sales/Service of water treament products for commercial, industrial, and institutional facilities,for billers and chillers. Waste water treatment with onsite technical service."</f>
        <v>Sales/Service of water treament products for commercial, industrial, and institutional facilities,for billers and chillers. Waste water treatment with onsite technical service.</v>
      </c>
      <c r="D3727" s="3" t="s">
        <v>11194</v>
      </c>
      <c r="E3727" s="3" t="s">
        <v>11195</v>
      </c>
      <c r="F3727" s="3" t="str">
        <f>"7083499991"</f>
        <v>7083499991</v>
      </c>
      <c r="G3727" s="3">
        <v>325998</v>
      </c>
      <c r="H3727" s="3" t="s">
        <v>7066</v>
      </c>
    </row>
    <row r="3728" spans="1:8" ht="319.5" x14ac:dyDescent="0.25">
      <c r="A3728" s="3" t="s">
        <v>11196</v>
      </c>
      <c r="B3728" s="3"/>
      <c r="C3728" s="3" t="s">
        <v>11197</v>
      </c>
      <c r="D3728" s="3" t="s">
        <v>11198</v>
      </c>
      <c r="E3728" s="3" t="s">
        <v>11199</v>
      </c>
      <c r="F3728" s="3" t="str">
        <f>"317-570-1990"</f>
        <v>317-570-1990</v>
      </c>
      <c r="G3728" s="3">
        <v>541519</v>
      </c>
      <c r="H3728" s="3" t="s">
        <v>898</v>
      </c>
    </row>
    <row r="3729" spans="1:8" ht="77.25" x14ac:dyDescent="0.25">
      <c r="A3729" s="3" t="s">
        <v>11200</v>
      </c>
      <c r="B3729" s="3"/>
      <c r="C3729" s="3" t="str">
        <f>"Asphalt paving and related work such as grading and drainage. Work consists mostly of commercial, and municipal work, including schools and churches. We also do recreational paving including tennis courts, running tracks, and walkways."</f>
        <v>Asphalt paving and related work such as grading and drainage. Work consists mostly of commercial, and municipal work, including schools and churches. We also do recreational paving including tennis courts, running tracks, and walkways.</v>
      </c>
      <c r="D3729" s="3" t="s">
        <v>11201</v>
      </c>
      <c r="E3729" s="3" t="s">
        <v>11202</v>
      </c>
      <c r="F3729" s="3" t="str">
        <f>"317-568-4344"</f>
        <v>317-568-4344</v>
      </c>
      <c r="G3729" s="3">
        <v>237310</v>
      </c>
      <c r="H3729" s="3" t="s">
        <v>768</v>
      </c>
    </row>
    <row r="3730" spans="1:8" ht="141" x14ac:dyDescent="0.25">
      <c r="A3730" s="3" t="s">
        <v>11203</v>
      </c>
      <c r="B3730" s="3"/>
      <c r="C3730" s="3" t="s">
        <v>11204</v>
      </c>
      <c r="D3730" s="3" t="s">
        <v>9</v>
      </c>
      <c r="E3730" s="3" t="s">
        <v>11205</v>
      </c>
      <c r="F3730" s="3" t="str">
        <f>"317-437-7599"</f>
        <v>317-437-7599</v>
      </c>
      <c r="G3730" s="3">
        <v>326140</v>
      </c>
      <c r="H3730" s="3" t="s">
        <v>11206</v>
      </c>
    </row>
    <row r="3731" spans="1:8" ht="39" x14ac:dyDescent="0.25">
      <c r="A3731" s="3" t="s">
        <v>11207</v>
      </c>
      <c r="B3731" s="3"/>
      <c r="C3731" s="3" t="str">
        <f>"Distributor of low-level photoluminescent products for commercial buildings for House Bill 1173."</f>
        <v>Distributor of low-level photoluminescent products for commercial buildings for House Bill 1173.</v>
      </c>
      <c r="D3731" s="3" t="s">
        <v>11208</v>
      </c>
      <c r="E3731" s="3" t="s">
        <v>11209</v>
      </c>
      <c r="F3731" s="3" t="str">
        <f>"8006603652"</f>
        <v>8006603652</v>
      </c>
      <c r="G3731" s="3">
        <v>339950</v>
      </c>
      <c r="H3731" s="3" t="s">
        <v>68</v>
      </c>
    </row>
    <row r="3732" spans="1:8" ht="90" x14ac:dyDescent="0.25">
      <c r="A3732" s="3" t="s">
        <v>11210</v>
      </c>
      <c r="B3732" s="3"/>
      <c r="C3732" s="3" t="s">
        <v>11211</v>
      </c>
      <c r="D3732" s="3" t="s">
        <v>11212</v>
      </c>
      <c r="E3732" s="3" t="s">
        <v>11213</v>
      </c>
      <c r="F3732" s="3" t="str">
        <f>"812-988-8900"</f>
        <v>812-988-8900</v>
      </c>
      <c r="G3732" s="3">
        <v>561730</v>
      </c>
      <c r="H3732" s="3" t="s">
        <v>65</v>
      </c>
    </row>
    <row r="3733" spans="1:8" ht="102.75" x14ac:dyDescent="0.25">
      <c r="A3733" s="3" t="s">
        <v>11214</v>
      </c>
      <c r="B3733" s="3"/>
      <c r="C3733" s="3" t="s">
        <v>11215</v>
      </c>
      <c r="D3733" s="3" t="s">
        <v>11216</v>
      </c>
      <c r="E3733" s="3" t="s">
        <v>11217</v>
      </c>
      <c r="F3733" s="3" t="str">
        <f>"317 506-1829"</f>
        <v>317 506-1829</v>
      </c>
      <c r="G3733" s="3">
        <v>335999</v>
      </c>
      <c r="H3733" s="3" t="s">
        <v>11218</v>
      </c>
    </row>
    <row r="3734" spans="1:8" ht="77.25" x14ac:dyDescent="0.25">
      <c r="A3734" s="3" t="s">
        <v>11219</v>
      </c>
      <c r="B3734" s="3"/>
      <c r="C3734" s="3" t="str">
        <f>"GO Services, LLC is a multi-service company offering; Engineering Services, Preferred supplier services, Assembly and Manufacturing Services, Project Management Services and Business Development Services."</f>
        <v>GO Services, LLC is a multi-service company offering; Engineering Services, Preferred supplier services, Assembly and Manufacturing Services, Project Management Services and Business Development Services.</v>
      </c>
      <c r="D3734" s="3" t="s">
        <v>11220</v>
      </c>
      <c r="E3734" s="3" t="s">
        <v>11221</v>
      </c>
      <c r="F3734" s="3" t="str">
        <f>"3178817636"</f>
        <v>3178817636</v>
      </c>
      <c r="G3734" s="3">
        <v>33</v>
      </c>
      <c r="H3734" s="3" t="s">
        <v>999</v>
      </c>
    </row>
    <row r="3735" spans="1:8" ht="26.25" x14ac:dyDescent="0.25">
      <c r="A3735" s="3" t="s">
        <v>11222</v>
      </c>
      <c r="B3735" s="3"/>
      <c r="C3735" s="3" t="str">
        <f>"Drill bit regrinding. Full line turning, milling, drilling, and shaping."</f>
        <v>Drill bit regrinding. Full line turning, milling, drilling, and shaping.</v>
      </c>
      <c r="D3735" s="3" t="s">
        <v>9</v>
      </c>
      <c r="E3735" s="3" t="s">
        <v>46</v>
      </c>
      <c r="F3735" s="3" t="str">
        <f>"812-385-8985"</f>
        <v>812-385-8985</v>
      </c>
      <c r="G3735" s="3">
        <v>332710</v>
      </c>
      <c r="H3735" s="3" t="s">
        <v>387</v>
      </c>
    </row>
    <row r="3736" spans="1:8" ht="26.25" x14ac:dyDescent="0.25">
      <c r="A3736" s="3" t="s">
        <v>11223</v>
      </c>
      <c r="B3736" s="3"/>
      <c r="C3736" s="2"/>
      <c r="D3736" s="3" t="s">
        <v>11224</v>
      </c>
      <c r="E3736" s="3" t="s">
        <v>11225</v>
      </c>
      <c r="F3736" s="3" t="str">
        <f>"765-447-7263"</f>
        <v>765-447-7263</v>
      </c>
      <c r="G3736" s="3">
        <v>42299</v>
      </c>
      <c r="H3736" s="3" t="s">
        <v>11226</v>
      </c>
    </row>
    <row r="3737" spans="1:8" ht="153.75" x14ac:dyDescent="0.25">
      <c r="A3737" s="3" t="s">
        <v>11227</v>
      </c>
      <c r="B3737" s="3"/>
      <c r="C3737" s="3" t="s">
        <v>11228</v>
      </c>
      <c r="D3737" s="3" t="s">
        <v>11229</v>
      </c>
      <c r="E3737" s="3" t="s">
        <v>11230</v>
      </c>
      <c r="F3737" s="3" t="str">
        <f>"317-896-3832"</f>
        <v>317-896-3832</v>
      </c>
      <c r="G3737" s="3">
        <v>442110</v>
      </c>
      <c r="H3737" s="3" t="s">
        <v>117</v>
      </c>
    </row>
    <row r="3738" spans="1:8" ht="26.25" x14ac:dyDescent="0.25">
      <c r="A3738" s="3" t="s">
        <v>11231</v>
      </c>
      <c r="B3738" s="3"/>
      <c r="C3738" s="3" t="str">
        <f>" "</f>
        <v xml:space="preserve"> </v>
      </c>
      <c r="D3738" s="3" t="s">
        <v>9</v>
      </c>
      <c r="E3738" s="3" t="s">
        <v>11232</v>
      </c>
      <c r="F3738" s="3" t="str">
        <f>"317-652-6454"</f>
        <v>317-652-6454</v>
      </c>
      <c r="G3738" s="3">
        <v>561740</v>
      </c>
      <c r="H3738" s="3" t="s">
        <v>241</v>
      </c>
    </row>
    <row r="3739" spans="1:8" ht="141" x14ac:dyDescent="0.25">
      <c r="A3739" s="3" t="s">
        <v>11233</v>
      </c>
      <c r="B3739" s="3"/>
      <c r="C3739" s="3" t="s">
        <v>11234</v>
      </c>
      <c r="D3739" s="3" t="s">
        <v>11235</v>
      </c>
      <c r="E3739" s="3" t="s">
        <v>11236</v>
      </c>
      <c r="F3739" s="3" t="str">
        <f>"317.522.3467"</f>
        <v>317.522.3467</v>
      </c>
      <c r="G3739" s="3">
        <v>621610</v>
      </c>
      <c r="H3739" s="3" t="s">
        <v>328</v>
      </c>
    </row>
    <row r="3740" spans="1:8" ht="26.25" x14ac:dyDescent="0.25">
      <c r="A3740" s="3" t="s">
        <v>11237</v>
      </c>
      <c r="B3740" s="3"/>
      <c r="C3740" s="3" t="str">
        <f>"Water well contractor"</f>
        <v>Water well contractor</v>
      </c>
      <c r="D3740" s="3" t="s">
        <v>9</v>
      </c>
      <c r="E3740" s="3" t="s">
        <v>11238</v>
      </c>
      <c r="F3740" s="3" t="str">
        <f>"812-985-2300"</f>
        <v>812-985-2300</v>
      </c>
      <c r="G3740" s="3">
        <v>23581</v>
      </c>
      <c r="H3740" s="3" t="s">
        <v>6620</v>
      </c>
    </row>
    <row r="3741" spans="1:8" ht="26.25" x14ac:dyDescent="0.25">
      <c r="A3741" s="3" t="s">
        <v>11239</v>
      </c>
      <c r="B3741" s="3"/>
      <c r="C3741" s="3" t="str">
        <f>"Registered Investment Adviser"</f>
        <v>Registered Investment Adviser</v>
      </c>
      <c r="D3741" s="3" t="s">
        <v>11240</v>
      </c>
      <c r="E3741" s="3" t="s">
        <v>11241</v>
      </c>
      <c r="F3741" s="3" t="str">
        <f>"317-264-2600"</f>
        <v>317-264-2600</v>
      </c>
      <c r="G3741" s="3">
        <v>523930</v>
      </c>
      <c r="H3741" s="3" t="s">
        <v>2936</v>
      </c>
    </row>
    <row r="3742" spans="1:8" ht="141" x14ac:dyDescent="0.25">
      <c r="A3742" s="3" t="s">
        <v>11242</v>
      </c>
      <c r="B3742" s="3"/>
      <c r="C3742" s="3" t="s">
        <v>11243</v>
      </c>
      <c r="D3742" s="3" t="s">
        <v>11244</v>
      </c>
      <c r="E3742" s="3" t="s">
        <v>11245</v>
      </c>
      <c r="F3742" s="3" t="str">
        <f>"3176606661"</f>
        <v>3176606661</v>
      </c>
      <c r="G3742" s="3">
        <v>541620</v>
      </c>
      <c r="H3742" s="3" t="s">
        <v>216</v>
      </c>
    </row>
    <row r="3743" spans="1:8" ht="39" x14ac:dyDescent="0.25">
      <c r="A3743" s="3" t="s">
        <v>11246</v>
      </c>
      <c r="B3743" s="3"/>
      <c r="C3743" s="3" t="str">
        <f>"GoldStar is the premiere valet company in Indianapolis and the surrounding area. Let us help find your parking solutions."</f>
        <v>GoldStar is the premiere valet company in Indianapolis and the surrounding area. Let us help find your parking solutions.</v>
      </c>
      <c r="D3743" s="3" t="s">
        <v>9</v>
      </c>
      <c r="E3743" s="3" t="s">
        <v>11247</v>
      </c>
      <c r="F3743" s="3" t="str">
        <f>"317-453-0112"</f>
        <v>317-453-0112</v>
      </c>
      <c r="G3743" s="3">
        <v>812930</v>
      </c>
      <c r="H3743" s="3" t="s">
        <v>7920</v>
      </c>
    </row>
    <row r="3744" spans="1:8" ht="77.25" x14ac:dyDescent="0.25">
      <c r="A3744" s="3" t="s">
        <v>11248</v>
      </c>
      <c r="B3744" s="3"/>
      <c r="C3744" s="3" t="str">
        <f>"NAPA AUTO PARTS stores located in Angola, LaGrange, and Kendallville Indiana. Wholesale supplier of auto, truck, tractor, and industrial repair parts. We sell the tools, equipment and supplies to repair and maintain your equipment."</f>
        <v>NAPA AUTO PARTS stores located in Angola, LaGrange, and Kendallville Indiana. Wholesale supplier of auto, truck, tractor, and industrial repair parts. We sell the tools, equipment and supplies to repair and maintain your equipment.</v>
      </c>
      <c r="D3744" s="3" t="s">
        <v>9</v>
      </c>
      <c r="E3744" s="3" t="s">
        <v>11249</v>
      </c>
      <c r="F3744" s="3" t="str">
        <f>"260-665-3128"</f>
        <v>260-665-3128</v>
      </c>
      <c r="G3744" s="3">
        <v>441310</v>
      </c>
      <c r="H3744" s="3" t="s">
        <v>1699</v>
      </c>
    </row>
    <row r="3745" spans="1:8" ht="64.5" x14ac:dyDescent="0.25">
      <c r="A3745" s="3" t="s">
        <v>11250</v>
      </c>
      <c r="B3745" s="3"/>
      <c r="C3745" s="3" t="str">
        <f>"We are a small commercial shop that prints mostly for business, such as business cards, business stationary, invoices, we do policital yard signs, banners, tickets, raffle tickets and etc"</f>
        <v>We are a small commercial shop that prints mostly for business, such as business cards, business stationary, invoices, we do policital yard signs, banners, tickets, raffle tickets and etc</v>
      </c>
      <c r="D3745" s="3" t="s">
        <v>9</v>
      </c>
      <c r="E3745" s="3" t="s">
        <v>11251</v>
      </c>
      <c r="F3745" s="3" t="str">
        <f>"765-832-1932"</f>
        <v>765-832-1932</v>
      </c>
      <c r="G3745" s="3">
        <v>323114</v>
      </c>
      <c r="H3745" s="3" t="s">
        <v>1068</v>
      </c>
    </row>
    <row r="3746" spans="1:8" ht="115.5" x14ac:dyDescent="0.25">
      <c r="A3746" s="3" t="s">
        <v>11252</v>
      </c>
      <c r="B3746" s="3"/>
      <c r="C3746" s="3" t="s">
        <v>11253</v>
      </c>
      <c r="D3746" s="3" t="s">
        <v>11254</v>
      </c>
      <c r="E3746" s="3" t="s">
        <v>11255</v>
      </c>
      <c r="F3746" s="3" t="str">
        <f>"765-832-1932"</f>
        <v>765-832-1932</v>
      </c>
      <c r="G3746" s="3">
        <v>32311</v>
      </c>
      <c r="H3746" s="3" t="s">
        <v>531</v>
      </c>
    </row>
    <row r="3747" spans="1:8" ht="26.25" x14ac:dyDescent="0.25">
      <c r="A3747" s="3" t="s">
        <v>11256</v>
      </c>
      <c r="B3747" s="3"/>
      <c r="C3747" s="3" t="str">
        <f>" "</f>
        <v xml:space="preserve"> </v>
      </c>
      <c r="D3747" s="3" t="s">
        <v>11257</v>
      </c>
      <c r="E3747" s="3" t="s">
        <v>46</v>
      </c>
      <c r="F3747" s="3" t="str">
        <f>"317-297-4123"</f>
        <v>317-297-4123</v>
      </c>
      <c r="G3747" s="3">
        <v>5241</v>
      </c>
      <c r="H3747" s="3" t="s">
        <v>822</v>
      </c>
    </row>
    <row r="3748" spans="1:8" x14ac:dyDescent="0.25">
      <c r="A3748" s="3" t="s">
        <v>11258</v>
      </c>
      <c r="B3748" s="3"/>
      <c r="C3748" s="3" t="str">
        <f>" "</f>
        <v xml:space="preserve"> </v>
      </c>
      <c r="D3748" s="3" t="s">
        <v>9</v>
      </c>
      <c r="E3748" s="3" t="s">
        <v>11259</v>
      </c>
      <c r="F3748" s="2"/>
      <c r="G3748" s="3">
        <v>621610</v>
      </c>
      <c r="H3748" s="3" t="s">
        <v>328</v>
      </c>
    </row>
    <row r="3749" spans="1:8" ht="64.5" x14ac:dyDescent="0.25">
      <c r="A3749" s="3" t="s">
        <v>11260</v>
      </c>
      <c r="B3749" s="3"/>
      <c r="C3749" s="3" t="str">
        <f>"Goldman Electrical Contracting, Inc. is an IBEW union contractor servicing Indianapolis and the surrounding counties. Residential/Commerical Construction and Maintainence services available"</f>
        <v>Goldman Electrical Contracting, Inc. is an IBEW union contractor servicing Indianapolis and the surrounding counties. Residential/Commerical Construction and Maintainence services available</v>
      </c>
      <c r="D3749" s="3" t="s">
        <v>9</v>
      </c>
      <c r="E3749" s="3" t="s">
        <v>11261</v>
      </c>
      <c r="F3749" s="3" t="str">
        <f>"317-787-9967"</f>
        <v>317-787-9967</v>
      </c>
      <c r="G3749" s="3">
        <v>238210</v>
      </c>
      <c r="H3749" s="3" t="s">
        <v>306</v>
      </c>
    </row>
    <row r="3750" spans="1:8" ht="102.75" x14ac:dyDescent="0.25">
      <c r="A3750" s="3" t="s">
        <v>11262</v>
      </c>
      <c r="B3750" s="3"/>
      <c r="C3750" s="3" t="s">
        <v>11263</v>
      </c>
      <c r="D3750" s="3" t="s">
        <v>11264</v>
      </c>
      <c r="E3750" s="3" t="s">
        <v>11265</v>
      </c>
      <c r="F3750" s="3" t="str">
        <f>"3177740362"</f>
        <v>3177740362</v>
      </c>
      <c r="G3750" s="3">
        <v>541611</v>
      </c>
      <c r="H3750" s="3" t="s">
        <v>278</v>
      </c>
    </row>
    <row r="3751" spans="1:8" ht="77.25" x14ac:dyDescent="0.25">
      <c r="A3751" s="3" t="s">
        <v>11266</v>
      </c>
      <c r="B3751" s="3"/>
      <c r="C3751" s="3" t="str">
        <f>"GPI is a seller and marketer of Hispanic and American foods, which leverages its knowledge of both markets to develop and promote its own products, and to identify and capitalize on cross marketing opportunities for its customers."</f>
        <v>GPI is a seller and marketer of Hispanic and American foods, which leverages its knowledge of both markets to develop and promote its own products, and to identify and capitalize on cross marketing opportunities for its customers.</v>
      </c>
      <c r="D3751" s="3" t="s">
        <v>9</v>
      </c>
      <c r="E3751" s="3" t="s">
        <v>11267</v>
      </c>
      <c r="F3751" s="3" t="str">
        <f>"(317)558-3700"</f>
        <v>(317)558-3700</v>
      </c>
      <c r="G3751" s="3">
        <v>4244</v>
      </c>
      <c r="H3751" s="3" t="s">
        <v>2311</v>
      </c>
    </row>
    <row r="3752" spans="1:8" ht="243" x14ac:dyDescent="0.25">
      <c r="A3752" s="3" t="s">
        <v>11268</v>
      </c>
      <c r="B3752" s="3"/>
      <c r="C3752" s="3" t="s">
        <v>11269</v>
      </c>
      <c r="D3752" s="3" t="s">
        <v>11270</v>
      </c>
      <c r="E3752" s="3" t="s">
        <v>11271</v>
      </c>
      <c r="F3752" s="3" t="str">
        <f>"3176869800"</f>
        <v>3176869800</v>
      </c>
      <c r="G3752" s="3">
        <v>541110</v>
      </c>
      <c r="H3752" s="3" t="s">
        <v>2978</v>
      </c>
    </row>
    <row r="3753" spans="1:8" ht="141" x14ac:dyDescent="0.25">
      <c r="A3753" s="3" t="s">
        <v>11272</v>
      </c>
      <c r="B3753" s="3"/>
      <c r="C3753" s="3" t="s">
        <v>11273</v>
      </c>
      <c r="D3753" s="3" t="s">
        <v>11270</v>
      </c>
      <c r="E3753" s="3" t="s">
        <v>11274</v>
      </c>
      <c r="F3753" s="3" t="str">
        <f>"371-686-9800"</f>
        <v>371-686-9800</v>
      </c>
      <c r="G3753" s="3">
        <v>541110</v>
      </c>
      <c r="H3753" s="3" t="s">
        <v>2978</v>
      </c>
    </row>
    <row r="3754" spans="1:8" ht="217.5" x14ac:dyDescent="0.25">
      <c r="A3754" s="3" t="s">
        <v>11275</v>
      </c>
      <c r="B3754" s="3"/>
      <c r="C3754" s="3" t="s">
        <v>11276</v>
      </c>
      <c r="D3754" s="3" t="s">
        <v>9</v>
      </c>
      <c r="E3754" s="3" t="s">
        <v>11277</v>
      </c>
      <c r="F3754" s="3" t="str">
        <f>"317-225-4984"</f>
        <v>317-225-4984</v>
      </c>
      <c r="G3754" s="3">
        <v>541611</v>
      </c>
      <c r="H3754" s="3" t="s">
        <v>278</v>
      </c>
    </row>
    <row r="3755" spans="1:8" ht="39" x14ac:dyDescent="0.25">
      <c r="A3755" s="3" t="s">
        <v>11278</v>
      </c>
      <c r="B3755" s="3"/>
      <c r="C3755" s="3" t="str">
        <f>"audio and video production, media production, graphics and animation, marketing"</f>
        <v>audio and video production, media production, graphics and animation, marketing</v>
      </c>
      <c r="D3755" s="3" t="s">
        <v>11279</v>
      </c>
      <c r="E3755" s="3" t="s">
        <v>11280</v>
      </c>
      <c r="F3755" s="3" t="str">
        <f>"317-443-9494"</f>
        <v>317-443-9494</v>
      </c>
      <c r="G3755" s="3">
        <v>512110</v>
      </c>
      <c r="H3755" s="3" t="s">
        <v>406</v>
      </c>
    </row>
    <row r="3756" spans="1:8" ht="64.5" x14ac:dyDescent="0.25">
      <c r="A3756" s="3" t="s">
        <v>11278</v>
      </c>
      <c r="B3756" s="3"/>
      <c r="C3756" s="3" t="str">
        <f>"Well regarded video production, audio production, animation, graphics, and writing company. Used for many training, marketing, communications and creative services needs."</f>
        <v>Well regarded video production, audio production, animation, graphics, and writing company. Used for many training, marketing, communications and creative services needs.</v>
      </c>
      <c r="D3756" s="3" t="s">
        <v>11279</v>
      </c>
      <c r="E3756" s="3" t="s">
        <v>11281</v>
      </c>
      <c r="F3756" s="3" t="str">
        <f>"3174439494"</f>
        <v>3174439494</v>
      </c>
      <c r="G3756" s="3">
        <v>512110</v>
      </c>
      <c r="H3756" s="3" t="s">
        <v>406</v>
      </c>
    </row>
    <row r="3757" spans="1:8" ht="115.5" x14ac:dyDescent="0.25">
      <c r="A3757" s="3" t="s">
        <v>11282</v>
      </c>
      <c r="B3757" s="3"/>
      <c r="C3757" s="3" t="s">
        <v>11283</v>
      </c>
      <c r="D3757" s="3" t="s">
        <v>11284</v>
      </c>
      <c r="E3757" s="3" t="s">
        <v>11285</v>
      </c>
      <c r="F3757" s="3" t="str">
        <f>"317-442-2614"</f>
        <v>317-442-2614</v>
      </c>
      <c r="G3757" s="3">
        <v>51113</v>
      </c>
      <c r="H3757" s="3" t="s">
        <v>3146</v>
      </c>
    </row>
    <row r="3758" spans="1:8" ht="166.5" x14ac:dyDescent="0.25">
      <c r="A3758" s="3" t="s">
        <v>11286</v>
      </c>
      <c r="B3758" s="3"/>
      <c r="C3758" s="3" t="s">
        <v>11287</v>
      </c>
      <c r="D3758" s="3" t="s">
        <v>9</v>
      </c>
      <c r="E3758" s="3" t="s">
        <v>11288</v>
      </c>
      <c r="F3758" s="3" t="str">
        <f>"765-289-9155"</f>
        <v>765-289-9155</v>
      </c>
      <c r="G3758" s="3">
        <v>54131</v>
      </c>
      <c r="H3758" s="3" t="s">
        <v>446</v>
      </c>
    </row>
    <row r="3759" spans="1:8" ht="39" x14ac:dyDescent="0.25">
      <c r="A3759" s="3" t="s">
        <v>11289</v>
      </c>
      <c r="B3759" s="3"/>
      <c r="C3759" s="3" t="str">
        <f>"We provide insurance, financial services, notary, Spanish professional services, computer repair, web design, and hosting."</f>
        <v>We provide insurance, financial services, notary, Spanish professional services, computer repair, web design, and hosting.</v>
      </c>
      <c r="D3759" s="3" t="s">
        <v>11290</v>
      </c>
      <c r="E3759" s="3" t="s">
        <v>11291</v>
      </c>
      <c r="F3759" s="3" t="str">
        <f>"765-642-9949"</f>
        <v>765-642-9949</v>
      </c>
      <c r="G3759" s="3">
        <v>524210</v>
      </c>
      <c r="H3759" s="3" t="s">
        <v>1183</v>
      </c>
    </row>
    <row r="3760" spans="1:8" ht="166.5" x14ac:dyDescent="0.25">
      <c r="A3760" s="3" t="s">
        <v>11292</v>
      </c>
      <c r="B3760" s="3"/>
      <c r="C3760" s="3" t="s">
        <v>11293</v>
      </c>
      <c r="D3760" s="3" t="s">
        <v>11294</v>
      </c>
      <c r="E3760" s="3" t="s">
        <v>11295</v>
      </c>
      <c r="F3760" s="3" t="str">
        <f>"972.421.5959"</f>
        <v>972.421.5959</v>
      </c>
      <c r="G3760" s="3">
        <v>237130</v>
      </c>
      <c r="H3760" s="3" t="s">
        <v>3432</v>
      </c>
    </row>
    <row r="3761" spans="1:8" ht="39" x14ac:dyDescent="0.25">
      <c r="A3761" s="3" t="s">
        <v>11296</v>
      </c>
      <c r="B3761" s="3"/>
      <c r="C3761" s="3" t="str">
        <f>"Our mission is to provide jobs, training, and placement services for people with barriers to employment."</f>
        <v>Our mission is to provide jobs, training, and placement services for people with barriers to employment.</v>
      </c>
      <c r="D3761" s="3" t="s">
        <v>11297</v>
      </c>
      <c r="E3761" s="3" t="s">
        <v>11298</v>
      </c>
      <c r="F3761" s="3" t="str">
        <f>"574-472-7300"</f>
        <v>574-472-7300</v>
      </c>
      <c r="G3761" s="3">
        <v>624310</v>
      </c>
      <c r="H3761" s="3" t="s">
        <v>488</v>
      </c>
    </row>
    <row r="3762" spans="1:8" ht="26.25" x14ac:dyDescent="0.25">
      <c r="A3762" s="3" t="s">
        <v>11299</v>
      </c>
      <c r="B3762" s="3"/>
      <c r="C3762" s="3" t="str">
        <f>"New car &amp; truck Sales. Dodge, Chrysler, Jeep"</f>
        <v>New car &amp; truck Sales. Dodge, Chrysler, Jeep</v>
      </c>
      <c r="D3762" s="3" t="s">
        <v>11300</v>
      </c>
      <c r="E3762" s="3" t="s">
        <v>11301</v>
      </c>
      <c r="F3762" s="3" t="str">
        <f>"765-529-3780"</f>
        <v>765-529-3780</v>
      </c>
      <c r="G3762" s="3">
        <v>423110</v>
      </c>
      <c r="H3762" s="3" t="s">
        <v>3324</v>
      </c>
    </row>
    <row r="3763" spans="1:8" ht="192" x14ac:dyDescent="0.25">
      <c r="A3763" s="3" t="s">
        <v>11302</v>
      </c>
      <c r="B3763" s="3"/>
      <c r="C3763" s="3" t="s">
        <v>11303</v>
      </c>
      <c r="D3763" s="3" t="s">
        <v>11304</v>
      </c>
      <c r="E3763" s="3" t="s">
        <v>11305</v>
      </c>
      <c r="F3763" s="3" t="str">
        <f>"1866-400-3386"</f>
        <v>1866-400-3386</v>
      </c>
      <c r="G3763" s="3">
        <v>611420</v>
      </c>
      <c r="H3763" s="3" t="s">
        <v>39</v>
      </c>
    </row>
    <row r="3764" spans="1:8" ht="166.5" x14ac:dyDescent="0.25">
      <c r="A3764" s="3" t="s">
        <v>11306</v>
      </c>
      <c r="B3764" s="3"/>
      <c r="C3764" s="3" t="s">
        <v>11307</v>
      </c>
      <c r="D3764" s="3" t="s">
        <v>9</v>
      </c>
      <c r="E3764" s="3" t="s">
        <v>46</v>
      </c>
      <c r="F3764" s="3" t="str">
        <f>"812-277-8290"</f>
        <v>812-277-8290</v>
      </c>
      <c r="G3764" s="3">
        <v>424990</v>
      </c>
      <c r="H3764" s="3" t="s">
        <v>1019</v>
      </c>
    </row>
    <row r="3765" spans="1:8" ht="26.25" x14ac:dyDescent="0.25">
      <c r="A3765" s="3" t="s">
        <v>11308</v>
      </c>
      <c r="B3765" s="3"/>
      <c r="C3765" s="3" t="str">
        <f>"Manufacturer of small and medium size buses for transit and private use."</f>
        <v>Manufacturer of small and medium size buses for transit and private use.</v>
      </c>
      <c r="D3765" s="3" t="s">
        <v>11309</v>
      </c>
      <c r="E3765" s="3" t="s">
        <v>11310</v>
      </c>
      <c r="F3765" s="3" t="str">
        <f>"866-522-5424"</f>
        <v>866-522-5424</v>
      </c>
      <c r="G3765" s="3">
        <v>3361</v>
      </c>
      <c r="H3765" s="3" t="s">
        <v>2815</v>
      </c>
    </row>
    <row r="3766" spans="1:8" ht="26.25" x14ac:dyDescent="0.25">
      <c r="A3766" s="3" t="s">
        <v>11311</v>
      </c>
      <c r="B3766" s="3"/>
      <c r="C3766" s="2"/>
      <c r="D3766" s="3" t="s">
        <v>11312</v>
      </c>
      <c r="E3766" s="3" t="s">
        <v>11313</v>
      </c>
      <c r="F3766" s="3" t="str">
        <f>"5745336585"</f>
        <v>5745336585</v>
      </c>
      <c r="G3766" s="3">
        <v>4442</v>
      </c>
      <c r="H3766" s="3" t="s">
        <v>852</v>
      </c>
    </row>
    <row r="3767" spans="1:8" ht="192" x14ac:dyDescent="0.25">
      <c r="A3767" s="3" t="s">
        <v>11314</v>
      </c>
      <c r="B3767" s="3"/>
      <c r="C3767" s="3" t="s">
        <v>11315</v>
      </c>
      <c r="D3767" s="3" t="s">
        <v>11316</v>
      </c>
      <c r="E3767" s="3" t="s">
        <v>11317</v>
      </c>
      <c r="F3767" s="3" t="str">
        <f>"317-339-5717"</f>
        <v>317-339-5717</v>
      </c>
      <c r="G3767" s="3">
        <v>541612</v>
      </c>
      <c r="H3767" s="3" t="s">
        <v>1923</v>
      </c>
    </row>
    <row r="3768" spans="1:8" ht="39" x14ac:dyDescent="0.25">
      <c r="A3768" s="3" t="s">
        <v>11318</v>
      </c>
      <c r="B3768" s="3"/>
      <c r="C3768" s="3" t="str">
        <f>"Commercial construction, including masonry, carpentry, drywall, and site excavation and utilities."</f>
        <v>Commercial construction, including masonry, carpentry, drywall, and site excavation and utilities.</v>
      </c>
      <c r="D3768" s="3" t="s">
        <v>11319</v>
      </c>
      <c r="E3768" s="3" t="s">
        <v>11320</v>
      </c>
      <c r="F3768" s="3" t="str">
        <f>"2197562200"</f>
        <v>2197562200</v>
      </c>
      <c r="G3768" s="3">
        <v>236220</v>
      </c>
      <c r="H3768" s="3" t="s">
        <v>598</v>
      </c>
    </row>
    <row r="3769" spans="1:8" ht="51.75" x14ac:dyDescent="0.25">
      <c r="A3769" s="3" t="s">
        <v>11321</v>
      </c>
      <c r="B3769" s="3"/>
      <c r="C3769" s="3" t="str">
        <f>"Specializing in ALTA/ACSM Land Title Surveys, topographic mapping, cellular tower site surveys and construction layout services. GPS services available."</f>
        <v>Specializing in ALTA/ACSM Land Title Surveys, topographic mapping, cellular tower site surveys and construction layout services. GPS services available.</v>
      </c>
      <c r="D3769" s="3" t="s">
        <v>9</v>
      </c>
      <c r="E3769" s="3" t="s">
        <v>11322</v>
      </c>
      <c r="F3769" s="3" t="str">
        <f>"260-424-5362"</f>
        <v>260-424-5362</v>
      </c>
      <c r="G3769" s="3">
        <v>541370</v>
      </c>
      <c r="H3769" s="3" t="s">
        <v>160</v>
      </c>
    </row>
    <row r="3770" spans="1:8" ht="204.75" x14ac:dyDescent="0.25">
      <c r="A3770" s="3" t="s">
        <v>11323</v>
      </c>
      <c r="B3770" s="3"/>
      <c r="C3770" s="3" t="s">
        <v>11324</v>
      </c>
      <c r="D3770" s="3" t="s">
        <v>11325</v>
      </c>
      <c r="E3770" s="3" t="s">
        <v>11326</v>
      </c>
      <c r="F3770" s="3" t="str">
        <f>"317-216-7888"</f>
        <v>317-216-7888</v>
      </c>
      <c r="G3770" s="3">
        <v>522320</v>
      </c>
      <c r="H3770" s="3" t="s">
        <v>3975</v>
      </c>
    </row>
    <row r="3771" spans="1:8" x14ac:dyDescent="0.25">
      <c r="A3771" s="3" t="s">
        <v>11327</v>
      </c>
      <c r="B3771" s="3"/>
      <c r="C3771" s="3" t="str">
        <f>" "</f>
        <v xml:space="preserve"> </v>
      </c>
      <c r="D3771" s="3" t="s">
        <v>9</v>
      </c>
      <c r="E3771" s="3" t="s">
        <v>46</v>
      </c>
      <c r="F3771" s="2"/>
      <c r="G3771" s="3">
        <v>541511</v>
      </c>
      <c r="H3771" s="3" t="s">
        <v>122</v>
      </c>
    </row>
    <row r="3772" spans="1:8" ht="26.25" x14ac:dyDescent="0.25">
      <c r="A3772" s="3" t="s">
        <v>11328</v>
      </c>
      <c r="B3772" s="3"/>
      <c r="C3772" s="3" t="str">
        <f>"Building material wholesale &amp; retail and the construction of post frame buildings."</f>
        <v>Building material wholesale &amp; retail and the construction of post frame buildings.</v>
      </c>
      <c r="D3772" s="3" t="s">
        <v>11329</v>
      </c>
      <c r="E3772" s="3" t="s">
        <v>46</v>
      </c>
      <c r="F3772" s="3" t="str">
        <f>"(812) 636-7355"</f>
        <v>(812) 636-7355</v>
      </c>
      <c r="G3772" s="3">
        <v>331</v>
      </c>
      <c r="H3772" s="3" t="s">
        <v>11330</v>
      </c>
    </row>
    <row r="3773" spans="1:8" ht="26.25" x14ac:dyDescent="0.25">
      <c r="A3773" s="3" t="s">
        <v>11331</v>
      </c>
      <c r="B3773" s="3"/>
      <c r="C3773" s="3" t="str">
        <f>"We provide construction and quarry blasting for general contractors in Indiana."</f>
        <v>We provide construction and quarry blasting for general contractors in Indiana.</v>
      </c>
      <c r="D3773" s="3" t="s">
        <v>9</v>
      </c>
      <c r="E3773" s="3" t="s">
        <v>11332</v>
      </c>
      <c r="F3773" s="3" t="str">
        <f>"812-322-3886"</f>
        <v>812-322-3886</v>
      </c>
      <c r="G3773" s="3">
        <v>238910</v>
      </c>
      <c r="H3773" s="3" t="s">
        <v>886</v>
      </c>
    </row>
    <row r="3774" spans="1:8" ht="166.5" x14ac:dyDescent="0.25">
      <c r="A3774" s="3" t="s">
        <v>11333</v>
      </c>
      <c r="B3774" s="3"/>
      <c r="C3774" s="3" t="s">
        <v>11334</v>
      </c>
      <c r="D3774" s="3" t="s">
        <v>11335</v>
      </c>
      <c r="E3774" s="3" t="s">
        <v>11336</v>
      </c>
      <c r="F3774" s="3" t="str">
        <f>"260-357-5544"</f>
        <v>260-357-5544</v>
      </c>
      <c r="G3774" s="3">
        <v>311919</v>
      </c>
      <c r="H3774" s="3" t="s">
        <v>11337</v>
      </c>
    </row>
    <row r="3775" spans="1:8" ht="115.5" x14ac:dyDescent="0.25">
      <c r="A3775" s="3" t="s">
        <v>11338</v>
      </c>
      <c r="B3775" s="3"/>
      <c r="C3775" s="3" t="s">
        <v>11339</v>
      </c>
      <c r="D3775" s="3" t="s">
        <v>11340</v>
      </c>
      <c r="E3775" s="3" t="s">
        <v>11341</v>
      </c>
      <c r="F3775" s="3" t="str">
        <f>"502-509-4712"</f>
        <v>502-509-4712</v>
      </c>
      <c r="G3775" s="3">
        <v>54161</v>
      </c>
      <c r="H3775" s="3" t="s">
        <v>1221</v>
      </c>
    </row>
    <row r="3776" spans="1:8" ht="39" x14ac:dyDescent="0.25">
      <c r="A3776" s="3" t="s">
        <v>11342</v>
      </c>
      <c r="B3776" s="3"/>
      <c r="C3776" s="3" t="str">
        <f>"Janitorial and carpet cleaning service located in Rensselaer Indiana.We strive for customer satisfaction and our integrity."</f>
        <v>Janitorial and carpet cleaning service located in Rensselaer Indiana.We strive for customer satisfaction and our integrity.</v>
      </c>
      <c r="D3776" s="3" t="s">
        <v>9</v>
      </c>
      <c r="E3776" s="3" t="s">
        <v>11343</v>
      </c>
      <c r="F3776" s="3" t="str">
        <f>"7654182367"</f>
        <v>7654182367</v>
      </c>
      <c r="G3776" s="3">
        <v>561720</v>
      </c>
      <c r="H3776" s="3" t="s">
        <v>222</v>
      </c>
    </row>
    <row r="3777" spans="1:8" ht="51.75" x14ac:dyDescent="0.25">
      <c r="A3777" s="3" t="s">
        <v>11344</v>
      </c>
      <c r="B3777" s="3"/>
      <c r="C3777" s="3" t="str">
        <f>"Commercial finish grading, seeding, sodding, erosion control, landscaping, retaining walls, paver installation, silt fencing"</f>
        <v>Commercial finish grading, seeding, sodding, erosion control, landscaping, retaining walls, paver installation, silt fencing</v>
      </c>
      <c r="D3777" s="3" t="s">
        <v>9</v>
      </c>
      <c r="E3777" s="3" t="s">
        <v>11345</v>
      </c>
      <c r="F3777" s="3" t="str">
        <f>"765-645-5225"</f>
        <v>765-645-5225</v>
      </c>
      <c r="G3777" s="3">
        <v>561730</v>
      </c>
      <c r="H3777" s="3" t="s">
        <v>65</v>
      </c>
    </row>
    <row r="3778" spans="1:8" ht="26.25" x14ac:dyDescent="0.25">
      <c r="A3778" s="3" t="s">
        <v>11346</v>
      </c>
      <c r="B3778" s="3"/>
      <c r="C3778" s="3" t="str">
        <f>"Commercial paving contractor. No residential work."</f>
        <v>Commercial paving contractor. No residential work.</v>
      </c>
      <c r="D3778" s="3" t="s">
        <v>11347</v>
      </c>
      <c r="E3778" s="3" t="s">
        <v>11348</v>
      </c>
      <c r="F3778" s="3" t="str">
        <f>"317-244-3343"</f>
        <v>317-244-3343</v>
      </c>
      <c r="G3778" s="3">
        <v>23411</v>
      </c>
      <c r="H3778" s="3" t="s">
        <v>2406</v>
      </c>
    </row>
    <row r="3779" spans="1:8" ht="77.25" x14ac:dyDescent="0.25">
      <c r="A3779" s="3" t="s">
        <v>11349</v>
      </c>
      <c r="B3779" s="3"/>
      <c r="C3779" s="3" t="str">
        <f>"Offset printing 1-5 colors, digital prepress, complete bindery, CASS certified label output and mailing, 44"" digital color inkjet printer. Short run publications and commercial printing. An Indiana printing company operating since 1904."</f>
        <v>Offset printing 1-5 colors, digital prepress, complete bindery, CASS certified label output and mailing, 44" digital color inkjet printer. Short run publications and commercial printing. An Indiana printing company operating since 1904.</v>
      </c>
      <c r="D3779" s="3" t="s">
        <v>9</v>
      </c>
      <c r="E3779" s="3" t="s">
        <v>11350</v>
      </c>
      <c r="F3779" s="3" t="str">
        <f>"812-522-5478"</f>
        <v>812-522-5478</v>
      </c>
      <c r="G3779" s="3">
        <v>32311</v>
      </c>
      <c r="H3779" s="3" t="s">
        <v>531</v>
      </c>
    </row>
    <row r="3780" spans="1:8" ht="51.75" x14ac:dyDescent="0.25">
      <c r="A3780" s="3" t="s">
        <v>11351</v>
      </c>
      <c r="B3780" s="3"/>
      <c r="C3780" s="3" t="str">
        <f>"Legal services including: municipal finance; tort defense litigation;business &amp; commerce litigation; healthcare; lawyer disciplinary actions."</f>
        <v>Legal services including: municipal finance; tort defense litigation;business &amp; commerce litigation; healthcare; lawyer disciplinary actions.</v>
      </c>
      <c r="D3780" s="3" t="s">
        <v>9</v>
      </c>
      <c r="E3780" s="3" t="s">
        <v>46</v>
      </c>
      <c r="F3780" s="2"/>
      <c r="G3780" s="3">
        <v>541110</v>
      </c>
      <c r="H3780" s="3" t="s">
        <v>2978</v>
      </c>
    </row>
    <row r="3781" spans="1:8" ht="115.5" x14ac:dyDescent="0.25">
      <c r="A3781" s="3" t="s">
        <v>11352</v>
      </c>
      <c r="B3781" s="3"/>
      <c r="C3781" s="3" t="s">
        <v>11353</v>
      </c>
      <c r="D3781" s="3" t="s">
        <v>11354</v>
      </c>
      <c r="E3781" s="3" t="s">
        <v>46</v>
      </c>
      <c r="F3781" s="3" t="str">
        <f>"574-472-4726"</f>
        <v>574-472-4726</v>
      </c>
      <c r="G3781" s="3">
        <v>541512</v>
      </c>
      <c r="H3781" s="3" t="s">
        <v>19</v>
      </c>
    </row>
    <row r="3782" spans="1:8" x14ac:dyDescent="0.25">
      <c r="A3782" s="3" t="s">
        <v>11355</v>
      </c>
      <c r="B3782" s="3"/>
      <c r="C3782" s="3" t="str">
        <f>" "</f>
        <v xml:space="preserve"> </v>
      </c>
      <c r="D3782" s="3" t="s">
        <v>9</v>
      </c>
      <c r="E3782" s="3" t="s">
        <v>46</v>
      </c>
      <c r="F3782" s="2"/>
      <c r="G3782" s="3">
        <v>112920</v>
      </c>
      <c r="H3782" s="3" t="s">
        <v>11356</v>
      </c>
    </row>
    <row r="3783" spans="1:8" ht="166.5" x14ac:dyDescent="0.25">
      <c r="A3783" s="3" t="s">
        <v>11357</v>
      </c>
      <c r="B3783" s="3"/>
      <c r="C3783" s="3" t="s">
        <v>11358</v>
      </c>
      <c r="D3783" s="3" t="s">
        <v>11359</v>
      </c>
      <c r="E3783" s="3" t="s">
        <v>11360</v>
      </c>
      <c r="F3783" s="3" t="str">
        <f>"317-496-9048"</f>
        <v>317-496-9048</v>
      </c>
      <c r="G3783" s="3">
        <v>2359</v>
      </c>
      <c r="H3783" s="3" t="s">
        <v>631</v>
      </c>
    </row>
    <row r="3784" spans="1:8" ht="332.25" x14ac:dyDescent="0.25">
      <c r="A3784" s="3" t="s">
        <v>11361</v>
      </c>
      <c r="B3784" s="3"/>
      <c r="C3784" s="3" t="s">
        <v>11362</v>
      </c>
      <c r="D3784" s="3" t="s">
        <v>11363</v>
      </c>
      <c r="E3784" s="3" t="s">
        <v>11364</v>
      </c>
      <c r="F3784" s="3" t="str">
        <f>"8668277575"</f>
        <v>8668277575</v>
      </c>
      <c r="G3784" s="3">
        <v>44611</v>
      </c>
      <c r="H3784" s="3" t="s">
        <v>3738</v>
      </c>
    </row>
    <row r="3785" spans="1:8" x14ac:dyDescent="0.25">
      <c r="A3785" s="3" t="s">
        <v>11365</v>
      </c>
      <c r="B3785" s="3"/>
      <c r="C3785" s="3" t="str">
        <f>"Property management and landlord"</f>
        <v>Property management and landlord</v>
      </c>
      <c r="D3785" s="3" t="s">
        <v>9</v>
      </c>
      <c r="E3785" s="3" t="s">
        <v>46</v>
      </c>
      <c r="F3785" s="2"/>
      <c r="G3785" s="3">
        <v>531390</v>
      </c>
      <c r="H3785" s="3" t="s">
        <v>623</v>
      </c>
    </row>
    <row r="3786" spans="1:8" ht="153.75" x14ac:dyDescent="0.25">
      <c r="A3786" s="3" t="s">
        <v>11366</v>
      </c>
      <c r="B3786" s="3"/>
      <c r="C3786" s="3" t="s">
        <v>11367</v>
      </c>
      <c r="D3786" s="3" t="s">
        <v>11368</v>
      </c>
      <c r="E3786" s="3" t="s">
        <v>11369</v>
      </c>
      <c r="F3786" s="3" t="str">
        <f>"765.430.5931"</f>
        <v>765.430.5931</v>
      </c>
      <c r="G3786" s="3">
        <v>62</v>
      </c>
      <c r="H3786" s="3" t="s">
        <v>1168</v>
      </c>
    </row>
    <row r="3787" spans="1:8" ht="39" x14ac:dyDescent="0.25">
      <c r="A3787" s="3" t="s">
        <v>11370</v>
      </c>
      <c r="B3787" s="3"/>
      <c r="C3787" s="3" t="str">
        <f>"Grant Wireless.com is a website that will sell cellular accessories and be an service website for Sprint and Nextel customers."</f>
        <v>Grant Wireless.com is a website that will sell cellular accessories and be an service website for Sprint and Nextel customers.</v>
      </c>
      <c r="D3787" s="3" t="s">
        <v>11371</v>
      </c>
      <c r="E3787" s="3" t="s">
        <v>11372</v>
      </c>
      <c r="F3787" s="3" t="str">
        <f>"317-710-2081"</f>
        <v>317-710-2081</v>
      </c>
      <c r="G3787" s="3">
        <v>517212</v>
      </c>
      <c r="H3787" s="3" t="s">
        <v>6947</v>
      </c>
    </row>
    <row r="3788" spans="1:8" ht="281.25" x14ac:dyDescent="0.25">
      <c r="A3788" s="3" t="s">
        <v>11373</v>
      </c>
      <c r="B3788" s="3"/>
      <c r="C3788" s="3" t="s">
        <v>11374</v>
      </c>
      <c r="D3788" s="3" t="s">
        <v>11375</v>
      </c>
      <c r="E3788" s="3" t="s">
        <v>11376</v>
      </c>
      <c r="F3788" s="3" t="str">
        <f>"317-251-3608"</f>
        <v>317-251-3608</v>
      </c>
      <c r="G3788" s="3">
        <v>5613</v>
      </c>
      <c r="H3788" s="3" t="s">
        <v>1882</v>
      </c>
    </row>
    <row r="3789" spans="1:8" ht="90" x14ac:dyDescent="0.25">
      <c r="A3789" s="3" t="s">
        <v>11377</v>
      </c>
      <c r="B3789" s="3"/>
      <c r="C3789" s="3" t="str">
        <f>"Serving the Graphic and Telecommunications Industry. Project Management, Wireless Site Engineering, Antenna Placement, Design, Zoning, Civil Design, Electrical Engineering, Fiber Optic Placement Schematics, Graphics, Logos, Web Pages"</f>
        <v>Serving the Graphic and Telecommunications Industry. Project Management, Wireless Site Engineering, Antenna Placement, Design, Zoning, Civil Design, Electrical Engineering, Fiber Optic Placement Schematics, Graphics, Logos, Web Pages</v>
      </c>
      <c r="D3789" s="3" t="s">
        <v>11378</v>
      </c>
      <c r="E3789" s="3" t="s">
        <v>11379</v>
      </c>
      <c r="F3789" s="3" t="str">
        <f>"317-373-4403"</f>
        <v>317-373-4403</v>
      </c>
      <c r="G3789" s="3">
        <v>541330</v>
      </c>
      <c r="H3789" s="3" t="s">
        <v>82</v>
      </c>
    </row>
    <row r="3790" spans="1:8" ht="294" x14ac:dyDescent="0.25">
      <c r="A3790" s="3" t="s">
        <v>11380</v>
      </c>
      <c r="B3790" s="3"/>
      <c r="C3790" s="3" t="s">
        <v>11381</v>
      </c>
      <c r="D3790" s="3" t="s">
        <v>11382</v>
      </c>
      <c r="E3790" s="3" t="s">
        <v>11383</v>
      </c>
      <c r="F3790" s="3" t="str">
        <f>"3175779622"</f>
        <v>3175779622</v>
      </c>
      <c r="G3790" s="3">
        <v>541430</v>
      </c>
      <c r="H3790" s="3" t="s">
        <v>78</v>
      </c>
    </row>
    <row r="3791" spans="1:8" ht="39" x14ac:dyDescent="0.25">
      <c r="A3791" s="3" t="s">
        <v>11384</v>
      </c>
      <c r="B3791" s="3"/>
      <c r="C3791" s="3" t="str">
        <f>"We are a commercial printing company that also publishes a daily newspaper, weekly newspaper, and a weekly shopper."</f>
        <v>We are a commercial printing company that also publishes a daily newspaper, weekly newspaper, and a weekly shopper.</v>
      </c>
      <c r="D3791" s="3" t="s">
        <v>9</v>
      </c>
      <c r="E3791" s="3" t="s">
        <v>11385</v>
      </c>
      <c r="F3791" s="3" t="str">
        <f>"260-726-8141"</f>
        <v>260-726-8141</v>
      </c>
      <c r="G3791" s="3">
        <v>511110</v>
      </c>
      <c r="H3791" s="3" t="s">
        <v>8225</v>
      </c>
    </row>
    <row r="3792" spans="1:8" ht="51.75" x14ac:dyDescent="0.25">
      <c r="A3792" s="3" t="s">
        <v>11386</v>
      </c>
      <c r="B3792" s="3"/>
      <c r="C3792" s="3" t="str">
        <f>"embroidery of apparel, hats, jackets, shirts. Screen printing of apparel, T-shirts, and Polo shirts. Custom heat transfers for apparel."</f>
        <v>embroidery of apparel, hats, jackets, shirts. Screen printing of apparel, T-shirts, and Polo shirts. Custom heat transfers for apparel.</v>
      </c>
      <c r="D3792" s="3" t="s">
        <v>9</v>
      </c>
      <c r="E3792" s="3" t="s">
        <v>11387</v>
      </c>
      <c r="F3792" s="2"/>
      <c r="G3792" s="3">
        <v>314999</v>
      </c>
      <c r="H3792" s="3" t="s">
        <v>6142</v>
      </c>
    </row>
    <row r="3793" spans="1:8" ht="102.75" x14ac:dyDescent="0.25">
      <c r="A3793" s="3" t="s">
        <v>11388</v>
      </c>
      <c r="B3793" s="3"/>
      <c r="C3793" s="3" t="s">
        <v>11389</v>
      </c>
      <c r="D3793" s="3" t="s">
        <v>11390</v>
      </c>
      <c r="E3793" s="3" t="s">
        <v>11391</v>
      </c>
      <c r="F3793" s="3" t="str">
        <f>"812-659-3138"</f>
        <v>812-659-3138</v>
      </c>
      <c r="G3793" s="3">
        <v>2351</v>
      </c>
      <c r="H3793" s="3" t="s">
        <v>892</v>
      </c>
    </row>
    <row r="3794" spans="1:8" ht="166.5" x14ac:dyDescent="0.25">
      <c r="A3794" s="3" t="s">
        <v>11392</v>
      </c>
      <c r="B3794" s="3"/>
      <c r="C3794" s="3" t="s">
        <v>11393</v>
      </c>
      <c r="D3794" s="3" t="s">
        <v>11394</v>
      </c>
      <c r="E3794" s="3" t="s">
        <v>11395</v>
      </c>
      <c r="F3794" s="3" t="str">
        <f>"317-733-0655"</f>
        <v>317-733-0655</v>
      </c>
      <c r="G3794" s="3">
        <v>339943</v>
      </c>
      <c r="H3794" s="3" t="s">
        <v>11396</v>
      </c>
    </row>
    <row r="3795" spans="1:8" ht="102.75" x14ac:dyDescent="0.25">
      <c r="A3795" s="3" t="s">
        <v>11397</v>
      </c>
      <c r="B3795" s="3"/>
      <c r="C3795" s="3" t="s">
        <v>11398</v>
      </c>
      <c r="D3795" s="3" t="s">
        <v>9</v>
      </c>
      <c r="E3795" s="3" t="s">
        <v>11399</v>
      </c>
      <c r="F3795" s="3" t="str">
        <f>"317 782-2596"</f>
        <v>317 782-2596</v>
      </c>
      <c r="G3795" s="3">
        <v>541620</v>
      </c>
      <c r="H3795" s="3" t="s">
        <v>216</v>
      </c>
    </row>
    <row r="3796" spans="1:8" ht="141" x14ac:dyDescent="0.25">
      <c r="A3796" s="3" t="s">
        <v>11400</v>
      </c>
      <c r="B3796" s="3"/>
      <c r="C3796" s="3" t="s">
        <v>11401</v>
      </c>
      <c r="D3796" s="3" t="s">
        <v>11402</v>
      </c>
      <c r="E3796" s="3" t="s">
        <v>11403</v>
      </c>
      <c r="F3796" s="3" t="str">
        <f>"866-206-6628"</f>
        <v>866-206-6628</v>
      </c>
      <c r="G3796" s="3">
        <v>561790</v>
      </c>
      <c r="H3796" s="3" t="s">
        <v>2113</v>
      </c>
    </row>
    <row r="3797" spans="1:8" ht="26.25" x14ac:dyDescent="0.25">
      <c r="A3797" s="3" t="s">
        <v>11404</v>
      </c>
      <c r="B3797" s="3"/>
      <c r="C3797" s="3" t="str">
        <f>"Repair for semi tractors and trailers"</f>
        <v>Repair for semi tractors and trailers</v>
      </c>
      <c r="D3797" s="3" t="s">
        <v>11405</v>
      </c>
      <c r="E3797" s="3" t="s">
        <v>11406</v>
      </c>
      <c r="F3797" s="3" t="str">
        <f>"812-662-0533"</f>
        <v>812-662-0533</v>
      </c>
      <c r="G3797" s="3">
        <v>8111</v>
      </c>
      <c r="H3797" s="3" t="s">
        <v>3587</v>
      </c>
    </row>
    <row r="3798" spans="1:8" ht="115.5" x14ac:dyDescent="0.25">
      <c r="A3798" s="3" t="s">
        <v>11407</v>
      </c>
      <c r="B3798" s="3"/>
      <c r="C3798" s="3" t="s">
        <v>11408</v>
      </c>
      <c r="D3798" s="3" t="s">
        <v>11409</v>
      </c>
      <c r="E3798" s="3" t="s">
        <v>11410</v>
      </c>
      <c r="F3798" s="3" t="str">
        <f>"574/293-3591"</f>
        <v>574/293-3591</v>
      </c>
      <c r="G3798" s="3">
        <v>337214</v>
      </c>
      <c r="H3798" s="3" t="s">
        <v>6691</v>
      </c>
    </row>
    <row r="3799" spans="1:8" ht="102.75" x14ac:dyDescent="0.25">
      <c r="A3799" s="3" t="s">
        <v>11411</v>
      </c>
      <c r="B3799" s="3"/>
      <c r="C3799" s="3" t="s">
        <v>11412</v>
      </c>
      <c r="D3799" s="3" t="s">
        <v>11413</v>
      </c>
      <c r="E3799" s="3" t="s">
        <v>11414</v>
      </c>
      <c r="F3799" s="3" t="str">
        <f>"866-679-3397"</f>
        <v>866-679-3397</v>
      </c>
      <c r="G3799" s="3">
        <v>485991</v>
      </c>
      <c r="H3799" s="3" t="s">
        <v>6936</v>
      </c>
    </row>
    <row r="3800" spans="1:8" ht="102.75" x14ac:dyDescent="0.25">
      <c r="A3800" s="3" t="s">
        <v>11415</v>
      </c>
      <c r="B3800" s="3"/>
      <c r="C3800" s="3" t="s">
        <v>11416</v>
      </c>
      <c r="D3800" s="3" t="s">
        <v>11417</v>
      </c>
      <c r="E3800" s="3" t="s">
        <v>11418</v>
      </c>
      <c r="F3800" s="3" t="str">
        <f>"219-663-0237"</f>
        <v>219-663-0237</v>
      </c>
      <c r="G3800" s="3">
        <v>561421</v>
      </c>
      <c r="H3800" s="3" t="s">
        <v>4928</v>
      </c>
    </row>
    <row r="3801" spans="1:8" ht="90" x14ac:dyDescent="0.25">
      <c r="A3801" s="3" t="s">
        <v>11419</v>
      </c>
      <c r="B3801" s="3"/>
      <c r="C3801" s="3" t="str">
        <f>"GREAT LAKES IMPROVEMENTS HAS BEEN SERVING NORTHERN INDIANA SINCE 1989, WE ARE EXTERIOR REMODELING SPECIALISTS, LICENSED FOR BOTH RESIDENTIAL &amp; COMMERCIAL PROJECTS. WE DO WINDOWS, VINYL SIDING, ENTRY DOORS, ROOFS &amp; SEAMLESS GUTTERS.,"</f>
        <v>GREAT LAKES IMPROVEMENTS HAS BEEN SERVING NORTHERN INDIANA SINCE 1989, WE ARE EXTERIOR REMODELING SPECIALISTS, LICENSED FOR BOTH RESIDENTIAL &amp; COMMERCIAL PROJECTS. WE DO WINDOWS, VINYL SIDING, ENTRY DOORS, ROOFS &amp; SEAMLESS GUTTERS.,</v>
      </c>
      <c r="D3801" s="3" t="s">
        <v>11420</v>
      </c>
      <c r="E3801" s="3" t="s">
        <v>11421</v>
      </c>
      <c r="F3801" s="3" t="str">
        <f>"260-483-3100"</f>
        <v>260-483-3100</v>
      </c>
      <c r="G3801" s="3">
        <v>236118</v>
      </c>
      <c r="H3801" s="3" t="s">
        <v>465</v>
      </c>
    </row>
    <row r="3802" spans="1:8" ht="90" x14ac:dyDescent="0.25">
      <c r="A3802" s="3" t="s">
        <v>11422</v>
      </c>
      <c r="B3802" s="3"/>
      <c r="C3802" s="3" t="s">
        <v>11423</v>
      </c>
      <c r="D3802" s="3" t="s">
        <v>11424</v>
      </c>
      <c r="E3802" s="3" t="s">
        <v>11425</v>
      </c>
      <c r="F3802" s="3" t="str">
        <f>"219-464-8885"</f>
        <v>219-464-8885</v>
      </c>
      <c r="G3802" s="3">
        <v>54138</v>
      </c>
      <c r="H3802" s="3" t="s">
        <v>226</v>
      </c>
    </row>
    <row r="3803" spans="1:8" ht="90" x14ac:dyDescent="0.25">
      <c r="A3803" s="3" t="s">
        <v>11426</v>
      </c>
      <c r="B3803" s="3"/>
      <c r="C3803" s="3" t="s">
        <v>11427</v>
      </c>
      <c r="D3803" s="3" t="s">
        <v>11428</v>
      </c>
      <c r="E3803" s="3" t="s">
        <v>11429</v>
      </c>
      <c r="F3803" s="3" t="str">
        <f>"219-764-8500"</f>
        <v>219-764-8500</v>
      </c>
      <c r="G3803" s="3">
        <v>3372</v>
      </c>
      <c r="H3803" s="3" t="s">
        <v>11430</v>
      </c>
    </row>
    <row r="3804" spans="1:8" ht="179.25" x14ac:dyDescent="0.25">
      <c r="A3804" s="3" t="s">
        <v>11431</v>
      </c>
      <c r="B3804" s="3"/>
      <c r="C3804" s="3" t="s">
        <v>11432</v>
      </c>
      <c r="D3804" s="3" t="s">
        <v>11433</v>
      </c>
      <c r="E3804" s="3" t="s">
        <v>11434</v>
      </c>
      <c r="F3804" s="3" t="str">
        <f>"877-954-5727"</f>
        <v>877-954-5727</v>
      </c>
      <c r="G3804" s="3">
        <v>62412</v>
      </c>
      <c r="H3804" s="3" t="s">
        <v>22</v>
      </c>
    </row>
    <row r="3805" spans="1:8" ht="319.5" x14ac:dyDescent="0.25">
      <c r="A3805" s="3" t="s">
        <v>11435</v>
      </c>
      <c r="B3805" s="3"/>
      <c r="C3805" s="3" t="s">
        <v>11436</v>
      </c>
      <c r="D3805" s="3" t="s">
        <v>11437</v>
      </c>
      <c r="E3805" s="3" t="s">
        <v>11438</v>
      </c>
      <c r="F3805" s="3" t="str">
        <f>"800-686-7383"</f>
        <v>800-686-7383</v>
      </c>
      <c r="G3805" s="3">
        <v>441229</v>
      </c>
      <c r="H3805" s="3" t="s">
        <v>3721</v>
      </c>
    </row>
    <row r="3806" spans="1:8" ht="64.5" x14ac:dyDescent="0.25">
      <c r="A3806" s="3" t="s">
        <v>11439</v>
      </c>
      <c r="B3806" s="3"/>
      <c r="C3806" s="3" t="str">
        <f>"Playground equipment and repair parts, shelters, flagpoles, water fountains, playground safety surfacing, benches, waste recepticles, bleachers, sporting goods, sun shades"</f>
        <v>Playground equipment and repair parts, shelters, flagpoles, water fountains, playground safety surfacing, benches, waste recepticles, bleachers, sporting goods, sun shades</v>
      </c>
      <c r="D3806" s="3" t="s">
        <v>9</v>
      </c>
      <c r="E3806" s="3" t="s">
        <v>11440</v>
      </c>
      <c r="F3806" s="3" t="str">
        <f>"(888)752-9345"</f>
        <v>(888)752-9345</v>
      </c>
      <c r="G3806" s="3">
        <v>454390</v>
      </c>
      <c r="H3806" s="3" t="s">
        <v>1348</v>
      </c>
    </row>
    <row r="3807" spans="1:8" ht="26.25" x14ac:dyDescent="0.25">
      <c r="A3807" s="3" t="s">
        <v>11441</v>
      </c>
      <c r="B3807" s="3"/>
      <c r="C3807" s="3" t="str">
        <f>"Industrical, commercial, and governmental electrical contracting"</f>
        <v>Industrical, commercial, and governmental electrical contracting</v>
      </c>
      <c r="D3807" s="3" t="s">
        <v>11442</v>
      </c>
      <c r="E3807" s="3" t="s">
        <v>11443</v>
      </c>
      <c r="F3807" s="3" t="str">
        <f>"765/282-3910"</f>
        <v>765/282-3910</v>
      </c>
      <c r="G3807" s="3">
        <v>238210</v>
      </c>
      <c r="H3807" s="3" t="s">
        <v>306</v>
      </c>
    </row>
    <row r="3808" spans="1:8" ht="39" x14ac:dyDescent="0.25">
      <c r="A3808" s="3" t="s">
        <v>11444</v>
      </c>
      <c r="B3808" s="3"/>
      <c r="C3808" s="3" t="str">
        <f>"Cosmetologist/Hair Stylist: Skilled in Multicultural hair styling for men, women, and children."</f>
        <v>Cosmetologist/Hair Stylist: Skilled in Multicultural hair styling for men, women, and children.</v>
      </c>
      <c r="D3808" s="3" t="s">
        <v>9</v>
      </c>
      <c r="E3808" s="3" t="s">
        <v>11445</v>
      </c>
      <c r="F3808" s="2"/>
      <c r="G3808" s="3">
        <v>812112</v>
      </c>
      <c r="H3808" s="3" t="s">
        <v>1081</v>
      </c>
    </row>
    <row r="3809" spans="1:8" ht="179.25" x14ac:dyDescent="0.25">
      <c r="A3809" s="3" t="s">
        <v>11446</v>
      </c>
      <c r="B3809" s="3"/>
      <c r="C3809" s="3" t="s">
        <v>11447</v>
      </c>
      <c r="D3809" s="3" t="s">
        <v>11448</v>
      </c>
      <c r="E3809" s="3" t="s">
        <v>11449</v>
      </c>
      <c r="F3809" s="3" t="str">
        <f>"317-755-1564"</f>
        <v>317-755-1564</v>
      </c>
      <c r="G3809" s="3">
        <v>62</v>
      </c>
      <c r="H3809" s="3" t="s">
        <v>1168</v>
      </c>
    </row>
    <row r="3810" spans="1:8" ht="26.25" x14ac:dyDescent="0.25">
      <c r="A3810" s="3" t="s">
        <v>11450</v>
      </c>
      <c r="B3810" s="3"/>
      <c r="C3810" s="3" t="str">
        <f>"Landscape Architecture / Grant Writing / Environmental Planning"</f>
        <v>Landscape Architecture / Grant Writing / Environmental Planning</v>
      </c>
      <c r="D3810" s="3" t="s">
        <v>11451</v>
      </c>
      <c r="E3810" s="3" t="s">
        <v>11452</v>
      </c>
      <c r="F3810" s="3" t="str">
        <f>"317-634-4110"</f>
        <v>317-634-4110</v>
      </c>
      <c r="G3810" s="3">
        <v>541320</v>
      </c>
      <c r="H3810" s="3" t="s">
        <v>2241</v>
      </c>
    </row>
    <row r="3811" spans="1:8" ht="64.5" x14ac:dyDescent="0.25">
      <c r="A3811" s="3" t="s">
        <v>11453</v>
      </c>
      <c r="B3811" s="3"/>
      <c r="C3811" s="3" t="str">
        <f>"Fabrication and installation of steel fences, gates, railings, miscellaneous metals, stairs, small structural steel, ornamental ironwork, ladders, bollards, lintels, specialty fabrication"</f>
        <v>Fabrication and installation of steel fences, gates, railings, miscellaneous metals, stairs, small structural steel, ornamental ironwork, ladders, bollards, lintels, specialty fabrication</v>
      </c>
      <c r="D3811" s="3" t="s">
        <v>11454</v>
      </c>
      <c r="E3811" s="3" t="s">
        <v>11455</v>
      </c>
      <c r="F3811" s="3" t="str">
        <f>"219-775-9429"</f>
        <v>219-775-9429</v>
      </c>
      <c r="G3811" s="3">
        <v>23</v>
      </c>
      <c r="H3811" s="3" t="s">
        <v>133</v>
      </c>
    </row>
    <row r="3812" spans="1:8" ht="102.75" x14ac:dyDescent="0.25">
      <c r="A3812" s="3" t="s">
        <v>11456</v>
      </c>
      <c r="B3812" s="3"/>
      <c r="C3812" s="3" t="s">
        <v>11457</v>
      </c>
      <c r="D3812" s="3" t="s">
        <v>11458</v>
      </c>
      <c r="E3812" s="3" t="s">
        <v>11459</v>
      </c>
      <c r="F3812" s="3" t="str">
        <f>"317-220-8916"</f>
        <v>317-220-8916</v>
      </c>
      <c r="G3812" s="3">
        <v>8113</v>
      </c>
      <c r="H3812" s="3" t="s">
        <v>1895</v>
      </c>
    </row>
    <row r="3813" spans="1:8" ht="26.25" x14ac:dyDescent="0.25">
      <c r="A3813" s="3" t="s">
        <v>11460</v>
      </c>
      <c r="B3813" s="3"/>
      <c r="C3813" s="3" t="str">
        <f>"We publish magazines, newspapers and print form work."</f>
        <v>We publish magazines, newspapers and print form work.</v>
      </c>
      <c r="D3813" s="3" t="s">
        <v>11461</v>
      </c>
      <c r="E3813" s="3" t="s">
        <v>11462</v>
      </c>
      <c r="F3813" s="3" t="str">
        <f>"812-967-3176"</f>
        <v>812-967-3176</v>
      </c>
      <c r="G3813" s="3">
        <v>32311</v>
      </c>
      <c r="H3813" s="3" t="s">
        <v>531</v>
      </c>
    </row>
    <row r="3814" spans="1:8" ht="128.25" x14ac:dyDescent="0.25">
      <c r="A3814" s="3" t="s">
        <v>11463</v>
      </c>
      <c r="B3814" s="3"/>
      <c r="C3814" s="3" t="s">
        <v>11464</v>
      </c>
      <c r="D3814" s="3" t="s">
        <v>9</v>
      </c>
      <c r="E3814" s="3" t="s">
        <v>11465</v>
      </c>
      <c r="F3814" s="3" t="str">
        <f>"317-457-5299"</f>
        <v>317-457-5299</v>
      </c>
      <c r="G3814" s="3">
        <v>541350</v>
      </c>
      <c r="H3814" s="3" t="s">
        <v>1784</v>
      </c>
    </row>
    <row r="3815" spans="1:8" ht="102.75" x14ac:dyDescent="0.25">
      <c r="A3815" s="3" t="s">
        <v>11466</v>
      </c>
      <c r="B3815" s="3"/>
      <c r="C3815" s="3" t="s">
        <v>11467</v>
      </c>
      <c r="D3815" s="3" t="s">
        <v>11468</v>
      </c>
      <c r="E3815" s="3" t="s">
        <v>46</v>
      </c>
      <c r="F3815" s="3" t="str">
        <f>"317-257-6773"</f>
        <v>317-257-6773</v>
      </c>
      <c r="G3815" s="3">
        <v>621330</v>
      </c>
      <c r="H3815" s="3" t="s">
        <v>2643</v>
      </c>
    </row>
    <row r="3816" spans="1:8" ht="39" x14ac:dyDescent="0.25">
      <c r="A3816" s="3" t="s">
        <v>11469</v>
      </c>
      <c r="B3816" s="3"/>
      <c r="C3816" s="3" t="str">
        <f>"Hazardous Waste &amp; Special Waste Disposal. Environmental Sampling &amp; Testing."</f>
        <v>Hazardous Waste &amp; Special Waste Disposal. Environmental Sampling &amp; Testing.</v>
      </c>
      <c r="D3816" s="3" t="s">
        <v>9</v>
      </c>
      <c r="E3816" s="3" t="s">
        <v>11470</v>
      </c>
      <c r="F3816" s="3" t="str">
        <f>"502-216-1010"</f>
        <v>502-216-1010</v>
      </c>
      <c r="G3816" s="3">
        <v>562112</v>
      </c>
      <c r="H3816" s="3" t="s">
        <v>11471</v>
      </c>
    </row>
    <row r="3817" spans="1:8" ht="217.5" x14ac:dyDescent="0.25">
      <c r="A3817" s="3" t="s">
        <v>11472</v>
      </c>
      <c r="B3817" s="3"/>
      <c r="C3817" s="3" t="s">
        <v>11473</v>
      </c>
      <c r="D3817" s="3" t="s">
        <v>9</v>
      </c>
      <c r="E3817" s="3" t="s">
        <v>11474</v>
      </c>
      <c r="F3817" s="3" t="str">
        <f>"812-325-8149"</f>
        <v>812-325-8149</v>
      </c>
      <c r="G3817" s="3">
        <v>562119</v>
      </c>
      <c r="H3817" s="3" t="s">
        <v>586</v>
      </c>
    </row>
    <row r="3818" spans="1:8" ht="26.25" x14ac:dyDescent="0.25">
      <c r="A3818" s="3" t="s">
        <v>11475</v>
      </c>
      <c r="B3818" s="3"/>
      <c r="C3818" s="3" t="str">
        <f>" "</f>
        <v xml:space="preserve"> </v>
      </c>
      <c r="D3818" s="3" t="s">
        <v>9</v>
      </c>
      <c r="E3818" s="3" t="s">
        <v>11476</v>
      </c>
      <c r="F3818" s="3" t="str">
        <f>"317-506-4649"</f>
        <v>317-506-4649</v>
      </c>
      <c r="G3818" s="3">
        <v>238</v>
      </c>
      <c r="H3818" s="3" t="s">
        <v>397</v>
      </c>
    </row>
    <row r="3819" spans="1:8" ht="319.5" x14ac:dyDescent="0.25">
      <c r="A3819" s="3" t="s">
        <v>11477</v>
      </c>
      <c r="B3819" s="3"/>
      <c r="C3819" s="3" t="s">
        <v>11478</v>
      </c>
      <c r="D3819" s="3" t="s">
        <v>11479</v>
      </c>
      <c r="E3819" s="3" t="s">
        <v>11480</v>
      </c>
      <c r="F3819" s="3" t="str">
        <f>"812-827-2597"</f>
        <v>812-827-2597</v>
      </c>
      <c r="G3819" s="3">
        <v>238</v>
      </c>
      <c r="H3819" s="3" t="s">
        <v>397</v>
      </c>
    </row>
    <row r="3820" spans="1:8" ht="51.75" x14ac:dyDescent="0.25">
      <c r="A3820" s="3" t="s">
        <v>11481</v>
      </c>
      <c r="B3820" s="3"/>
      <c r="C3820" s="3" t="str">
        <f>"complete scrap and recycling services located in Northern Indiana. Waste Hauling and Transfer Station, C&amp;D Recycling, Demolition Services"</f>
        <v>complete scrap and recycling services located in Northern Indiana. Waste Hauling and Transfer Station, C&amp;D Recycling, Demolition Services</v>
      </c>
      <c r="D3820" s="3" t="s">
        <v>11482</v>
      </c>
      <c r="E3820" s="3" t="s">
        <v>11483</v>
      </c>
      <c r="F3820" s="3" t="str">
        <f>"574-232-6000"</f>
        <v>574-232-6000</v>
      </c>
      <c r="G3820" s="3">
        <v>562920</v>
      </c>
      <c r="H3820" s="3" t="s">
        <v>11484</v>
      </c>
    </row>
    <row r="3821" spans="1:8" ht="102.75" x14ac:dyDescent="0.25">
      <c r="A3821" s="3" t="s">
        <v>11485</v>
      </c>
      <c r="B3821" s="3"/>
      <c r="C3821" s="3" t="s">
        <v>11486</v>
      </c>
      <c r="D3821" s="3" t="s">
        <v>11487</v>
      </c>
      <c r="E3821" s="3" t="s">
        <v>46</v>
      </c>
      <c r="F3821" s="2"/>
      <c r="G3821" s="3">
        <v>56173</v>
      </c>
      <c r="H3821" s="3" t="s">
        <v>65</v>
      </c>
    </row>
    <row r="3822" spans="1:8" ht="77.25" x14ac:dyDescent="0.25">
      <c r="A3822" s="3" t="s">
        <v>11488</v>
      </c>
      <c r="B3822" s="3"/>
      <c r="C3822" s="3" t="str">
        <f>"Green Tree Plastics, Inc manufactures outdoor furniture and site amenities from 100% recycled Indiana plastic. Our flow-mold process allows us to economically manufacture custom products on a short run basis."</f>
        <v>Green Tree Plastics, Inc manufactures outdoor furniture and site amenities from 100% recycled Indiana plastic. Our flow-mold process allows us to economically manufacture custom products on a short run basis.</v>
      </c>
      <c r="D3822" s="3" t="s">
        <v>11489</v>
      </c>
      <c r="E3822" s="3" t="s">
        <v>11490</v>
      </c>
      <c r="F3822" s="3" t="str">
        <f>"812-402-4127"</f>
        <v>812-402-4127</v>
      </c>
      <c r="G3822" s="3">
        <v>337</v>
      </c>
      <c r="H3822" s="3" t="s">
        <v>6695</v>
      </c>
    </row>
    <row r="3823" spans="1:8" ht="26.25" x14ac:dyDescent="0.25">
      <c r="A3823" s="3" t="s">
        <v>11491</v>
      </c>
      <c r="B3823" s="3"/>
      <c r="C3823" s="3" t="str">
        <f>"Women owned excavating company. Family owned and operated"</f>
        <v>Women owned excavating company. Family owned and operated</v>
      </c>
      <c r="D3823" s="3" t="s">
        <v>9</v>
      </c>
      <c r="E3823" s="3" t="s">
        <v>46</v>
      </c>
      <c r="F3823" s="2"/>
      <c r="G3823" s="3">
        <v>99999</v>
      </c>
      <c r="H3823" s="3" t="s">
        <v>8262</v>
      </c>
    </row>
    <row r="3824" spans="1:8" ht="204.75" x14ac:dyDescent="0.25">
      <c r="A3824" s="3" t="s">
        <v>11492</v>
      </c>
      <c r="B3824" s="3"/>
      <c r="C3824" s="3" t="s">
        <v>11493</v>
      </c>
      <c r="D3824" s="3" t="s">
        <v>11494</v>
      </c>
      <c r="E3824" s="3" t="s">
        <v>11495</v>
      </c>
      <c r="F3824" s="3" t="str">
        <f>"317-443-4218"</f>
        <v>317-443-4218</v>
      </c>
      <c r="G3824" s="3">
        <v>454390</v>
      </c>
      <c r="H3824" s="3" t="s">
        <v>1348</v>
      </c>
    </row>
    <row r="3825" spans="1:8" ht="64.5" x14ac:dyDescent="0.25">
      <c r="A3825" s="3" t="s">
        <v>11496</v>
      </c>
      <c r="B3825" s="3"/>
      <c r="C3825" s="3" t="str">
        <f>"Outdoor property management (including but not limited to): Landscape services, mowing, shrub trimming, fertilizing, weed control, insect control (trees and lawn), and winter services"</f>
        <v>Outdoor property management (including but not limited to): Landscape services, mowing, shrub trimming, fertilizing, weed control, insect control (trees and lawn), and winter services</v>
      </c>
      <c r="D3825" s="3" t="s">
        <v>11497</v>
      </c>
      <c r="E3825" s="3" t="s">
        <v>11498</v>
      </c>
      <c r="F3825" s="3" t="str">
        <f>"812-323-8873"</f>
        <v>812-323-8873</v>
      </c>
      <c r="G3825" s="3">
        <v>561730</v>
      </c>
      <c r="H3825" s="3" t="s">
        <v>65</v>
      </c>
    </row>
    <row r="3826" spans="1:8" ht="64.5" x14ac:dyDescent="0.25">
      <c r="A3826" s="3" t="s">
        <v>11499</v>
      </c>
      <c r="B3826" s="3"/>
      <c r="C3826" s="3" t="str">
        <f>"all phases of landscaping and total ground maintenance including, but not limited to, ponds, fountains, storm drains, irrigation systems, site preparation, and maintenance of parking lots, curbs, guttering"</f>
        <v>all phases of landscaping and total ground maintenance including, but not limited to, ponds, fountains, storm drains, irrigation systems, site preparation, and maintenance of parking lots, curbs, guttering</v>
      </c>
      <c r="D3826" s="3" t="s">
        <v>9</v>
      </c>
      <c r="E3826" s="3" t="s">
        <v>11500</v>
      </c>
      <c r="F3826" s="3" t="str">
        <f>"765.640.0444"</f>
        <v>765.640.0444</v>
      </c>
      <c r="G3826" s="3">
        <v>561730</v>
      </c>
      <c r="H3826" s="3" t="s">
        <v>65</v>
      </c>
    </row>
    <row r="3827" spans="1:8" x14ac:dyDescent="0.25">
      <c r="A3827" s="3" t="s">
        <v>11501</v>
      </c>
      <c r="B3827" s="3"/>
      <c r="C3827" s="3" t="str">
        <f>" "</f>
        <v xml:space="preserve"> </v>
      </c>
      <c r="D3827" s="3" t="s">
        <v>9</v>
      </c>
      <c r="E3827" s="3" t="s">
        <v>46</v>
      </c>
      <c r="F3827" s="2"/>
      <c r="G3827" s="3">
        <v>611110</v>
      </c>
      <c r="H3827" s="3" t="s">
        <v>3876</v>
      </c>
    </row>
    <row r="3828" spans="1:8" ht="141" x14ac:dyDescent="0.25">
      <c r="A3828" s="3" t="s">
        <v>11502</v>
      </c>
      <c r="B3828" s="3"/>
      <c r="C3828" s="3" t="s">
        <v>11503</v>
      </c>
      <c r="D3828" s="3" t="s">
        <v>9</v>
      </c>
      <c r="E3828" s="3" t="s">
        <v>11504</v>
      </c>
      <c r="F3828" s="3" t="str">
        <f>"513-739-9595"</f>
        <v>513-739-9595</v>
      </c>
      <c r="G3828" s="3">
        <v>561730</v>
      </c>
      <c r="H3828" s="3" t="s">
        <v>65</v>
      </c>
    </row>
    <row r="3829" spans="1:8" ht="64.5" x14ac:dyDescent="0.25">
      <c r="A3829" s="3" t="s">
        <v>11505</v>
      </c>
      <c r="B3829" s="3"/>
      <c r="C3829" s="3" t="str">
        <f>"We sell and manufacture a complete line of mulches, professional growing mixes, playground surfacing, and horticulture products for your landscaping or garden center needs"</f>
        <v>We sell and manufacture a complete line of mulches, professional growing mixes, playground surfacing, and horticulture products for your landscaping or garden center needs</v>
      </c>
      <c r="D3829" s="3" t="s">
        <v>11506</v>
      </c>
      <c r="E3829" s="3" t="s">
        <v>11507</v>
      </c>
      <c r="F3829" s="3" t="str">
        <f>"317-996-2826"</f>
        <v>317-996-2826</v>
      </c>
      <c r="G3829" s="3">
        <v>424910</v>
      </c>
      <c r="H3829" s="3" t="s">
        <v>1636</v>
      </c>
    </row>
    <row r="3830" spans="1:8" ht="26.25" x14ac:dyDescent="0.25">
      <c r="A3830" s="3" t="s">
        <v>11508</v>
      </c>
      <c r="B3830" s="3"/>
      <c r="C3830" s="2"/>
      <c r="D3830" s="3" t="s">
        <v>11509</v>
      </c>
      <c r="E3830" s="3" t="s">
        <v>11510</v>
      </c>
      <c r="F3830" s="3" t="str">
        <f>"812-384-2008"</f>
        <v>812-384-2008</v>
      </c>
      <c r="G3830" s="3">
        <v>921190</v>
      </c>
      <c r="H3830" s="3" t="s">
        <v>4809</v>
      </c>
    </row>
    <row r="3831" spans="1:8" ht="26.25" x14ac:dyDescent="0.25">
      <c r="A3831" s="3" t="s">
        <v>11511</v>
      </c>
      <c r="B3831" s="3"/>
      <c r="C3831" s="3" t="str">
        <f>"Case Management"</f>
        <v>Case Management</v>
      </c>
      <c r="D3831" s="3" t="s">
        <v>9</v>
      </c>
      <c r="E3831" s="3" t="s">
        <v>11512</v>
      </c>
      <c r="F3831" s="3" t="str">
        <f>"574-231-0141"</f>
        <v>574-231-0141</v>
      </c>
      <c r="G3831" s="3">
        <v>624120</v>
      </c>
      <c r="H3831" s="3" t="s">
        <v>22</v>
      </c>
    </row>
    <row r="3832" spans="1:8" ht="64.5" x14ac:dyDescent="0.25">
      <c r="A3832" s="3" t="s">
        <v>11513</v>
      </c>
      <c r="B3832" s="3"/>
      <c r="C3832" s="3" t="str">
        <f>"Sales and Service of All Terrain Vehicles, Snowmobiles, Personal Watercraft, Motorcycles, Scooters and Trailers. Also specialize in Parts, Accessories and Apparel sales."</f>
        <v>Sales and Service of All Terrain Vehicles, Snowmobiles, Personal Watercraft, Motorcycles, Scooters and Trailers. Also specialize in Parts, Accessories and Apparel sales.</v>
      </c>
      <c r="D3832" s="3" t="s">
        <v>11514</v>
      </c>
      <c r="E3832" s="3" t="s">
        <v>11515</v>
      </c>
      <c r="F3832" s="3" t="str">
        <f>"317-462-2262"</f>
        <v>317-462-2262</v>
      </c>
      <c r="G3832" s="3">
        <v>441221</v>
      </c>
      <c r="H3832" s="3" t="s">
        <v>3299</v>
      </c>
    </row>
    <row r="3833" spans="1:8" ht="26.25" x14ac:dyDescent="0.25">
      <c r="A3833" s="3" t="s">
        <v>11516</v>
      </c>
      <c r="B3833" s="3"/>
      <c r="C3833" s="3" t="str">
        <f>" "</f>
        <v xml:space="preserve"> </v>
      </c>
      <c r="D3833" s="3" t="s">
        <v>9</v>
      </c>
      <c r="E3833" s="3" t="s">
        <v>46</v>
      </c>
      <c r="F3833" s="2"/>
      <c r="G3833" s="3">
        <v>484220</v>
      </c>
      <c r="H3833" s="3" t="s">
        <v>11</v>
      </c>
    </row>
    <row r="3834" spans="1:8" ht="26.25" x14ac:dyDescent="0.25">
      <c r="A3834" s="3" t="s">
        <v>11517</v>
      </c>
      <c r="B3834" s="3"/>
      <c r="C3834" s="3" t="str">
        <f>"Lawn Care, Landscaping, &amp; Snow Removal"</f>
        <v>Lawn Care, Landscaping, &amp; Snow Removal</v>
      </c>
      <c r="D3834" s="3" t="s">
        <v>9</v>
      </c>
      <c r="E3834" s="3" t="s">
        <v>11518</v>
      </c>
      <c r="F3834" s="3" t="str">
        <f>"7658553800"</f>
        <v>7658553800</v>
      </c>
      <c r="G3834" s="3">
        <v>561730</v>
      </c>
      <c r="H3834" s="3" t="s">
        <v>65</v>
      </c>
    </row>
    <row r="3835" spans="1:8" ht="128.25" x14ac:dyDescent="0.25">
      <c r="A3835" s="3" t="s">
        <v>11519</v>
      </c>
      <c r="B3835" s="3"/>
      <c r="C3835" s="3" t="s">
        <v>11520</v>
      </c>
      <c r="D3835" s="3" t="s">
        <v>11521</v>
      </c>
      <c r="E3835" s="3" t="s">
        <v>11522</v>
      </c>
      <c r="F3835" s="3" t="str">
        <f>"574-293-5657"</f>
        <v>574-293-5657</v>
      </c>
      <c r="G3835" s="3">
        <v>453110</v>
      </c>
      <c r="H3835" s="3" t="s">
        <v>2584</v>
      </c>
    </row>
    <row r="3836" spans="1:8" ht="102.75" x14ac:dyDescent="0.25">
      <c r="A3836" s="3" t="s">
        <v>11523</v>
      </c>
      <c r="B3836" s="3"/>
      <c r="C3836" s="3" t="s">
        <v>11524</v>
      </c>
      <c r="D3836" s="3" t="s">
        <v>11525</v>
      </c>
      <c r="E3836" s="3" t="s">
        <v>11526</v>
      </c>
      <c r="F3836" s="3" t="str">
        <f>"812-934-3311"</f>
        <v>812-934-3311</v>
      </c>
      <c r="G3836" s="3">
        <v>531120</v>
      </c>
      <c r="H3836" s="3" t="s">
        <v>2926</v>
      </c>
    </row>
    <row r="3837" spans="1:8" ht="51.75" x14ac:dyDescent="0.25">
      <c r="A3837" s="3" t="s">
        <v>11527</v>
      </c>
      <c r="B3837" s="3"/>
      <c r="C3837" s="3" t="str">
        <f>"Agricultural equipment sales, retail sales and rental of lawn and garden equipment, light construction equipment, parts service and accessories"</f>
        <v>Agricultural equipment sales, retail sales and rental of lawn and garden equipment, light construction equipment, parts service and accessories</v>
      </c>
      <c r="D3837" s="3" t="s">
        <v>11528</v>
      </c>
      <c r="E3837" s="3" t="s">
        <v>11529</v>
      </c>
      <c r="F3837" s="3" t="str">
        <f>"765-628-3305"</f>
        <v>765-628-3305</v>
      </c>
      <c r="G3837" s="3">
        <v>444210</v>
      </c>
      <c r="H3837" s="3" t="s">
        <v>392</v>
      </c>
    </row>
    <row r="3838" spans="1:8" ht="26.25" x14ac:dyDescent="0.25">
      <c r="A3838" s="3" t="s">
        <v>11530</v>
      </c>
      <c r="B3838" s="3"/>
      <c r="C3838" s="3" t="str">
        <f>"Innovative Technology and Project Management Solutions"</f>
        <v>Innovative Technology and Project Management Solutions</v>
      </c>
      <c r="D3838" s="3" t="s">
        <v>11531</v>
      </c>
      <c r="E3838" s="3" t="s">
        <v>11532</v>
      </c>
      <c r="F3838" s="3" t="str">
        <f>"317-674-6500"</f>
        <v>317-674-6500</v>
      </c>
      <c r="G3838" s="3">
        <v>541330</v>
      </c>
      <c r="H3838" s="3" t="s">
        <v>82</v>
      </c>
    </row>
    <row r="3839" spans="1:8" ht="39" x14ac:dyDescent="0.25">
      <c r="A3839" s="3" t="s">
        <v>11533</v>
      </c>
      <c r="B3839" s="3"/>
      <c r="C3839" s="3" t="str">
        <f>"Local and long distance moving and storage company. Retail sales of boxes and packing materials."</f>
        <v>Local and long distance moving and storage company. Retail sales of boxes and packing materials.</v>
      </c>
      <c r="D3839" s="3" t="s">
        <v>11534</v>
      </c>
      <c r="E3839" s="3" t="s">
        <v>11535</v>
      </c>
      <c r="F3839" s="3" t="str">
        <f>"317-882-0190"</f>
        <v>317-882-0190</v>
      </c>
      <c r="G3839" s="3">
        <v>4842</v>
      </c>
      <c r="H3839" s="3" t="s">
        <v>1884</v>
      </c>
    </row>
    <row r="3840" spans="1:8" ht="26.25" x14ac:dyDescent="0.25">
      <c r="A3840" s="3" t="s">
        <v>11536</v>
      </c>
      <c r="B3840" s="3"/>
      <c r="C3840" s="3" t="str">
        <f>"Selling wholesale chemical herbicides"</f>
        <v>Selling wholesale chemical herbicides</v>
      </c>
      <c r="D3840" s="3" t="s">
        <v>9</v>
      </c>
      <c r="E3840" s="3" t="s">
        <v>11537</v>
      </c>
      <c r="F3840" s="3" t="str">
        <f>"7656756784"</f>
        <v>7656756784</v>
      </c>
      <c r="G3840" s="3">
        <v>23599</v>
      </c>
      <c r="H3840" s="3" t="s">
        <v>248</v>
      </c>
    </row>
    <row r="3841" spans="1:8" ht="268.5" x14ac:dyDescent="0.25">
      <c r="A3841" s="3" t="s">
        <v>11538</v>
      </c>
      <c r="B3841" s="3"/>
      <c r="C3841" s="3" t="s">
        <v>11539</v>
      </c>
      <c r="D3841" s="3" t="s">
        <v>11540</v>
      </c>
      <c r="E3841" s="3" t="s">
        <v>11541</v>
      </c>
      <c r="F3841" s="3" t="str">
        <f>"317-450-0951"</f>
        <v>317-450-0951</v>
      </c>
      <c r="G3841" s="3">
        <v>235</v>
      </c>
      <c r="H3841" s="3" t="s">
        <v>259</v>
      </c>
    </row>
    <row r="3842" spans="1:8" ht="77.25" x14ac:dyDescent="0.25">
      <c r="A3842" s="3" t="s">
        <v>11542</v>
      </c>
      <c r="B3842" s="3"/>
      <c r="C3842" s="3" t="str">
        <f>"Mechanical Contractor specializing in commercial and industrial plumbing, heating and HVAC construction both new and renovations. Principal work areas are schools, hospitals, and institutional facilies projects."</f>
        <v>Mechanical Contractor specializing in commercial and industrial plumbing, heating and HVAC construction both new and renovations. Principal work areas are schools, hospitals, and institutional facilies projects.</v>
      </c>
      <c r="D3842" s="3" t="s">
        <v>9</v>
      </c>
      <c r="E3842" s="3" t="s">
        <v>46</v>
      </c>
      <c r="F3842" s="3" t="str">
        <f>"317-356-0926"</f>
        <v>317-356-0926</v>
      </c>
      <c r="G3842" s="3">
        <v>2351</v>
      </c>
      <c r="H3842" s="3" t="s">
        <v>892</v>
      </c>
    </row>
    <row r="3843" spans="1:8" ht="166.5" x14ac:dyDescent="0.25">
      <c r="A3843" s="3" t="s">
        <v>11543</v>
      </c>
      <c r="B3843" s="3"/>
      <c r="C3843" s="3" t="s">
        <v>11544</v>
      </c>
      <c r="D3843" s="3" t="s">
        <v>11545</v>
      </c>
      <c r="E3843" s="3" t="s">
        <v>11546</v>
      </c>
      <c r="F3843" s="3" t="str">
        <f>"317-849-8853"</f>
        <v>317-849-8853</v>
      </c>
      <c r="G3843" s="3">
        <v>518210</v>
      </c>
      <c r="H3843" s="3" t="s">
        <v>3133</v>
      </c>
    </row>
    <row r="3844" spans="1:8" ht="281.25" x14ac:dyDescent="0.25">
      <c r="A3844" s="3" t="s">
        <v>11547</v>
      </c>
      <c r="B3844" s="3"/>
      <c r="C3844" s="3" t="s">
        <v>11548</v>
      </c>
      <c r="D3844" s="3" t="s">
        <v>11549</v>
      </c>
      <c r="E3844" s="3" t="s">
        <v>11550</v>
      </c>
      <c r="F3844" s="3" t="str">
        <f>"8122655555"</f>
        <v>8122655555</v>
      </c>
      <c r="G3844" s="3">
        <v>44311</v>
      </c>
      <c r="H3844" s="3" t="s">
        <v>1553</v>
      </c>
    </row>
    <row r="3845" spans="1:8" ht="51.75" x14ac:dyDescent="0.25">
      <c r="A3845" s="3" t="s">
        <v>11551</v>
      </c>
      <c r="B3845" s="3"/>
      <c r="C3845" s="3" t="str">
        <f>"Concrete company concentrating on commercial concrete work, specializing in foundations, slabs on grade, structural slabs, and site concrete work."</f>
        <v>Concrete company concentrating on commercial concrete work, specializing in foundations, slabs on grade, structural slabs, and site concrete work.</v>
      </c>
      <c r="D3845" s="3" t="s">
        <v>9</v>
      </c>
      <c r="E3845" s="3" t="s">
        <v>11552</v>
      </c>
      <c r="F3845" s="3" t="str">
        <f>"317-834-8125"</f>
        <v>317-834-8125</v>
      </c>
      <c r="G3845" s="3">
        <v>233</v>
      </c>
      <c r="H3845" s="3" t="s">
        <v>131</v>
      </c>
    </row>
    <row r="3846" spans="1:8" ht="26.25" x14ac:dyDescent="0.25">
      <c r="A3846" s="3" t="s">
        <v>11553</v>
      </c>
      <c r="B3846" s="3"/>
      <c r="C3846" s="2"/>
      <c r="D3846" s="3" t="s">
        <v>11554</v>
      </c>
      <c r="E3846" s="3" t="s">
        <v>46</v>
      </c>
      <c r="F3846" s="3" t="str">
        <f>"812-422-3340"</f>
        <v>812-422-3340</v>
      </c>
      <c r="G3846" s="3">
        <v>238310</v>
      </c>
      <c r="H3846" s="3" t="s">
        <v>2526</v>
      </c>
    </row>
    <row r="3847" spans="1:8" ht="141" x14ac:dyDescent="0.25">
      <c r="A3847" s="3" t="s">
        <v>11555</v>
      </c>
      <c r="B3847" s="3"/>
      <c r="C3847" s="3" t="s">
        <v>11556</v>
      </c>
      <c r="D3847" s="3" t="s">
        <v>11557</v>
      </c>
      <c r="E3847" s="3" t="s">
        <v>46</v>
      </c>
      <c r="F3847" s="3" t="str">
        <f>"219-462-4117"</f>
        <v>219-462-4117</v>
      </c>
      <c r="G3847" s="3">
        <v>4411</v>
      </c>
      <c r="H3847" s="3" t="s">
        <v>1015</v>
      </c>
    </row>
    <row r="3848" spans="1:8" ht="64.5" x14ac:dyDescent="0.25">
      <c r="A3848" s="3" t="s">
        <v>11558</v>
      </c>
      <c r="B3848" s="3"/>
      <c r="C3848" s="3" t="str">
        <f>"Founded in 1982, Griffen P&amp;H, Inc. has earned a reputation in Northern Indiana for responsiveness, quality and performance. We have reputation for quality workmanship and effective design."</f>
        <v>Founded in 1982, Griffen P&amp;H, Inc. has earned a reputation in Northern Indiana for responsiveness, quality and performance. We have reputation for quality workmanship and effective design.</v>
      </c>
      <c r="D3848" s="3" t="s">
        <v>11559</v>
      </c>
      <c r="E3848" s="3" t="s">
        <v>11560</v>
      </c>
      <c r="F3848" s="3" t="str">
        <f>"5742952440"</f>
        <v>5742952440</v>
      </c>
      <c r="G3848" s="3">
        <v>238220</v>
      </c>
      <c r="H3848" s="3" t="s">
        <v>348</v>
      </c>
    </row>
    <row r="3849" spans="1:8" ht="39" x14ac:dyDescent="0.25">
      <c r="A3849" s="3" t="s">
        <v>11561</v>
      </c>
      <c r="B3849" s="3"/>
      <c r="C3849" s="3" t="str">
        <f>"Griffin sells lab and field products that can detect and identify known and unknown chemical threats."</f>
        <v>Griffin sells lab and field products that can detect and identify known and unknown chemical threats.</v>
      </c>
      <c r="D3849" s="3" t="s">
        <v>11562</v>
      </c>
      <c r="E3849" s="3" t="s">
        <v>11563</v>
      </c>
      <c r="F3849" s="3" t="str">
        <f>"765-775-1701"</f>
        <v>765-775-1701</v>
      </c>
      <c r="G3849" s="3">
        <v>334516</v>
      </c>
      <c r="H3849" s="3" t="s">
        <v>11564</v>
      </c>
    </row>
    <row r="3850" spans="1:8" ht="51.75" x14ac:dyDescent="0.25">
      <c r="A3850" s="3" t="s">
        <v>11565</v>
      </c>
      <c r="B3850" s="3"/>
      <c r="C3850" s="3" t="str">
        <f>"Advertising, marketing, large format printing - banners, signs, displays. Print media, film media, web sites, promotions, design, etc."</f>
        <v>Advertising, marketing, large format printing - banners, signs, displays. Print media, film media, web sites, promotions, design, etc.</v>
      </c>
      <c r="D3850" s="3" t="s">
        <v>11566</v>
      </c>
      <c r="E3850" s="3" t="s">
        <v>11567</v>
      </c>
      <c r="F3850" s="3" t="str">
        <f>"219-929-1616"</f>
        <v>219-929-1616</v>
      </c>
      <c r="G3850" s="3">
        <v>541810</v>
      </c>
      <c r="H3850" s="3" t="s">
        <v>976</v>
      </c>
    </row>
    <row r="3851" spans="1:8" ht="26.25" x14ac:dyDescent="0.25">
      <c r="A3851" s="3" t="s">
        <v>11568</v>
      </c>
      <c r="B3851" s="3"/>
      <c r="C3851" s="3" t="str">
        <f>"Residential and Commercial Interiors, Painting, Drywall and Carpentry"</f>
        <v>Residential and Commercial Interiors, Painting, Drywall and Carpentry</v>
      </c>
      <c r="D3851" s="3" t="s">
        <v>11569</v>
      </c>
      <c r="E3851" s="3" t="s">
        <v>11570</v>
      </c>
      <c r="F3851" s="3" t="str">
        <f>"219-791-0961"</f>
        <v>219-791-0961</v>
      </c>
      <c r="G3851" s="3">
        <v>23</v>
      </c>
      <c r="H3851" s="3" t="s">
        <v>133</v>
      </c>
    </row>
    <row r="3852" spans="1:8" ht="26.25" x14ac:dyDescent="0.25">
      <c r="A3852" s="3" t="s">
        <v>11571</v>
      </c>
      <c r="B3852" s="3"/>
      <c r="C3852" s="3" t="str">
        <f>"Commercial/industrial, special purpose, eminent domain appraisal services."</f>
        <v>Commercial/industrial, special purpose, eminent domain appraisal services.</v>
      </c>
      <c r="D3852" s="3" t="s">
        <v>9</v>
      </c>
      <c r="E3852" s="3" t="s">
        <v>11572</v>
      </c>
      <c r="F3852" s="3" t="str">
        <f>"260-422-0894"</f>
        <v>260-422-0894</v>
      </c>
      <c r="G3852" s="3">
        <v>53132</v>
      </c>
      <c r="H3852" s="3" t="s">
        <v>34</v>
      </c>
    </row>
    <row r="3853" spans="1:8" ht="39" x14ac:dyDescent="0.25">
      <c r="A3853" s="3" t="s">
        <v>11573</v>
      </c>
      <c r="B3853" s="3"/>
      <c r="C3853" s="3" t="str">
        <f>"Cafe style restaurant establishment. Available for catering and events. Facility available for private functions"</f>
        <v>Cafe style restaurant establishment. Available for catering and events. Facility available for private functions</v>
      </c>
      <c r="D3853" s="3" t="s">
        <v>11574</v>
      </c>
      <c r="E3853" s="3" t="s">
        <v>11575</v>
      </c>
      <c r="F3853" s="3" t="str">
        <f>"317-275-3354"</f>
        <v>317-275-3354</v>
      </c>
      <c r="G3853" s="3">
        <v>722212</v>
      </c>
      <c r="H3853" s="3" t="s">
        <v>11576</v>
      </c>
    </row>
    <row r="3854" spans="1:8" ht="26.25" x14ac:dyDescent="0.25">
      <c r="A3854" s="3" t="s">
        <v>11577</v>
      </c>
      <c r="B3854" s="3"/>
      <c r="C3854" s="3" t="str">
        <f>"Electrical, heating and cooling contractor"</f>
        <v>Electrical, heating and cooling contractor</v>
      </c>
      <c r="D3854" s="3" t="s">
        <v>9</v>
      </c>
      <c r="E3854" s="3" t="s">
        <v>46</v>
      </c>
      <c r="F3854" s="3" t="str">
        <f>"765-742-3225"</f>
        <v>765-742-3225</v>
      </c>
      <c r="G3854" s="3">
        <v>2353</v>
      </c>
      <c r="H3854" s="3" t="s">
        <v>306</v>
      </c>
    </row>
    <row r="3855" spans="1:8" ht="26.25" x14ac:dyDescent="0.25">
      <c r="A3855" s="3" t="s">
        <v>11578</v>
      </c>
      <c r="B3855" s="3"/>
      <c r="C3855" s="3" t="str">
        <f>"Real Estate Appraisal"</f>
        <v>Real Estate Appraisal</v>
      </c>
      <c r="D3855" s="3" t="s">
        <v>9</v>
      </c>
      <c r="E3855" s="3" t="s">
        <v>11579</v>
      </c>
      <c r="F3855" s="3" t="str">
        <f>"317-575-4555"</f>
        <v>317-575-4555</v>
      </c>
      <c r="G3855" s="3">
        <v>531320</v>
      </c>
      <c r="H3855" s="3" t="s">
        <v>34</v>
      </c>
    </row>
    <row r="3856" spans="1:8" ht="26.25" x14ac:dyDescent="0.25">
      <c r="A3856" s="3" t="s">
        <v>11580</v>
      </c>
      <c r="B3856" s="3"/>
      <c r="C3856" s="3" t="str">
        <f>"Funeral Home and Crematory"</f>
        <v>Funeral Home and Crematory</v>
      </c>
      <c r="D3856" s="3" t="s">
        <v>9</v>
      </c>
      <c r="E3856" s="3" t="s">
        <v>11581</v>
      </c>
      <c r="F3856" s="3" t="str">
        <f>"317-632-5374"</f>
        <v>317-632-5374</v>
      </c>
      <c r="G3856" s="3">
        <v>812210</v>
      </c>
      <c r="H3856" s="3" t="s">
        <v>11582</v>
      </c>
    </row>
    <row r="3857" spans="1:8" ht="90" x14ac:dyDescent="0.25">
      <c r="A3857" s="3" t="s">
        <v>11583</v>
      </c>
      <c r="B3857" s="3"/>
      <c r="C3857" s="3" t="str">
        <f>"We will provide these services to Commercial and Residential Properties • Mowing Residential/Commercial • Spring and Fall Clean-up • Weeding Planted Areas • Mulching • Edging • Hedge Trimming • Flower and Shrub planting • Core Aeration • Snow Removal"</f>
        <v>We will provide these services to Commercial and Residential Properties • Mowing Residential/Commercial • Spring and Fall Clean-up • Weeding Planted Areas • Mulching • Edging • Hedge Trimming • Flower and Shrub planting • Core Aeration • Snow Removal</v>
      </c>
      <c r="D3857" s="3" t="s">
        <v>11584</v>
      </c>
      <c r="E3857" s="3" t="s">
        <v>11585</v>
      </c>
      <c r="F3857" s="3" t="str">
        <f>"317-650-1888"</f>
        <v>317-650-1888</v>
      </c>
      <c r="G3857" s="3">
        <v>561730</v>
      </c>
      <c r="H3857" s="3" t="s">
        <v>65</v>
      </c>
    </row>
    <row r="3858" spans="1:8" ht="115.5" x14ac:dyDescent="0.25">
      <c r="A3858" s="3" t="s">
        <v>11586</v>
      </c>
      <c r="B3858" s="3"/>
      <c r="C3858" s="3" t="s">
        <v>11587</v>
      </c>
      <c r="D3858" s="3" t="s">
        <v>9</v>
      </c>
      <c r="E3858" s="3" t="s">
        <v>11588</v>
      </c>
      <c r="F3858" s="3" t="str">
        <f>"812-701-2535"</f>
        <v>812-701-2535</v>
      </c>
      <c r="G3858" s="3">
        <v>561730</v>
      </c>
      <c r="H3858" s="3" t="s">
        <v>65</v>
      </c>
    </row>
    <row r="3859" spans="1:8" ht="128.25" x14ac:dyDescent="0.25">
      <c r="A3859" s="3" t="s">
        <v>11589</v>
      </c>
      <c r="B3859" s="3"/>
      <c r="C3859" s="3" t="s">
        <v>11590</v>
      </c>
      <c r="D3859" s="3" t="s">
        <v>11591</v>
      </c>
      <c r="E3859" s="3" t="s">
        <v>11592</v>
      </c>
      <c r="F3859" s="3" t="str">
        <f>"219-476-3704"</f>
        <v>219-476-3704</v>
      </c>
      <c r="G3859" s="3">
        <v>541810</v>
      </c>
      <c r="H3859" s="3" t="s">
        <v>976</v>
      </c>
    </row>
    <row r="3860" spans="1:8" ht="255.75" x14ac:dyDescent="0.25">
      <c r="A3860" s="3" t="s">
        <v>11593</v>
      </c>
      <c r="B3860" s="3"/>
      <c r="C3860" s="3" t="s">
        <v>11594</v>
      </c>
      <c r="D3860" s="3" t="s">
        <v>11595</v>
      </c>
      <c r="E3860" s="3" t="s">
        <v>11596</v>
      </c>
      <c r="F3860" s="3" t="str">
        <f>"260.482.8700"</f>
        <v>260.482.8700</v>
      </c>
      <c r="G3860" s="3">
        <v>561920</v>
      </c>
      <c r="H3860" s="3" t="s">
        <v>7034</v>
      </c>
    </row>
    <row r="3861" spans="1:8" ht="39" x14ac:dyDescent="0.25">
      <c r="A3861" s="3" t="s">
        <v>11597</v>
      </c>
      <c r="B3861" s="3"/>
      <c r="C3861" s="3" t="str">
        <f>"provide emergency shelter and residential care for children placed by Juv. courts and DCS"</f>
        <v>provide emergency shelter and residential care for children placed by Juv. courts and DCS</v>
      </c>
      <c r="D3861" s="3" t="s">
        <v>11598</v>
      </c>
      <c r="E3861" s="3" t="s">
        <v>11599</v>
      </c>
      <c r="F3861" s="3" t="str">
        <f>"765-447-7410"</f>
        <v>765-447-7410</v>
      </c>
      <c r="G3861" s="3">
        <v>62411</v>
      </c>
      <c r="H3861" s="3" t="s">
        <v>628</v>
      </c>
    </row>
    <row r="3862" spans="1:8" ht="90" x14ac:dyDescent="0.25">
      <c r="A3862" s="3" t="s">
        <v>11600</v>
      </c>
      <c r="B3862" s="3"/>
      <c r="C3862" s="3" t="s">
        <v>11601</v>
      </c>
      <c r="D3862" s="3" t="s">
        <v>11602</v>
      </c>
      <c r="E3862" s="3" t="s">
        <v>11603</v>
      </c>
      <c r="F3862" s="3" t="str">
        <f>"812-492-4303"</f>
        <v>812-492-4303</v>
      </c>
      <c r="G3862" s="3">
        <v>923130</v>
      </c>
      <c r="H3862" s="3" t="s">
        <v>724</v>
      </c>
    </row>
    <row r="3863" spans="1:8" ht="26.25" x14ac:dyDescent="0.25">
      <c r="A3863" s="3" t="s">
        <v>11604</v>
      </c>
      <c r="B3863" s="3"/>
      <c r="C3863" s="3" t="str">
        <f>" "</f>
        <v xml:space="preserve"> </v>
      </c>
      <c r="D3863" s="3" t="s">
        <v>9</v>
      </c>
      <c r="E3863" s="3" t="s">
        <v>11605</v>
      </c>
      <c r="F3863" s="3" t="str">
        <f>"317-259-0105"</f>
        <v>317-259-0105</v>
      </c>
      <c r="G3863" s="3">
        <v>531120</v>
      </c>
      <c r="H3863" s="3" t="s">
        <v>2926</v>
      </c>
    </row>
    <row r="3864" spans="1:8" ht="128.25" x14ac:dyDescent="0.25">
      <c r="A3864" s="3" t="s">
        <v>11606</v>
      </c>
      <c r="B3864" s="3"/>
      <c r="C3864" s="3" t="s">
        <v>11607</v>
      </c>
      <c r="D3864" s="3" t="s">
        <v>11608</v>
      </c>
      <c r="E3864" s="3" t="s">
        <v>11609</v>
      </c>
      <c r="F3864" s="3" t="str">
        <f>"317-872-7360"</f>
        <v>317-872-7360</v>
      </c>
      <c r="G3864" s="3">
        <v>238220</v>
      </c>
      <c r="H3864" s="3" t="s">
        <v>348</v>
      </c>
    </row>
    <row r="3865" spans="1:8" ht="141" x14ac:dyDescent="0.25">
      <c r="A3865" s="3" t="s">
        <v>11610</v>
      </c>
      <c r="B3865" s="3"/>
      <c r="C3865" s="3" t="s">
        <v>11611</v>
      </c>
      <c r="D3865" s="3" t="s">
        <v>11612</v>
      </c>
      <c r="E3865" s="3" t="s">
        <v>11613</v>
      </c>
      <c r="F3865" s="3" t="str">
        <f>"765-452-0044"</f>
        <v>765-452-0044</v>
      </c>
      <c r="G3865" s="3">
        <v>443111</v>
      </c>
      <c r="H3865" s="3" t="s">
        <v>11614</v>
      </c>
    </row>
    <row r="3866" spans="1:8" ht="77.25" x14ac:dyDescent="0.25">
      <c r="A3866" s="3" t="s">
        <v>11615</v>
      </c>
      <c r="B3866" s="3"/>
      <c r="C3866" s="3" t="str">
        <f>"full service lock company, providing sales service and installation of all residential, commercail and industrial door hardware. We also provide sales, service and installation of security camera systems, access control systems, doors and frames"</f>
        <v>full service lock company, providing sales service and installation of all residential, commercail and industrial door hardware. We also provide sales, service and installation of security camera systems, access control systems, doors and frames</v>
      </c>
      <c r="D3866" s="3" t="s">
        <v>11616</v>
      </c>
      <c r="E3866" s="3" t="s">
        <v>11617</v>
      </c>
      <c r="F3866" s="3" t="str">
        <f>"812-897-3033"</f>
        <v>812-897-3033</v>
      </c>
      <c r="G3866" s="3">
        <v>561622</v>
      </c>
      <c r="H3866" s="3" t="s">
        <v>43</v>
      </c>
    </row>
    <row r="3867" spans="1:8" ht="26.25" x14ac:dyDescent="0.25">
      <c r="A3867" s="3" t="s">
        <v>11618</v>
      </c>
      <c r="B3867" s="3"/>
      <c r="C3867" s="3" t="str">
        <f>"Excavation, Demolition and light construction"</f>
        <v>Excavation, Demolition and light construction</v>
      </c>
      <c r="D3867" s="3" t="s">
        <v>9</v>
      </c>
      <c r="E3867" s="3" t="s">
        <v>11619</v>
      </c>
      <c r="F3867" s="3" t="str">
        <f>"317-695-0919"</f>
        <v>317-695-0919</v>
      </c>
      <c r="G3867" s="3">
        <v>23593</v>
      </c>
      <c r="H3867" s="3" t="s">
        <v>71</v>
      </c>
    </row>
    <row r="3868" spans="1:8" ht="64.5" x14ac:dyDescent="0.25">
      <c r="A3868" s="3" t="s">
        <v>11620</v>
      </c>
      <c r="B3868" s="3"/>
      <c r="C3868" s="3" t="str">
        <f>"This company transports trailers, RVs, boats, horse trailers, asphalt zippers, etc.. We hire owner operators who have their own vehicles and lease on to our company. We transport to 48 states and Canada."</f>
        <v>This company transports trailers, RVs, boats, horse trailers, asphalt zippers, etc.. We hire owner operators who have their own vehicles and lease on to our company. We transport to 48 states and Canada.</v>
      </c>
      <c r="D3868" s="3" t="s">
        <v>11621</v>
      </c>
      <c r="E3868" s="3" t="s">
        <v>11622</v>
      </c>
      <c r="F3868" s="3" t="str">
        <f>"574-266-8085"</f>
        <v>574-266-8085</v>
      </c>
      <c r="G3868" s="3">
        <v>484230</v>
      </c>
      <c r="H3868" s="3" t="s">
        <v>4666</v>
      </c>
    </row>
    <row r="3869" spans="1:8" ht="192" x14ac:dyDescent="0.25">
      <c r="A3869" s="3" t="s">
        <v>11623</v>
      </c>
      <c r="B3869" s="3"/>
      <c r="C3869" s="3" t="s">
        <v>11624</v>
      </c>
      <c r="D3869" s="3" t="s">
        <v>11625</v>
      </c>
      <c r="E3869" s="3" t="s">
        <v>11626</v>
      </c>
      <c r="F3869" s="3" t="str">
        <f>"3178006388"</f>
        <v>3178006388</v>
      </c>
      <c r="G3869" s="3">
        <v>541310</v>
      </c>
      <c r="H3869" s="3" t="s">
        <v>446</v>
      </c>
    </row>
    <row r="3870" spans="1:8" ht="115.5" x14ac:dyDescent="0.25">
      <c r="A3870" s="3" t="s">
        <v>11627</v>
      </c>
      <c r="B3870" s="3"/>
      <c r="C3870" s="3" t="s">
        <v>11628</v>
      </c>
      <c r="D3870" s="3" t="s">
        <v>11625</v>
      </c>
      <c r="E3870" s="3" t="s">
        <v>11626</v>
      </c>
      <c r="F3870" s="3" t="str">
        <f>"317-800-6388"</f>
        <v>317-800-6388</v>
      </c>
      <c r="G3870" s="3">
        <v>541310</v>
      </c>
      <c r="H3870" s="3" t="s">
        <v>446</v>
      </c>
    </row>
    <row r="3871" spans="1:8" ht="51.75" x14ac:dyDescent="0.25">
      <c r="A3871" s="3" t="s">
        <v>11629</v>
      </c>
      <c r="B3871" s="3"/>
      <c r="C3871" s="3" t="str">
        <f>"Shipping Domestic/International/Freight Shipping/Packaging/Printing/Office Supplies/Public Notary/Fax Services/Private Mail Boxes/Courier Service/"</f>
        <v>Shipping Domestic/International/Freight Shipping/Packaging/Printing/Office Supplies/Public Notary/Fax Services/Private Mail Boxes/Courier Service/</v>
      </c>
      <c r="D3871" s="3" t="s">
        <v>11630</v>
      </c>
      <c r="E3871" s="3" t="s">
        <v>11631</v>
      </c>
      <c r="F3871" s="3" t="str">
        <f>"317-541-1941"</f>
        <v>317-541-1941</v>
      </c>
      <c r="G3871" s="3">
        <v>4921</v>
      </c>
      <c r="H3871" s="3" t="s">
        <v>11632</v>
      </c>
    </row>
    <row r="3872" spans="1:8" ht="217.5" x14ac:dyDescent="0.25">
      <c r="A3872" s="3" t="s">
        <v>11633</v>
      </c>
      <c r="B3872" s="3"/>
      <c r="C3872" s="3" t="s">
        <v>11634</v>
      </c>
      <c r="D3872" s="3" t="s">
        <v>11635</v>
      </c>
      <c r="E3872" s="3" t="s">
        <v>46</v>
      </c>
      <c r="F3872" s="2"/>
      <c r="G3872" s="3">
        <v>336</v>
      </c>
      <c r="H3872" s="3" t="s">
        <v>2720</v>
      </c>
    </row>
    <row r="3873" spans="1:8" ht="115.5" x14ac:dyDescent="0.25">
      <c r="A3873" s="3" t="s">
        <v>11636</v>
      </c>
      <c r="B3873" s="3"/>
      <c r="C3873" s="3" t="s">
        <v>11637</v>
      </c>
      <c r="D3873" s="3" t="s">
        <v>11638</v>
      </c>
      <c r="E3873" s="3" t="s">
        <v>11639</v>
      </c>
      <c r="F3873" s="3" t="str">
        <f>"219-736-5088"</f>
        <v>219-736-5088</v>
      </c>
      <c r="G3873" s="3">
        <v>5616</v>
      </c>
      <c r="H3873" s="3" t="s">
        <v>415</v>
      </c>
    </row>
    <row r="3874" spans="1:8" ht="39" x14ac:dyDescent="0.25">
      <c r="A3874" s="3" t="s">
        <v>11640</v>
      </c>
      <c r="B3874" s="3"/>
      <c r="C3874" s="3" t="str">
        <f>"Metal Roofing, Commercial/Residential Guttering, Siding Soffit, Replacement Windows &amp; Concrete Const."</f>
        <v>Metal Roofing, Commercial/Residential Guttering, Siding Soffit, Replacement Windows &amp; Concrete Const.</v>
      </c>
      <c r="D3874" s="3" t="s">
        <v>11641</v>
      </c>
      <c r="E3874" s="3" t="s">
        <v>11642</v>
      </c>
      <c r="F3874" s="3" t="str">
        <f>"317-205-9654"</f>
        <v>317-205-9654</v>
      </c>
      <c r="G3874" s="3">
        <v>23561</v>
      </c>
      <c r="H3874" s="3" t="s">
        <v>365</v>
      </c>
    </row>
    <row r="3875" spans="1:8" ht="39" x14ac:dyDescent="0.25">
      <c r="A3875" s="3" t="s">
        <v>11643</v>
      </c>
      <c r="B3875" s="3"/>
      <c r="C3875" s="3" t="str">
        <f>"Supplier/Distributer of Manufacturing, Construction, Automotive, and Janitorial Supplies"</f>
        <v>Supplier/Distributer of Manufacturing, Construction, Automotive, and Janitorial Supplies</v>
      </c>
      <c r="D3875" s="3" t="s">
        <v>11644</v>
      </c>
      <c r="E3875" s="3" t="s">
        <v>11645</v>
      </c>
      <c r="F3875" s="2"/>
      <c r="G3875" s="3">
        <v>561320</v>
      </c>
      <c r="H3875" s="3" t="s">
        <v>15</v>
      </c>
    </row>
    <row r="3876" spans="1:8" ht="26.25" x14ac:dyDescent="0.25">
      <c r="A3876" s="3" t="s">
        <v>11646</v>
      </c>
      <c r="B3876" s="3"/>
      <c r="C3876" s="3" t="str">
        <f>"Consuling for bereavement, spiritual issues and family."</f>
        <v>Consuling for bereavement, spiritual issues and family.</v>
      </c>
      <c r="D3876" s="3" t="s">
        <v>9</v>
      </c>
      <c r="E3876" s="3" t="s">
        <v>11647</v>
      </c>
      <c r="F3876" s="3" t="str">
        <f>"765-497-8083"</f>
        <v>765-497-8083</v>
      </c>
      <c r="G3876" s="3">
        <v>8121</v>
      </c>
      <c r="H3876" s="3" t="s">
        <v>4305</v>
      </c>
    </row>
    <row r="3877" spans="1:8" ht="230.25" x14ac:dyDescent="0.25">
      <c r="A3877" s="3" t="s">
        <v>11648</v>
      </c>
      <c r="B3877" s="3"/>
      <c r="C3877" s="3" t="s">
        <v>11649</v>
      </c>
      <c r="D3877" s="3" t="s">
        <v>11650</v>
      </c>
      <c r="E3877" s="3" t="s">
        <v>46</v>
      </c>
      <c r="F3877" s="3" t="str">
        <f>"317 733 1133"</f>
        <v>317 733 1133</v>
      </c>
      <c r="G3877" s="3">
        <v>561320</v>
      </c>
      <c r="H3877" s="3" t="s">
        <v>15</v>
      </c>
    </row>
    <row r="3878" spans="1:8" ht="51.75" x14ac:dyDescent="0.25">
      <c r="A3878" s="3" t="s">
        <v>11651</v>
      </c>
      <c r="B3878" s="3"/>
      <c r="C3878" s="3" t="str">
        <f>"We are a Book Store and Mattress Factory Outlet. We sell bedroom, dining room, living room furniture, futons, daybeds, and much more."</f>
        <v>We are a Book Store and Mattress Factory Outlet. We sell bedroom, dining room, living room furniture, futons, daybeds, and much more.</v>
      </c>
      <c r="D3878" s="3" t="s">
        <v>9</v>
      </c>
      <c r="E3878" s="3" t="s">
        <v>11652</v>
      </c>
      <c r="F3878" s="3" t="str">
        <f>"260-244-7580"</f>
        <v>260-244-7580</v>
      </c>
      <c r="G3878" s="3">
        <v>337</v>
      </c>
      <c r="H3878" s="3" t="s">
        <v>6695</v>
      </c>
    </row>
    <row r="3879" spans="1:8" ht="39" x14ac:dyDescent="0.25">
      <c r="A3879" s="3" t="s">
        <v>11653</v>
      </c>
      <c r="B3879" s="3"/>
      <c r="C3879" s="3" t="str">
        <f>"Plumbing, heating, air conditioning, geo thermal, installation, maintenance, service and repair for over 40 years"</f>
        <v>Plumbing, heating, air conditioning, geo thermal, installation, maintenance, service and repair for over 40 years</v>
      </c>
      <c r="D3879" s="3" t="s">
        <v>11654</v>
      </c>
      <c r="E3879" s="3" t="s">
        <v>46</v>
      </c>
      <c r="F3879" s="3" t="str">
        <f>"2193621632"</f>
        <v>2193621632</v>
      </c>
      <c r="G3879" s="3">
        <v>238220</v>
      </c>
      <c r="H3879" s="3" t="s">
        <v>348</v>
      </c>
    </row>
    <row r="3880" spans="1:8" ht="26.25" x14ac:dyDescent="0.25">
      <c r="A3880" s="3" t="s">
        <v>11655</v>
      </c>
      <c r="B3880" s="3"/>
      <c r="C3880" s="3" t="str">
        <f>"Water &amp; Sewer Contractor; Directional Boring; Pipe Bursting and Excavating"</f>
        <v>Water &amp; Sewer Contractor; Directional Boring; Pipe Bursting and Excavating</v>
      </c>
      <c r="D3880" s="3" t="s">
        <v>11656</v>
      </c>
      <c r="E3880" s="3" t="s">
        <v>11657</v>
      </c>
      <c r="F3880" s="3" t="str">
        <f>"219 326 0000"</f>
        <v>219 326 0000</v>
      </c>
      <c r="G3880" s="3">
        <v>237990</v>
      </c>
      <c r="H3880" s="3" t="s">
        <v>2631</v>
      </c>
    </row>
    <row r="3881" spans="1:8" ht="39" x14ac:dyDescent="0.25">
      <c r="A3881" s="3" t="s">
        <v>11658</v>
      </c>
      <c r="B3881" s="3"/>
      <c r="C3881" s="3" t="str">
        <f>"Custom truck body manufacturer and equipment distributor. We have been serving the commerical industry since 1951"</f>
        <v>Custom truck body manufacturer and equipment distributor. We have been serving the commerical industry since 1951</v>
      </c>
      <c r="D3881" s="3" t="s">
        <v>11659</v>
      </c>
      <c r="E3881" s="3" t="s">
        <v>11660</v>
      </c>
      <c r="F3881" s="3" t="str">
        <f>"260-637-3177"</f>
        <v>260-637-3177</v>
      </c>
      <c r="G3881" s="3">
        <v>3362</v>
      </c>
      <c r="H3881" s="3" t="s">
        <v>11661</v>
      </c>
    </row>
    <row r="3882" spans="1:8" ht="64.5" x14ac:dyDescent="0.25">
      <c r="A3882" s="3" t="s">
        <v>11662</v>
      </c>
      <c r="B3882" s="3"/>
      <c r="C3882" s="3" t="str">
        <f>"A full service human resource management consulting service. Providing services to include training, new-hire orientation, personnel file management, staffing, HR policy review and writing."</f>
        <v>A full service human resource management consulting service. Providing services to include training, new-hire orientation, personnel file management, staffing, HR policy review and writing.</v>
      </c>
      <c r="D3882" s="3" t="s">
        <v>11663</v>
      </c>
      <c r="E3882" s="3" t="s">
        <v>11664</v>
      </c>
      <c r="F3882" s="3" t="str">
        <f>"219/588-4101"</f>
        <v>219/588-4101</v>
      </c>
      <c r="G3882" s="3">
        <v>541612</v>
      </c>
      <c r="H3882" s="3" t="s">
        <v>1923</v>
      </c>
    </row>
    <row r="3883" spans="1:8" ht="26.25" x14ac:dyDescent="0.25">
      <c r="A3883" s="3" t="s">
        <v>11665</v>
      </c>
      <c r="B3883" s="3"/>
      <c r="C3883" s="3" t="str">
        <f>" "</f>
        <v xml:space="preserve"> </v>
      </c>
      <c r="D3883" s="3" t="s">
        <v>9</v>
      </c>
      <c r="E3883" s="3" t="s">
        <v>46</v>
      </c>
      <c r="F3883" s="2"/>
      <c r="G3883" s="3">
        <v>484230</v>
      </c>
      <c r="H3883" s="3" t="s">
        <v>4666</v>
      </c>
    </row>
    <row r="3884" spans="1:8" ht="51.75" x14ac:dyDescent="0.25">
      <c r="A3884" s="3" t="s">
        <v>11666</v>
      </c>
      <c r="B3884" s="3"/>
      <c r="C3884" s="3" t="str">
        <f>"Commercial flooring installation, includes carpet, resilient, ceramic. We also perform demo and preparation of existing flooring material."</f>
        <v>Commercial flooring installation, includes carpet, resilient, ceramic. We also perform demo and preparation of existing flooring material.</v>
      </c>
      <c r="D3884" s="3" t="s">
        <v>9</v>
      </c>
      <c r="E3884" s="3" t="s">
        <v>11667</v>
      </c>
      <c r="F3884" s="3" t="str">
        <f>"317-283-1206"</f>
        <v>317-283-1206</v>
      </c>
      <c r="G3884" s="3">
        <v>238330</v>
      </c>
      <c r="H3884" s="3" t="s">
        <v>2995</v>
      </c>
    </row>
    <row r="3885" spans="1:8" ht="255.75" x14ac:dyDescent="0.25">
      <c r="A3885" s="3" t="s">
        <v>11668</v>
      </c>
      <c r="B3885" s="3"/>
      <c r="C3885" s="3" t="s">
        <v>11669</v>
      </c>
      <c r="D3885" s="3" t="s">
        <v>11670</v>
      </c>
      <c r="E3885" s="3" t="s">
        <v>11671</v>
      </c>
      <c r="F3885" s="3" t="str">
        <f>"765-342-9919"</f>
        <v>765-342-9919</v>
      </c>
      <c r="G3885" s="3">
        <v>541</v>
      </c>
      <c r="H3885" s="3" t="s">
        <v>179</v>
      </c>
    </row>
    <row r="3886" spans="1:8" ht="255.75" x14ac:dyDescent="0.25">
      <c r="A3886" s="3" t="s">
        <v>11672</v>
      </c>
      <c r="B3886" s="3"/>
      <c r="C3886" s="3" t="s">
        <v>11673</v>
      </c>
      <c r="D3886" s="3" t="s">
        <v>11674</v>
      </c>
      <c r="E3886" s="3" t="s">
        <v>11675</v>
      </c>
      <c r="F3886" s="3" t="str">
        <f>"317-273-9194"</f>
        <v>317-273-9194</v>
      </c>
      <c r="G3886" s="3">
        <v>238220</v>
      </c>
      <c r="H3886" s="3" t="s">
        <v>348</v>
      </c>
    </row>
    <row r="3887" spans="1:8" ht="77.25" x14ac:dyDescent="0.25">
      <c r="A3887" s="3" t="s">
        <v>11676</v>
      </c>
      <c r="B3887" s="3"/>
      <c r="C3887" s="3" t="str">
        <f>"H&amp;H does historic preservation and historical research projects, including Section 106 reviews, National Register of Historic Places nominations, exhibit research and scripts, architectural field surveys, and other research projects."</f>
        <v>H&amp;H does historic preservation and historical research projects, including Section 106 reviews, National Register of Historic Places nominations, exhibit research and scripts, architectural field surveys, and other research projects.</v>
      </c>
      <c r="D3887" s="3" t="s">
        <v>11677</v>
      </c>
      <c r="E3887" s="3" t="s">
        <v>11678</v>
      </c>
      <c r="F3887" s="3" t="str">
        <f>"317-462-7177"</f>
        <v>317-462-7177</v>
      </c>
      <c r="G3887" s="3">
        <v>541690</v>
      </c>
      <c r="H3887" s="3" t="s">
        <v>652</v>
      </c>
    </row>
    <row r="3888" spans="1:8" ht="192" x14ac:dyDescent="0.25">
      <c r="A3888" s="3" t="s">
        <v>11679</v>
      </c>
      <c r="B3888" s="3"/>
      <c r="C3888" s="3" t="s">
        <v>11680</v>
      </c>
      <c r="D3888" s="3" t="s">
        <v>11681</v>
      </c>
      <c r="E3888" s="3" t="s">
        <v>11682</v>
      </c>
      <c r="F3888" s="3" t="str">
        <f>"317-465-1500"</f>
        <v>317-465-1500</v>
      </c>
      <c r="G3888" s="3">
        <v>541211</v>
      </c>
      <c r="H3888" s="3" t="s">
        <v>337</v>
      </c>
    </row>
    <row r="3889" spans="1:8" ht="26.25" x14ac:dyDescent="0.25">
      <c r="A3889" s="3" t="s">
        <v>11683</v>
      </c>
      <c r="B3889" s="3"/>
      <c r="C3889" s="2"/>
      <c r="D3889" s="3" t="s">
        <v>11684</v>
      </c>
      <c r="E3889" s="3" t="s">
        <v>11685</v>
      </c>
      <c r="F3889" s="3" t="str">
        <f>"765-742-0295"</f>
        <v>765-742-0295</v>
      </c>
      <c r="G3889" s="3">
        <v>541330</v>
      </c>
      <c r="H3889" s="3" t="s">
        <v>82</v>
      </c>
    </row>
    <row r="3890" spans="1:8" ht="77.25" x14ac:dyDescent="0.25">
      <c r="A3890" s="3" t="s">
        <v>11686</v>
      </c>
      <c r="B3890" s="3"/>
      <c r="C3890" s="3" t="str">
        <f>"McGonigal has been in business since 1928, in Kokomo, IN. Employs over 90 Indiana residents in full scale Buick, GMC &amp; Cadillac Franchise. Specializing in Automotive Sales, Service, Parts and Collision Repair."</f>
        <v>McGonigal has been in business since 1928, in Kokomo, IN. Employs over 90 Indiana residents in full scale Buick, GMC &amp; Cadillac Franchise. Specializing in Automotive Sales, Service, Parts and Collision Repair.</v>
      </c>
      <c r="D3890" s="3" t="s">
        <v>11687</v>
      </c>
      <c r="E3890" s="3" t="s">
        <v>11688</v>
      </c>
      <c r="F3890" s="3" t="str">
        <f>"765-459-0381"</f>
        <v>765-459-0381</v>
      </c>
      <c r="G3890" s="3">
        <v>441110</v>
      </c>
      <c r="H3890" s="3" t="s">
        <v>2588</v>
      </c>
    </row>
    <row r="3891" spans="1:8" ht="90" x14ac:dyDescent="0.25">
      <c r="A3891" s="3" t="s">
        <v>11689</v>
      </c>
      <c r="B3891" s="3"/>
      <c r="C3891" s="3" t="str">
        <f>"Distributor and manufacturer representative for pumps, pump parts, filters, filter parts, filter systems and pump and filter repairs - industrial and commercial applications. We have been serving our customers pump and filter needs since 1947."</f>
        <v>Distributor and manufacturer representative for pumps, pump parts, filters, filter parts, filter systems and pump and filter repairs - industrial and commercial applications. We have been serving our customers pump and filter needs since 1947.</v>
      </c>
      <c r="D3891" s="3" t="s">
        <v>11690</v>
      </c>
      <c r="E3891" s="3" t="s">
        <v>11691</v>
      </c>
      <c r="F3891" s="3" t="str">
        <f>"3178729455"</f>
        <v>3178729455</v>
      </c>
      <c r="G3891" s="3">
        <v>42183</v>
      </c>
      <c r="H3891" s="3" t="s">
        <v>2894</v>
      </c>
    </row>
    <row r="3892" spans="1:8" ht="39" x14ac:dyDescent="0.25">
      <c r="A3892" s="3" t="s">
        <v>11692</v>
      </c>
      <c r="B3892" s="3"/>
      <c r="C3892" s="3" t="str">
        <f>"Health and Safety training company providing CPR, First Aid Training in all levels as well as health related seminars."</f>
        <v>Health and Safety training company providing CPR, First Aid Training in all levels as well as health related seminars.</v>
      </c>
      <c r="D3892" s="3" t="s">
        <v>9</v>
      </c>
      <c r="E3892" s="3" t="s">
        <v>11693</v>
      </c>
      <c r="F3892" s="3" t="str">
        <f>"765-482-1737"</f>
        <v>765-482-1737</v>
      </c>
      <c r="G3892" s="3">
        <v>541990</v>
      </c>
      <c r="H3892" s="3" t="s">
        <v>378</v>
      </c>
    </row>
    <row r="3893" spans="1:8" ht="26.25" x14ac:dyDescent="0.25">
      <c r="A3893" s="3" t="s">
        <v>11694</v>
      </c>
      <c r="B3893" s="3"/>
      <c r="C3893" s="3" t="str">
        <f>"SELLING BODY ARMOR, TACTICAL BODY ARMOR, BALLISTIC HELMETS, RIFLE PLATES"</f>
        <v>SELLING BODY ARMOR, TACTICAL BODY ARMOR, BALLISTIC HELMETS, RIFLE PLATES</v>
      </c>
      <c r="D3893" s="3" t="s">
        <v>9</v>
      </c>
      <c r="E3893" s="3" t="s">
        <v>46</v>
      </c>
      <c r="F3893" s="3" t="str">
        <f>"888-445-8704"</f>
        <v>888-445-8704</v>
      </c>
      <c r="G3893" s="3">
        <v>52222</v>
      </c>
      <c r="H3893" s="3" t="s">
        <v>4071</v>
      </c>
    </row>
    <row r="3894" spans="1:8" ht="39" x14ac:dyDescent="0.25">
      <c r="A3894" s="3" t="s">
        <v>11695</v>
      </c>
      <c r="B3894" s="3"/>
      <c r="C3894" s="3" t="str">
        <f>"IT and telecommunications infrastructure support services. End User, Data Center and Cloud Integration specialties."</f>
        <v>IT and telecommunications infrastructure support services. End User, Data Center and Cloud Integration specialties.</v>
      </c>
      <c r="D3894" s="3" t="s">
        <v>11696</v>
      </c>
      <c r="E3894" s="3" t="s">
        <v>11697</v>
      </c>
      <c r="F3894" s="3" t="str">
        <f>"317-344-2160"</f>
        <v>317-344-2160</v>
      </c>
      <c r="G3894" s="3">
        <v>514</v>
      </c>
      <c r="H3894" s="3" t="s">
        <v>322</v>
      </c>
    </row>
    <row r="3895" spans="1:8" ht="39" x14ac:dyDescent="0.25">
      <c r="A3895" s="3" t="s">
        <v>11698</v>
      </c>
      <c r="B3895" s="3"/>
      <c r="C3895" s="3" t="str">
        <f>"INDUSTRIAL, COMMERCIAL, AND RETAIL PAINT AND PAINT RELATED MATERIALS SUPPLIER."</f>
        <v>INDUSTRIAL, COMMERCIAL, AND RETAIL PAINT AND PAINT RELATED MATERIALS SUPPLIER.</v>
      </c>
      <c r="D3895" s="3" t="s">
        <v>9</v>
      </c>
      <c r="E3895" s="3" t="s">
        <v>11699</v>
      </c>
      <c r="F3895" s="3" t="str">
        <f>"260-483-0511"</f>
        <v>260-483-0511</v>
      </c>
      <c r="G3895" s="3">
        <v>424950</v>
      </c>
      <c r="H3895" s="3" t="s">
        <v>7232</v>
      </c>
    </row>
    <row r="3896" spans="1:8" ht="102.75" x14ac:dyDescent="0.25">
      <c r="A3896" s="3" t="s">
        <v>11700</v>
      </c>
      <c r="B3896" s="3"/>
      <c r="C3896" s="3" t="s">
        <v>11701</v>
      </c>
      <c r="D3896" s="3" t="s">
        <v>11702</v>
      </c>
      <c r="E3896" s="3" t="s">
        <v>11703</v>
      </c>
      <c r="F3896" s="3" t="str">
        <f>"5745382325"</f>
        <v>5745382325</v>
      </c>
      <c r="G3896" s="3">
        <v>511210</v>
      </c>
      <c r="H3896" s="3" t="s">
        <v>315</v>
      </c>
    </row>
    <row r="3897" spans="1:8" ht="64.5" x14ac:dyDescent="0.25">
      <c r="A3897" s="3" t="s">
        <v>11704</v>
      </c>
      <c r="B3897" s="3"/>
      <c r="C3897" s="3" t="str">
        <f>"Manufacturer and/or provider of traffic control materials, such as signs, aluminum sign blanks, brackets, decals/faces, sign hardware, letters, posts, reflective and non-reflective roll-goods etc."</f>
        <v>Manufacturer and/or provider of traffic control materials, such as signs, aluminum sign blanks, brackets, decals/faces, sign hardware, letters, posts, reflective and non-reflective roll-goods etc.</v>
      </c>
      <c r="D3897" s="3" t="s">
        <v>11705</v>
      </c>
      <c r="E3897" s="3" t="s">
        <v>11706</v>
      </c>
      <c r="F3897" s="3" t="str">
        <f>"800-284-7446"</f>
        <v>800-284-7446</v>
      </c>
      <c r="G3897" s="3">
        <v>31</v>
      </c>
      <c r="H3897" s="3" t="s">
        <v>999</v>
      </c>
    </row>
    <row r="3898" spans="1:8" ht="217.5" x14ac:dyDescent="0.25">
      <c r="A3898" s="3" t="s">
        <v>11707</v>
      </c>
      <c r="B3898" s="3"/>
      <c r="C3898" s="3" t="s">
        <v>11708</v>
      </c>
      <c r="D3898" s="3" t="s">
        <v>9</v>
      </c>
      <c r="E3898" s="3" t="s">
        <v>11709</v>
      </c>
      <c r="F3898" s="3" t="str">
        <f>"317-831-4985"</f>
        <v>317-831-4985</v>
      </c>
      <c r="G3898" s="3">
        <v>444210</v>
      </c>
      <c r="H3898" s="3" t="s">
        <v>392</v>
      </c>
    </row>
    <row r="3899" spans="1:8" x14ac:dyDescent="0.25">
      <c r="A3899" s="3" t="s">
        <v>11710</v>
      </c>
      <c r="B3899" s="3"/>
      <c r="C3899" s="3" t="str">
        <f>" "</f>
        <v xml:space="preserve"> </v>
      </c>
      <c r="D3899" s="3" t="s">
        <v>9</v>
      </c>
      <c r="E3899" s="3" t="s">
        <v>46</v>
      </c>
      <c r="F3899" s="2"/>
      <c r="G3899" s="3">
        <v>921190</v>
      </c>
      <c r="H3899" s="3" t="s">
        <v>4809</v>
      </c>
    </row>
    <row r="3900" spans="1:8" ht="90" x14ac:dyDescent="0.25">
      <c r="A3900" s="3" t="s">
        <v>11711</v>
      </c>
      <c r="B3900" s="3"/>
      <c r="C3900" s="3" t="s">
        <v>11712</v>
      </c>
      <c r="D3900" s="3" t="s">
        <v>11713</v>
      </c>
      <c r="E3900" s="3" t="s">
        <v>11714</v>
      </c>
      <c r="F3900" s="3" t="str">
        <f>"765-459-5166"</f>
        <v>765-459-5166</v>
      </c>
      <c r="G3900" s="3">
        <v>453110</v>
      </c>
      <c r="H3900" s="3" t="s">
        <v>2584</v>
      </c>
    </row>
    <row r="3901" spans="1:8" ht="90" x14ac:dyDescent="0.25">
      <c r="A3901" s="3" t="s">
        <v>11715</v>
      </c>
      <c r="B3901" s="3"/>
      <c r="C3901" s="3" t="s">
        <v>11716</v>
      </c>
      <c r="D3901" s="3" t="s">
        <v>11717</v>
      </c>
      <c r="E3901" s="3" t="s">
        <v>11718</v>
      </c>
      <c r="F3901" s="3" t="str">
        <f>"219-696-8911"</f>
        <v>219-696-8911</v>
      </c>
      <c r="G3901" s="3">
        <v>234</v>
      </c>
      <c r="H3901" s="3" t="s">
        <v>1414</v>
      </c>
    </row>
    <row r="3902" spans="1:8" ht="26.25" x14ac:dyDescent="0.25">
      <c r="A3902" s="3" t="s">
        <v>11719</v>
      </c>
      <c r="B3902" s="3"/>
      <c r="C3902" s="3" t="str">
        <f>"General Contractor Construction Management"</f>
        <v>General Contractor Construction Management</v>
      </c>
      <c r="D3902" s="3" t="s">
        <v>11720</v>
      </c>
      <c r="E3902" s="3" t="s">
        <v>11721</v>
      </c>
      <c r="F3902" s="3" t="str">
        <f>"812-346-2048"</f>
        <v>812-346-2048</v>
      </c>
      <c r="G3902" s="3">
        <v>236220</v>
      </c>
      <c r="H3902" s="3" t="s">
        <v>598</v>
      </c>
    </row>
    <row r="3903" spans="1:8" ht="26.25" x14ac:dyDescent="0.25">
      <c r="A3903" s="3" t="s">
        <v>11722</v>
      </c>
      <c r="B3903" s="3"/>
      <c r="C3903" s="2"/>
      <c r="D3903" s="3" t="s">
        <v>11723</v>
      </c>
      <c r="E3903" s="3" t="s">
        <v>11724</v>
      </c>
      <c r="F3903" s="3" t="str">
        <f>"812-346-2064"</f>
        <v>812-346-2064</v>
      </c>
      <c r="G3903" s="3">
        <v>238120</v>
      </c>
      <c r="H3903" s="3" t="s">
        <v>5668</v>
      </c>
    </row>
    <row r="3904" spans="1:8" ht="26.25" x14ac:dyDescent="0.25">
      <c r="A3904" s="3" t="s">
        <v>11725</v>
      </c>
      <c r="B3904" s="3"/>
      <c r="C3904" s="2"/>
      <c r="D3904" s="3" t="s">
        <v>9</v>
      </c>
      <c r="E3904" s="3" t="s">
        <v>46</v>
      </c>
      <c r="F3904" s="3" t="str">
        <f>"317-251-9729"</f>
        <v>317-251-9729</v>
      </c>
      <c r="G3904" s="3">
        <v>5611</v>
      </c>
      <c r="H3904" s="3" t="s">
        <v>4383</v>
      </c>
    </row>
    <row r="3905" spans="1:8" ht="77.25" x14ac:dyDescent="0.25">
      <c r="A3905" s="3" t="s">
        <v>11726</v>
      </c>
      <c r="B3905" s="3"/>
      <c r="C3905" s="3" t="str">
        <f>"Harris Printing is a commercial offset printing business. I can service your printing needs by printing brochures, letterhead, invoices, purchase orders, business cards, brochures, booklets AND MORE."</f>
        <v>Harris Printing is a commercial offset printing business. I can service your printing needs by printing brochures, letterhead, invoices, purchase orders, business cards, brochures, booklets AND MORE.</v>
      </c>
      <c r="D3905" s="3" t="s">
        <v>11727</v>
      </c>
      <c r="E3905" s="3" t="s">
        <v>11728</v>
      </c>
      <c r="F3905" s="3" t="str">
        <f>"317-403-6260"</f>
        <v>317-403-6260</v>
      </c>
      <c r="G3905" s="3">
        <v>32311</v>
      </c>
      <c r="H3905" s="3" t="s">
        <v>531</v>
      </c>
    </row>
    <row r="3906" spans="1:8" ht="268.5" x14ac:dyDescent="0.25">
      <c r="A3906" s="3" t="s">
        <v>11729</v>
      </c>
      <c r="B3906" s="3"/>
      <c r="C3906" s="3" t="s">
        <v>11730</v>
      </c>
      <c r="D3906" s="3" t="s">
        <v>11731</v>
      </c>
      <c r="E3906" s="3" t="s">
        <v>11732</v>
      </c>
      <c r="F3906" s="3" t="str">
        <f>"(317) 574-3770"</f>
        <v>(317) 574-3770</v>
      </c>
      <c r="G3906" s="3">
        <v>5415</v>
      </c>
      <c r="H3906" s="3" t="s">
        <v>188</v>
      </c>
    </row>
    <row r="3907" spans="1:8" ht="64.5" x14ac:dyDescent="0.25">
      <c r="A3907" s="3" t="s">
        <v>11733</v>
      </c>
      <c r="B3907" s="3"/>
      <c r="C3907" s="3" t="str">
        <f>"HASCO, Inc. is an Indiana based asphalt paving and maintenance company providing services to residential, commercial, industrial and governmental facilities."</f>
        <v>HASCO, Inc. is an Indiana based asphalt paving and maintenance company providing services to residential, commercial, industrial and governmental facilities.</v>
      </c>
      <c r="D3907" s="3" t="s">
        <v>11734</v>
      </c>
      <c r="E3907" s="3" t="s">
        <v>11735</v>
      </c>
      <c r="F3907" s="3" t="str">
        <f>"317-209-9870"</f>
        <v>317-209-9870</v>
      </c>
      <c r="G3907" s="3">
        <v>2373</v>
      </c>
      <c r="H3907" s="3" t="s">
        <v>768</v>
      </c>
    </row>
    <row r="3908" spans="1:8" ht="64.5" x14ac:dyDescent="0.25">
      <c r="A3908" s="3" t="s">
        <v>11736</v>
      </c>
      <c r="B3908" s="3"/>
      <c r="C3908" s="3" t="str">
        <f>"Hasgoe Cleaning Systems provides a variety of commercial cleaning needs, including all janitorial services, commercial air duct cleaning, fire and water damage restoration, as well as commercial painting."</f>
        <v>Hasgoe Cleaning Systems provides a variety of commercial cleaning needs, including all janitorial services, commercial air duct cleaning, fire and water damage restoration, as well as commercial painting.</v>
      </c>
      <c r="D3908" s="3" t="s">
        <v>11737</v>
      </c>
      <c r="E3908" s="3" t="s">
        <v>11738</v>
      </c>
      <c r="F3908" s="3" t="str">
        <f>"812-464-2402"</f>
        <v>812-464-2402</v>
      </c>
      <c r="G3908" s="3">
        <v>561790</v>
      </c>
      <c r="H3908" s="3" t="s">
        <v>2113</v>
      </c>
    </row>
    <row r="3909" spans="1:8" ht="51.75" x14ac:dyDescent="0.25">
      <c r="A3909" s="3" t="s">
        <v>11739</v>
      </c>
      <c r="B3909" s="3"/>
      <c r="C3909" s="3" t="str">
        <f>"Full service commercial printer. High quality color printing. Design services, direct to plate technology, full bindery. In business since 1826!"</f>
        <v>Full service commercial printer. High quality color printing. Design services, direct to plate technology, full bindery. In business since 1826!</v>
      </c>
      <c r="D3909" s="3" t="s">
        <v>11740</v>
      </c>
      <c r="E3909" s="3" t="s">
        <v>11741</v>
      </c>
      <c r="F3909" s="3" t="str">
        <f>"765-742-4085"</f>
        <v>765-742-4085</v>
      </c>
      <c r="G3909" s="3">
        <v>32311</v>
      </c>
      <c r="H3909" s="3" t="s">
        <v>531</v>
      </c>
    </row>
    <row r="3910" spans="1:8" ht="319.5" x14ac:dyDescent="0.25">
      <c r="A3910" s="3" t="s">
        <v>11742</v>
      </c>
      <c r="B3910" s="3"/>
      <c r="C3910" s="3" t="s">
        <v>11743</v>
      </c>
      <c r="D3910" s="3" t="s">
        <v>11744</v>
      </c>
      <c r="E3910" s="3" t="s">
        <v>11745</v>
      </c>
      <c r="F3910" s="3" t="str">
        <f>"(800) 355-4628"</f>
        <v>(800) 355-4628</v>
      </c>
      <c r="G3910" s="3">
        <v>541690</v>
      </c>
      <c r="H3910" s="3" t="s">
        <v>652</v>
      </c>
    </row>
    <row r="3911" spans="1:8" ht="64.5" x14ac:dyDescent="0.25">
      <c r="A3911" s="3" t="s">
        <v>11746</v>
      </c>
      <c r="B3911" s="3"/>
      <c r="C3911" s="3" t="str">
        <f>"Services and Installs Commercial and Industrial HVAC equipment including chillers, boilers, air handling units, rooftop units, humidifiers, de-humidifiers, air filtration equipment, pumps, controls etc."</f>
        <v>Services and Installs Commercial and Industrial HVAC equipment including chillers, boilers, air handling units, rooftop units, humidifiers, de-humidifiers, air filtration equipment, pumps, controls etc.</v>
      </c>
      <c r="D3911" s="3" t="s">
        <v>11747</v>
      </c>
      <c r="E3911" s="3" t="s">
        <v>11748</v>
      </c>
      <c r="F3911" s="3" t="str">
        <f>"317-596-6000"</f>
        <v>317-596-6000</v>
      </c>
      <c r="G3911" s="3">
        <v>238220</v>
      </c>
      <c r="H3911" s="3" t="s">
        <v>348</v>
      </c>
    </row>
    <row r="3912" spans="1:8" ht="128.25" x14ac:dyDescent="0.25">
      <c r="A3912" s="3" t="s">
        <v>11749</v>
      </c>
      <c r="B3912" s="3"/>
      <c r="C3912" s="3" t="s">
        <v>11750</v>
      </c>
      <c r="D3912" s="3" t="s">
        <v>11751</v>
      </c>
      <c r="E3912" s="3" t="s">
        <v>11752</v>
      </c>
      <c r="F3912" s="3" t="str">
        <f>"5029314102"</f>
        <v>5029314102</v>
      </c>
      <c r="G3912" s="3">
        <v>332312</v>
      </c>
      <c r="H3912" s="3" t="s">
        <v>2180</v>
      </c>
    </row>
    <row r="3913" spans="1:8" ht="141" x14ac:dyDescent="0.25">
      <c r="A3913" s="3" t="s">
        <v>11753</v>
      </c>
      <c r="B3913" s="3"/>
      <c r="C3913" s="3" t="s">
        <v>11754</v>
      </c>
      <c r="D3913" s="3" t="s">
        <v>9</v>
      </c>
      <c r="E3913" s="3" t="s">
        <v>46</v>
      </c>
      <c r="F3913" s="3" t="str">
        <f>"317-672-4268"</f>
        <v>317-672-4268</v>
      </c>
      <c r="G3913" s="3">
        <v>5133</v>
      </c>
      <c r="H3913" s="3" t="s">
        <v>682</v>
      </c>
    </row>
    <row r="3914" spans="1:8" ht="319.5" x14ac:dyDescent="0.25">
      <c r="A3914" s="3" t="s">
        <v>11755</v>
      </c>
      <c r="B3914" s="3"/>
      <c r="C3914" s="3" t="s">
        <v>11756</v>
      </c>
      <c r="D3914" s="3" t="s">
        <v>11757</v>
      </c>
      <c r="E3914" s="3" t="s">
        <v>11758</v>
      </c>
      <c r="F3914" s="3" t="str">
        <f>"317-923-3737"</f>
        <v>317-923-3737</v>
      </c>
      <c r="G3914" s="3">
        <v>541310</v>
      </c>
      <c r="H3914" s="3" t="s">
        <v>446</v>
      </c>
    </row>
    <row r="3915" spans="1:8" ht="77.25" x14ac:dyDescent="0.25">
      <c r="A3915" s="3" t="s">
        <v>11759</v>
      </c>
      <c r="B3915" s="3"/>
      <c r="C3915" s="3" t="str">
        <f>"Will produce and install custom crafted signs on premises, whether indoor or outdoor signage. Each sign is designed to give you recognition. Also decals, banners, routed signs, and various other printing work is available."</f>
        <v>Will produce and install custom crafted signs on premises, whether indoor or outdoor signage. Each sign is designed to give you recognition. Also decals, banners, routed signs, and various other printing work is available.</v>
      </c>
      <c r="D3915" s="3" t="s">
        <v>11760</v>
      </c>
      <c r="E3915" s="3" t="s">
        <v>11761</v>
      </c>
      <c r="F3915" s="3" t="str">
        <f>"812-865-1498"</f>
        <v>812-865-1498</v>
      </c>
      <c r="G3915" s="3">
        <v>323</v>
      </c>
      <c r="H3915" s="3" t="s">
        <v>302</v>
      </c>
    </row>
    <row r="3916" spans="1:8" ht="77.25" x14ac:dyDescent="0.25">
      <c r="A3916" s="3" t="s">
        <v>11762</v>
      </c>
      <c r="B3916" s="3"/>
      <c r="C3916" s="3" t="s">
        <v>11763</v>
      </c>
      <c r="D3916" s="3" t="s">
        <v>11764</v>
      </c>
      <c r="E3916" s="3" t="s">
        <v>46</v>
      </c>
      <c r="F3916" s="3" t="str">
        <f>"317-271-1463"</f>
        <v>317-271-1463</v>
      </c>
      <c r="G3916" s="3">
        <v>4237</v>
      </c>
      <c r="H3916" s="3" t="s">
        <v>245</v>
      </c>
    </row>
    <row r="3917" spans="1:8" ht="90" x14ac:dyDescent="0.25">
      <c r="A3917" s="3" t="s">
        <v>11765</v>
      </c>
      <c r="B3917" s="3"/>
      <c r="C3917" s="3" t="s">
        <v>11766</v>
      </c>
      <c r="D3917" s="3" t="s">
        <v>11767</v>
      </c>
      <c r="E3917" s="3" t="s">
        <v>11768</v>
      </c>
      <c r="F3917" s="3" t="str">
        <f>"5746351338"</f>
        <v>5746351338</v>
      </c>
      <c r="G3917" s="3">
        <v>541620</v>
      </c>
      <c r="H3917" s="3" t="s">
        <v>216</v>
      </c>
    </row>
    <row r="3918" spans="1:8" ht="39" x14ac:dyDescent="0.25">
      <c r="A3918" s="3" t="s">
        <v>11769</v>
      </c>
      <c r="B3918" s="3"/>
      <c r="C3918" s="3" t="str">
        <f>"HE-BFS, LLC is a Civil Engineering and Surveying firm that provides services to municipalities as well as the private sector."</f>
        <v>HE-BFS, LLC is a Civil Engineering and Surveying firm that provides services to municipalities as well as the private sector.</v>
      </c>
      <c r="D3918" s="3" t="s">
        <v>11770</v>
      </c>
      <c r="E3918" s="3" t="s">
        <v>11771</v>
      </c>
      <c r="F3918" s="3" t="str">
        <f>"765.423.5602"</f>
        <v>765.423.5602</v>
      </c>
      <c r="G3918" s="3">
        <v>541330</v>
      </c>
      <c r="H3918" s="3" t="s">
        <v>82</v>
      </c>
    </row>
    <row r="3919" spans="1:8" ht="90" x14ac:dyDescent="0.25">
      <c r="A3919" s="3" t="s">
        <v>11772</v>
      </c>
      <c r="B3919" s="3"/>
      <c r="C3919" s="3" t="s">
        <v>11773</v>
      </c>
      <c r="D3919" s="3" t="s">
        <v>11774</v>
      </c>
      <c r="E3919" s="3" t="s">
        <v>11775</v>
      </c>
      <c r="F3919" s="3" t="str">
        <f>"317-887-6114"</f>
        <v>317-887-6114</v>
      </c>
      <c r="G3919" s="3">
        <v>541890</v>
      </c>
      <c r="H3919" s="3" t="s">
        <v>401</v>
      </c>
    </row>
    <row r="3920" spans="1:8" ht="39" x14ac:dyDescent="0.25">
      <c r="A3920" s="3" t="s">
        <v>11776</v>
      </c>
      <c r="B3920" s="3"/>
      <c r="C3920" s="3" t="str">
        <f>"Disposable medical supplies, including wound care products and incontinence products"</f>
        <v>Disposable medical supplies, including wound care products and incontinence products</v>
      </c>
      <c r="D3920" s="3" t="s">
        <v>11777</v>
      </c>
      <c r="E3920" s="3" t="s">
        <v>11778</v>
      </c>
      <c r="F3920" s="3" t="str">
        <f>"317 994-6666"</f>
        <v>317 994-6666</v>
      </c>
      <c r="G3920" s="3">
        <v>81299</v>
      </c>
      <c r="H3920" s="3" t="s">
        <v>294</v>
      </c>
    </row>
    <row r="3921" spans="1:8" ht="64.5" x14ac:dyDescent="0.25">
      <c r="A3921" s="3" t="s">
        <v>11779</v>
      </c>
      <c r="B3921" s="3"/>
      <c r="C3921" s="3" t="str">
        <f>"We provide in-home sizing and fitting of diabetic shoes and inserts, industrial footwear, hosiery, footcare products, glucose meters/strips/lancets, and TeleHealth."</f>
        <v>We provide in-home sizing and fitting of diabetic shoes and inserts, industrial footwear, hosiery, footcare products, glucose meters/strips/lancets, and TeleHealth.</v>
      </c>
      <c r="D3921" s="3" t="s">
        <v>11780</v>
      </c>
      <c r="E3921" s="3" t="s">
        <v>11781</v>
      </c>
      <c r="F3921" s="3" t="str">
        <f>"317241-9565"</f>
        <v>317241-9565</v>
      </c>
      <c r="G3921" s="3">
        <v>423450</v>
      </c>
      <c r="H3921" s="3" t="s">
        <v>1406</v>
      </c>
    </row>
    <row r="3922" spans="1:8" ht="26.25" x14ac:dyDescent="0.25">
      <c r="A3922" s="3" t="s">
        <v>11782</v>
      </c>
      <c r="B3922" s="3"/>
      <c r="C3922" s="3" t="str">
        <f>" "</f>
        <v xml:space="preserve"> </v>
      </c>
      <c r="D3922" s="3" t="s">
        <v>9</v>
      </c>
      <c r="E3922" s="3" t="s">
        <v>46</v>
      </c>
      <c r="F3922" s="3" t="str">
        <f>"317-332-3685"</f>
        <v>317-332-3685</v>
      </c>
      <c r="G3922" s="3">
        <v>233</v>
      </c>
      <c r="H3922" s="3" t="s">
        <v>131</v>
      </c>
    </row>
    <row r="3923" spans="1:8" ht="166.5" x14ac:dyDescent="0.25">
      <c r="A3923" s="3" t="s">
        <v>11783</v>
      </c>
      <c r="B3923" s="3"/>
      <c r="C3923" s="3" t="s">
        <v>11784</v>
      </c>
      <c r="D3923" s="3" t="s">
        <v>11785</v>
      </c>
      <c r="E3923" s="3" t="s">
        <v>11786</v>
      </c>
      <c r="F3923" s="3" t="str">
        <f>"1-260-410-8147"</f>
        <v>1-260-410-8147</v>
      </c>
      <c r="G3923" s="3">
        <v>423840</v>
      </c>
      <c r="H3923" s="3" t="s">
        <v>553</v>
      </c>
    </row>
    <row r="3924" spans="1:8" ht="26.25" x14ac:dyDescent="0.25">
      <c r="A3924" s="3" t="s">
        <v>11787</v>
      </c>
      <c r="B3924" s="3"/>
      <c r="C3924" s="3" t="str">
        <f>"Wholesale cement distribution"</f>
        <v>Wholesale cement distribution</v>
      </c>
      <c r="D3924" s="3" t="s">
        <v>9</v>
      </c>
      <c r="E3924" s="3" t="s">
        <v>46</v>
      </c>
      <c r="F3924" s="3" t="str">
        <f>"3172543240"</f>
        <v>3172543240</v>
      </c>
      <c r="G3924" s="3">
        <v>327320</v>
      </c>
      <c r="H3924" s="3" t="s">
        <v>5501</v>
      </c>
    </row>
    <row r="3925" spans="1:8" ht="26.25" x14ac:dyDescent="0.25">
      <c r="A3925" s="3" t="s">
        <v>11788</v>
      </c>
      <c r="B3925" s="3"/>
      <c r="C3925" s="3" t="str">
        <f>"General Contractor, commercial and residential."</f>
        <v>General Contractor, commercial and residential.</v>
      </c>
      <c r="D3925" s="3" t="s">
        <v>11789</v>
      </c>
      <c r="E3925" s="3" t="s">
        <v>46</v>
      </c>
      <c r="F3925" s="3" t="str">
        <f>"317-872-0756"</f>
        <v>317-872-0756</v>
      </c>
      <c r="G3925" s="3">
        <v>233</v>
      </c>
      <c r="H3925" s="3" t="s">
        <v>131</v>
      </c>
    </row>
    <row r="3926" spans="1:8" ht="26.25" x14ac:dyDescent="0.25">
      <c r="A3926" s="3" t="s">
        <v>11790</v>
      </c>
      <c r="B3926" s="3"/>
      <c r="C3926" s="2"/>
      <c r="D3926" s="3" t="s">
        <v>11791</v>
      </c>
      <c r="E3926" s="3" t="s">
        <v>11792</v>
      </c>
      <c r="F3926" s="3" t="str">
        <f>"765-529-2484"</f>
        <v>765-529-2484</v>
      </c>
      <c r="G3926" s="3">
        <v>541860</v>
      </c>
      <c r="H3926" s="3" t="s">
        <v>566</v>
      </c>
    </row>
    <row r="3927" spans="1:8" ht="26.25" x14ac:dyDescent="0.25">
      <c r="A3927" s="3" t="s">
        <v>11793</v>
      </c>
      <c r="B3927" s="3"/>
      <c r="C3927" s="3" t="str">
        <f>"We lease commercial and residential property in Bloomington, IN."</f>
        <v>We lease commercial and residential property in Bloomington, IN.</v>
      </c>
      <c r="D3927" s="3" t="s">
        <v>11794</v>
      </c>
      <c r="E3927" s="3" t="s">
        <v>11795</v>
      </c>
      <c r="F3927" s="3" t="str">
        <f>"812-336-9138"</f>
        <v>812-336-9138</v>
      </c>
      <c r="G3927" s="3">
        <v>531190</v>
      </c>
      <c r="H3927" s="3" t="s">
        <v>1194</v>
      </c>
    </row>
    <row r="3928" spans="1:8" ht="39" x14ac:dyDescent="0.25">
      <c r="A3928" s="3" t="s">
        <v>11796</v>
      </c>
      <c r="B3928" s="3"/>
      <c r="C3928" s="3" t="str">
        <f>"WE ARE A GENERAL HANDYMAN SERVICE THAT DOES EVERTHING FROM ROOFING TO LANDSCAPING."</f>
        <v>WE ARE A GENERAL HANDYMAN SERVICE THAT DOES EVERTHING FROM ROOFING TO LANDSCAPING.</v>
      </c>
      <c r="D3928" s="3" t="s">
        <v>11797</v>
      </c>
      <c r="E3928" s="3" t="s">
        <v>11798</v>
      </c>
      <c r="F3928" s="3" t="str">
        <f>"877-872-9294"</f>
        <v>877-872-9294</v>
      </c>
      <c r="G3928" s="3">
        <v>23</v>
      </c>
      <c r="H3928" s="3" t="s">
        <v>133</v>
      </c>
    </row>
    <row r="3929" spans="1:8" ht="64.5" x14ac:dyDescent="0.25">
      <c r="A3929" s="3" t="s">
        <v>11799</v>
      </c>
      <c r="B3929" s="3"/>
      <c r="C3929" s="3" t="str">
        <f>"Hetrick specializes in helping our clients plan and implement the most strategic and cost-effective mix of public relations, advertising, branding and interactive communications."</f>
        <v>Hetrick specializes in helping our clients plan and implement the most strategic and cost-effective mix of public relations, advertising, branding and interactive communications.</v>
      </c>
      <c r="D3929" s="3" t="s">
        <v>11800</v>
      </c>
      <c r="E3929" s="3" t="s">
        <v>11801</v>
      </c>
      <c r="F3929" s="3" t="str">
        <f>"317-262-8080"</f>
        <v>317-262-8080</v>
      </c>
      <c r="G3929" s="3">
        <v>541820</v>
      </c>
      <c r="H3929" s="3" t="s">
        <v>795</v>
      </c>
    </row>
    <row r="3930" spans="1:8" ht="306.75" x14ac:dyDescent="0.25">
      <c r="A3930" s="3" t="s">
        <v>11802</v>
      </c>
      <c r="B3930" s="3"/>
      <c r="C3930" s="3" t="s">
        <v>11803</v>
      </c>
      <c r="D3930" s="3" t="s">
        <v>9</v>
      </c>
      <c r="E3930" s="3" t="s">
        <v>11804</v>
      </c>
      <c r="F3930" s="2"/>
      <c r="G3930" s="3">
        <v>541410</v>
      </c>
      <c r="H3930" s="3" t="s">
        <v>687</v>
      </c>
    </row>
    <row r="3931" spans="1:8" ht="179.25" x14ac:dyDescent="0.25">
      <c r="A3931" s="3" t="s">
        <v>11805</v>
      </c>
      <c r="B3931" s="3"/>
      <c r="C3931" s="3" t="s">
        <v>11806</v>
      </c>
      <c r="D3931" s="3" t="s">
        <v>9</v>
      </c>
      <c r="E3931" s="3" t="s">
        <v>11807</v>
      </c>
      <c r="F3931" s="3" t="str">
        <f>"219-712-4426"</f>
        <v>219-712-4426</v>
      </c>
      <c r="G3931" s="3">
        <v>561720</v>
      </c>
      <c r="H3931" s="3" t="s">
        <v>222</v>
      </c>
    </row>
    <row r="3932" spans="1:8" ht="204.75" x14ac:dyDescent="0.25">
      <c r="A3932" s="3" t="s">
        <v>11808</v>
      </c>
      <c r="B3932" s="3"/>
      <c r="C3932" s="3" t="s">
        <v>11809</v>
      </c>
      <c r="D3932" s="3" t="s">
        <v>11810</v>
      </c>
      <c r="E3932" s="3" t="s">
        <v>11811</v>
      </c>
      <c r="F3932" s="3" t="str">
        <f>"317-782-0130"</f>
        <v>317-782-0130</v>
      </c>
      <c r="G3932" s="3">
        <v>541512</v>
      </c>
      <c r="H3932" s="3" t="s">
        <v>19</v>
      </c>
    </row>
    <row r="3933" spans="1:8" ht="268.5" x14ac:dyDescent="0.25">
      <c r="A3933" s="3" t="s">
        <v>11812</v>
      </c>
      <c r="B3933" s="3"/>
      <c r="C3933" s="3" t="s">
        <v>11813</v>
      </c>
      <c r="D3933" s="3" t="s">
        <v>11814</v>
      </c>
      <c r="E3933" s="3" t="s">
        <v>11815</v>
      </c>
      <c r="F3933" s="3" t="str">
        <f>"317-683-8033"</f>
        <v>317-683-8033</v>
      </c>
      <c r="G3933" s="3">
        <v>541611</v>
      </c>
      <c r="H3933" s="3" t="s">
        <v>278</v>
      </c>
    </row>
    <row r="3934" spans="1:8" ht="217.5" x14ac:dyDescent="0.25">
      <c r="A3934" s="3" t="s">
        <v>11816</v>
      </c>
      <c r="B3934" s="3"/>
      <c r="C3934" s="3" t="s">
        <v>11817</v>
      </c>
      <c r="D3934" s="3" t="s">
        <v>11818</v>
      </c>
      <c r="E3934" s="3" t="s">
        <v>46</v>
      </c>
      <c r="F3934" s="3" t="str">
        <f>"800-795-6252"</f>
        <v>800-795-6252</v>
      </c>
      <c r="G3934" s="3">
        <v>622</v>
      </c>
      <c r="H3934" s="3" t="s">
        <v>5145</v>
      </c>
    </row>
    <row r="3935" spans="1:8" ht="90" x14ac:dyDescent="0.25">
      <c r="A3935" s="3" t="s">
        <v>11819</v>
      </c>
      <c r="B3935" s="3"/>
      <c r="C3935" s="3" t="str">
        <f>"Hielo Services dba Latin Media is a bilingual advertising Co. We provide English Spanish Interpreters and translators. We do media buys. Marketing includes outreach projects, community awareness efforts, community event staffing, and special events."</f>
        <v>Hielo Services dba Latin Media is a bilingual advertising Co. We provide English Spanish Interpreters and translators. We do media buys. Marketing includes outreach projects, community awareness efforts, community event staffing, and special events.</v>
      </c>
      <c r="D3935" s="3" t="s">
        <v>11820</v>
      </c>
      <c r="E3935" s="3" t="s">
        <v>11821</v>
      </c>
      <c r="F3935" s="3" t="str">
        <f>"219-973-1952"</f>
        <v>219-973-1952</v>
      </c>
      <c r="G3935" s="3">
        <v>541810</v>
      </c>
      <c r="H3935" s="3" t="s">
        <v>976</v>
      </c>
    </row>
    <row r="3936" spans="1:8" ht="39" x14ac:dyDescent="0.25">
      <c r="A3936" s="3" t="s">
        <v>11822</v>
      </c>
      <c r="B3936" s="3"/>
      <c r="C3936" s="3" t="str">
        <f>"COMMERICIAL GRAPHIC DESIGN, WEB DESIGN, PRINT SERVICES FOR GRAPHIC DESIGN, INDIVIDUAL AND BUSINESS TAX PREP"</f>
        <v>COMMERICIAL GRAPHIC DESIGN, WEB DESIGN, PRINT SERVICES FOR GRAPHIC DESIGN, INDIVIDUAL AND BUSINESS TAX PREP</v>
      </c>
      <c r="D3936" s="3" t="s">
        <v>11823</v>
      </c>
      <c r="E3936" s="3" t="s">
        <v>11824</v>
      </c>
      <c r="F3936" s="3" t="str">
        <f>"3173454182"</f>
        <v>3173454182</v>
      </c>
      <c r="G3936" s="3">
        <v>54143</v>
      </c>
      <c r="H3936" s="3" t="s">
        <v>78</v>
      </c>
    </row>
    <row r="3937" spans="1:8" ht="90" x14ac:dyDescent="0.25">
      <c r="A3937" s="3" t="s">
        <v>11825</v>
      </c>
      <c r="B3937" s="3"/>
      <c r="C3937" s="3" t="s">
        <v>11826</v>
      </c>
      <c r="D3937" s="3" t="s">
        <v>11827</v>
      </c>
      <c r="E3937" s="3" t="s">
        <v>11828</v>
      </c>
      <c r="F3937" s="3" t="str">
        <f>"812-547-7704"</f>
        <v>812-547-7704</v>
      </c>
      <c r="G3937" s="3">
        <v>233</v>
      </c>
      <c r="H3937" s="3" t="s">
        <v>131</v>
      </c>
    </row>
    <row r="3938" spans="1:8" ht="64.5" x14ac:dyDescent="0.25">
      <c r="A3938" s="3" t="s">
        <v>11829</v>
      </c>
      <c r="B3938" s="3"/>
      <c r="C3938" s="3" t="str">
        <f>"Hinchman Consulting provides profession services in Novell eDirectory, Novell GroupWise and Novell NetWare. Novell Clustering Services are also strongly supported."</f>
        <v>Hinchman Consulting provides profession services in Novell eDirectory, Novell GroupWise and Novell NetWare. Novell Clustering Services are also strongly supported.</v>
      </c>
      <c r="D3938" s="3" t="s">
        <v>11830</v>
      </c>
      <c r="E3938" s="3" t="s">
        <v>11831</v>
      </c>
      <c r="F3938" s="3" t="str">
        <f>"3173290288"</f>
        <v>3173290288</v>
      </c>
      <c r="G3938" s="3">
        <v>541512</v>
      </c>
      <c r="H3938" s="3" t="s">
        <v>19</v>
      </c>
    </row>
    <row r="3939" spans="1:8" ht="90" x14ac:dyDescent="0.25">
      <c r="A3939" s="3" t="s">
        <v>11832</v>
      </c>
      <c r="B3939" s="3"/>
      <c r="C3939" s="3" t="s">
        <v>11833</v>
      </c>
      <c r="D3939" s="3" t="s">
        <v>11834</v>
      </c>
      <c r="E3939" s="3" t="s">
        <v>11835</v>
      </c>
      <c r="F3939" s="3" t="str">
        <f>"317-784-9385"</f>
        <v>317-784-9385</v>
      </c>
      <c r="G3939" s="3">
        <v>423420</v>
      </c>
      <c r="H3939" s="3" t="s">
        <v>521</v>
      </c>
    </row>
    <row r="3940" spans="1:8" ht="39" x14ac:dyDescent="0.25">
      <c r="A3940" s="3" t="s">
        <v>11836</v>
      </c>
      <c r="B3940" s="3"/>
      <c r="C3940" s="3" t="str">
        <f>"HIS Constructors, LLC is a leader in providing civil, environmental, industrial and excavation construction services."</f>
        <v>HIS Constructors, LLC is a leader in providing civil, environmental, industrial and excavation construction services.</v>
      </c>
      <c r="D3940" s="3" t="s">
        <v>11837</v>
      </c>
      <c r="E3940" s="3" t="s">
        <v>11838</v>
      </c>
      <c r="F3940" s="3" t="str">
        <f>"317-541-9290"</f>
        <v>317-541-9290</v>
      </c>
      <c r="G3940" s="3">
        <v>562910</v>
      </c>
      <c r="H3940" s="3" t="s">
        <v>2278</v>
      </c>
    </row>
    <row r="3941" spans="1:8" x14ac:dyDescent="0.25">
      <c r="A3941" s="3" t="s">
        <v>11839</v>
      </c>
      <c r="B3941" s="3"/>
      <c r="C3941" s="2"/>
      <c r="D3941" s="3" t="s">
        <v>9</v>
      </c>
      <c r="E3941" s="3" t="s">
        <v>46</v>
      </c>
      <c r="F3941" s="2"/>
      <c r="G3941" s="3">
        <v>453930</v>
      </c>
      <c r="H3941" s="3" t="s">
        <v>8257</v>
      </c>
    </row>
    <row r="3942" spans="1:8" ht="332.25" x14ac:dyDescent="0.25">
      <c r="A3942" s="3" t="s">
        <v>11840</v>
      </c>
      <c r="B3942" s="3"/>
      <c r="C3942" s="3" t="s">
        <v>11841</v>
      </c>
      <c r="D3942" s="3" t="s">
        <v>11842</v>
      </c>
      <c r="E3942" s="3" t="s">
        <v>11843</v>
      </c>
      <c r="F3942" s="3" t="str">
        <f>"317-660-1098"</f>
        <v>317-660-1098</v>
      </c>
      <c r="G3942" s="3">
        <v>541611</v>
      </c>
      <c r="H3942" s="3" t="s">
        <v>278</v>
      </c>
    </row>
    <row r="3943" spans="1:8" ht="217.5" x14ac:dyDescent="0.25">
      <c r="A3943" s="3" t="s">
        <v>11844</v>
      </c>
      <c r="B3943" s="3"/>
      <c r="C3943" s="3" t="s">
        <v>11845</v>
      </c>
      <c r="D3943" s="3" t="s">
        <v>11846</v>
      </c>
      <c r="E3943" s="3" t="s">
        <v>11847</v>
      </c>
      <c r="F3943" s="3" t="str">
        <f>"317-536-2055"</f>
        <v>317-536-2055</v>
      </c>
      <c r="G3943" s="3">
        <v>541410</v>
      </c>
      <c r="H3943" s="3" t="s">
        <v>687</v>
      </c>
    </row>
    <row r="3944" spans="1:8" ht="51.75" x14ac:dyDescent="0.25">
      <c r="A3944" s="3" t="s">
        <v>11848</v>
      </c>
      <c r="B3944" s="3"/>
      <c r="C3944" s="3" t="str">
        <f>"HMH Contractors, Inc. is a Service Disabled Veteran owned business based in Kokomo, Indiana and is a leader in commercial and industrial mechanical contracting."</f>
        <v>HMH Contractors, Inc. is a Service Disabled Veteran owned business based in Kokomo, Indiana and is a leader in commercial and industrial mechanical contracting.</v>
      </c>
      <c r="D3944" s="3" t="s">
        <v>11849</v>
      </c>
      <c r="E3944" s="3" t="s">
        <v>46</v>
      </c>
      <c r="F3944" s="3" t="str">
        <f>"7654507069"</f>
        <v>7654507069</v>
      </c>
      <c r="G3944" s="3">
        <v>238220</v>
      </c>
      <c r="H3944" s="3" t="s">
        <v>348</v>
      </c>
    </row>
    <row r="3945" spans="1:8" ht="51.75" x14ac:dyDescent="0.25">
      <c r="A3945" s="3" t="s">
        <v>11850</v>
      </c>
      <c r="B3945" s="3"/>
      <c r="C3945" s="3" t="str">
        <f>"Sub contractor/consultant for Facility Support services on Power, lighting, facility layouts, energy management, environment management and facility equipment."</f>
        <v>Sub contractor/consultant for Facility Support services on Power, lighting, facility layouts, energy management, environment management and facility equipment.</v>
      </c>
      <c r="D3945" s="3" t="s">
        <v>11851</v>
      </c>
      <c r="E3945" s="3" t="s">
        <v>11852</v>
      </c>
      <c r="F3945" s="3" t="str">
        <f>"812-343-9365"</f>
        <v>812-343-9365</v>
      </c>
      <c r="G3945" s="3">
        <v>561210</v>
      </c>
      <c r="H3945" s="3" t="s">
        <v>1697</v>
      </c>
    </row>
    <row r="3946" spans="1:8" ht="39" x14ac:dyDescent="0.25">
      <c r="A3946" s="3" t="s">
        <v>11853</v>
      </c>
      <c r="B3946" s="3"/>
      <c r="C3946" s="3" t="str">
        <f>"Consulting firm specializing in providing business management services to Healthcare Providers."</f>
        <v>Consulting firm specializing in providing business management services to Healthcare Providers.</v>
      </c>
      <c r="D3946" s="3" t="s">
        <v>11854</v>
      </c>
      <c r="E3946" s="3" t="s">
        <v>11855</v>
      </c>
      <c r="F3946" s="3" t="str">
        <f>"219-787-1510"</f>
        <v>219-787-1510</v>
      </c>
      <c r="G3946" s="3">
        <v>541611</v>
      </c>
      <c r="H3946" s="3" t="s">
        <v>278</v>
      </c>
    </row>
    <row r="3947" spans="1:8" ht="217.5" x14ac:dyDescent="0.25">
      <c r="A3947" s="3" t="s">
        <v>11856</v>
      </c>
      <c r="B3947" s="3"/>
      <c r="C3947" s="3" t="s">
        <v>11857</v>
      </c>
      <c r="D3947" s="3" t="s">
        <v>11858</v>
      </c>
      <c r="E3947" s="3" t="s">
        <v>11859</v>
      </c>
      <c r="F3947" s="3" t="str">
        <f>"317-636-4682"</f>
        <v>317-636-4682</v>
      </c>
      <c r="G3947" s="3">
        <v>54133</v>
      </c>
      <c r="H3947" s="3" t="s">
        <v>82</v>
      </c>
    </row>
    <row r="3948" spans="1:8" ht="26.25" x14ac:dyDescent="0.25">
      <c r="A3948" s="3" t="s">
        <v>11860</v>
      </c>
      <c r="B3948" s="3"/>
      <c r="C3948" s="3" t="str">
        <f>"Engineering Services/Consulting"</f>
        <v>Engineering Services/Consulting</v>
      </c>
      <c r="D3948" s="3" t="s">
        <v>11858</v>
      </c>
      <c r="E3948" s="3" t="s">
        <v>46</v>
      </c>
      <c r="F3948" s="3" t="str">
        <f>"816-472-1201"</f>
        <v>816-472-1201</v>
      </c>
      <c r="G3948" s="3">
        <v>541330</v>
      </c>
      <c r="H3948" s="3" t="s">
        <v>82</v>
      </c>
    </row>
    <row r="3949" spans="1:8" ht="39" x14ac:dyDescent="0.25">
      <c r="A3949" s="3" t="s">
        <v>11861</v>
      </c>
      <c r="B3949" s="3"/>
      <c r="C3949" s="3" t="str">
        <f>"Long-term rental and maintenance of trash removal equipment"</f>
        <v>Long-term rental and maintenance of trash removal equipment</v>
      </c>
      <c r="D3949" s="3" t="s">
        <v>9</v>
      </c>
      <c r="E3949" s="3" t="s">
        <v>11862</v>
      </c>
      <c r="F3949" s="3" t="str">
        <f>"317-861-5515"</f>
        <v>317-861-5515</v>
      </c>
      <c r="G3949" s="3">
        <v>532490</v>
      </c>
      <c r="H3949" s="3" t="s">
        <v>1673</v>
      </c>
    </row>
    <row r="3950" spans="1:8" ht="77.25" x14ac:dyDescent="0.25">
      <c r="A3950" s="3" t="s">
        <v>11863</v>
      </c>
      <c r="B3950" s="3"/>
      <c r="C3950" s="3" t="str">
        <f>"Holt Equipment Company is the authorized dealer for John Deere Construction and Forestry Products for most of Indiana and Kentucky. Sales, Rentals, Parts &amp; Service for all makes of construction &amp; forestry equipment."</f>
        <v>Holt Equipment Company is the authorized dealer for John Deere Construction and Forestry Products for most of Indiana and Kentucky. Sales, Rentals, Parts &amp; Service for all makes of construction &amp; forestry equipment.</v>
      </c>
      <c r="D3950" s="3" t="s">
        <v>11864</v>
      </c>
      <c r="E3950" s="3" t="s">
        <v>46</v>
      </c>
      <c r="F3950" s="3" t="str">
        <f>"502-254-0758"</f>
        <v>502-254-0758</v>
      </c>
      <c r="G3950" s="3">
        <v>423810</v>
      </c>
      <c r="H3950" s="3" t="s">
        <v>4276</v>
      </c>
    </row>
    <row r="3951" spans="1:8" ht="51.75" x14ac:dyDescent="0.25">
      <c r="A3951" s="3" t="s">
        <v>11865</v>
      </c>
      <c r="B3951" s="3"/>
      <c r="C3951" s="3" t="str">
        <f>"Manufacturer of Steel Security Storm Doors, Steel Entry Doors, and Vinyl Replacement Windows for the residential and commercial market."</f>
        <v>Manufacturer of Steel Security Storm Doors, Steel Entry Doors, and Vinyl Replacement Windows for the residential and commercial market.</v>
      </c>
      <c r="D3951" s="3" t="s">
        <v>11866</v>
      </c>
      <c r="E3951" s="3" t="s">
        <v>46</v>
      </c>
      <c r="F3951" s="2"/>
      <c r="G3951" s="3">
        <v>332321</v>
      </c>
      <c r="H3951" s="3" t="s">
        <v>7074</v>
      </c>
    </row>
    <row r="3952" spans="1:8" ht="26.25" x14ac:dyDescent="0.25">
      <c r="A3952" s="3" t="s">
        <v>11867</v>
      </c>
      <c r="B3952" s="3"/>
      <c r="C3952" s="3" t="str">
        <f>"Office Machines, including copiers, printers, etc. Sales, Service, &amp; Networking"</f>
        <v>Office Machines, including copiers, printers, etc. Sales, Service, &amp; Networking</v>
      </c>
      <c r="D3952" s="3" t="s">
        <v>11868</v>
      </c>
      <c r="E3952" s="3" t="s">
        <v>11869</v>
      </c>
      <c r="F3952" s="3" t="str">
        <f>"812-482-3736"</f>
        <v>812-482-3736</v>
      </c>
      <c r="G3952" s="3">
        <v>423420</v>
      </c>
      <c r="H3952" s="3" t="s">
        <v>521</v>
      </c>
    </row>
    <row r="3953" spans="1:8" ht="77.25" x14ac:dyDescent="0.25">
      <c r="A3953" s="3" t="s">
        <v>11870</v>
      </c>
      <c r="B3953" s="3"/>
      <c r="C3953" s="3" t="str">
        <f>"The Hoosier Company, Inc. is involved in highway sign, traffic signal, lighting and intelligent transportation systems construction; installation and repair of airport runway signs and lighting; as well as distributing highway safety products."</f>
        <v>The Hoosier Company, Inc. is involved in highway sign, traffic signal, lighting and intelligent transportation systems construction; installation and repair of airport runway signs and lighting; as well as distributing highway safety products.</v>
      </c>
      <c r="D3953" s="3" t="s">
        <v>11871</v>
      </c>
      <c r="E3953" s="3" t="s">
        <v>11872</v>
      </c>
      <c r="F3953" s="3" t="str">
        <f>"317-872-8125"</f>
        <v>317-872-8125</v>
      </c>
      <c r="G3953" s="3">
        <v>237310</v>
      </c>
      <c r="H3953" s="3" t="s">
        <v>768</v>
      </c>
    </row>
    <row r="3954" spans="1:8" ht="102.75" x14ac:dyDescent="0.25">
      <c r="A3954" s="3" t="s">
        <v>11873</v>
      </c>
      <c r="B3954" s="3"/>
      <c r="C3954" s="3" t="s">
        <v>11874</v>
      </c>
      <c r="D3954" s="3" t="s">
        <v>11875</v>
      </c>
      <c r="E3954" s="3" t="s">
        <v>11876</v>
      </c>
      <c r="F3954" s="3" t="str">
        <f>"219-262-9622"</f>
        <v>219-262-9622</v>
      </c>
      <c r="G3954" s="3">
        <v>541990</v>
      </c>
      <c r="H3954" s="3" t="s">
        <v>378</v>
      </c>
    </row>
    <row r="3955" spans="1:8" ht="39" x14ac:dyDescent="0.25">
      <c r="A3955" s="3" t="s">
        <v>11877</v>
      </c>
      <c r="B3955" s="3"/>
      <c r="C3955" s="3" t="str">
        <f>"We specialize in sporting goods, sports uniforms, screen printing, embroidery and vinyl design and application"</f>
        <v>We specialize in sporting goods, sports uniforms, screen printing, embroidery and vinyl design and application</v>
      </c>
      <c r="D3955" s="3" t="s">
        <v>9</v>
      </c>
      <c r="E3955" s="3" t="s">
        <v>11878</v>
      </c>
      <c r="F3955" s="3" t="str">
        <f>"812-847-0257"</f>
        <v>812-847-0257</v>
      </c>
      <c r="G3955" s="3">
        <v>451110</v>
      </c>
      <c r="H3955" s="3" t="s">
        <v>3110</v>
      </c>
    </row>
    <row r="3956" spans="1:8" ht="90" x14ac:dyDescent="0.25">
      <c r="A3956" s="3" t="s">
        <v>11879</v>
      </c>
      <c r="B3956" s="3"/>
      <c r="C3956" s="3" t="s">
        <v>11880</v>
      </c>
      <c r="D3956" s="3" t="s">
        <v>11881</v>
      </c>
      <c r="E3956" s="3" t="s">
        <v>11882</v>
      </c>
      <c r="F3956" s="3" t="str">
        <f>"8126031508"</f>
        <v>8126031508</v>
      </c>
      <c r="G3956" s="3">
        <v>22111</v>
      </c>
      <c r="H3956" s="3" t="s">
        <v>11111</v>
      </c>
    </row>
    <row r="3957" spans="1:8" ht="77.25" x14ac:dyDescent="0.25">
      <c r="A3957" s="3" t="s">
        <v>11883</v>
      </c>
      <c r="B3957" s="3"/>
      <c r="C3957" s="3" t="str">
        <f>"We install fiberglass, cellulose, and foam-in-place polyurethane foam along with other types of insulation and specialized urethane coatings. We insulate residential and commercial buildings. Our customers are individuals and contractors."</f>
        <v>We install fiberglass, cellulose, and foam-in-place polyurethane foam along with other types of insulation and specialized urethane coatings. We insulate residential and commercial buildings. Our customers are individuals and contractors.</v>
      </c>
      <c r="D3957" s="3" t="s">
        <v>11884</v>
      </c>
      <c r="E3957" s="3" t="s">
        <v>11885</v>
      </c>
      <c r="F3957" s="3" t="str">
        <f>"765-654-5567"</f>
        <v>765-654-5567</v>
      </c>
      <c r="G3957" s="3">
        <v>23542</v>
      </c>
      <c r="H3957" s="3" t="s">
        <v>7405</v>
      </c>
    </row>
    <row r="3958" spans="1:8" ht="26.25" x14ac:dyDescent="0.25">
      <c r="A3958" s="3" t="s">
        <v>11886</v>
      </c>
      <c r="B3958" s="3"/>
      <c r="C3958" s="2"/>
      <c r="D3958" s="3" t="s">
        <v>9</v>
      </c>
      <c r="E3958" s="3" t="s">
        <v>11887</v>
      </c>
      <c r="F3958" s="3" t="str">
        <f>"317-272-5191"</f>
        <v>317-272-5191</v>
      </c>
      <c r="G3958" s="3">
        <v>454210</v>
      </c>
      <c r="H3958" s="3" t="s">
        <v>2889</v>
      </c>
    </row>
    <row r="3959" spans="1:8" ht="77.25" x14ac:dyDescent="0.25">
      <c r="A3959" s="3" t="s">
        <v>11888</v>
      </c>
      <c r="B3959" s="3"/>
      <c r="C3959" s="3" t="str">
        <f>"HP Products is a provider of Janitorial/custodial supplies, safety products, laundry/warewash supplies &amp; equipment, linen/textiles, packaging supplies &amp; equipment, disposable paper products, and floor care equipment."</f>
        <v>HP Products is a provider of Janitorial/custodial supplies, safety products, laundry/warewash supplies &amp; equipment, linen/textiles, packaging supplies &amp; equipment, disposable paper products, and floor care equipment.</v>
      </c>
      <c r="D3959" s="3" t="s">
        <v>11889</v>
      </c>
      <c r="E3959" s="3" t="s">
        <v>11890</v>
      </c>
      <c r="F3959" s="3" t="str">
        <f>"800-382-5326"</f>
        <v>800-382-5326</v>
      </c>
      <c r="G3959" s="3">
        <v>423850</v>
      </c>
      <c r="H3959" s="3" t="s">
        <v>419</v>
      </c>
    </row>
    <row r="3960" spans="1:8" ht="26.25" x14ac:dyDescent="0.25">
      <c r="A3960" s="3" t="s">
        <v>11891</v>
      </c>
      <c r="B3960" s="3"/>
      <c r="C3960" s="3" t="str">
        <f>"To provide marketing and advertising assistance to clients."</f>
        <v>To provide marketing and advertising assistance to clients.</v>
      </c>
      <c r="D3960" s="3" t="s">
        <v>11892</v>
      </c>
      <c r="E3960" s="3" t="s">
        <v>11893</v>
      </c>
      <c r="F3960" s="3" t="str">
        <f>"260-459-2525"</f>
        <v>260-459-2525</v>
      </c>
      <c r="G3960" s="3">
        <v>541810</v>
      </c>
      <c r="H3960" s="3" t="s">
        <v>976</v>
      </c>
    </row>
    <row r="3961" spans="1:8" ht="204.75" x14ac:dyDescent="0.25">
      <c r="A3961" s="3" t="s">
        <v>11894</v>
      </c>
      <c r="B3961" s="3"/>
      <c r="C3961" s="3" t="s">
        <v>11895</v>
      </c>
      <c r="D3961" s="3" t="s">
        <v>11896</v>
      </c>
      <c r="E3961" s="3" t="s">
        <v>11897</v>
      </c>
      <c r="F3961" s="3" t="str">
        <f>"317-875-6000"</f>
        <v>317-875-6000</v>
      </c>
      <c r="G3961" s="3">
        <v>532420</v>
      </c>
      <c r="H3961" s="3" t="s">
        <v>5166</v>
      </c>
    </row>
    <row r="3962" spans="1:8" ht="179.25" x14ac:dyDescent="0.25">
      <c r="A3962" s="3" t="s">
        <v>11898</v>
      </c>
      <c r="B3962" s="3"/>
      <c r="C3962" s="3" t="s">
        <v>11899</v>
      </c>
      <c r="D3962" s="3" t="s">
        <v>11900</v>
      </c>
      <c r="E3962" s="3" t="s">
        <v>11901</v>
      </c>
      <c r="F3962" s="3" t="str">
        <f>"317-859-0362"</f>
        <v>317-859-0362</v>
      </c>
      <c r="G3962" s="3">
        <v>541611</v>
      </c>
      <c r="H3962" s="3" t="s">
        <v>278</v>
      </c>
    </row>
    <row r="3963" spans="1:8" ht="319.5" x14ac:dyDescent="0.25">
      <c r="A3963" s="3" t="s">
        <v>11902</v>
      </c>
      <c r="B3963" s="3"/>
      <c r="C3963" s="3" t="s">
        <v>11903</v>
      </c>
      <c r="D3963" s="3" t="s">
        <v>11904</v>
      </c>
      <c r="E3963" s="3" t="s">
        <v>11905</v>
      </c>
      <c r="F3963" s="3" t="str">
        <f>"317-339-4766"</f>
        <v>317-339-4766</v>
      </c>
      <c r="G3963" s="3">
        <v>541612</v>
      </c>
      <c r="H3963" s="3" t="s">
        <v>1923</v>
      </c>
    </row>
    <row r="3964" spans="1:8" ht="26.25" x14ac:dyDescent="0.25">
      <c r="A3964" s="3" t="s">
        <v>11906</v>
      </c>
      <c r="B3964" s="3"/>
      <c r="C3964" s="3" t="str">
        <f>"Worldwide Inspection, Engineering, and Expediting Services"</f>
        <v>Worldwide Inspection, Engineering, and Expediting Services</v>
      </c>
      <c r="D3964" s="3" t="s">
        <v>11907</v>
      </c>
      <c r="E3964" s="3" t="s">
        <v>11908</v>
      </c>
      <c r="F3964" s="3" t="str">
        <f>"412-788-2522"</f>
        <v>412-788-2522</v>
      </c>
      <c r="G3964" s="3">
        <v>541990</v>
      </c>
      <c r="H3964" s="3" t="s">
        <v>378</v>
      </c>
    </row>
    <row r="3965" spans="1:8" ht="64.5" x14ac:dyDescent="0.25">
      <c r="A3965" s="3" t="s">
        <v>11909</v>
      </c>
      <c r="B3965" s="3"/>
      <c r="C3965" s="3" t="str">
        <f>"A HR consulting business that provides services such as staffing/hiring, training and development, payroll management, benefits and compensation, all HR services for small businesses."</f>
        <v>A HR consulting business that provides services such as staffing/hiring, training and development, payroll management, benefits and compensation, all HR services for small businesses.</v>
      </c>
      <c r="D3965" s="3" t="s">
        <v>9</v>
      </c>
      <c r="E3965" s="3" t="s">
        <v>11910</v>
      </c>
      <c r="F3965" s="3" t="str">
        <f>"3178018663"</f>
        <v>3178018663</v>
      </c>
      <c r="G3965" s="3">
        <v>541612</v>
      </c>
      <c r="H3965" s="3" t="s">
        <v>1923</v>
      </c>
    </row>
    <row r="3966" spans="1:8" ht="294" x14ac:dyDescent="0.25">
      <c r="A3966" s="3" t="s">
        <v>11911</v>
      </c>
      <c r="B3966" s="3"/>
      <c r="C3966" s="3" t="s">
        <v>11912</v>
      </c>
      <c r="D3966" s="3" t="s">
        <v>11913</v>
      </c>
      <c r="E3966" s="3" t="s">
        <v>11914</v>
      </c>
      <c r="F3966" s="3" t="str">
        <f>"317/430-9710"</f>
        <v>317/430-9710</v>
      </c>
      <c r="G3966" s="3">
        <v>541611</v>
      </c>
      <c r="H3966" s="3" t="s">
        <v>278</v>
      </c>
    </row>
    <row r="3967" spans="1:8" ht="26.25" x14ac:dyDescent="0.25">
      <c r="A3967" s="3" t="s">
        <v>11915</v>
      </c>
      <c r="B3967" s="3"/>
      <c r="C3967" s="2"/>
      <c r="D3967" s="3" t="s">
        <v>11916</v>
      </c>
      <c r="E3967" s="3" t="s">
        <v>46</v>
      </c>
      <c r="F3967" s="3" t="str">
        <f>"317-882-4389"</f>
        <v>317-882-4389</v>
      </c>
      <c r="G3967" s="3">
        <v>441110</v>
      </c>
      <c r="H3967" s="3" t="s">
        <v>2588</v>
      </c>
    </row>
    <row r="3968" spans="1:8" ht="26.25" x14ac:dyDescent="0.25">
      <c r="A3968" s="3" t="s">
        <v>11917</v>
      </c>
      <c r="B3968" s="3"/>
      <c r="C3968" s="2"/>
      <c r="D3968" s="3" t="s">
        <v>11916</v>
      </c>
      <c r="E3968" s="3" t="s">
        <v>46</v>
      </c>
      <c r="F3968" s="3" t="str">
        <f>"317-859-7788"</f>
        <v>317-859-7788</v>
      </c>
      <c r="G3968" s="3">
        <v>441110</v>
      </c>
      <c r="H3968" s="3" t="s">
        <v>2588</v>
      </c>
    </row>
    <row r="3969" spans="1:8" ht="39" x14ac:dyDescent="0.25">
      <c r="A3969" s="3" t="s">
        <v>11918</v>
      </c>
      <c r="B3969" s="3"/>
      <c r="C3969" s="3" t="str">
        <f>"My company provides industrial cleaning products for maintenance of your buildings and work areas."</f>
        <v>My company provides industrial cleaning products for maintenance of your buildings and work areas.</v>
      </c>
      <c r="D3969" s="3" t="s">
        <v>9</v>
      </c>
      <c r="E3969" s="3" t="s">
        <v>11919</v>
      </c>
      <c r="F3969" s="3" t="str">
        <f>"5133123167"</f>
        <v>5133123167</v>
      </c>
      <c r="G3969" s="3">
        <v>424690</v>
      </c>
      <c r="H3969" s="3" t="s">
        <v>2494</v>
      </c>
    </row>
    <row r="3970" spans="1:8" ht="26.25" x14ac:dyDescent="0.25">
      <c r="A3970" s="3" t="s">
        <v>11920</v>
      </c>
      <c r="B3970" s="3"/>
      <c r="C3970" s="3" t="str">
        <f>"Office Supply"</f>
        <v>Office Supply</v>
      </c>
      <c r="D3970" s="3" t="s">
        <v>9</v>
      </c>
      <c r="E3970" s="3" t="s">
        <v>11921</v>
      </c>
      <c r="F3970" s="3" t="str">
        <f>"812-254-0495"</f>
        <v>812-254-0495</v>
      </c>
      <c r="G3970" s="3">
        <v>453210</v>
      </c>
      <c r="H3970" s="3" t="s">
        <v>431</v>
      </c>
    </row>
    <row r="3971" spans="1:8" ht="26.25" x14ac:dyDescent="0.25">
      <c r="A3971" s="3" t="s">
        <v>11922</v>
      </c>
      <c r="B3971" s="3"/>
      <c r="C3971" s="3" t="str">
        <f>"Annual certification testing for fire department ground ladders"</f>
        <v>Annual certification testing for fire department ground ladders</v>
      </c>
      <c r="D3971" s="3" t="s">
        <v>9</v>
      </c>
      <c r="E3971" s="3" t="s">
        <v>46</v>
      </c>
      <c r="F3971" s="3" t="str">
        <f>"317-727-0263"</f>
        <v>317-727-0263</v>
      </c>
      <c r="G3971" s="3">
        <v>238</v>
      </c>
      <c r="H3971" s="3" t="s">
        <v>397</v>
      </c>
    </row>
    <row r="3972" spans="1:8" ht="153.75" x14ac:dyDescent="0.25">
      <c r="A3972" s="3" t="s">
        <v>11923</v>
      </c>
      <c r="B3972" s="3"/>
      <c r="C3972" s="3" t="s">
        <v>11924</v>
      </c>
      <c r="D3972" s="3" t="s">
        <v>11925</v>
      </c>
      <c r="E3972" s="3" t="s">
        <v>11926</v>
      </c>
      <c r="F3972" s="3" t="str">
        <f>"765-653-3019"</f>
        <v>765-653-3019</v>
      </c>
      <c r="G3972" s="3">
        <v>444210</v>
      </c>
      <c r="H3972" s="3" t="s">
        <v>392</v>
      </c>
    </row>
    <row r="3973" spans="1:8" ht="39" x14ac:dyDescent="0.25">
      <c r="A3973" s="3" t="s">
        <v>11927</v>
      </c>
      <c r="B3973" s="3"/>
      <c r="C3973" s="3" t="str">
        <f>"A member of Parkview Health since 1995, PHH is a charitable, not-for-profit, community hospital."</f>
        <v>A member of Parkview Health since 1995, PHH is a charitable, not-for-profit, community hospital.</v>
      </c>
      <c r="D3973" s="3" t="s">
        <v>4934</v>
      </c>
      <c r="E3973" s="3" t="s">
        <v>46</v>
      </c>
      <c r="F3973" s="3" t="str">
        <f>"260-355-3000"</f>
        <v>260-355-3000</v>
      </c>
      <c r="G3973" s="3">
        <v>622110</v>
      </c>
      <c r="H3973" s="3" t="s">
        <v>3335</v>
      </c>
    </row>
    <row r="3974" spans="1:8" ht="77.25" x14ac:dyDescent="0.25">
      <c r="A3974" s="3" t="s">
        <v>11928</v>
      </c>
      <c r="B3974" s="3"/>
      <c r="C3974" s="3" t="str">
        <f>"We manufacture and sell 8 models of Hurricane Ditcher for various drainage applications, such as terracing, making or maintaining ditches for field or roadside drainage and mowing. We are also a dealer for Rowse and Garfield Scrapers."</f>
        <v>We manufacture and sell 8 models of Hurricane Ditcher for various drainage applications, such as terracing, making or maintaining ditches for field or roadside drainage and mowing. We are also a dealer for Rowse and Garfield Scrapers.</v>
      </c>
      <c r="D3974" s="3" t="s">
        <v>11929</v>
      </c>
      <c r="E3974" s="3" t="s">
        <v>11930</v>
      </c>
      <c r="F3974" s="3" t="str">
        <f>"812-886-9663"</f>
        <v>812-886-9663</v>
      </c>
      <c r="G3974" s="3">
        <v>33312</v>
      </c>
      <c r="H3974" s="3" t="s">
        <v>11931</v>
      </c>
    </row>
    <row r="3975" spans="1:8" ht="102.75" x14ac:dyDescent="0.25">
      <c r="A3975" s="3" t="s">
        <v>11932</v>
      </c>
      <c r="B3975" s="3"/>
      <c r="C3975" s="3" t="s">
        <v>11933</v>
      </c>
      <c r="D3975" s="3" t="s">
        <v>11934</v>
      </c>
      <c r="E3975" s="3" t="s">
        <v>11935</v>
      </c>
      <c r="F3975" s="3" t="str">
        <f>"260-484-5296"</f>
        <v>260-484-5296</v>
      </c>
      <c r="G3975" s="3">
        <v>238220</v>
      </c>
      <c r="H3975" s="3" t="s">
        <v>348</v>
      </c>
    </row>
    <row r="3976" spans="1:8" ht="39" x14ac:dyDescent="0.25">
      <c r="A3976" s="3" t="s">
        <v>11936</v>
      </c>
      <c r="B3976" s="3"/>
      <c r="C3976" s="3" t="str">
        <f>"HVAC Service and Equipment Replacement provider. Building Automation and LED Lighting Service and Installation Provider"</f>
        <v>HVAC Service and Equipment Replacement provider. Building Automation and LED Lighting Service and Installation Provider</v>
      </c>
      <c r="D3976" s="3" t="s">
        <v>11937</v>
      </c>
      <c r="E3976" s="3" t="s">
        <v>11938</v>
      </c>
      <c r="F3976" s="3" t="str">
        <f>"317-390-1500"</f>
        <v>317-390-1500</v>
      </c>
      <c r="G3976" s="3">
        <v>238220</v>
      </c>
      <c r="H3976" s="3" t="s">
        <v>348</v>
      </c>
    </row>
    <row r="3977" spans="1:8" ht="26.25" x14ac:dyDescent="0.25">
      <c r="A3977" s="3" t="s">
        <v>11939</v>
      </c>
      <c r="B3977" s="3"/>
      <c r="C3977" s="3" t="str">
        <f>" "</f>
        <v xml:space="preserve"> </v>
      </c>
      <c r="D3977" s="3" t="s">
        <v>11940</v>
      </c>
      <c r="E3977" s="3" t="s">
        <v>11941</v>
      </c>
      <c r="F3977" s="3" t="str">
        <f>"317-780-6980"</f>
        <v>317-780-6980</v>
      </c>
      <c r="G3977" s="3">
        <v>236220</v>
      </c>
      <c r="H3977" s="3" t="s">
        <v>598</v>
      </c>
    </row>
    <row r="3978" spans="1:8" x14ac:dyDescent="0.25">
      <c r="A3978" s="3" t="s">
        <v>11942</v>
      </c>
      <c r="B3978" s="3"/>
      <c r="C3978" s="3" t="str">
        <f>"PIPELINE CLEANING AND VACTING"</f>
        <v>PIPELINE CLEANING AND VACTING</v>
      </c>
      <c r="D3978" s="3" t="s">
        <v>11943</v>
      </c>
      <c r="E3978" s="3" t="s">
        <v>46</v>
      </c>
      <c r="F3978" s="2"/>
      <c r="G3978" s="3">
        <v>23</v>
      </c>
      <c r="H3978" s="3" t="s">
        <v>133</v>
      </c>
    </row>
    <row r="3979" spans="1:8" ht="128.25" x14ac:dyDescent="0.25">
      <c r="A3979" s="3" t="s">
        <v>11944</v>
      </c>
      <c r="B3979" s="3"/>
      <c r="C3979" s="3" t="s">
        <v>11945</v>
      </c>
      <c r="D3979" s="3" t="s">
        <v>11946</v>
      </c>
      <c r="E3979" s="3" t="s">
        <v>11947</v>
      </c>
      <c r="F3979" s="3" t="str">
        <f>"219-872-9407"</f>
        <v>219-872-9407</v>
      </c>
      <c r="G3979" s="3">
        <v>5413</v>
      </c>
      <c r="H3979" s="3" t="s">
        <v>1116</v>
      </c>
    </row>
    <row r="3980" spans="1:8" ht="26.25" x14ac:dyDescent="0.25">
      <c r="A3980" s="3" t="s">
        <v>11948</v>
      </c>
      <c r="B3980" s="3"/>
      <c r="C3980" s="3" t="str">
        <f>"Consulting Forestry"</f>
        <v>Consulting Forestry</v>
      </c>
      <c r="D3980" s="3" t="s">
        <v>9</v>
      </c>
      <c r="E3980" s="3" t="s">
        <v>46</v>
      </c>
      <c r="F3980" s="3" t="str">
        <f>"812 320 3678"</f>
        <v>812 320 3678</v>
      </c>
      <c r="G3980" s="3">
        <v>541620</v>
      </c>
      <c r="H3980" s="3" t="s">
        <v>216</v>
      </c>
    </row>
    <row r="3981" spans="1:8" ht="26.25" x14ac:dyDescent="0.25">
      <c r="A3981" s="3" t="s">
        <v>11949</v>
      </c>
      <c r="B3981" s="3"/>
      <c r="C3981" s="2"/>
      <c r="D3981" s="3" t="s">
        <v>11950</v>
      </c>
      <c r="E3981" s="3" t="s">
        <v>46</v>
      </c>
      <c r="F3981" s="3" t="str">
        <f>"219-322-7417"</f>
        <v>219-322-7417</v>
      </c>
      <c r="G3981" s="3">
        <v>333618</v>
      </c>
      <c r="H3981" s="3" t="s">
        <v>11951</v>
      </c>
    </row>
    <row r="3982" spans="1:8" ht="39" x14ac:dyDescent="0.25">
      <c r="A3982" s="3" t="s">
        <v>11952</v>
      </c>
      <c r="B3982" s="3"/>
      <c r="C3982" s="3" t="str">
        <f>"Selling and installation of all types of floor coverings. Build and install custom showers."</f>
        <v>Selling and installation of all types of floor coverings. Build and install custom showers.</v>
      </c>
      <c r="D3982" s="3" t="s">
        <v>9</v>
      </c>
      <c r="E3982" s="3" t="s">
        <v>11953</v>
      </c>
      <c r="F3982" s="3" t="str">
        <f>"812-268-3495"</f>
        <v>812-268-3495</v>
      </c>
      <c r="G3982" s="3">
        <v>442210</v>
      </c>
      <c r="H3982" s="3" t="s">
        <v>2301</v>
      </c>
    </row>
    <row r="3983" spans="1:8" ht="217.5" x14ac:dyDescent="0.25">
      <c r="A3983" s="3" t="s">
        <v>11954</v>
      </c>
      <c r="B3983" s="3"/>
      <c r="C3983" s="3" t="s">
        <v>11955</v>
      </c>
      <c r="D3983" s="3" t="s">
        <v>11956</v>
      </c>
      <c r="E3983" s="3" t="s">
        <v>11957</v>
      </c>
      <c r="F3983" s="3" t="str">
        <f>"317-489-5900"</f>
        <v>317-489-5900</v>
      </c>
      <c r="G3983" s="3">
        <v>62</v>
      </c>
      <c r="H3983" s="3" t="s">
        <v>1168</v>
      </c>
    </row>
    <row r="3984" spans="1:8" ht="26.25" x14ac:dyDescent="0.25">
      <c r="A3984" s="3" t="s">
        <v>11958</v>
      </c>
      <c r="B3984" s="3"/>
      <c r="C3984" s="2"/>
      <c r="D3984" s="3" t="s">
        <v>11959</v>
      </c>
      <c r="E3984" s="3" t="s">
        <v>11960</v>
      </c>
      <c r="F3984" s="3" t="str">
        <f>"812-422-4187"</f>
        <v>812-422-4187</v>
      </c>
      <c r="G3984" s="3">
        <v>5413</v>
      </c>
      <c r="H3984" s="3" t="s">
        <v>1116</v>
      </c>
    </row>
    <row r="3985" spans="1:8" ht="64.5" x14ac:dyDescent="0.25">
      <c r="A3985" s="3" t="s">
        <v>11961</v>
      </c>
      <c r="B3985" s="3"/>
      <c r="C3985" s="3" t="str">
        <f>"Haggard &amp; Stocking / Tri-State Bolt is a wholesale distributor of cutting tools, abrasives, lubricants, material handling, safety, fasteners, hand tools, and a vast majority of general MRO supplies."</f>
        <v>Haggard &amp; Stocking / Tri-State Bolt is a wholesale distributor of cutting tools, abrasives, lubricants, material handling, safety, fasteners, hand tools, and a vast majority of general MRO supplies.</v>
      </c>
      <c r="D3985" s="3" t="s">
        <v>11962</v>
      </c>
      <c r="E3985" s="3" t="s">
        <v>11963</v>
      </c>
      <c r="F3985" s="3" t="str">
        <f>"317-788-4661"</f>
        <v>317-788-4661</v>
      </c>
      <c r="G3985" s="3">
        <v>423840</v>
      </c>
      <c r="H3985" s="3" t="s">
        <v>553</v>
      </c>
    </row>
    <row r="3986" spans="1:8" ht="26.25" x14ac:dyDescent="0.25">
      <c r="A3986" s="3" t="s">
        <v>11964</v>
      </c>
      <c r="B3986" s="3"/>
      <c r="C3986" s="2"/>
      <c r="D3986" s="3" t="s">
        <v>9</v>
      </c>
      <c r="E3986" s="3" t="s">
        <v>11965</v>
      </c>
      <c r="F3986" s="3" t="str">
        <f>"2606655820"</f>
        <v>2606655820</v>
      </c>
      <c r="G3986" s="3">
        <v>444210</v>
      </c>
      <c r="H3986" s="3" t="s">
        <v>392</v>
      </c>
    </row>
    <row r="3987" spans="1:8" ht="26.25" x14ac:dyDescent="0.25">
      <c r="A3987" s="3" t="s">
        <v>11966</v>
      </c>
      <c r="B3987" s="3"/>
      <c r="C3987" s="2"/>
      <c r="D3987" s="3" t="s">
        <v>9</v>
      </c>
      <c r="E3987" s="3" t="s">
        <v>11967</v>
      </c>
      <c r="F3987" s="3" t="str">
        <f>"812-689-6060"</f>
        <v>812-689-6060</v>
      </c>
      <c r="G3987" s="3">
        <v>23</v>
      </c>
      <c r="H3987" s="3" t="s">
        <v>133</v>
      </c>
    </row>
    <row r="3988" spans="1:8" ht="179.25" x14ac:dyDescent="0.25">
      <c r="A3988" s="3" t="s">
        <v>11968</v>
      </c>
      <c r="B3988" s="3"/>
      <c r="C3988" s="3" t="s">
        <v>11969</v>
      </c>
      <c r="D3988" s="3" t="s">
        <v>11970</v>
      </c>
      <c r="E3988" s="3" t="s">
        <v>11971</v>
      </c>
      <c r="F3988" s="3" t="str">
        <f>"2605638888"</f>
        <v>2605638888</v>
      </c>
      <c r="G3988" s="3">
        <v>5312</v>
      </c>
      <c r="H3988" s="3" t="s">
        <v>1101</v>
      </c>
    </row>
    <row r="3989" spans="1:8" ht="39" x14ac:dyDescent="0.25">
      <c r="A3989" s="3" t="s">
        <v>11972</v>
      </c>
      <c r="B3989" s="3"/>
      <c r="C3989" s="3" t="str">
        <f>"We are a company that manufactures plot combines, harvesters, planters and laboratory equipment. All for field research."</f>
        <v>We are a company that manufactures plot combines, harvesters, planters and laboratory equipment. All for field research.</v>
      </c>
      <c r="D3989" s="3" t="s">
        <v>11973</v>
      </c>
      <c r="E3989" s="3" t="s">
        <v>11974</v>
      </c>
      <c r="F3989" s="3" t="str">
        <f>"260-694-6205"</f>
        <v>260-694-6205</v>
      </c>
      <c r="G3989" s="3">
        <v>11</v>
      </c>
      <c r="H3989" s="3" t="s">
        <v>175</v>
      </c>
    </row>
    <row r="3990" spans="1:8" ht="51.75" x14ac:dyDescent="0.25">
      <c r="A3990" s="3" t="s">
        <v>11975</v>
      </c>
      <c r="B3990" s="3"/>
      <c r="C3990" s="3" t="str">
        <f>"Hale's Inc, d/b/a Flowers by Rustic Bouquet provides custom fresh flower arrangements, cut flowers, plants, balloon bouquets, fruit and snack baskets. Delivery is available."</f>
        <v>Hale's Inc, d/b/a Flowers by Rustic Bouquet provides custom fresh flower arrangements, cut flowers, plants, balloon bouquets, fruit and snack baskets. Delivery is available.</v>
      </c>
      <c r="D3990" s="3" t="s">
        <v>11976</v>
      </c>
      <c r="E3990" s="3" t="s">
        <v>11977</v>
      </c>
      <c r="F3990" s="3" t="str">
        <f>"(765) 743-4646"</f>
        <v>(765) 743-4646</v>
      </c>
      <c r="G3990" s="3">
        <v>453110</v>
      </c>
      <c r="H3990" s="3" t="s">
        <v>2584</v>
      </c>
    </row>
    <row r="3991" spans="1:8" ht="141" x14ac:dyDescent="0.25">
      <c r="A3991" s="3" t="s">
        <v>11978</v>
      </c>
      <c r="B3991" s="3"/>
      <c r="C3991" s="3" t="s">
        <v>11979</v>
      </c>
      <c r="D3991" s="3" t="s">
        <v>11980</v>
      </c>
      <c r="E3991" s="3" t="s">
        <v>11981</v>
      </c>
      <c r="F3991" s="3" t="str">
        <f>"260-424-6244"</f>
        <v>260-424-6244</v>
      </c>
      <c r="G3991" s="3">
        <v>238150</v>
      </c>
      <c r="H3991" s="3" t="s">
        <v>2530</v>
      </c>
    </row>
    <row r="3992" spans="1:8" ht="26.25" x14ac:dyDescent="0.25">
      <c r="A3992" s="3" t="s">
        <v>11982</v>
      </c>
      <c r="B3992" s="3"/>
      <c r="C3992" s="3" t="str">
        <f>"Licensed residential contractor"</f>
        <v>Licensed residential contractor</v>
      </c>
      <c r="D3992" s="3" t="s">
        <v>11983</v>
      </c>
      <c r="E3992" s="3" t="s">
        <v>11984</v>
      </c>
      <c r="F3992" s="3" t="str">
        <f>"260-744-7573"</f>
        <v>260-744-7573</v>
      </c>
      <c r="G3992" s="3">
        <v>236115</v>
      </c>
      <c r="H3992" s="3" t="s">
        <v>1822</v>
      </c>
    </row>
    <row r="3993" spans="1:8" ht="39" x14ac:dyDescent="0.25">
      <c r="A3993" s="3" t="s">
        <v>11985</v>
      </c>
      <c r="B3993" s="3"/>
      <c r="C3993" s="3" t="str">
        <f>"We are a law firm specializing in legal collections and representation of creditors in bankruptcy court"</f>
        <v>We are a law firm specializing in legal collections and representation of creditors in bankruptcy court</v>
      </c>
      <c r="D3993" s="3" t="s">
        <v>9</v>
      </c>
      <c r="E3993" s="3" t="s">
        <v>11986</v>
      </c>
      <c r="F3993" s="3" t="str">
        <f>"219-942-7580"</f>
        <v>219-942-7580</v>
      </c>
      <c r="G3993" s="3">
        <v>5411</v>
      </c>
      <c r="H3993" s="3" t="s">
        <v>87</v>
      </c>
    </row>
    <row r="3994" spans="1:8" ht="26.25" x14ac:dyDescent="0.25">
      <c r="A3994" s="3" t="s">
        <v>11987</v>
      </c>
      <c r="B3994" s="3"/>
      <c r="C3994" s="2"/>
      <c r="D3994" s="3" t="s">
        <v>9</v>
      </c>
      <c r="E3994" s="3" t="s">
        <v>11988</v>
      </c>
      <c r="F3994" s="3" t="str">
        <f>"8122685906"</f>
        <v>8122685906</v>
      </c>
      <c r="G3994" s="3">
        <v>442210</v>
      </c>
      <c r="H3994" s="3" t="s">
        <v>2301</v>
      </c>
    </row>
    <row r="3995" spans="1:8" ht="64.5" x14ac:dyDescent="0.25">
      <c r="A3995" s="3" t="s">
        <v>11989</v>
      </c>
      <c r="B3995" s="3"/>
      <c r="C3995" s="3" t="str">
        <f>"Halo Partners, LLC submits bids for and provides sales and business promotional services and merchandise. Halo Partners, LLC is seeking certification as a WBE in the State of Indiana."</f>
        <v>Halo Partners, LLC submits bids for and provides sales and business promotional services and merchandise. Halo Partners, LLC is seeking certification as a WBE in the State of Indiana.</v>
      </c>
      <c r="D3995" s="3" t="s">
        <v>9</v>
      </c>
      <c r="E3995" s="3" t="s">
        <v>11990</v>
      </c>
      <c r="F3995" s="3" t="str">
        <f>"812-631-0244"</f>
        <v>812-631-0244</v>
      </c>
      <c r="G3995" s="3">
        <v>541890</v>
      </c>
      <c r="H3995" s="3" t="s">
        <v>401</v>
      </c>
    </row>
    <row r="3996" spans="1:8" ht="102.75" x14ac:dyDescent="0.25">
      <c r="A3996" s="3" t="s">
        <v>11991</v>
      </c>
      <c r="B3996" s="3"/>
      <c r="C3996" s="3" t="s">
        <v>11992</v>
      </c>
      <c r="D3996" s="3" t="s">
        <v>11993</v>
      </c>
      <c r="E3996" s="3" t="s">
        <v>11994</v>
      </c>
      <c r="F3996" s="3" t="str">
        <f>"812-725-7859"</f>
        <v>812-725-7859</v>
      </c>
      <c r="G3996" s="3">
        <v>561</v>
      </c>
      <c r="H3996" s="3" t="s">
        <v>2836</v>
      </c>
    </row>
    <row r="3997" spans="1:8" ht="64.5" x14ac:dyDescent="0.25">
      <c r="A3997" s="3" t="s">
        <v>11995</v>
      </c>
      <c r="B3997" s="3"/>
      <c r="C3997" s="3" t="str">
        <f>"Business and fnancial advisors and consultants to owners, boards of directors and management of businesses and organizations in transition or undergoing reorganization and restructuring."</f>
        <v>Business and fnancial advisors and consultants to owners, boards of directors and management of businesses and organizations in transition or undergoing reorganization and restructuring.</v>
      </c>
      <c r="D3997" s="3" t="s">
        <v>11996</v>
      </c>
      <c r="E3997" s="3" t="s">
        <v>11997</v>
      </c>
      <c r="F3997" s="3" t="str">
        <f>"317-684-1550"</f>
        <v>317-684-1550</v>
      </c>
      <c r="G3997" s="3">
        <v>541611</v>
      </c>
      <c r="H3997" s="3" t="s">
        <v>278</v>
      </c>
    </row>
    <row r="3998" spans="1:8" ht="51.75" x14ac:dyDescent="0.25">
      <c r="A3998" s="3" t="s">
        <v>11998</v>
      </c>
      <c r="B3998" s="3"/>
      <c r="C3998" s="3" t="str">
        <f>"Promising Futures of Central Indiana provides resouces to develop healthy relationships and create positive changes for youth and families."</f>
        <v>Promising Futures of Central Indiana provides resouces to develop healthy relationships and create positive changes for youth and families.</v>
      </c>
      <c r="D3998" s="3" t="s">
        <v>11999</v>
      </c>
      <c r="E3998" s="3" t="s">
        <v>12000</v>
      </c>
      <c r="F3998" s="3" t="str">
        <f>"317-773-6342"</f>
        <v>317-773-6342</v>
      </c>
      <c r="G3998" s="3">
        <v>623990</v>
      </c>
      <c r="H3998" s="3" t="s">
        <v>11066</v>
      </c>
    </row>
    <row r="3999" spans="1:8" ht="26.25" x14ac:dyDescent="0.25">
      <c r="A3999" s="3" t="s">
        <v>12001</v>
      </c>
      <c r="B3999" s="3"/>
      <c r="C3999" s="3" t="str">
        <f>"CLEANING BUSINESS, RESIDENTIAL, NEW CONSTRUCTION, SMALL COMMERCIAL"</f>
        <v>CLEANING BUSINESS, RESIDENTIAL, NEW CONSTRUCTION, SMALL COMMERCIAL</v>
      </c>
      <c r="D3999" s="3" t="s">
        <v>9</v>
      </c>
      <c r="E3999" s="3" t="s">
        <v>12002</v>
      </c>
      <c r="F3999" s="3" t="str">
        <f>"574-806-3253"</f>
        <v>574-806-3253</v>
      </c>
      <c r="G3999" s="3">
        <v>561720</v>
      </c>
      <c r="H3999" s="3" t="s">
        <v>222</v>
      </c>
    </row>
    <row r="4000" spans="1:8" ht="166.5" x14ac:dyDescent="0.25">
      <c r="A4000" s="3" t="s">
        <v>12003</v>
      </c>
      <c r="B4000" s="3"/>
      <c r="C4000" s="3" t="s">
        <v>12004</v>
      </c>
      <c r="D4000" s="3" t="s">
        <v>12005</v>
      </c>
      <c r="E4000" s="3" t="s">
        <v>12006</v>
      </c>
      <c r="F4000" s="3" t="str">
        <f>"317-582-8251"</f>
        <v>317-582-8251</v>
      </c>
      <c r="G4000" s="3">
        <v>8133</v>
      </c>
      <c r="H4000" s="3" t="s">
        <v>5487</v>
      </c>
    </row>
    <row r="4001" spans="1:8" ht="64.5" x14ac:dyDescent="0.25">
      <c r="A4001" s="3" t="s">
        <v>12007</v>
      </c>
      <c r="B4001" s="3"/>
      <c r="C4001" s="3" t="str">
        <f>"Electrical Contractor &amp; Temperature Controls for Commercial and Industrial use. New Construction &amp; Remodeling. Also Sign repair and maintenance on existing building."</f>
        <v>Electrical Contractor &amp; Temperature Controls for Commercial and Industrial use. New Construction &amp; Remodeling. Also Sign repair and maintenance on existing building.</v>
      </c>
      <c r="D4001" s="3" t="s">
        <v>9</v>
      </c>
      <c r="E4001" s="3" t="s">
        <v>46</v>
      </c>
      <c r="F4001" s="3" t="str">
        <f>"260-490-1010"</f>
        <v>260-490-1010</v>
      </c>
      <c r="G4001" s="3">
        <v>238210</v>
      </c>
      <c r="H4001" s="3" t="s">
        <v>306</v>
      </c>
    </row>
    <row r="4002" spans="1:8" ht="26.25" x14ac:dyDescent="0.25">
      <c r="A4002" s="3" t="s">
        <v>12008</v>
      </c>
      <c r="B4002" s="3"/>
      <c r="C4002" s="3" t="str">
        <f>"Our business manufactures BBQ sauce and specialty BBQ sauce."</f>
        <v>Our business manufactures BBQ sauce and specialty BBQ sauce.</v>
      </c>
      <c r="D4002" s="3" t="s">
        <v>9</v>
      </c>
      <c r="E4002" s="3" t="s">
        <v>12009</v>
      </c>
      <c r="F4002" s="3" t="str">
        <f>"219 614 6331"</f>
        <v>219 614 6331</v>
      </c>
      <c r="G4002" s="3">
        <v>311941</v>
      </c>
      <c r="H4002" s="3" t="s">
        <v>12010</v>
      </c>
    </row>
    <row r="4003" spans="1:8" ht="26.25" x14ac:dyDescent="0.25">
      <c r="A4003" s="3" t="s">
        <v>12011</v>
      </c>
      <c r="B4003" s="3"/>
      <c r="C4003" s="3" t="str">
        <f>"Commercial Construction General Contractor"</f>
        <v>Commercial Construction General Contractor</v>
      </c>
      <c r="D4003" s="3" t="s">
        <v>9</v>
      </c>
      <c r="E4003" s="3" t="s">
        <v>46</v>
      </c>
      <c r="F4003" s="2"/>
      <c r="G4003" s="3">
        <v>236220</v>
      </c>
      <c r="H4003" s="3" t="s">
        <v>598</v>
      </c>
    </row>
    <row r="4004" spans="1:8" ht="51.75" x14ac:dyDescent="0.25">
      <c r="A4004" s="3" t="s">
        <v>12012</v>
      </c>
      <c r="B4004" s="3"/>
      <c r="C4004" s="3" t="str">
        <f>"Industrial and Commercial Insulation Contractors. Specializing in hot &amp; cold pipes, tanks, equipment, HVAC, Food Process Piping, and plumbing."</f>
        <v>Industrial and Commercial Insulation Contractors. Specializing in hot &amp; cold pipes, tanks, equipment, HVAC, Food Process Piping, and plumbing.</v>
      </c>
      <c r="D4004" s="3" t="s">
        <v>9</v>
      </c>
      <c r="E4004" s="3" t="s">
        <v>12013</v>
      </c>
      <c r="F4004" s="3" t="str">
        <f>"260-547-4626"</f>
        <v>260-547-4626</v>
      </c>
      <c r="G4004" s="3">
        <v>235</v>
      </c>
      <c r="H4004" s="3" t="s">
        <v>259</v>
      </c>
    </row>
    <row r="4005" spans="1:8" ht="26.25" x14ac:dyDescent="0.25">
      <c r="A4005" s="3" t="s">
        <v>12014</v>
      </c>
      <c r="B4005" s="3"/>
      <c r="C4005" s="2"/>
      <c r="D4005" s="3" t="s">
        <v>9</v>
      </c>
      <c r="E4005" s="3" t="s">
        <v>46</v>
      </c>
      <c r="F4005" s="2"/>
      <c r="G4005" s="3">
        <v>54121</v>
      </c>
      <c r="H4005" s="3" t="s">
        <v>311</v>
      </c>
    </row>
    <row r="4006" spans="1:8" ht="26.25" x14ac:dyDescent="0.25">
      <c r="A4006" s="3" t="s">
        <v>12015</v>
      </c>
      <c r="B4006" s="3"/>
      <c r="C4006" s="3" t="str">
        <f>"Travel Services Company. Arrange Air, Car, Hotel, Vacation Packages, and Cruises"</f>
        <v>Travel Services Company. Arrange Air, Car, Hotel, Vacation Packages, and Cruises</v>
      </c>
      <c r="D4006" s="3" t="s">
        <v>9</v>
      </c>
      <c r="E4006" s="3" t="s">
        <v>12016</v>
      </c>
      <c r="F4006" s="3" t="str">
        <f>"574-268-2643"</f>
        <v>574-268-2643</v>
      </c>
      <c r="G4006" s="3">
        <v>5615</v>
      </c>
      <c r="H4006" s="3" t="s">
        <v>4175</v>
      </c>
    </row>
    <row r="4007" spans="1:8" ht="26.25" x14ac:dyDescent="0.25">
      <c r="A4007" s="3" t="s">
        <v>12017</v>
      </c>
      <c r="B4007" s="3"/>
      <c r="C4007" s="3" t="str">
        <f>"Install, repair and maintain electrical power and lighting systems ans devices."</f>
        <v>Install, repair and maintain electrical power and lighting systems ans devices.</v>
      </c>
      <c r="D4007" s="3" t="s">
        <v>2449</v>
      </c>
      <c r="E4007" s="3" t="s">
        <v>12018</v>
      </c>
      <c r="F4007" s="3" t="str">
        <f>"765-649-8471"</f>
        <v>765-649-8471</v>
      </c>
      <c r="G4007" s="3">
        <v>23531</v>
      </c>
      <c r="H4007" s="3" t="s">
        <v>306</v>
      </c>
    </row>
    <row r="4008" spans="1:8" ht="39" x14ac:dyDescent="0.25">
      <c r="A4008" s="3" t="s">
        <v>12019</v>
      </c>
      <c r="B4008" s="3"/>
      <c r="C4008" s="2"/>
      <c r="D4008" s="3" t="s">
        <v>12020</v>
      </c>
      <c r="E4008" s="3" t="s">
        <v>12021</v>
      </c>
      <c r="F4008" s="3" t="str">
        <f>"3175700792"</f>
        <v>3175700792</v>
      </c>
      <c r="G4008" s="3">
        <v>532490</v>
      </c>
      <c r="H4008" s="3" t="s">
        <v>1673</v>
      </c>
    </row>
    <row r="4009" spans="1:8" ht="306.75" x14ac:dyDescent="0.25">
      <c r="A4009" s="3" t="s">
        <v>12022</v>
      </c>
      <c r="B4009" s="3"/>
      <c r="C4009" s="3" t="s">
        <v>12023</v>
      </c>
      <c r="D4009" s="3" t="s">
        <v>9</v>
      </c>
      <c r="E4009" s="3" t="s">
        <v>12024</v>
      </c>
      <c r="F4009" s="3" t="str">
        <f>"219-933-7111"</f>
        <v>219-933-7111</v>
      </c>
      <c r="G4009" s="3">
        <v>624190</v>
      </c>
      <c r="H4009" s="3" t="s">
        <v>54</v>
      </c>
    </row>
    <row r="4010" spans="1:8" ht="192" x14ac:dyDescent="0.25">
      <c r="A4010" s="3" t="s">
        <v>12025</v>
      </c>
      <c r="B4010" s="3"/>
      <c r="C4010" s="3" t="s">
        <v>12026</v>
      </c>
      <c r="D4010" s="3" t="s">
        <v>12027</v>
      </c>
      <c r="E4010" s="3" t="s">
        <v>12028</v>
      </c>
      <c r="F4010" s="3" t="str">
        <f>"(765)473 -6691"</f>
        <v>(765)473 -6691</v>
      </c>
      <c r="G4010" s="3">
        <v>337</v>
      </c>
      <c r="H4010" s="3" t="s">
        <v>6695</v>
      </c>
    </row>
    <row r="4011" spans="1:8" ht="26.25" x14ac:dyDescent="0.25">
      <c r="A4011" s="3" t="s">
        <v>12029</v>
      </c>
      <c r="B4011" s="3"/>
      <c r="C4011" s="2"/>
      <c r="D4011" s="3" t="s">
        <v>9</v>
      </c>
      <c r="E4011" s="3" t="s">
        <v>12030</v>
      </c>
      <c r="F4011" s="3" t="str">
        <f>"708-474-8900"</f>
        <v>708-474-8900</v>
      </c>
      <c r="G4011" s="3">
        <v>5412</v>
      </c>
      <c r="H4011" s="3" t="s">
        <v>311</v>
      </c>
    </row>
    <row r="4012" spans="1:8" ht="39" x14ac:dyDescent="0.25">
      <c r="A4012" s="3" t="s">
        <v>12031</v>
      </c>
      <c r="B4012" s="3"/>
      <c r="C4012" s="3" t="str">
        <f>"Hancock Regional Hospital serves health care needs for Hancock County and surrounding communities"</f>
        <v>Hancock Regional Hospital serves health care needs for Hancock County and surrounding communities</v>
      </c>
      <c r="D4012" s="3" t="s">
        <v>12032</v>
      </c>
      <c r="E4012" s="3" t="s">
        <v>46</v>
      </c>
      <c r="F4012" s="3" t="str">
        <f>"317-462-5544"</f>
        <v>317-462-5544</v>
      </c>
      <c r="G4012" s="3">
        <v>622110</v>
      </c>
      <c r="H4012" s="3" t="s">
        <v>3335</v>
      </c>
    </row>
    <row r="4013" spans="1:8" ht="77.25" x14ac:dyDescent="0.25">
      <c r="A4013" s="3" t="s">
        <v>12033</v>
      </c>
      <c r="B4013" s="3"/>
      <c r="C4013" s="3" t="str">
        <f>"I'm a general contractor with a background in industrial technology and management. My company offers a wealth of skilled tradesmen. We do single, multi family residential and commercial maintenance, renovation and remodeling."</f>
        <v>I'm a general contractor with a background in industrial technology and management. My company offers a wealth of skilled tradesmen. We do single, multi family residential and commercial maintenance, renovation and remodeling.</v>
      </c>
      <c r="D4013" s="3" t="s">
        <v>9</v>
      </c>
      <c r="E4013" s="3" t="s">
        <v>12034</v>
      </c>
      <c r="F4013" s="3" t="str">
        <f>"317-213-1031"</f>
        <v>317-213-1031</v>
      </c>
      <c r="G4013" s="3">
        <v>233</v>
      </c>
      <c r="H4013" s="3" t="s">
        <v>131</v>
      </c>
    </row>
    <row r="4014" spans="1:8" ht="26.25" x14ac:dyDescent="0.25">
      <c r="A4014" s="3" t="s">
        <v>12035</v>
      </c>
      <c r="B4014" s="3"/>
      <c r="C4014" s="2"/>
      <c r="D4014" s="3" t="s">
        <v>9</v>
      </c>
      <c r="E4014" s="3" t="s">
        <v>12036</v>
      </c>
      <c r="F4014" s="3" t="str">
        <f>"260-563-7713"</f>
        <v>260-563-7713</v>
      </c>
      <c r="G4014" s="3">
        <v>238910</v>
      </c>
      <c r="H4014" s="3" t="s">
        <v>886</v>
      </c>
    </row>
    <row r="4015" spans="1:8" ht="90" x14ac:dyDescent="0.25">
      <c r="A4015" s="3" t="s">
        <v>12037</v>
      </c>
      <c r="B4015" s="3"/>
      <c r="C4015" s="3" t="str">
        <f>"Excavation Site preparation utilizing local trucking services to transport machinery, products and/or materials, including aggregates and asphalt. Water, utility, and sewer installation, repairs and replacement. Demolition and removal services."</f>
        <v>Excavation Site preparation utilizing local trucking services to transport machinery, products and/or materials, including aggregates and asphalt. Water, utility, and sewer installation, repairs and replacement. Demolition and removal services.</v>
      </c>
      <c r="D4015" s="3" t="s">
        <v>12038</v>
      </c>
      <c r="E4015" s="3" t="s">
        <v>12039</v>
      </c>
      <c r="F4015" s="3" t="str">
        <f>"812-339-5656"</f>
        <v>812-339-5656</v>
      </c>
      <c r="G4015" s="3">
        <v>238290</v>
      </c>
      <c r="H4015" s="3" t="s">
        <v>237</v>
      </c>
    </row>
    <row r="4016" spans="1:8" ht="39" x14ac:dyDescent="0.25">
      <c r="A4016" s="3" t="s">
        <v>12040</v>
      </c>
      <c r="B4016" s="3"/>
      <c r="C4016" s="3" t="str">
        <f>"Our main focus is Towing , Lock outs, Jump starts, tire changes, abandoned vehicle removal, storage available."</f>
        <v>Our main focus is Towing , Lock outs, Jump starts, tire changes, abandoned vehicle removal, storage available.</v>
      </c>
      <c r="D4016" s="3" t="s">
        <v>9</v>
      </c>
      <c r="E4016" s="3" t="s">
        <v>46</v>
      </c>
      <c r="F4016" s="3" t="str">
        <f>"317-808-0011"</f>
        <v>317-808-0011</v>
      </c>
      <c r="G4016" s="3">
        <v>23599</v>
      </c>
      <c r="H4016" s="3" t="s">
        <v>248</v>
      </c>
    </row>
    <row r="4017" spans="1:8" ht="141" x14ac:dyDescent="0.25">
      <c r="A4017" s="3" t="s">
        <v>12041</v>
      </c>
      <c r="B4017" s="3"/>
      <c r="C4017" s="3" t="s">
        <v>12042</v>
      </c>
      <c r="D4017" s="3" t="s">
        <v>12043</v>
      </c>
      <c r="E4017" s="3" t="s">
        <v>12044</v>
      </c>
      <c r="F4017" s="3" t="str">
        <f>"812-235-6218"</f>
        <v>812-235-6218</v>
      </c>
      <c r="G4017" s="3">
        <v>236220</v>
      </c>
      <c r="H4017" s="3" t="s">
        <v>598</v>
      </c>
    </row>
    <row r="4018" spans="1:8" ht="306.75" x14ac:dyDescent="0.25">
      <c r="A4018" s="3" t="s">
        <v>12045</v>
      </c>
      <c r="B4018" s="3"/>
      <c r="C4018" s="3" t="s">
        <v>12046</v>
      </c>
      <c r="D4018" s="3" t="s">
        <v>12047</v>
      </c>
      <c r="E4018" s="3" t="s">
        <v>12048</v>
      </c>
      <c r="F4018" s="3" t="str">
        <f>"812-234-2551"</f>
        <v>812-234-2551</v>
      </c>
      <c r="G4018" s="3">
        <v>541330</v>
      </c>
      <c r="H4018" s="3" t="s">
        <v>82</v>
      </c>
    </row>
    <row r="4019" spans="1:8" ht="281.25" x14ac:dyDescent="0.25">
      <c r="A4019" s="3" t="s">
        <v>12049</v>
      </c>
      <c r="B4019" s="3"/>
      <c r="C4019" s="3" t="s">
        <v>12050</v>
      </c>
      <c r="D4019" s="3" t="s">
        <v>9</v>
      </c>
      <c r="E4019" s="3" t="s">
        <v>12051</v>
      </c>
      <c r="F4019" s="3" t="str">
        <f>"317-738-0174"</f>
        <v>317-738-0174</v>
      </c>
      <c r="G4019" s="3">
        <v>541511</v>
      </c>
      <c r="H4019" s="3" t="s">
        <v>122</v>
      </c>
    </row>
    <row r="4020" spans="1:8" ht="51.75" x14ac:dyDescent="0.25">
      <c r="A4020" s="3" t="s">
        <v>12052</v>
      </c>
      <c r="B4020" s="3"/>
      <c r="C4020" s="3" t="str">
        <f>"Public refrigerated warehousing and distribution services with three strategic locations in the state of Indiana - South Bend, Logansport and Lafayette."</f>
        <v>Public refrigerated warehousing and distribution services with three strategic locations in the state of Indiana - South Bend, Logansport and Lafayette.</v>
      </c>
      <c r="D4020" s="3" t="s">
        <v>12053</v>
      </c>
      <c r="E4020" s="3" t="s">
        <v>46</v>
      </c>
      <c r="F4020" s="3" t="str">
        <f>"269-925-0091"</f>
        <v>269-925-0091</v>
      </c>
      <c r="G4020" s="3">
        <v>493120</v>
      </c>
      <c r="H4020" s="3" t="s">
        <v>12054</v>
      </c>
    </row>
    <row r="4021" spans="1:8" ht="39" x14ac:dyDescent="0.25">
      <c r="A4021" s="3" t="s">
        <v>12055</v>
      </c>
      <c r="B4021" s="3"/>
      <c r="C4021" s="3" t="str">
        <f>"Subsurface soils investigation Soil compaction testing Concrete compressive strength"</f>
        <v>Subsurface soils investigation Soil compaction testing Concrete compressive strength</v>
      </c>
      <c r="D4021" s="3" t="s">
        <v>9</v>
      </c>
      <c r="E4021" s="3" t="s">
        <v>12056</v>
      </c>
      <c r="F4021" s="3" t="str">
        <f>"812-477-8981"</f>
        <v>812-477-8981</v>
      </c>
      <c r="G4021" s="3">
        <v>541330</v>
      </c>
      <c r="H4021" s="3" t="s">
        <v>82</v>
      </c>
    </row>
    <row r="4022" spans="1:8" ht="39" x14ac:dyDescent="0.25">
      <c r="A4022" s="3" t="s">
        <v>12057</v>
      </c>
      <c r="B4022" s="3"/>
      <c r="C4022" s="3" t="str">
        <f>"3PL (Third Party Logistics) Contracted Packaging, distribution, print &amp; design, fulfillment and warehousing."</f>
        <v>3PL (Third Party Logistics) Contracted Packaging, distribution, print &amp; design, fulfillment and warehousing.</v>
      </c>
      <c r="D4022" s="3" t="s">
        <v>12058</v>
      </c>
      <c r="E4022" s="3" t="s">
        <v>12059</v>
      </c>
      <c r="F4022" s="3" t="str">
        <f>"317-248-0580"</f>
        <v>317-248-0580</v>
      </c>
      <c r="G4022" s="3">
        <v>561910</v>
      </c>
      <c r="H4022" s="3" t="s">
        <v>7461</v>
      </c>
    </row>
    <row r="4023" spans="1:8" ht="26.25" x14ac:dyDescent="0.25">
      <c r="A4023" s="3" t="s">
        <v>12060</v>
      </c>
      <c r="B4023" s="3"/>
      <c r="C4023" s="3" t="str">
        <f>"Commercial / Residential - Building &amp; Remodeling"</f>
        <v>Commercial / Residential - Building &amp; Remodeling</v>
      </c>
      <c r="D4023" s="3" t="s">
        <v>12061</v>
      </c>
      <c r="E4023" s="3" t="s">
        <v>12062</v>
      </c>
      <c r="F4023" s="3" t="str">
        <f>"812-424-5077"</f>
        <v>812-424-5077</v>
      </c>
      <c r="G4023" s="3">
        <v>235</v>
      </c>
      <c r="H4023" s="3" t="s">
        <v>259</v>
      </c>
    </row>
    <row r="4024" spans="1:8" ht="51.75" x14ac:dyDescent="0.25">
      <c r="A4024" s="3" t="s">
        <v>12063</v>
      </c>
      <c r="B4024" s="3"/>
      <c r="C4024" s="3" t="str">
        <f>"We provide cleaning services for residential cleaning, commercial office cleaning, and new-construction clean-up for the Fort Wayne, Indiana area."</f>
        <v>We provide cleaning services for residential cleaning, commercial office cleaning, and new-construction clean-up for the Fort Wayne, Indiana area.</v>
      </c>
      <c r="D4024" s="3" t="s">
        <v>12064</v>
      </c>
      <c r="E4024" s="3" t="s">
        <v>12065</v>
      </c>
      <c r="F4024" s="3" t="str">
        <f>"260-348-0003"</f>
        <v>260-348-0003</v>
      </c>
      <c r="G4024" s="3">
        <v>561720</v>
      </c>
      <c r="H4024" s="3" t="s">
        <v>222</v>
      </c>
    </row>
    <row r="4025" spans="1:8" ht="128.25" x14ac:dyDescent="0.25">
      <c r="A4025" s="3" t="s">
        <v>12066</v>
      </c>
      <c r="B4025" s="3"/>
      <c r="C4025" s="3" t="s">
        <v>12067</v>
      </c>
      <c r="D4025" s="3" t="s">
        <v>9</v>
      </c>
      <c r="E4025" s="3" t="s">
        <v>46</v>
      </c>
      <c r="F4025" s="3" t="str">
        <f>"317-839-6800"</f>
        <v>317-839-6800</v>
      </c>
      <c r="G4025" s="3">
        <v>484220</v>
      </c>
      <c r="H4025" s="3" t="s">
        <v>11</v>
      </c>
    </row>
    <row r="4026" spans="1:8" ht="294" x14ac:dyDescent="0.25">
      <c r="A4026" s="3" t="s">
        <v>12068</v>
      </c>
      <c r="B4026" s="3"/>
      <c r="C4026" s="3" t="s">
        <v>12069</v>
      </c>
      <c r="D4026" s="3" t="s">
        <v>12070</v>
      </c>
      <c r="E4026" s="3" t="s">
        <v>12071</v>
      </c>
      <c r="F4026" s="3" t="str">
        <f>"855-827-9843"</f>
        <v>855-827-9843</v>
      </c>
      <c r="G4026" s="3">
        <v>711510</v>
      </c>
      <c r="H4026" s="3" t="s">
        <v>1980</v>
      </c>
    </row>
    <row r="4027" spans="1:8" ht="102.75" x14ac:dyDescent="0.25">
      <c r="A4027" s="3" t="s">
        <v>12072</v>
      </c>
      <c r="B4027" s="3"/>
      <c r="C4027" s="3" t="s">
        <v>12073</v>
      </c>
      <c r="D4027" s="3" t="s">
        <v>12074</v>
      </c>
      <c r="E4027" s="3" t="s">
        <v>12075</v>
      </c>
      <c r="F4027" s="3" t="str">
        <f>"765-629-2625"</f>
        <v>765-629-2625</v>
      </c>
      <c r="G4027" s="3">
        <v>453210</v>
      </c>
      <c r="H4027" s="3" t="s">
        <v>431</v>
      </c>
    </row>
    <row r="4028" spans="1:8" ht="64.5" x14ac:dyDescent="0.25">
      <c r="A4028" s="3" t="s">
        <v>12076</v>
      </c>
      <c r="B4028" s="3"/>
      <c r="C4028" s="3" t="str">
        <f>"I mainly due real estate appraisal work. I am also a licensed real estate broker. Other business interests include raw land development and rental of commercial and residential property."</f>
        <v>I mainly due real estate appraisal work. I am also a licensed real estate broker. Other business interests include raw land development and rental of commercial and residential property.</v>
      </c>
      <c r="D4028" s="3" t="s">
        <v>9</v>
      </c>
      <c r="E4028" s="3" t="s">
        <v>12077</v>
      </c>
      <c r="F4028" s="3" t="str">
        <f>"812-933-0221"</f>
        <v>812-933-0221</v>
      </c>
      <c r="G4028" s="3">
        <v>531320</v>
      </c>
      <c r="H4028" s="3" t="s">
        <v>34</v>
      </c>
    </row>
    <row r="4029" spans="1:8" ht="26.25" x14ac:dyDescent="0.25">
      <c r="A4029" s="3" t="s">
        <v>12078</v>
      </c>
      <c r="B4029" s="3"/>
      <c r="C4029" s="3" t="str">
        <f>"Tax Credit Consultant for Affordable Multi-Family Housing"</f>
        <v>Tax Credit Consultant for Affordable Multi-Family Housing</v>
      </c>
      <c r="D4029" s="3" t="s">
        <v>9</v>
      </c>
      <c r="E4029" s="3" t="s">
        <v>12079</v>
      </c>
      <c r="F4029" s="2"/>
      <c r="G4029" s="3">
        <v>531390</v>
      </c>
      <c r="H4029" s="3" t="s">
        <v>623</v>
      </c>
    </row>
    <row r="4030" spans="1:8" ht="51.75" x14ac:dyDescent="0.25">
      <c r="A4030" s="3" t="s">
        <v>12080</v>
      </c>
      <c r="B4030" s="3"/>
      <c r="C4030" s="3" t="str">
        <f>"Family Owned Machine Shop Specializing In Sharping And Manufacturing Of Die Blocks, Welding, CNC Machining, Fixtures, Jigs and Gauging And End Mill Sharpening."</f>
        <v>Family Owned Machine Shop Specializing In Sharping And Manufacturing Of Die Blocks, Welding, CNC Machining, Fixtures, Jigs and Gauging And End Mill Sharpening.</v>
      </c>
      <c r="D4030" s="3" t="s">
        <v>9</v>
      </c>
      <c r="E4030" s="3" t="s">
        <v>12081</v>
      </c>
      <c r="F4030" s="3" t="str">
        <f>"812-376-1055"</f>
        <v>812-376-1055</v>
      </c>
      <c r="G4030" s="3">
        <v>33271</v>
      </c>
      <c r="H4030" s="3" t="s">
        <v>387</v>
      </c>
    </row>
    <row r="4031" spans="1:8" ht="77.25" x14ac:dyDescent="0.25">
      <c r="A4031" s="3" t="s">
        <v>12082</v>
      </c>
      <c r="B4031" s="3"/>
      <c r="C4031" s="3" t="str">
        <f>"Accounting Practice Offering Tax Planning and Preparation, Business Compilations and Reviews, Business Succession Planning, Forensic Engagements, Fraud Detection and Prevention, Litigation Support, Social Security Advising"</f>
        <v>Accounting Practice Offering Tax Planning and Preparation, Business Compilations and Reviews, Business Succession Planning, Forensic Engagements, Fraud Detection and Prevention, Litigation Support, Social Security Advising</v>
      </c>
      <c r="D4031" s="3" t="s">
        <v>12083</v>
      </c>
      <c r="E4031" s="3" t="s">
        <v>12084</v>
      </c>
      <c r="F4031" s="3" t="str">
        <f>"317-721-4829"</f>
        <v>317-721-4829</v>
      </c>
      <c r="G4031" s="3">
        <v>541211</v>
      </c>
      <c r="H4031" s="3" t="s">
        <v>337</v>
      </c>
    </row>
    <row r="4032" spans="1:8" ht="26.25" x14ac:dyDescent="0.25">
      <c r="A4032" s="3" t="s">
        <v>12085</v>
      </c>
      <c r="B4032" s="3"/>
      <c r="C4032" s="3" t="str">
        <f>"We provide apparel printing and promotional products."</f>
        <v>We provide apparel printing and promotional products.</v>
      </c>
      <c r="D4032" s="3" t="s">
        <v>12086</v>
      </c>
      <c r="E4032" s="3" t="s">
        <v>12087</v>
      </c>
      <c r="F4032" s="3" t="str">
        <f>"317-522-3783"</f>
        <v>317-522-3783</v>
      </c>
      <c r="G4032" s="3">
        <v>541890</v>
      </c>
      <c r="H4032" s="3" t="s">
        <v>401</v>
      </c>
    </row>
    <row r="4033" spans="1:8" ht="26.25" x14ac:dyDescent="0.25">
      <c r="A4033" s="3" t="s">
        <v>12088</v>
      </c>
      <c r="B4033" s="3"/>
      <c r="C4033" s="2"/>
      <c r="D4033" s="3" t="s">
        <v>12089</v>
      </c>
      <c r="E4033" s="3" t="s">
        <v>46</v>
      </c>
      <c r="F4033" s="3" t="str">
        <f>"(317) 423-3000"</f>
        <v>(317) 423-3000</v>
      </c>
      <c r="G4033" s="3">
        <v>524114</v>
      </c>
      <c r="H4033" s="3" t="s">
        <v>678</v>
      </c>
    </row>
    <row r="4034" spans="1:8" ht="26.25" x14ac:dyDescent="0.25">
      <c r="A4034" s="3" t="s">
        <v>12090</v>
      </c>
      <c r="B4034" s="3"/>
      <c r="C4034" s="3" t="str">
        <f>"Sales and service lawn and garden equipment"</f>
        <v>Sales and service lawn and garden equipment</v>
      </c>
      <c r="D4034" s="3" t="s">
        <v>12091</v>
      </c>
      <c r="E4034" s="3" t="s">
        <v>12092</v>
      </c>
      <c r="F4034" s="3" t="str">
        <f>"260-925-1918"</f>
        <v>260-925-1918</v>
      </c>
      <c r="G4034" s="3">
        <v>44</v>
      </c>
      <c r="H4034" s="3" t="s">
        <v>574</v>
      </c>
    </row>
    <row r="4035" spans="1:8" ht="204.75" x14ac:dyDescent="0.25">
      <c r="A4035" s="3" t="s">
        <v>12093</v>
      </c>
      <c r="B4035" s="3"/>
      <c r="C4035" s="3" t="s">
        <v>12094</v>
      </c>
      <c r="D4035" s="3" t="s">
        <v>12095</v>
      </c>
      <c r="E4035" s="3" t="s">
        <v>12096</v>
      </c>
      <c r="F4035" s="3" t="str">
        <f>"800-525-3742"</f>
        <v>800-525-3742</v>
      </c>
      <c r="G4035" s="3">
        <v>323</v>
      </c>
      <c r="H4035" s="3" t="s">
        <v>302</v>
      </c>
    </row>
    <row r="4036" spans="1:8" ht="141" x14ac:dyDescent="0.25">
      <c r="A4036" s="3" t="s">
        <v>12097</v>
      </c>
      <c r="B4036" s="3"/>
      <c r="C4036" s="3" t="s">
        <v>12098</v>
      </c>
      <c r="D4036" s="3" t="s">
        <v>12099</v>
      </c>
      <c r="E4036" s="3" t="s">
        <v>12100</v>
      </c>
      <c r="F4036" s="3" t="str">
        <f>"574-258-1044"</f>
        <v>574-258-1044</v>
      </c>
      <c r="G4036" s="3">
        <v>238290</v>
      </c>
      <c r="H4036" s="3" t="s">
        <v>237</v>
      </c>
    </row>
    <row r="4037" spans="1:8" ht="77.25" x14ac:dyDescent="0.25">
      <c r="A4037" s="3" t="s">
        <v>12101</v>
      </c>
      <c r="B4037" s="3"/>
      <c r="C4037" s="3" t="str">
        <f>"wholesale distributor of auto parts, accessories, chemicals, supplies,wheel weights, alignment parts, fluorescent reel drop lights, air hose reels, nitril gloves, restroom tissue, hand towels, soaps and dispensers."</f>
        <v>wholesale distributor of auto parts, accessories, chemicals, supplies,wheel weights, alignment parts, fluorescent reel drop lights, air hose reels, nitril gloves, restroom tissue, hand towels, soaps and dispensers.</v>
      </c>
      <c r="D4037" s="3" t="s">
        <v>12102</v>
      </c>
      <c r="E4037" s="3" t="s">
        <v>12103</v>
      </c>
      <c r="F4037" s="3" t="str">
        <f>"3176327447"</f>
        <v>3176327447</v>
      </c>
      <c r="G4037" s="3">
        <v>441310</v>
      </c>
      <c r="H4037" s="3" t="s">
        <v>1699</v>
      </c>
    </row>
    <row r="4038" spans="1:8" ht="26.25" x14ac:dyDescent="0.25">
      <c r="A4038" s="3" t="s">
        <v>12104</v>
      </c>
      <c r="B4038" s="3"/>
      <c r="C4038" s="3" t="str">
        <f>"General Contractor"</f>
        <v>General Contractor</v>
      </c>
      <c r="D4038" s="3" t="s">
        <v>9</v>
      </c>
      <c r="E4038" s="3" t="s">
        <v>46</v>
      </c>
      <c r="F4038" s="3" t="str">
        <f>"260-426-2759"</f>
        <v>260-426-2759</v>
      </c>
      <c r="G4038" s="3">
        <v>236210</v>
      </c>
      <c r="H4038" s="3" t="s">
        <v>1418</v>
      </c>
    </row>
    <row r="4039" spans="1:8" ht="90" x14ac:dyDescent="0.25">
      <c r="A4039" s="3" t="s">
        <v>12105</v>
      </c>
      <c r="B4039" s="3"/>
      <c r="C4039" s="3" t="s">
        <v>12106</v>
      </c>
      <c r="D4039" s="3" t="s">
        <v>9</v>
      </c>
      <c r="E4039" s="3" t="s">
        <v>12107</v>
      </c>
      <c r="F4039" s="3" t="str">
        <f>"260-568-5084"</f>
        <v>260-568-5084</v>
      </c>
      <c r="G4039" s="3">
        <v>23611</v>
      </c>
      <c r="H4039" s="3" t="s">
        <v>3466</v>
      </c>
    </row>
    <row r="4040" spans="1:8" ht="26.25" x14ac:dyDescent="0.25">
      <c r="A4040" s="3" t="s">
        <v>12108</v>
      </c>
      <c r="B4040" s="3"/>
      <c r="C4040" s="3" t="str">
        <f>" "</f>
        <v xml:space="preserve"> </v>
      </c>
      <c r="D4040" s="3" t="s">
        <v>12109</v>
      </c>
      <c r="E4040" s="3" t="s">
        <v>12110</v>
      </c>
      <c r="F4040" s="3" t="str">
        <f>"260.456.4511"</f>
        <v>260.456.4511</v>
      </c>
      <c r="G4040" s="3">
        <v>611699</v>
      </c>
      <c r="H4040" s="3" t="s">
        <v>2136</v>
      </c>
    </row>
    <row r="4041" spans="1:8" ht="153.75" x14ac:dyDescent="0.25">
      <c r="A4041" s="3" t="s">
        <v>12111</v>
      </c>
      <c r="B4041" s="3"/>
      <c r="C4041" s="3" t="s">
        <v>12112</v>
      </c>
      <c r="D4041" s="3" t="s">
        <v>9</v>
      </c>
      <c r="E4041" s="3" t="s">
        <v>12113</v>
      </c>
      <c r="F4041" s="3" t="str">
        <f>"317-435-9406"</f>
        <v>317-435-9406</v>
      </c>
      <c r="G4041" s="3">
        <v>531210</v>
      </c>
      <c r="H4041" s="3" t="s">
        <v>1101</v>
      </c>
    </row>
    <row r="4042" spans="1:8" ht="39" x14ac:dyDescent="0.25">
      <c r="A4042" s="3" t="s">
        <v>12114</v>
      </c>
      <c r="B4042" s="3"/>
      <c r="C4042" s="3" t="str">
        <f>"National distribution of food, pharma, cosmetic and industrial chemicals and related services."</f>
        <v>National distribution of food, pharma, cosmetic and industrial chemicals and related services.</v>
      </c>
      <c r="D4042" s="3" t="s">
        <v>12115</v>
      </c>
      <c r="E4042" s="3" t="s">
        <v>12116</v>
      </c>
      <c r="F4042" s="3" t="str">
        <f>"317-591-0000"</f>
        <v>317-591-0000</v>
      </c>
      <c r="G4042" s="3">
        <v>42269</v>
      </c>
      <c r="H4042" s="3" t="s">
        <v>12117</v>
      </c>
    </row>
    <row r="4043" spans="1:8" ht="90" x14ac:dyDescent="0.25">
      <c r="A4043" s="3" t="s">
        <v>12118</v>
      </c>
      <c r="B4043" s="3"/>
      <c r="C4043" s="3" t="s">
        <v>12119</v>
      </c>
      <c r="D4043" s="3" t="s">
        <v>9</v>
      </c>
      <c r="E4043" s="3" t="s">
        <v>12120</v>
      </c>
      <c r="F4043" s="3" t="str">
        <f>"574-753-5115"</f>
        <v>574-753-5115</v>
      </c>
      <c r="G4043" s="3">
        <v>2389</v>
      </c>
      <c r="H4043" s="3" t="s">
        <v>1236</v>
      </c>
    </row>
    <row r="4044" spans="1:8" ht="90" x14ac:dyDescent="0.25">
      <c r="A4044" s="3" t="s">
        <v>12121</v>
      </c>
      <c r="B4044" s="3"/>
      <c r="C4044" s="3" t="str">
        <f>"Harris Mechanical Industrial Contractors, Inc provides industrial services such as welding services, process piping install, millwright, conveyor system repair, maintenance support, and mechanical installations in factories all over the State of Indiana."</f>
        <v>Harris Mechanical Industrial Contractors, Inc provides industrial services such as welding services, process piping install, millwright, conveyor system repair, maintenance support, and mechanical installations in factories all over the State of Indiana.</v>
      </c>
      <c r="D4044" s="3" t="s">
        <v>12122</v>
      </c>
      <c r="E4044" s="3" t="s">
        <v>12123</v>
      </c>
      <c r="F4044" s="3" t="str">
        <f>"260-731-3152"</f>
        <v>260-731-3152</v>
      </c>
      <c r="G4044" s="3">
        <v>238220</v>
      </c>
      <c r="H4044" s="3" t="s">
        <v>348</v>
      </c>
    </row>
    <row r="4045" spans="1:8" ht="141" x14ac:dyDescent="0.25">
      <c r="A4045" s="3" t="s">
        <v>12124</v>
      </c>
      <c r="B4045" s="3"/>
      <c r="C4045" s="3" t="s">
        <v>12125</v>
      </c>
      <c r="D4045" s="3" t="s">
        <v>12126</v>
      </c>
      <c r="E4045" s="3" t="s">
        <v>12127</v>
      </c>
      <c r="F4045" s="3" t="str">
        <f>"2194724424"</f>
        <v>2194724424</v>
      </c>
      <c r="G4045" s="3">
        <v>531</v>
      </c>
      <c r="H4045" s="3" t="s">
        <v>74</v>
      </c>
    </row>
    <row r="4046" spans="1:8" ht="102.75" x14ac:dyDescent="0.25">
      <c r="A4046" s="3" t="s">
        <v>12128</v>
      </c>
      <c r="B4046" s="3"/>
      <c r="C4046" s="3" t="s">
        <v>12129</v>
      </c>
      <c r="D4046" s="3" t="s">
        <v>9</v>
      </c>
      <c r="E4046" s="3" t="s">
        <v>12130</v>
      </c>
      <c r="F4046" s="3" t="str">
        <f>"(574)-583-8832"</f>
        <v>(574)-583-8832</v>
      </c>
      <c r="G4046" s="3">
        <v>447110</v>
      </c>
      <c r="H4046" s="3" t="s">
        <v>12131</v>
      </c>
    </row>
    <row r="4047" spans="1:8" ht="153.75" x14ac:dyDescent="0.25">
      <c r="A4047" s="3" t="s">
        <v>12132</v>
      </c>
      <c r="B4047" s="3"/>
      <c r="C4047" s="3" t="s">
        <v>12133</v>
      </c>
      <c r="D4047" s="3" t="s">
        <v>12134</v>
      </c>
      <c r="E4047" s="3" t="s">
        <v>12135</v>
      </c>
      <c r="F4047" s="3" t="str">
        <f>"219-879-0444"</f>
        <v>219-879-0444</v>
      </c>
      <c r="G4047" s="3">
        <v>81131</v>
      </c>
      <c r="H4047" s="3" t="s">
        <v>1895</v>
      </c>
    </row>
    <row r="4048" spans="1:8" ht="51.75" x14ac:dyDescent="0.25">
      <c r="A4048" s="3" t="s">
        <v>12136</v>
      </c>
      <c r="B4048" s="3"/>
      <c r="C4048" s="3" t="str">
        <f>"Aircraft cylinder repair. We do chrome, Nu-Chrome(R), weld, grind, hone, overhaul. We also chrome liners for aircraft and other liner type engines."</f>
        <v>Aircraft cylinder repair. We do chrome, Nu-Chrome(R), weld, grind, hone, overhaul. We also chrome liners for aircraft and other liner type engines.</v>
      </c>
      <c r="D4048" s="3" t="s">
        <v>12137</v>
      </c>
      <c r="E4048" s="3" t="s">
        <v>12138</v>
      </c>
      <c r="F4048" s="3" t="str">
        <f>"219-362-9707"</f>
        <v>219-362-9707</v>
      </c>
      <c r="G4048" s="3">
        <v>332813</v>
      </c>
      <c r="H4048" s="3" t="s">
        <v>12139</v>
      </c>
    </row>
    <row r="4049" spans="1:8" x14ac:dyDescent="0.25">
      <c r="A4049" s="3" t="s">
        <v>12140</v>
      </c>
      <c r="B4049" s="3"/>
      <c r="C4049" s="3" t="str">
        <f>" "</f>
        <v xml:space="preserve"> </v>
      </c>
      <c r="D4049" s="3" t="s">
        <v>9</v>
      </c>
      <c r="E4049" s="3" t="s">
        <v>46</v>
      </c>
      <c r="F4049" s="2"/>
      <c r="G4049" s="3">
        <v>922160</v>
      </c>
      <c r="H4049" s="3" t="s">
        <v>2246</v>
      </c>
    </row>
    <row r="4050" spans="1:8" ht="51.75" x14ac:dyDescent="0.25">
      <c r="A4050" s="3" t="s">
        <v>12141</v>
      </c>
      <c r="B4050" s="3"/>
      <c r="C4050" s="3" t="str">
        <f>"Local bulk dump truck haulers of construction and manufacturing products. We primarily haul limestone and slag products."</f>
        <v>Local bulk dump truck haulers of construction and manufacturing products. We primarily haul limestone and slag products.</v>
      </c>
      <c r="D4050" s="3" t="s">
        <v>9</v>
      </c>
      <c r="E4050" s="3" t="s">
        <v>46</v>
      </c>
      <c r="F4050" s="3" t="str">
        <f>"2199962461"</f>
        <v>2199962461</v>
      </c>
      <c r="G4050" s="3">
        <v>484110</v>
      </c>
      <c r="H4050" s="3" t="s">
        <v>644</v>
      </c>
    </row>
    <row r="4051" spans="1:8" ht="51.75" x14ac:dyDescent="0.25">
      <c r="A4051" s="3" t="s">
        <v>12142</v>
      </c>
      <c r="B4051" s="3"/>
      <c r="C4051" s="3" t="str">
        <f>"Provides psychiatric services to all different age groups at all levels for outpatient, residential, acute care hospitalization, and homecare."</f>
        <v>Provides psychiatric services to all different age groups at all levels for outpatient, residential, acute care hospitalization, and homecare.</v>
      </c>
      <c r="D4051" s="3" t="s">
        <v>12143</v>
      </c>
      <c r="E4051" s="3" t="s">
        <v>12144</v>
      </c>
      <c r="F4051" s="3" t="str">
        <f>"812-298-8888"</f>
        <v>812-298-8888</v>
      </c>
      <c r="G4051" s="3">
        <v>622210</v>
      </c>
      <c r="H4051" s="3" t="s">
        <v>9815</v>
      </c>
    </row>
    <row r="4052" spans="1:8" ht="77.25" x14ac:dyDescent="0.25">
      <c r="A4052" s="3" t="s">
        <v>12145</v>
      </c>
      <c r="B4052" s="3"/>
      <c r="C4052" s="3" t="str">
        <f>"HCP Recycling buys scrap corruagted and mix paper from industrial, commerical customers as well as municipalities and recycle the material into 100% recycled corrugated medium, which is used in the manufacturing of corrugated boxes."</f>
        <v>HCP Recycling buys scrap corruagted and mix paper from industrial, commerical customers as well as municipalities and recycle the material into 100% recycled corrugated medium, which is used in the manufacturing of corrugated boxes.</v>
      </c>
      <c r="D4052" s="3" t="s">
        <v>12146</v>
      </c>
      <c r="E4052" s="3" t="s">
        <v>46</v>
      </c>
      <c r="F4052" s="3" t="str">
        <f>"260-347-4739"</f>
        <v>260-347-4739</v>
      </c>
      <c r="G4052" s="3">
        <v>322121</v>
      </c>
      <c r="H4052" s="3" t="s">
        <v>12147</v>
      </c>
    </row>
    <row r="4053" spans="1:8" ht="153.75" x14ac:dyDescent="0.25">
      <c r="A4053" s="3" t="s">
        <v>12148</v>
      </c>
      <c r="B4053" s="3"/>
      <c r="C4053" s="3" t="s">
        <v>12149</v>
      </c>
      <c r="D4053" s="3" t="s">
        <v>12150</v>
      </c>
      <c r="E4053" s="3" t="s">
        <v>12151</v>
      </c>
      <c r="F4053" s="3" t="str">
        <f>"765-348-3506"</f>
        <v>765-348-3506</v>
      </c>
      <c r="G4053" s="3">
        <v>32733</v>
      </c>
      <c r="H4053" s="3" t="s">
        <v>12152</v>
      </c>
    </row>
    <row r="4054" spans="1:8" ht="39" x14ac:dyDescent="0.25">
      <c r="A4054" s="3" t="s">
        <v>12153</v>
      </c>
      <c r="B4054" s="3"/>
      <c r="C4054" s="3" t="str">
        <f>"Promotional Product, Premiums and Wearables. We specialize in branding items with your logo."</f>
        <v>Promotional Product, Premiums and Wearables. We specialize in branding items with your logo.</v>
      </c>
      <c r="D4054" s="3" t="s">
        <v>8147</v>
      </c>
      <c r="E4054" s="3" t="s">
        <v>12154</v>
      </c>
      <c r="F4054" s="3" t="str">
        <f>"812-547-7380"</f>
        <v>812-547-7380</v>
      </c>
      <c r="G4054" s="3">
        <v>23599</v>
      </c>
      <c r="H4054" s="3" t="s">
        <v>248</v>
      </c>
    </row>
    <row r="4055" spans="1:8" ht="90" x14ac:dyDescent="0.25">
      <c r="A4055" s="3" t="s">
        <v>12155</v>
      </c>
      <c r="B4055" s="3"/>
      <c r="C4055" s="3" t="s">
        <v>12156</v>
      </c>
      <c r="D4055" s="3" t="s">
        <v>12157</v>
      </c>
      <c r="E4055" s="3" t="s">
        <v>12158</v>
      </c>
      <c r="F4055" s="3" t="str">
        <f>"888-463-0086"</f>
        <v>888-463-0086</v>
      </c>
      <c r="G4055" s="3">
        <v>236118</v>
      </c>
      <c r="H4055" s="3" t="s">
        <v>465</v>
      </c>
    </row>
    <row r="4056" spans="1:8" ht="319.5" x14ac:dyDescent="0.25">
      <c r="A4056" s="3" t="s">
        <v>12159</v>
      </c>
      <c r="B4056" s="3"/>
      <c r="C4056" s="3" t="s">
        <v>12160</v>
      </c>
      <c r="D4056" s="3" t="s">
        <v>12161</v>
      </c>
      <c r="E4056" s="3" t="s">
        <v>12162</v>
      </c>
      <c r="F4056" s="3" t="str">
        <f>"317-541-0200"</f>
        <v>317-541-0200</v>
      </c>
      <c r="G4056" s="3">
        <v>561320</v>
      </c>
      <c r="H4056" s="3" t="s">
        <v>15</v>
      </c>
    </row>
    <row r="4057" spans="1:8" ht="26.25" x14ac:dyDescent="0.25">
      <c r="A4057" s="3" t="s">
        <v>12163</v>
      </c>
      <c r="B4057" s="3"/>
      <c r="C4057" s="3" t="str">
        <f>"Timber and wildlife management for landowners."</f>
        <v>Timber and wildlife management for landowners.</v>
      </c>
      <c r="D4057" s="3" t="s">
        <v>9</v>
      </c>
      <c r="E4057" s="3" t="s">
        <v>46</v>
      </c>
      <c r="F4057" s="2"/>
      <c r="G4057" s="3">
        <v>11</v>
      </c>
      <c r="H4057" s="3" t="s">
        <v>175</v>
      </c>
    </row>
    <row r="4058" spans="1:8" ht="115.5" x14ac:dyDescent="0.25">
      <c r="A4058" s="3" t="s">
        <v>12164</v>
      </c>
      <c r="B4058" s="3"/>
      <c r="C4058" s="3" t="s">
        <v>12165</v>
      </c>
      <c r="D4058" s="3" t="s">
        <v>5204</v>
      </c>
      <c r="E4058" s="3" t="s">
        <v>12166</v>
      </c>
      <c r="F4058" s="3" t="str">
        <f>"317-883-3725"</f>
        <v>317-883-3725</v>
      </c>
      <c r="G4058" s="3">
        <v>321</v>
      </c>
      <c r="H4058" s="3" t="s">
        <v>2367</v>
      </c>
    </row>
    <row r="4059" spans="1:8" ht="64.5" x14ac:dyDescent="0.25">
      <c r="A4059" s="3" t="s">
        <v>12167</v>
      </c>
      <c r="B4059" s="3"/>
      <c r="C4059" s="3" t="str">
        <f>"Demolition of industrial, residential, commercial buildings; dump trucking; erosion control practices, seeding and mulching, site prep, soil remediation, tank removal,site prep, excavating, grading,"</f>
        <v>Demolition of industrial, residential, commercial buildings; dump trucking; erosion control practices, seeding and mulching, site prep, soil remediation, tank removal,site prep, excavating, grading,</v>
      </c>
      <c r="D4059" s="3" t="s">
        <v>9</v>
      </c>
      <c r="E4059" s="3" t="s">
        <v>12168</v>
      </c>
      <c r="F4059" s="3" t="str">
        <f>"812-358-5129"</f>
        <v>812-358-5129</v>
      </c>
      <c r="G4059" s="3">
        <v>238910</v>
      </c>
      <c r="H4059" s="3" t="s">
        <v>886</v>
      </c>
    </row>
    <row r="4060" spans="1:8" ht="51.75" x14ac:dyDescent="0.25">
      <c r="A4060" s="3" t="s">
        <v>12169</v>
      </c>
      <c r="B4060" s="3"/>
      <c r="C4060" s="3" t="str">
        <f>"Land Surveying including ALTA, boundary, construction staking, Septic system design and layout, Mortgage Surveys, Civil Engineering"</f>
        <v>Land Surveying including ALTA, boundary, construction staking, Septic system design and layout, Mortgage Surveys, Civil Engineering</v>
      </c>
      <c r="D4060" s="3" t="s">
        <v>12170</v>
      </c>
      <c r="E4060" s="3" t="s">
        <v>12171</v>
      </c>
      <c r="F4060" s="3" t="str">
        <f>"3177694003"</f>
        <v>3177694003</v>
      </c>
      <c r="G4060" s="3">
        <v>541370</v>
      </c>
      <c r="H4060" s="3" t="s">
        <v>160</v>
      </c>
    </row>
    <row r="4061" spans="1:8" ht="294" x14ac:dyDescent="0.25">
      <c r="A4061" s="3" t="s">
        <v>12172</v>
      </c>
      <c r="B4061" s="3"/>
      <c r="C4061" s="3" t="s">
        <v>12173</v>
      </c>
      <c r="D4061" s="3" t="s">
        <v>12174</v>
      </c>
      <c r="E4061" s="3" t="s">
        <v>12175</v>
      </c>
      <c r="F4061" s="3" t="str">
        <f>"317-218-1700"</f>
        <v>317-218-1700</v>
      </c>
      <c r="G4061" s="3">
        <v>54151</v>
      </c>
      <c r="H4061" s="3" t="s">
        <v>188</v>
      </c>
    </row>
    <row r="4062" spans="1:8" ht="128.25" x14ac:dyDescent="0.25">
      <c r="A4062" s="3" t="s">
        <v>12176</v>
      </c>
      <c r="B4062" s="3"/>
      <c r="C4062" s="3" t="s">
        <v>12177</v>
      </c>
      <c r="D4062" s="3" t="s">
        <v>12178</v>
      </c>
      <c r="E4062" s="3" t="s">
        <v>12179</v>
      </c>
      <c r="F4062" s="3" t="str">
        <f>"808 791 2277"</f>
        <v>808 791 2277</v>
      </c>
      <c r="G4062" s="3">
        <v>511210</v>
      </c>
      <c r="H4062" s="3" t="s">
        <v>315</v>
      </c>
    </row>
    <row r="4063" spans="1:8" ht="26.25" x14ac:dyDescent="0.25">
      <c r="A4063" s="3" t="s">
        <v>12180</v>
      </c>
      <c r="B4063" s="3"/>
      <c r="C4063" s="3" t="str">
        <f>" "</f>
        <v xml:space="preserve"> </v>
      </c>
      <c r="D4063" s="3" t="s">
        <v>9</v>
      </c>
      <c r="E4063" s="3" t="s">
        <v>46</v>
      </c>
      <c r="F4063" s="2"/>
      <c r="G4063" s="3">
        <v>424990</v>
      </c>
      <c r="H4063" s="3" t="s">
        <v>1019</v>
      </c>
    </row>
    <row r="4064" spans="1:8" ht="102.75" x14ac:dyDescent="0.25">
      <c r="A4064" s="3" t="s">
        <v>12181</v>
      </c>
      <c r="B4064" s="3"/>
      <c r="C4064" s="3" t="s">
        <v>12182</v>
      </c>
      <c r="D4064" s="3" t="s">
        <v>12183</v>
      </c>
      <c r="E4064" s="3" t="s">
        <v>12184</v>
      </c>
      <c r="F4064" s="3" t="str">
        <f>"765.423.5602"</f>
        <v>765.423.5602</v>
      </c>
      <c r="G4064" s="3">
        <v>541330</v>
      </c>
      <c r="H4064" s="3" t="s">
        <v>82</v>
      </c>
    </row>
    <row r="4065" spans="1:8" ht="39" x14ac:dyDescent="0.25">
      <c r="A4065" s="3" t="s">
        <v>12185</v>
      </c>
      <c r="B4065" s="3"/>
      <c r="C4065" s="3" t="str">
        <f>"Sales, service, parts and rentals of industrial &amp; construction forklifts, scissor lifts, boom lifts &amp; man lifts."</f>
        <v>Sales, service, parts and rentals of industrial &amp; construction forklifts, scissor lifts, boom lifts &amp; man lifts.</v>
      </c>
      <c r="D4065" s="3" t="s">
        <v>9</v>
      </c>
      <c r="E4065" s="3" t="s">
        <v>12186</v>
      </c>
      <c r="F4065" s="3" t="str">
        <f>"812-752-5438"</f>
        <v>812-752-5438</v>
      </c>
      <c r="G4065" s="3">
        <v>81131</v>
      </c>
      <c r="H4065" s="3" t="s">
        <v>1895</v>
      </c>
    </row>
    <row r="4066" spans="1:8" ht="217.5" x14ac:dyDescent="0.25">
      <c r="A4066" s="3" t="s">
        <v>12187</v>
      </c>
      <c r="B4066" s="3"/>
      <c r="C4066" s="3" t="s">
        <v>12188</v>
      </c>
      <c r="D4066" s="3" t="s">
        <v>9</v>
      </c>
      <c r="E4066" s="3" t="s">
        <v>46</v>
      </c>
      <c r="F4066" s="2"/>
      <c r="G4066" s="3">
        <v>541330</v>
      </c>
      <c r="H4066" s="3" t="s">
        <v>82</v>
      </c>
    </row>
    <row r="4067" spans="1:8" ht="115.5" x14ac:dyDescent="0.25">
      <c r="A4067" s="3" t="s">
        <v>12189</v>
      </c>
      <c r="B4067" s="3"/>
      <c r="C4067" s="3" t="s">
        <v>12190</v>
      </c>
      <c r="D4067" s="3" t="s">
        <v>12191</v>
      </c>
      <c r="E4067" s="3" t="s">
        <v>12192</v>
      </c>
      <c r="F4067" s="3" t="str">
        <f>"574-970-1079"</f>
        <v>574-970-1079</v>
      </c>
      <c r="G4067" s="3">
        <v>541611</v>
      </c>
      <c r="H4067" s="3" t="s">
        <v>278</v>
      </c>
    </row>
    <row r="4068" spans="1:8" ht="64.5" x14ac:dyDescent="0.25">
      <c r="A4068" s="3" t="s">
        <v>12193</v>
      </c>
      <c r="B4068" s="3"/>
      <c r="C4068" s="3" t="str">
        <f>"Hayden Rental retails lawnmowers, chain saws, trimmers, generators and other power equipment. We also rent bobcats, trenchers, augers, as well as smaller pieces of equipment."</f>
        <v>Hayden Rental retails lawnmowers, chain saws, trimmers, generators and other power equipment. We also rent bobcats, trenchers, augers, as well as smaller pieces of equipment.</v>
      </c>
      <c r="D4068" s="3" t="s">
        <v>9</v>
      </c>
      <c r="E4068" s="3" t="s">
        <v>46</v>
      </c>
      <c r="F4068" s="3" t="str">
        <f>"260-347-0064"</f>
        <v>260-347-0064</v>
      </c>
      <c r="G4068" s="3">
        <v>4442</v>
      </c>
      <c r="H4068" s="3" t="s">
        <v>852</v>
      </c>
    </row>
    <row r="4069" spans="1:8" ht="166.5" x14ac:dyDescent="0.25">
      <c r="A4069" s="3" t="s">
        <v>12194</v>
      </c>
      <c r="B4069" s="3"/>
      <c r="C4069" s="3" t="s">
        <v>12195</v>
      </c>
      <c r="D4069" s="3" t="s">
        <v>9</v>
      </c>
      <c r="E4069" s="3" t="s">
        <v>12196</v>
      </c>
      <c r="F4069" s="3" t="str">
        <f>"317-464-5182"</f>
        <v>317-464-5182</v>
      </c>
      <c r="G4069" s="3">
        <v>5411</v>
      </c>
      <c r="H4069" s="3" t="s">
        <v>87</v>
      </c>
    </row>
    <row r="4070" spans="1:8" ht="306.75" x14ac:dyDescent="0.25">
      <c r="A4070" s="3" t="s">
        <v>12197</v>
      </c>
      <c r="B4070" s="3"/>
      <c r="C4070" s="3" t="s">
        <v>12198</v>
      </c>
      <c r="D4070" s="3" t="s">
        <v>9</v>
      </c>
      <c r="E4070" s="3" t="s">
        <v>46</v>
      </c>
      <c r="F4070" s="3" t="str">
        <f>"317-535-4165"</f>
        <v>317-535-4165</v>
      </c>
      <c r="G4070" s="3">
        <v>531</v>
      </c>
      <c r="H4070" s="3" t="s">
        <v>74</v>
      </c>
    </row>
    <row r="4071" spans="1:8" ht="51.75" x14ac:dyDescent="0.25">
      <c r="A4071" s="3" t="s">
        <v>12199</v>
      </c>
      <c r="B4071" s="3"/>
      <c r="C4071" s="3" t="str">
        <f>"Hazelwood Enterprises, Inc. consists of quad-axle and tri-axle dump trucks to supply construction matierials to job sites and to haul off spoils."</f>
        <v>Hazelwood Enterprises, Inc. consists of quad-axle and tri-axle dump trucks to supply construction matierials to job sites and to haul off spoils.</v>
      </c>
      <c r="D4071" s="3" t="s">
        <v>12200</v>
      </c>
      <c r="E4071" s="3" t="s">
        <v>12201</v>
      </c>
      <c r="F4071" s="3" t="str">
        <f>"317-422-8785"</f>
        <v>317-422-8785</v>
      </c>
      <c r="G4071" s="3">
        <v>484110</v>
      </c>
      <c r="H4071" s="3" t="s">
        <v>644</v>
      </c>
    </row>
    <row r="4072" spans="1:8" ht="90" x14ac:dyDescent="0.25">
      <c r="A4072" s="3" t="s">
        <v>12202</v>
      </c>
      <c r="B4072" s="3"/>
      <c r="C4072" s="3" t="str">
        <f>"mobile spa services. service will include massage and will contract out for manicure/pedicure and facials when request services are required for spa parties. cater to individuals, corporate functions and seminars and home spa parties"</f>
        <v>mobile spa services. service will include massage and will contract out for manicure/pedicure and facials when request services are required for spa parties. cater to individuals, corporate functions and seminars and home spa parties</v>
      </c>
      <c r="D4072" s="3" t="s">
        <v>9</v>
      </c>
      <c r="E4072" s="3" t="s">
        <v>12203</v>
      </c>
      <c r="F4072" s="3" t="str">
        <f>"317-201-2571"</f>
        <v>317-201-2571</v>
      </c>
      <c r="G4072" s="3">
        <v>812112</v>
      </c>
      <c r="H4072" s="3" t="s">
        <v>1081</v>
      </c>
    </row>
    <row r="4073" spans="1:8" ht="90" x14ac:dyDescent="0.25">
      <c r="A4073" s="3" t="s">
        <v>12204</v>
      </c>
      <c r="B4073" s="3"/>
      <c r="C4073" s="3" t="s">
        <v>12205</v>
      </c>
      <c r="D4073" s="3" t="s">
        <v>9</v>
      </c>
      <c r="E4073" s="3" t="s">
        <v>12206</v>
      </c>
      <c r="F4073" s="3" t="str">
        <f>"260-426-9884"</f>
        <v>260-426-9884</v>
      </c>
      <c r="G4073" s="3">
        <v>32311</v>
      </c>
      <c r="H4073" s="3" t="s">
        <v>531</v>
      </c>
    </row>
    <row r="4074" spans="1:8" ht="77.25" x14ac:dyDescent="0.25">
      <c r="A4074" s="3" t="s">
        <v>12207</v>
      </c>
      <c r="B4074" s="3"/>
      <c r="C4074" s="3" t="str">
        <f>"Health Care Education and Training, Inc. provides comprehensive program development, education, and training to improve reproductive and sexual health outcomes. HCET serves professionals, health care systems, and communities."</f>
        <v>Health Care Education and Training, Inc. provides comprehensive program development, education, and training to improve reproductive and sexual health outcomes. HCET serves professionals, health care systems, and communities.</v>
      </c>
      <c r="D4074" s="3" t="s">
        <v>12208</v>
      </c>
      <c r="E4074" s="3" t="s">
        <v>46</v>
      </c>
      <c r="F4074" s="3" t="str">
        <f>"317-247-9008"</f>
        <v>317-247-9008</v>
      </c>
      <c r="G4074" s="3">
        <v>611430</v>
      </c>
      <c r="H4074" s="3" t="s">
        <v>1224</v>
      </c>
    </row>
    <row r="4075" spans="1:8" ht="306.75" x14ac:dyDescent="0.25">
      <c r="A4075" s="3" t="s">
        <v>12209</v>
      </c>
      <c r="B4075" s="3"/>
      <c r="C4075" s="3" t="s">
        <v>12210</v>
      </c>
      <c r="D4075" s="3" t="s">
        <v>12211</v>
      </c>
      <c r="E4075" s="3" t="s">
        <v>46</v>
      </c>
      <c r="F4075" s="3" t="str">
        <f>"317-347-4500"</f>
        <v>317-347-4500</v>
      </c>
      <c r="G4075" s="3">
        <v>813920</v>
      </c>
      <c r="H4075" s="3" t="s">
        <v>8755</v>
      </c>
    </row>
    <row r="4076" spans="1:8" ht="141" x14ac:dyDescent="0.25">
      <c r="A4076" s="3" t="s">
        <v>12212</v>
      </c>
      <c r="B4076" s="3"/>
      <c r="C4076" s="3" t="s">
        <v>12213</v>
      </c>
      <c r="D4076" s="3" t="s">
        <v>12214</v>
      </c>
      <c r="E4076" s="3" t="s">
        <v>12215</v>
      </c>
      <c r="F4076" s="3" t="str">
        <f>"317-815-0801"</f>
        <v>317-815-0801</v>
      </c>
      <c r="G4076" s="3">
        <v>5416</v>
      </c>
      <c r="H4076" s="3" t="s">
        <v>194</v>
      </c>
    </row>
    <row r="4077" spans="1:8" ht="51.75" x14ac:dyDescent="0.25">
      <c r="A4077" s="3" t="s">
        <v>12216</v>
      </c>
      <c r="B4077" s="3"/>
      <c r="C4077" s="3" t="str">
        <f>"We provide health information, accreditation and regulatory compliance consulttion to behavioral healthcare organizations."</f>
        <v>We provide health information, accreditation and regulatory compliance consulttion to behavioral healthcare organizations.</v>
      </c>
      <c r="D4077" s="3" t="s">
        <v>9</v>
      </c>
      <c r="E4077" s="3" t="s">
        <v>12217</v>
      </c>
      <c r="F4077" s="3" t="str">
        <f>"5742682982"</f>
        <v>5742682982</v>
      </c>
      <c r="G4077" s="3">
        <v>541611</v>
      </c>
      <c r="H4077" s="3" t="s">
        <v>278</v>
      </c>
    </row>
    <row r="4078" spans="1:8" ht="217.5" x14ac:dyDescent="0.25">
      <c r="A4078" s="3" t="s">
        <v>12218</v>
      </c>
      <c r="B4078" s="3"/>
      <c r="C4078" s="3" t="s">
        <v>12219</v>
      </c>
      <c r="D4078" s="3" t="s">
        <v>12220</v>
      </c>
      <c r="E4078" s="3" t="s">
        <v>12221</v>
      </c>
      <c r="F4078" s="3" t="str">
        <f>"800-727-1444"</f>
        <v>800-727-1444</v>
      </c>
      <c r="G4078" s="3">
        <v>52429</v>
      </c>
      <c r="H4078" s="3" t="s">
        <v>12222</v>
      </c>
    </row>
    <row r="4079" spans="1:8" ht="39" x14ac:dyDescent="0.25">
      <c r="A4079" s="3" t="s">
        <v>12223</v>
      </c>
      <c r="B4079" s="3"/>
      <c r="C4079" s="3" t="str">
        <f>"Health Rewards is in the business of providing health and wellness services and products to corporations."</f>
        <v>Health Rewards is in the business of providing health and wellness services and products to corporations.</v>
      </c>
      <c r="D4079" s="3" t="s">
        <v>9</v>
      </c>
      <c r="E4079" s="3" t="s">
        <v>12224</v>
      </c>
      <c r="F4079" s="3" t="str">
        <f>"317-443-0938"</f>
        <v>317-443-0938</v>
      </c>
      <c r="G4079" s="3">
        <v>812199</v>
      </c>
      <c r="H4079" s="3" t="s">
        <v>12225</v>
      </c>
    </row>
    <row r="4080" spans="1:8" ht="90" x14ac:dyDescent="0.25">
      <c r="A4080" s="3" t="s">
        <v>12226</v>
      </c>
      <c r="B4080" s="3"/>
      <c r="C4080" s="3" t="s">
        <v>12227</v>
      </c>
      <c r="D4080" s="3" t="s">
        <v>12228</v>
      </c>
      <c r="E4080" s="3" t="s">
        <v>12229</v>
      </c>
      <c r="F4080" s="3" t="str">
        <f>"317-894-8670"</f>
        <v>317-894-8670</v>
      </c>
      <c r="G4080" s="3">
        <v>561330</v>
      </c>
      <c r="H4080" s="3" t="s">
        <v>2879</v>
      </c>
    </row>
    <row r="4081" spans="1:8" ht="90" x14ac:dyDescent="0.25">
      <c r="A4081" s="3" t="s">
        <v>12230</v>
      </c>
      <c r="B4081" s="3"/>
      <c r="C4081" s="3" t="str">
        <f>"Strategic planning, demographic analysis, and outcome assessment, principally in the health and human services sectors. Expertise in customer satisfaction assessment, needs assessments, planning and marketing, and program and outcome evaluations."</f>
        <v>Strategic planning, demographic analysis, and outcome assessment, principally in the health and human services sectors. Expertise in customer satisfaction assessment, needs assessments, planning and marketing, and program and outcome evaluations.</v>
      </c>
      <c r="D4081" s="3" t="s">
        <v>9</v>
      </c>
      <c r="E4081" s="3" t="s">
        <v>12231</v>
      </c>
      <c r="F4081" s="3" t="str">
        <f>"574-291-7232"</f>
        <v>574-291-7232</v>
      </c>
      <c r="G4081" s="3">
        <v>541611</v>
      </c>
      <c r="H4081" s="3" t="s">
        <v>278</v>
      </c>
    </row>
    <row r="4082" spans="1:8" ht="153.75" x14ac:dyDescent="0.25">
      <c r="A4082" s="3" t="s">
        <v>12232</v>
      </c>
      <c r="B4082" s="3"/>
      <c r="C4082" s="3" t="s">
        <v>12233</v>
      </c>
      <c r="D4082" s="3" t="s">
        <v>12234</v>
      </c>
      <c r="E4082" s="3" t="s">
        <v>12235</v>
      </c>
      <c r="F4082" s="3" t="str">
        <f>"877-845-5638"</f>
        <v>877-845-5638</v>
      </c>
      <c r="G4082" s="3">
        <v>454390</v>
      </c>
      <c r="H4082" s="3" t="s">
        <v>1348</v>
      </c>
    </row>
    <row r="4083" spans="1:8" ht="255.75" x14ac:dyDescent="0.25">
      <c r="A4083" s="3" t="s">
        <v>12236</v>
      </c>
      <c r="B4083" s="3"/>
      <c r="C4083" s="3" t="s">
        <v>12237</v>
      </c>
      <c r="D4083" s="3" t="s">
        <v>9</v>
      </c>
      <c r="E4083" s="3" t="s">
        <v>12238</v>
      </c>
      <c r="F4083" s="3" t="str">
        <f>"812.437.8325"</f>
        <v>812.437.8325</v>
      </c>
      <c r="G4083" s="3">
        <v>541990</v>
      </c>
      <c r="H4083" s="3" t="s">
        <v>378</v>
      </c>
    </row>
    <row r="4084" spans="1:8" ht="26.25" x14ac:dyDescent="0.25">
      <c r="A4084" s="3" t="s">
        <v>12239</v>
      </c>
      <c r="B4084" s="3"/>
      <c r="C4084" s="3" t="str">
        <f>"Third Party Claims administration for self funded or partially self funded employers."</f>
        <v>Third Party Claims administration for self funded or partially self funded employers.</v>
      </c>
      <c r="D4084" s="3" t="s">
        <v>9</v>
      </c>
      <c r="E4084" s="3" t="s">
        <v>12240</v>
      </c>
      <c r="F4084" s="3" t="str">
        <f>"317-776-3703"</f>
        <v>317-776-3703</v>
      </c>
      <c r="G4084" s="3">
        <v>524292</v>
      </c>
      <c r="H4084" s="3" t="s">
        <v>4892</v>
      </c>
    </row>
    <row r="4085" spans="1:8" ht="128.25" x14ac:dyDescent="0.25">
      <c r="A4085" s="3" t="s">
        <v>12241</v>
      </c>
      <c r="B4085" s="3"/>
      <c r="C4085" s="3" t="s">
        <v>12242</v>
      </c>
      <c r="D4085" s="3" t="s">
        <v>12243</v>
      </c>
      <c r="E4085" s="3" t="s">
        <v>46</v>
      </c>
      <c r="F4085" s="3" t="str">
        <f>"317-886-5010"</f>
        <v>317-886-5010</v>
      </c>
      <c r="G4085" s="3">
        <v>812990</v>
      </c>
      <c r="H4085" s="3" t="s">
        <v>294</v>
      </c>
    </row>
    <row r="4086" spans="1:8" ht="39" x14ac:dyDescent="0.25">
      <c r="A4086" s="3" t="s">
        <v>12244</v>
      </c>
      <c r="B4086" s="3"/>
      <c r="C4086" s="3" t="str">
        <f>"Healthcare Waste Management specializes in the removal and disposal of medical, pharmaceutical and incineration wastes."</f>
        <v>Healthcare Waste Management specializes in the removal and disposal of medical, pharmaceutical and incineration wastes.</v>
      </c>
      <c r="D4086" s="3" t="s">
        <v>12245</v>
      </c>
      <c r="E4086" s="3" t="s">
        <v>12246</v>
      </c>
      <c r="F4086" s="3" t="str">
        <f>"888-427-5797"</f>
        <v>888-427-5797</v>
      </c>
      <c r="G4086" s="3">
        <v>562119</v>
      </c>
      <c r="H4086" s="3" t="s">
        <v>586</v>
      </c>
    </row>
    <row r="4087" spans="1:8" ht="141" x14ac:dyDescent="0.25">
      <c r="A4087" s="3" t="s">
        <v>12247</v>
      </c>
      <c r="B4087" s="3"/>
      <c r="C4087" s="3" t="s">
        <v>12248</v>
      </c>
      <c r="D4087" s="3" t="s">
        <v>12249</v>
      </c>
      <c r="E4087" s="3" t="s">
        <v>12250</v>
      </c>
      <c r="F4087" s="3" t="str">
        <f>"317-571-8795"</f>
        <v>317-571-8795</v>
      </c>
      <c r="G4087" s="3">
        <v>541330</v>
      </c>
      <c r="H4087" s="3" t="s">
        <v>82</v>
      </c>
    </row>
    <row r="4088" spans="1:8" ht="128.25" x14ac:dyDescent="0.25">
      <c r="A4088" s="3" t="s">
        <v>12251</v>
      </c>
      <c r="B4088" s="3"/>
      <c r="C4088" s="3" t="s">
        <v>12252</v>
      </c>
      <c r="D4088" s="3" t="s">
        <v>12253</v>
      </c>
      <c r="E4088" s="3" t="s">
        <v>12254</v>
      </c>
      <c r="F4088" s="3" t="str">
        <f>"812-303-4300"</f>
        <v>812-303-4300</v>
      </c>
      <c r="G4088" s="3">
        <v>621340</v>
      </c>
      <c r="H4088" s="3" t="s">
        <v>987</v>
      </c>
    </row>
    <row r="4089" spans="1:8" ht="64.5" x14ac:dyDescent="0.25">
      <c r="A4089" s="3" t="s">
        <v>12255</v>
      </c>
      <c r="B4089" s="3"/>
      <c r="C4089" s="3" t="str">
        <f>"A non-profit community health center that delivers comprehensive outpatient primary health care to a medically underserved population without regard to age, gender or income."</f>
        <v>A non-profit community health center that delivers comprehensive outpatient primary health care to a medically underserved population without regard to age, gender or income.</v>
      </c>
      <c r="D4089" s="3" t="s">
        <v>9</v>
      </c>
      <c r="E4089" s="3" t="s">
        <v>46</v>
      </c>
      <c r="F4089" s="3" t="str">
        <f>"574-293-0052"</f>
        <v>574-293-0052</v>
      </c>
      <c r="G4089" s="3">
        <v>621498</v>
      </c>
      <c r="H4089" s="3" t="s">
        <v>937</v>
      </c>
    </row>
    <row r="4090" spans="1:8" ht="64.5" x14ac:dyDescent="0.25">
      <c r="A4090" s="3" t="s">
        <v>12256</v>
      </c>
      <c r="B4090" s="3"/>
      <c r="C4090" s="3" t="str">
        <f>"Sales of wood burning fireplaces, wood &amp; gas burning stoves, direct vent fireplaces,grills, veneer stone, mantels and offering installation in Northern Indiana, Southern Michigan."</f>
        <v>Sales of wood burning fireplaces, wood &amp; gas burning stoves, direct vent fireplaces,grills, veneer stone, mantels and offering installation in Northern Indiana, Southern Michigan.</v>
      </c>
      <c r="D4090" s="3" t="s">
        <v>12257</v>
      </c>
      <c r="E4090" s="3" t="s">
        <v>46</v>
      </c>
      <c r="F4090" s="3" t="str">
        <f>"574-272-3030"</f>
        <v>574-272-3030</v>
      </c>
      <c r="G4090" s="3">
        <v>442299</v>
      </c>
      <c r="H4090" s="3" t="s">
        <v>951</v>
      </c>
    </row>
    <row r="4091" spans="1:8" ht="26.25" x14ac:dyDescent="0.25">
      <c r="A4091" s="3" t="s">
        <v>12258</v>
      </c>
      <c r="B4091" s="3"/>
      <c r="C4091" s="2"/>
      <c r="D4091" s="3" t="s">
        <v>12259</v>
      </c>
      <c r="E4091" s="3" t="s">
        <v>46</v>
      </c>
      <c r="F4091" s="3" t="str">
        <f>"574-522-5200"</f>
        <v>574-522-5200</v>
      </c>
      <c r="G4091" s="3">
        <v>23541</v>
      </c>
      <c r="H4091" s="3" t="s">
        <v>4098</v>
      </c>
    </row>
    <row r="4092" spans="1:8" ht="51.75" x14ac:dyDescent="0.25">
      <c r="A4092" s="3" t="s">
        <v>12260</v>
      </c>
      <c r="B4092" s="3"/>
      <c r="C4092" s="3" t="str">
        <f>"Heartland Environmental is a full service environmental consulting firm offering a wide range of environmental services for public and private entities."</f>
        <v>Heartland Environmental is a full service environmental consulting firm offering a wide range of environmental services for public and private entities.</v>
      </c>
      <c r="D4092" s="3" t="s">
        <v>12261</v>
      </c>
      <c r="E4092" s="3" t="s">
        <v>12262</v>
      </c>
      <c r="F4092" s="3" t="str">
        <f>"574-289-1191"</f>
        <v>574-289-1191</v>
      </c>
      <c r="G4092" s="3">
        <v>54162</v>
      </c>
      <c r="H4092" s="3" t="s">
        <v>216</v>
      </c>
    </row>
    <row r="4093" spans="1:8" x14ac:dyDescent="0.25">
      <c r="A4093" s="3" t="s">
        <v>12263</v>
      </c>
      <c r="B4093" s="3"/>
      <c r="C4093" s="3" t="str">
        <f>" "</f>
        <v xml:space="preserve"> </v>
      </c>
      <c r="D4093" s="3" t="s">
        <v>9</v>
      </c>
      <c r="E4093" s="3" t="s">
        <v>46</v>
      </c>
      <c r="F4093" s="2"/>
      <c r="G4093" s="3">
        <v>561730</v>
      </c>
      <c r="H4093" s="3" t="s">
        <v>65</v>
      </c>
    </row>
    <row r="4094" spans="1:8" ht="39" x14ac:dyDescent="0.25">
      <c r="A4094" s="3" t="s">
        <v>12264</v>
      </c>
      <c r="B4094" s="3"/>
      <c r="C4094" s="3" t="str">
        <f>"Indiana manufacturer of variety no calorie sweeteners in portion control, bulk, industrial, liquid, foodservice and retail"</f>
        <v>Indiana manufacturer of variety no calorie sweeteners in portion control, bulk, industrial, liquid, foodservice and retail</v>
      </c>
      <c r="D4094" s="3" t="s">
        <v>12265</v>
      </c>
      <c r="E4094" s="3" t="s">
        <v>12266</v>
      </c>
      <c r="F4094" s="3" t="str">
        <f>"317-566-9750"</f>
        <v>317-566-9750</v>
      </c>
      <c r="G4094" s="3">
        <v>311999</v>
      </c>
      <c r="H4094" s="3" t="s">
        <v>6994</v>
      </c>
    </row>
    <row r="4095" spans="1:8" ht="319.5" x14ac:dyDescent="0.25">
      <c r="A4095" s="3" t="s">
        <v>12267</v>
      </c>
      <c r="B4095" s="3"/>
      <c r="C4095" s="3" t="s">
        <v>12268</v>
      </c>
      <c r="D4095" s="3" t="s">
        <v>12269</v>
      </c>
      <c r="E4095" s="3" t="s">
        <v>12270</v>
      </c>
      <c r="F4095" s="3" t="str">
        <f>"812-277-1499"</f>
        <v>812-277-1499</v>
      </c>
      <c r="G4095" s="3">
        <v>517</v>
      </c>
      <c r="H4095" s="3" t="s">
        <v>682</v>
      </c>
    </row>
    <row r="4096" spans="1:8" ht="39" x14ac:dyDescent="0.25">
      <c r="A4096" s="3" t="s">
        <v>12271</v>
      </c>
      <c r="B4096" s="3"/>
      <c r="C4096" s="3" t="str">
        <f>"Mobile makeup artist, specializing in photo shoots, proms, weddings, tutorials, and fashion shows, serving central Indiana."</f>
        <v>Mobile makeup artist, specializing in photo shoots, proms, weddings, tutorials, and fashion shows, serving central Indiana.</v>
      </c>
      <c r="D4096" s="3" t="s">
        <v>12272</v>
      </c>
      <c r="E4096" s="3" t="s">
        <v>12273</v>
      </c>
      <c r="F4096" s="3" t="str">
        <f>"3176058081"</f>
        <v>3176058081</v>
      </c>
      <c r="G4096" s="3">
        <v>44612</v>
      </c>
      <c r="H4096" s="3" t="s">
        <v>10407</v>
      </c>
    </row>
    <row r="4097" spans="1:8" x14ac:dyDescent="0.25">
      <c r="A4097" s="3" t="s">
        <v>12274</v>
      </c>
      <c r="B4097" s="3"/>
      <c r="C4097" s="3" t="str">
        <f>"Building Maintenance Services"</f>
        <v>Building Maintenance Services</v>
      </c>
      <c r="D4097" s="3" t="s">
        <v>9</v>
      </c>
      <c r="E4097" s="3" t="s">
        <v>46</v>
      </c>
      <c r="F4097" s="2"/>
      <c r="G4097" s="3">
        <v>561720</v>
      </c>
      <c r="H4097" s="3" t="s">
        <v>222</v>
      </c>
    </row>
    <row r="4098" spans="1:8" ht="26.25" x14ac:dyDescent="0.25">
      <c r="A4098" s="3" t="s">
        <v>12275</v>
      </c>
      <c r="B4098" s="3"/>
      <c r="C4098" s="3" t="str">
        <f>"lawn care services, snow removal, light haouling"</f>
        <v>lawn care services, snow removal, light haouling</v>
      </c>
      <c r="D4098" s="3" t="s">
        <v>9</v>
      </c>
      <c r="E4098" s="3" t="s">
        <v>46</v>
      </c>
      <c r="F4098" s="2"/>
      <c r="G4098" s="3">
        <v>561730</v>
      </c>
      <c r="H4098" s="3" t="s">
        <v>65</v>
      </c>
    </row>
    <row r="4099" spans="1:8" ht="39" x14ac:dyDescent="0.25">
      <c r="A4099" s="3" t="s">
        <v>12276</v>
      </c>
      <c r="B4099" s="3"/>
      <c r="C4099" s="3" t="str">
        <f>"Property Management Real Estate Sales Home Owner Associations Storage Facilities Vending"</f>
        <v>Property Management Real Estate Sales Home Owner Associations Storage Facilities Vending</v>
      </c>
      <c r="D4099" s="3" t="s">
        <v>12277</v>
      </c>
      <c r="E4099" s="3" t="s">
        <v>12278</v>
      </c>
      <c r="F4099" s="3" t="str">
        <f>"317-635-8396"</f>
        <v>317-635-8396</v>
      </c>
      <c r="G4099" s="3">
        <v>2361</v>
      </c>
      <c r="H4099" s="3" t="s">
        <v>3466</v>
      </c>
    </row>
    <row r="4100" spans="1:8" ht="179.25" x14ac:dyDescent="0.25">
      <c r="A4100" s="3" t="s">
        <v>12279</v>
      </c>
      <c r="B4100" s="3"/>
      <c r="C4100" s="3" t="s">
        <v>12280</v>
      </c>
      <c r="D4100" s="3" t="s">
        <v>9</v>
      </c>
      <c r="E4100" s="3" t="s">
        <v>12281</v>
      </c>
      <c r="F4100" s="2"/>
      <c r="G4100" s="3">
        <v>722330</v>
      </c>
      <c r="H4100" s="3" t="s">
        <v>9193</v>
      </c>
    </row>
    <row r="4101" spans="1:8" ht="39" x14ac:dyDescent="0.25">
      <c r="A4101" s="3" t="s">
        <v>12279</v>
      </c>
      <c r="B4101" s="3"/>
      <c r="C4101" s="3" t="str">
        <f>"Mobile food vending service . We provide fresh fruit, non alcoholic beverages, healthy snacks, nuts and muffins."</f>
        <v>Mobile food vending service . We provide fresh fruit, non alcoholic beverages, healthy snacks, nuts and muffins.</v>
      </c>
      <c r="D4101" s="3" t="s">
        <v>9</v>
      </c>
      <c r="E4101" s="3" t="s">
        <v>46</v>
      </c>
      <c r="F4101" s="2"/>
      <c r="G4101" s="3">
        <v>72233</v>
      </c>
      <c r="H4101" s="3" t="s">
        <v>12282</v>
      </c>
    </row>
    <row r="4102" spans="1:8" ht="39" x14ac:dyDescent="0.25">
      <c r="A4102" s="3" t="s">
        <v>12283</v>
      </c>
      <c r="B4102" s="3"/>
      <c r="C4102" s="3" t="str">
        <f>"Leasing of heavy construction equipment"</f>
        <v>Leasing of heavy construction equipment</v>
      </c>
      <c r="D4102" s="3" t="s">
        <v>9</v>
      </c>
      <c r="E4102" s="3" t="s">
        <v>46</v>
      </c>
      <c r="F4102" s="3" t="str">
        <f>"317-727-5410"</f>
        <v>317-727-5410</v>
      </c>
      <c r="G4102" s="3">
        <v>53241</v>
      </c>
      <c r="H4102" s="3" t="s">
        <v>8798</v>
      </c>
    </row>
    <row r="4103" spans="1:8" ht="51.75" x14ac:dyDescent="0.25">
      <c r="A4103" s="3" t="s">
        <v>12284</v>
      </c>
      <c r="B4103" s="3"/>
      <c r="C4103" s="3" t="str">
        <f>"Installation and maintenance of communications systems and all associated wiring, including data networking."</f>
        <v>Installation and maintenance of communications systems and all associated wiring, including data networking.</v>
      </c>
      <c r="D4103" s="3" t="s">
        <v>9</v>
      </c>
      <c r="E4103" s="3" t="s">
        <v>12285</v>
      </c>
      <c r="F4103" s="3" t="str">
        <f>"765-384-5577"</f>
        <v>765-384-5577</v>
      </c>
      <c r="G4103" s="3">
        <v>238990</v>
      </c>
      <c r="H4103" s="3" t="s">
        <v>481</v>
      </c>
    </row>
    <row r="4104" spans="1:8" ht="141" x14ac:dyDescent="0.25">
      <c r="A4104" s="3" t="s">
        <v>12286</v>
      </c>
      <c r="B4104" s="3"/>
      <c r="C4104" s="3" t="s">
        <v>12287</v>
      </c>
      <c r="D4104" s="3" t="s">
        <v>12288</v>
      </c>
      <c r="E4104" s="3" t="s">
        <v>12289</v>
      </c>
      <c r="F4104" s="3" t="str">
        <f>"917-837-5167"</f>
        <v>917-837-5167</v>
      </c>
      <c r="G4104" s="3">
        <v>453920</v>
      </c>
      <c r="H4104" s="3" t="s">
        <v>2616</v>
      </c>
    </row>
    <row r="4105" spans="1:8" ht="64.5" x14ac:dyDescent="0.25">
      <c r="A4105" s="3" t="s">
        <v>12290</v>
      </c>
      <c r="B4105" s="3"/>
      <c r="C4105" s="3" t="str">
        <f>"Hederick Partnerships specializes in project management and financial services for small business and nonprofits. HP also conducts public policy analysis, group facilitation and grants management."</f>
        <v>Hederick Partnerships specializes in project management and financial services for small business and nonprofits. HP also conducts public policy analysis, group facilitation and grants management.</v>
      </c>
      <c r="D4105" s="3" t="s">
        <v>9</v>
      </c>
      <c r="E4105" s="3" t="s">
        <v>12291</v>
      </c>
      <c r="F4105" s="3" t="str">
        <f>"317-549-0230"</f>
        <v>317-549-0230</v>
      </c>
      <c r="G4105" s="3">
        <v>541990</v>
      </c>
      <c r="H4105" s="3" t="s">
        <v>378</v>
      </c>
    </row>
    <row r="4106" spans="1:8" ht="39" x14ac:dyDescent="0.25">
      <c r="A4106" s="3" t="s">
        <v>12292</v>
      </c>
      <c r="B4106" s="3"/>
      <c r="C4106" s="3" t="str">
        <f>"Online Procurement Solution and Services Provider for e-Sourcing, Online Bid Software and ASP Services, e-Procurement and RFx"</f>
        <v>Online Procurement Solution and Services Provider for e-Sourcing, Online Bid Software and ASP Services, e-Procurement and RFx</v>
      </c>
      <c r="D4106" s="3" t="s">
        <v>12293</v>
      </c>
      <c r="E4106" s="3" t="s">
        <v>12294</v>
      </c>
      <c r="F4106" s="3" t="str">
        <f>"800-208-2335"</f>
        <v>800-208-2335</v>
      </c>
      <c r="G4106" s="3">
        <v>541611</v>
      </c>
      <c r="H4106" s="3" t="s">
        <v>278</v>
      </c>
    </row>
    <row r="4107" spans="1:8" x14ac:dyDescent="0.25">
      <c r="A4107" s="3" t="s">
        <v>12295</v>
      </c>
      <c r="B4107" s="3"/>
      <c r="C4107" s="3" t="str">
        <f>" "</f>
        <v xml:space="preserve"> </v>
      </c>
      <c r="D4107" s="3" t="s">
        <v>9</v>
      </c>
      <c r="E4107" s="3" t="s">
        <v>46</v>
      </c>
      <c r="F4107" s="2"/>
      <c r="G4107" s="3">
        <v>2389</v>
      </c>
      <c r="H4107" s="3" t="s">
        <v>1236</v>
      </c>
    </row>
    <row r="4108" spans="1:8" ht="26.25" x14ac:dyDescent="0.25">
      <c r="A4108" s="3" t="s">
        <v>12296</v>
      </c>
      <c r="B4108" s="3"/>
      <c r="C4108" s="3" t="str">
        <f>"We offer lawn care, mulching, trimming, clean-up and landscaping services."</f>
        <v>We offer lawn care, mulching, trimming, clean-up and landscaping services.</v>
      </c>
      <c r="D4108" s="3" t="s">
        <v>12297</v>
      </c>
      <c r="E4108" s="3" t="s">
        <v>12298</v>
      </c>
      <c r="F4108" s="3" t="str">
        <f>"317-258-9818"</f>
        <v>317-258-9818</v>
      </c>
      <c r="G4108" s="3">
        <v>561730</v>
      </c>
      <c r="H4108" s="3" t="s">
        <v>65</v>
      </c>
    </row>
    <row r="4109" spans="1:8" ht="39" x14ac:dyDescent="0.25">
      <c r="A4109" s="3" t="s">
        <v>12299</v>
      </c>
      <c r="B4109" s="3"/>
      <c r="C4109" s="3" t="str">
        <f>"Commercial, Residential and Industrial Electrical Services, including Telecommunications and Security Systems"</f>
        <v>Commercial, Residential and Industrial Electrical Services, including Telecommunications and Security Systems</v>
      </c>
      <c r="D4109" s="3" t="s">
        <v>12300</v>
      </c>
      <c r="E4109" s="3" t="s">
        <v>12301</v>
      </c>
      <c r="F4109" s="3" t="str">
        <f>"812-235-7500"</f>
        <v>812-235-7500</v>
      </c>
      <c r="G4109" s="3">
        <v>238210</v>
      </c>
      <c r="H4109" s="3" t="s">
        <v>306</v>
      </c>
    </row>
    <row r="4110" spans="1:8" ht="51.75" x14ac:dyDescent="0.25">
      <c r="A4110" s="3" t="s">
        <v>12302</v>
      </c>
      <c r="B4110" s="3"/>
      <c r="C4110" s="3" t="str">
        <f>"Heidorn Construction, Inc. is a general contracting company with experience in residential remodeling, light commercial renovation and public works projects."</f>
        <v>Heidorn Construction, Inc. is a general contracting company with experience in residential remodeling, light commercial renovation and public works projects.</v>
      </c>
      <c r="D4110" s="3" t="s">
        <v>9</v>
      </c>
      <c r="E4110" s="3" t="s">
        <v>12303</v>
      </c>
      <c r="F4110" s="3" t="str">
        <f>"812-925-7815"</f>
        <v>812-925-7815</v>
      </c>
      <c r="G4110" s="3">
        <v>236118</v>
      </c>
      <c r="H4110" s="3" t="s">
        <v>465</v>
      </c>
    </row>
    <row r="4111" spans="1:8" ht="39" x14ac:dyDescent="0.25">
      <c r="A4111" s="3" t="s">
        <v>12304</v>
      </c>
      <c r="B4111" s="3"/>
      <c r="C4111" s="3" t="str">
        <f>"Lamps and bulbs Energy conditioning HVAC filters"</f>
        <v>Lamps and bulbs Energy conditioning HVAC filters</v>
      </c>
      <c r="D4111" s="3" t="s">
        <v>12305</v>
      </c>
      <c r="E4111" s="3" t="s">
        <v>12306</v>
      </c>
      <c r="F4111" s="3" t="str">
        <f>"317-931-8993"</f>
        <v>317-931-8993</v>
      </c>
      <c r="G4111" s="3">
        <v>423610</v>
      </c>
      <c r="H4111" s="3" t="s">
        <v>2414</v>
      </c>
    </row>
    <row r="4112" spans="1:8" ht="39" x14ac:dyDescent="0.25">
      <c r="A4112" s="3" t="s">
        <v>12307</v>
      </c>
      <c r="B4112" s="3"/>
      <c r="C4112" s="3" t="str">
        <f>"Small Union Contractor, We do Site Preparation, Roadways and Underground Utilities."</f>
        <v>Small Union Contractor, We do Site Preparation, Roadways and Underground Utilities.</v>
      </c>
      <c r="D4112" s="3" t="s">
        <v>9</v>
      </c>
      <c r="E4112" s="3" t="s">
        <v>12308</v>
      </c>
      <c r="F4112" s="3" t="str">
        <f>"574-542-9234"</f>
        <v>574-542-9234</v>
      </c>
      <c r="G4112" s="3">
        <v>23593</v>
      </c>
      <c r="H4112" s="3" t="s">
        <v>71</v>
      </c>
    </row>
    <row r="4113" spans="1:8" ht="39" x14ac:dyDescent="0.25">
      <c r="A4113" s="3" t="s">
        <v>12309</v>
      </c>
      <c r="B4113" s="3"/>
      <c r="C4113" s="3" t="str">
        <f>"service and repair HEATING,COOLING and PLUMBING equipment. lisened HOME INSPECTOR # - H100700070"</f>
        <v>service and repair HEATING,COOLING and PLUMBING equipment. lisened HOME INSPECTOR # - H100700070</v>
      </c>
      <c r="D4113" s="3" t="s">
        <v>12310</v>
      </c>
      <c r="E4113" s="3" t="s">
        <v>12311</v>
      </c>
      <c r="F4113" s="3" t="str">
        <f>"(260)316-5027"</f>
        <v>(260)316-5027</v>
      </c>
      <c r="G4113" s="3">
        <v>541350</v>
      </c>
      <c r="H4113" s="3" t="s">
        <v>1784</v>
      </c>
    </row>
    <row r="4114" spans="1:8" ht="26.25" x14ac:dyDescent="0.25">
      <c r="A4114" s="3" t="s">
        <v>12312</v>
      </c>
      <c r="B4114" s="3"/>
      <c r="C4114" s="3" t="str">
        <f>"Sign Manufacturing and Advertising Specialities"</f>
        <v>Sign Manufacturing and Advertising Specialities</v>
      </c>
      <c r="D4114" s="3" t="s">
        <v>12313</v>
      </c>
      <c r="E4114" s="3" t="s">
        <v>12314</v>
      </c>
      <c r="F4114" s="3" t="str">
        <f>"(812)273-2009"</f>
        <v>(812)273-2009</v>
      </c>
      <c r="G4114" s="3">
        <v>238</v>
      </c>
      <c r="H4114" s="3" t="s">
        <v>397</v>
      </c>
    </row>
    <row r="4115" spans="1:8" ht="306.75" x14ac:dyDescent="0.25">
      <c r="A4115" s="3" t="s">
        <v>12315</v>
      </c>
      <c r="B4115" s="3"/>
      <c r="C4115" s="3" t="s">
        <v>12316</v>
      </c>
      <c r="D4115" s="3" t="s">
        <v>12317</v>
      </c>
      <c r="E4115" s="3" t="s">
        <v>12318</v>
      </c>
      <c r="F4115" s="3" t="str">
        <f>"3173775900"</f>
        <v>3173775900</v>
      </c>
      <c r="G4115" s="3">
        <v>541810</v>
      </c>
      <c r="H4115" s="3" t="s">
        <v>976</v>
      </c>
    </row>
    <row r="4116" spans="1:8" ht="153.75" x14ac:dyDescent="0.25">
      <c r="A4116" s="3" t="s">
        <v>12319</v>
      </c>
      <c r="B4116" s="3"/>
      <c r="C4116" s="3" t="s">
        <v>12320</v>
      </c>
      <c r="D4116" s="3" t="s">
        <v>12321</v>
      </c>
      <c r="E4116" s="3" t="s">
        <v>12322</v>
      </c>
      <c r="F4116" s="3" t="str">
        <f>"866-504-9620"</f>
        <v>866-504-9620</v>
      </c>
      <c r="G4116" s="3">
        <v>541614</v>
      </c>
      <c r="H4116" s="3" t="s">
        <v>107</v>
      </c>
    </row>
    <row r="4117" spans="1:8" ht="141" x14ac:dyDescent="0.25">
      <c r="A4117" s="3" t="s">
        <v>12323</v>
      </c>
      <c r="B4117" s="3"/>
      <c r="C4117" s="3" t="s">
        <v>12324</v>
      </c>
      <c r="D4117" s="3" t="s">
        <v>9</v>
      </c>
      <c r="E4117" s="3" t="s">
        <v>12325</v>
      </c>
      <c r="F4117" s="3" t="str">
        <f>"219-923-8767"</f>
        <v>219-923-8767</v>
      </c>
      <c r="G4117" s="3">
        <v>624120</v>
      </c>
      <c r="H4117" s="3" t="s">
        <v>22</v>
      </c>
    </row>
    <row r="4118" spans="1:8" ht="26.25" x14ac:dyDescent="0.25">
      <c r="A4118" s="3" t="s">
        <v>12326</v>
      </c>
      <c r="B4118" s="3"/>
      <c r="C4118" s="3" t="str">
        <f>" "</f>
        <v xml:space="preserve"> </v>
      </c>
      <c r="D4118" s="3" t="s">
        <v>9</v>
      </c>
      <c r="E4118" s="3" t="s">
        <v>46</v>
      </c>
      <c r="F4118" s="2"/>
      <c r="G4118" s="3">
        <v>541611</v>
      </c>
      <c r="H4118" s="3" t="s">
        <v>278</v>
      </c>
    </row>
    <row r="4119" spans="1:8" ht="26.25" x14ac:dyDescent="0.25">
      <c r="A4119" s="3" t="s">
        <v>12327</v>
      </c>
      <c r="B4119" s="3"/>
      <c r="C4119" s="3" t="str">
        <f>" "</f>
        <v xml:space="preserve"> </v>
      </c>
      <c r="D4119" s="3" t="s">
        <v>9</v>
      </c>
      <c r="E4119" s="3" t="s">
        <v>46</v>
      </c>
      <c r="F4119" s="3" t="str">
        <f>"3017411131"</f>
        <v>3017411131</v>
      </c>
      <c r="G4119" s="3">
        <v>621</v>
      </c>
      <c r="H4119" s="3" t="s">
        <v>4392</v>
      </c>
    </row>
    <row r="4120" spans="1:8" ht="39" x14ac:dyDescent="0.25">
      <c r="A4120" s="3" t="s">
        <v>12328</v>
      </c>
      <c r="B4120" s="3"/>
      <c r="C4120" s="3" t="str">
        <f>"Programming, web development, database, reports, biztalk, sharepoint, Hewlett Packard equipment, .net, c#, sql server"</f>
        <v>Programming, web development, database, reports, biztalk, sharepoint, Hewlett Packard equipment, .net, c#, sql server</v>
      </c>
      <c r="D4120" s="3" t="s">
        <v>12329</v>
      </c>
      <c r="E4120" s="3" t="s">
        <v>12330</v>
      </c>
      <c r="F4120" s="3" t="str">
        <f>"317-374-2831"</f>
        <v>317-374-2831</v>
      </c>
      <c r="G4120" s="3">
        <v>5415</v>
      </c>
      <c r="H4120" s="3" t="s">
        <v>188</v>
      </c>
    </row>
    <row r="4121" spans="1:8" ht="64.5" x14ac:dyDescent="0.25">
      <c r="A4121" s="3" t="s">
        <v>12331</v>
      </c>
      <c r="B4121" s="3"/>
      <c r="C4121" s="3" t="str">
        <f>"Locally owned business since 1867. Title Insurance anywhere in the State. Abstracts, commercial and residential research, and closings in Vigo, Clay, Sullivan and Greene counties."</f>
        <v>Locally owned business since 1867. Title Insurance anywhere in the State. Abstracts, commercial and residential research, and closings in Vigo, Clay, Sullivan and Greene counties.</v>
      </c>
      <c r="D4121" s="3" t="s">
        <v>12332</v>
      </c>
      <c r="E4121" s="3" t="s">
        <v>12333</v>
      </c>
      <c r="F4121" s="3" t="str">
        <f>"812-232-2752"</f>
        <v>812-232-2752</v>
      </c>
      <c r="G4121" s="3">
        <v>541191</v>
      </c>
      <c r="H4121" s="3" t="s">
        <v>1146</v>
      </c>
    </row>
    <row r="4122" spans="1:8" ht="64.5" x14ac:dyDescent="0.25">
      <c r="A4122" s="3" t="s">
        <v>12334</v>
      </c>
      <c r="B4122" s="3"/>
      <c r="C4122" s="3" t="str">
        <f>"Susie's Place Child Advocacy Center is a child-friendly neutral center to investigate alleged child abuse and neglect, while keeping the comfort and safety of the child the first priority."</f>
        <v>Susie's Place Child Advocacy Center is a child-friendly neutral center to investigate alleged child abuse and neglect, while keeping the comfort and safety of the child the first priority.</v>
      </c>
      <c r="D4122" s="3" t="s">
        <v>12335</v>
      </c>
      <c r="E4122" s="3" t="s">
        <v>46</v>
      </c>
      <c r="F4122" s="2"/>
      <c r="G4122" s="3">
        <v>624110</v>
      </c>
      <c r="H4122" s="3" t="s">
        <v>628</v>
      </c>
    </row>
    <row r="4123" spans="1:8" ht="26.25" x14ac:dyDescent="0.25">
      <c r="A4123" s="3" t="s">
        <v>12336</v>
      </c>
      <c r="B4123" s="3"/>
      <c r="C4123" s="3" t="str">
        <f>"Electrical Contractor-Commercial/Industrial"</f>
        <v>Electrical Contractor-Commercial/Industrial</v>
      </c>
      <c r="D4123" s="3" t="s">
        <v>9</v>
      </c>
      <c r="E4123" s="3" t="s">
        <v>46</v>
      </c>
      <c r="F4123" s="3" t="str">
        <f>"260 490-7777"</f>
        <v>260 490-7777</v>
      </c>
      <c r="G4123" s="3">
        <v>238210</v>
      </c>
      <c r="H4123" s="3" t="s">
        <v>306</v>
      </c>
    </row>
    <row r="4124" spans="1:8" ht="26.25" x14ac:dyDescent="0.25">
      <c r="A4124" s="3" t="s">
        <v>12337</v>
      </c>
      <c r="B4124" s="3"/>
      <c r="C4124" s="3" t="str">
        <f>"We make custom cabinetry, wood and plastic laminated."</f>
        <v>We make custom cabinetry, wood and plastic laminated.</v>
      </c>
      <c r="D4124" s="3" t="s">
        <v>12338</v>
      </c>
      <c r="E4124" s="3" t="s">
        <v>12339</v>
      </c>
      <c r="F4124" s="3" t="str">
        <f>"219-462-2124"</f>
        <v>219-462-2124</v>
      </c>
      <c r="G4124" s="3">
        <v>337212</v>
      </c>
      <c r="H4124" s="3" t="s">
        <v>2359</v>
      </c>
    </row>
    <row r="4125" spans="1:8" ht="26.25" x14ac:dyDescent="0.25">
      <c r="A4125" s="3" t="s">
        <v>12340</v>
      </c>
      <c r="B4125" s="3"/>
      <c r="C4125" s="3" t="str">
        <f>"Legal services"</f>
        <v>Legal services</v>
      </c>
      <c r="D4125" s="3" t="s">
        <v>12341</v>
      </c>
      <c r="E4125" s="3" t="s">
        <v>12342</v>
      </c>
      <c r="F4125" s="3" t="str">
        <f>"765-362-4440"</f>
        <v>765-362-4440</v>
      </c>
      <c r="G4125" s="3">
        <v>541110</v>
      </c>
      <c r="H4125" s="3" t="s">
        <v>2978</v>
      </c>
    </row>
    <row r="4126" spans="1:8" ht="39" x14ac:dyDescent="0.25">
      <c r="A4126" s="3" t="s">
        <v>12343</v>
      </c>
      <c r="B4126" s="3"/>
      <c r="C4126" s="3" t="str">
        <f>"Commercial/residential plumbing contractor specializing in new construction &amp; remodeling."</f>
        <v>Commercial/residential plumbing contractor specializing in new construction &amp; remodeling.</v>
      </c>
      <c r="D4126" s="3" t="s">
        <v>9</v>
      </c>
      <c r="E4126" s="3" t="s">
        <v>12344</v>
      </c>
      <c r="F4126" s="3" t="str">
        <f>"765-482-9812"</f>
        <v>765-482-9812</v>
      </c>
      <c r="G4126" s="3">
        <v>238220</v>
      </c>
      <c r="H4126" s="3" t="s">
        <v>348</v>
      </c>
    </row>
    <row r="4127" spans="1:8" ht="102.75" x14ac:dyDescent="0.25">
      <c r="A4127" s="3" t="s">
        <v>12345</v>
      </c>
      <c r="B4127" s="3"/>
      <c r="C4127" s="3" t="s">
        <v>12346</v>
      </c>
      <c r="D4127" s="3" t="s">
        <v>12347</v>
      </c>
      <c r="E4127" s="3" t="s">
        <v>12348</v>
      </c>
      <c r="F4127" s="3" t="str">
        <f>"260-490-0037"</f>
        <v>260-490-0037</v>
      </c>
      <c r="G4127" s="3">
        <v>332710</v>
      </c>
      <c r="H4127" s="3" t="s">
        <v>387</v>
      </c>
    </row>
    <row r="4128" spans="1:8" ht="255.75" x14ac:dyDescent="0.25">
      <c r="A4128" s="3" t="s">
        <v>12349</v>
      </c>
      <c r="B4128" s="3"/>
      <c r="C4128" s="3" t="s">
        <v>12350</v>
      </c>
      <c r="D4128" s="3" t="s">
        <v>12351</v>
      </c>
      <c r="E4128" s="3" t="s">
        <v>12352</v>
      </c>
      <c r="F4128" s="3" t="str">
        <f>"317641-9063"</f>
        <v>317641-9063</v>
      </c>
      <c r="G4128" s="3">
        <v>541613</v>
      </c>
      <c r="H4128" s="3" t="s">
        <v>558</v>
      </c>
    </row>
    <row r="4129" spans="1:8" ht="64.5" x14ac:dyDescent="0.25">
      <c r="A4129" s="3" t="s">
        <v>12353</v>
      </c>
      <c r="B4129" s="3"/>
      <c r="C4129" s="3" t="str">
        <f>"HCC provides environmental services including parts cleaning, containerized waste management, used oil collection and re-refining, vacuum truck services, and waste antifreeze collection and recycling."</f>
        <v>HCC provides environmental services including parts cleaning, containerized waste management, used oil collection and re-refining, vacuum truck services, and waste antifreeze collection and recycling.</v>
      </c>
      <c r="D4129" s="3" t="s">
        <v>12354</v>
      </c>
      <c r="E4129" s="3" t="s">
        <v>12355</v>
      </c>
      <c r="F4129" s="3" t="str">
        <f>"847-836-5670"</f>
        <v>847-836-5670</v>
      </c>
      <c r="G4129" s="3">
        <v>562112</v>
      </c>
      <c r="H4129" s="3" t="s">
        <v>11471</v>
      </c>
    </row>
    <row r="4130" spans="1:8" ht="26.25" x14ac:dyDescent="0.25">
      <c r="A4130" s="3" t="s">
        <v>12356</v>
      </c>
      <c r="B4130" s="3"/>
      <c r="C4130" s="2"/>
      <c r="D4130" s="3" t="s">
        <v>9</v>
      </c>
      <c r="E4130" s="3" t="s">
        <v>46</v>
      </c>
      <c r="F4130" s="2"/>
      <c r="G4130" s="3">
        <v>212312</v>
      </c>
      <c r="H4130" s="3" t="s">
        <v>3264</v>
      </c>
    </row>
    <row r="4131" spans="1:8" ht="204.75" x14ac:dyDescent="0.25">
      <c r="A4131" s="3" t="s">
        <v>12357</v>
      </c>
      <c r="B4131" s="3"/>
      <c r="C4131" s="3" t="s">
        <v>12358</v>
      </c>
      <c r="D4131" s="3" t="s">
        <v>12359</v>
      </c>
      <c r="E4131" s="3" t="s">
        <v>12360</v>
      </c>
      <c r="F4131" s="3" t="str">
        <f>"(317)243-0811"</f>
        <v>(317)243-0811</v>
      </c>
      <c r="G4131" s="3">
        <v>562211</v>
      </c>
      <c r="H4131" s="3" t="s">
        <v>807</v>
      </c>
    </row>
    <row r="4132" spans="1:8" ht="64.5" x14ac:dyDescent="0.25">
      <c r="A4132" s="3" t="s">
        <v>12361</v>
      </c>
      <c r="B4132" s="3"/>
      <c r="C4132" s="3" t="str">
        <f>"Heritage Food Service Group, Inc., is the nation's foremost distributor of OEM replacement parts for commercial cooking, ware washing, ice making, and refrigeration equipment."</f>
        <v>Heritage Food Service Group, Inc., is the nation's foremost distributor of OEM replacement parts for commercial cooking, ware washing, ice making, and refrigeration equipment.</v>
      </c>
      <c r="D4132" s="3" t="s">
        <v>12362</v>
      </c>
      <c r="E4132" s="3" t="s">
        <v>12363</v>
      </c>
      <c r="F4132" s="3" t="str">
        <f>"800-458-5593"</f>
        <v>800-458-5593</v>
      </c>
      <c r="G4132" s="3">
        <v>423440</v>
      </c>
      <c r="H4132" s="3" t="s">
        <v>12364</v>
      </c>
    </row>
    <row r="4133" spans="1:8" ht="51.75" x14ac:dyDescent="0.25">
      <c r="A4133" s="3" t="s">
        <v>12365</v>
      </c>
      <c r="B4133" s="3"/>
      <c r="C4133" s="3" t="str">
        <f>"We manufacture, install and service all types of industrial automation, and we support customer maintenance departments for onsite services."</f>
        <v>We manufacture, install and service all types of industrial automation, and we support customer maintenance departments for onsite services.</v>
      </c>
      <c r="D4133" s="3" t="s">
        <v>9</v>
      </c>
      <c r="E4133" s="3" t="s">
        <v>12366</v>
      </c>
      <c r="F4133" s="3" t="str">
        <f>"812-593-0618"</f>
        <v>812-593-0618</v>
      </c>
      <c r="G4133" s="3">
        <v>333922</v>
      </c>
      <c r="H4133" s="3" t="s">
        <v>12367</v>
      </c>
    </row>
    <row r="4134" spans="1:8" ht="102.75" x14ac:dyDescent="0.25">
      <c r="A4134" s="3" t="s">
        <v>12368</v>
      </c>
      <c r="B4134" s="3"/>
      <c r="C4134" s="3" t="s">
        <v>12369</v>
      </c>
      <c r="D4134" s="3" t="s">
        <v>12370</v>
      </c>
      <c r="E4134" s="3" t="s">
        <v>12371</v>
      </c>
      <c r="F4134" s="3" t="str">
        <f>"1-800-962-6101"</f>
        <v>1-800-962-6101</v>
      </c>
      <c r="G4134" s="3">
        <v>4532</v>
      </c>
      <c r="H4134" s="3" t="s">
        <v>12372</v>
      </c>
    </row>
    <row r="4135" spans="1:8" ht="166.5" x14ac:dyDescent="0.25">
      <c r="A4135" s="3" t="s">
        <v>12373</v>
      </c>
      <c r="B4135" s="3"/>
      <c r="C4135" s="3" t="s">
        <v>12374</v>
      </c>
      <c r="D4135" s="3" t="s">
        <v>12375</v>
      </c>
      <c r="E4135" s="3" t="s">
        <v>12376</v>
      </c>
      <c r="F4135" s="3" t="str">
        <f>"812.422.3251"</f>
        <v>812.422.3251</v>
      </c>
      <c r="G4135" s="3">
        <v>4247</v>
      </c>
      <c r="H4135" s="3" t="s">
        <v>12377</v>
      </c>
    </row>
    <row r="4136" spans="1:8" ht="26.25" x14ac:dyDescent="0.25">
      <c r="A4136" s="3" t="s">
        <v>12378</v>
      </c>
      <c r="B4136" s="3"/>
      <c r="C4136" s="2"/>
      <c r="D4136" s="3" t="s">
        <v>12379</v>
      </c>
      <c r="E4136" s="3" t="s">
        <v>12380</v>
      </c>
      <c r="F4136" s="3" t="str">
        <f>"317-269-2180"</f>
        <v>317-269-2180</v>
      </c>
      <c r="G4136" s="3">
        <v>23331</v>
      </c>
      <c r="H4136" s="3" t="s">
        <v>5828</v>
      </c>
    </row>
    <row r="4137" spans="1:8" ht="268.5" x14ac:dyDescent="0.25">
      <c r="A4137" s="3" t="s">
        <v>12381</v>
      </c>
      <c r="B4137" s="3"/>
      <c r="C4137" s="3" t="s">
        <v>12382</v>
      </c>
      <c r="D4137" s="3" t="s">
        <v>12383</v>
      </c>
      <c r="E4137" s="3" t="s">
        <v>12384</v>
      </c>
      <c r="F4137" s="3" t="str">
        <f>"812-735-2401"</f>
        <v>812-735-2401</v>
      </c>
      <c r="G4137" s="3">
        <v>332710</v>
      </c>
      <c r="H4137" s="3" t="s">
        <v>387</v>
      </c>
    </row>
    <row r="4138" spans="1:8" ht="77.25" x14ac:dyDescent="0.25">
      <c r="A4138" s="3" t="s">
        <v>12385</v>
      </c>
      <c r="B4138" s="3"/>
      <c r="C4138" s="3" t="str">
        <f>"Heating and Air Conditioning, Plumbing, and Process Piping service. Installation for new construction in either commercial, industrial, and residental. We can install new equipment or provide maintance on existing equipment."</f>
        <v>Heating and Air Conditioning, Plumbing, and Process Piping service. Installation for new construction in either commercial, industrial, and residental. We can install new equipment or provide maintance on existing equipment.</v>
      </c>
      <c r="D4138" s="3" t="s">
        <v>9</v>
      </c>
      <c r="E4138" s="3" t="s">
        <v>12386</v>
      </c>
      <c r="F4138" s="3" t="str">
        <f>"(219) 464-2714"</f>
        <v>(219) 464-2714</v>
      </c>
      <c r="G4138" s="3">
        <v>23822</v>
      </c>
      <c r="H4138" s="3" t="s">
        <v>348</v>
      </c>
    </row>
    <row r="4139" spans="1:8" ht="51.75" x14ac:dyDescent="0.25">
      <c r="A4139" s="3" t="s">
        <v>12387</v>
      </c>
      <c r="B4139" s="3"/>
      <c r="C4139" s="3" t="str">
        <f>"Both, intrastate and interstate, full/partial service household goods, office, exhibit, and records relocation as well as warehousing."</f>
        <v>Both, intrastate and interstate, full/partial service household goods, office, exhibit, and records relocation as well as warehousing.</v>
      </c>
      <c r="D4139" s="3" t="s">
        <v>12388</v>
      </c>
      <c r="E4139" s="3" t="s">
        <v>12389</v>
      </c>
      <c r="F4139" s="3" t="str">
        <f>"765-423-5696"</f>
        <v>765-423-5696</v>
      </c>
      <c r="G4139" s="3">
        <v>484210</v>
      </c>
      <c r="H4139" s="3" t="s">
        <v>8993</v>
      </c>
    </row>
    <row r="4140" spans="1:8" ht="166.5" x14ac:dyDescent="0.25">
      <c r="A4140" s="3" t="s">
        <v>12390</v>
      </c>
      <c r="B4140" s="3"/>
      <c r="C4140" s="3" t="s">
        <v>12391</v>
      </c>
      <c r="D4140" s="3" t="s">
        <v>12392</v>
      </c>
      <c r="E4140" s="3" t="s">
        <v>12393</v>
      </c>
      <c r="F4140" s="3" t="str">
        <f>"574-282-2596"</f>
        <v>574-282-2596</v>
      </c>
      <c r="G4140" s="3">
        <v>235</v>
      </c>
      <c r="H4140" s="3" t="s">
        <v>259</v>
      </c>
    </row>
    <row r="4141" spans="1:8" ht="26.25" x14ac:dyDescent="0.25">
      <c r="A4141" s="3" t="s">
        <v>12394</v>
      </c>
      <c r="B4141" s="3"/>
      <c r="C4141" s="3" t="str">
        <f>"Opinion and Marketing Research"</f>
        <v>Opinion and Marketing Research</v>
      </c>
      <c r="D4141" s="3" t="s">
        <v>12395</v>
      </c>
      <c r="E4141" s="3" t="s">
        <v>12396</v>
      </c>
      <c r="F4141" s="3" t="str">
        <f>"317-882-3800"</f>
        <v>317-882-3800</v>
      </c>
      <c r="G4141" s="3">
        <v>541910</v>
      </c>
      <c r="H4141" s="3" t="s">
        <v>510</v>
      </c>
    </row>
    <row r="4142" spans="1:8" ht="90" x14ac:dyDescent="0.25">
      <c r="A4142" s="3" t="s">
        <v>12397</v>
      </c>
      <c r="B4142" s="3"/>
      <c r="C4142" s="3" t="str">
        <f>"Hertel Heating and Air, LLC has provided outstanding residential and light commercial heating and air conditioning services to the Kentuckiana area since 1983. We are a local, well established, family owned business in Georgetown, Indiana"</f>
        <v>Hertel Heating and Air, LLC has provided outstanding residential and light commercial heating and air conditioning services to the Kentuckiana area since 1983. We are a local, well established, family owned business in Georgetown, Indiana</v>
      </c>
      <c r="D4142" s="3" t="s">
        <v>12398</v>
      </c>
      <c r="E4142" s="3" t="s">
        <v>12399</v>
      </c>
      <c r="F4142" s="3" t="str">
        <f>"812-951-3210"</f>
        <v>812-951-3210</v>
      </c>
      <c r="G4142" s="3">
        <v>238990</v>
      </c>
      <c r="H4142" s="3" t="s">
        <v>481</v>
      </c>
    </row>
    <row r="4143" spans="1:8" ht="90" x14ac:dyDescent="0.25">
      <c r="A4143" s="3" t="s">
        <v>12400</v>
      </c>
      <c r="B4143" s="3"/>
      <c r="C4143" s="3" t="str">
        <f>"Medical Case Management (Worker's Compensation/Group Health), Medical Legal Analysis, Patient Advocacy, Expert Witness Procurement - Certified Nurse Life Care Planners/Certified Case Managers, Insurance and Legal Markets - (Plaintiff &amp;/or Defense)."</f>
        <v>Medical Case Management (Worker's Compensation/Group Health), Medical Legal Analysis, Patient Advocacy, Expert Witness Procurement - Certified Nurse Life Care Planners/Certified Case Managers, Insurance and Legal Markets - (Plaintiff &amp;/or Defense).</v>
      </c>
      <c r="D4143" s="3" t="s">
        <v>12401</v>
      </c>
      <c r="E4143" s="3" t="s">
        <v>12402</v>
      </c>
      <c r="F4143" s="3" t="str">
        <f>"574-825-9000"</f>
        <v>574-825-9000</v>
      </c>
      <c r="G4143" s="3">
        <v>52429</v>
      </c>
      <c r="H4143" s="3" t="s">
        <v>12222</v>
      </c>
    </row>
    <row r="4144" spans="1:8" ht="90" x14ac:dyDescent="0.25">
      <c r="A4144" s="3" t="s">
        <v>12403</v>
      </c>
      <c r="B4144" s="3"/>
      <c r="C4144" s="3" t="s">
        <v>12404</v>
      </c>
      <c r="D4144" s="3" t="s">
        <v>12405</v>
      </c>
      <c r="E4144" s="3" t="s">
        <v>12406</v>
      </c>
      <c r="F4144" s="3" t="str">
        <f>"219-845-8770"</f>
        <v>219-845-8770</v>
      </c>
      <c r="G4144" s="3">
        <v>2351</v>
      </c>
      <c r="H4144" s="3" t="s">
        <v>892</v>
      </c>
    </row>
    <row r="4145" spans="1:8" ht="39" x14ac:dyDescent="0.25">
      <c r="A4145" s="3" t="s">
        <v>12407</v>
      </c>
      <c r="B4145" s="3"/>
      <c r="C4145" s="3" t="str">
        <f>"HP is the industry’s largest provider of information technology infrastructure, software, services, and solutions"</f>
        <v>HP is the industry’s largest provider of information technology infrastructure, software, services, and solutions</v>
      </c>
      <c r="D4145" s="3" t="s">
        <v>12408</v>
      </c>
      <c r="E4145" s="3" t="s">
        <v>46</v>
      </c>
      <c r="F4145" s="2"/>
      <c r="G4145" s="3">
        <v>3341</v>
      </c>
      <c r="H4145" s="3" t="s">
        <v>12409</v>
      </c>
    </row>
    <row r="4146" spans="1:8" ht="51.75" x14ac:dyDescent="0.25">
      <c r="A4146" s="3" t="s">
        <v>12410</v>
      </c>
      <c r="B4146" s="3"/>
      <c r="C4146" s="3" t="str">
        <f>"Hi Tech Building Services is a contract janitorial cleaning company that cleans small and large commericial businesses, resdential cleaning and vehicle washing."</f>
        <v>Hi Tech Building Services is a contract janitorial cleaning company that cleans small and large commericial businesses, resdential cleaning and vehicle washing.</v>
      </c>
      <c r="D4146" s="3" t="s">
        <v>9</v>
      </c>
      <c r="E4146" s="3" t="s">
        <v>46</v>
      </c>
      <c r="F4146" s="2"/>
      <c r="G4146" s="3">
        <v>561720</v>
      </c>
      <c r="H4146" s="3" t="s">
        <v>222</v>
      </c>
    </row>
    <row r="4147" spans="1:8" ht="39" x14ac:dyDescent="0.25">
      <c r="A4147" s="3" t="s">
        <v>12411</v>
      </c>
      <c r="B4147" s="3"/>
      <c r="C4147" s="3" t="str">
        <f>"Union Low Voltage contractor providing security, networking communications and Audio/Video."</f>
        <v>Union Low Voltage contractor providing security, networking communications and Audio/Video.</v>
      </c>
      <c r="D4147" s="3" t="s">
        <v>12412</v>
      </c>
      <c r="E4147" s="3" t="s">
        <v>12413</v>
      </c>
      <c r="F4147" s="3" t="str">
        <f>"219-365-3322"</f>
        <v>219-365-3322</v>
      </c>
      <c r="G4147" s="3">
        <v>23599</v>
      </c>
      <c r="H4147" s="3" t="s">
        <v>248</v>
      </c>
    </row>
    <row r="4148" spans="1:8" ht="64.5" x14ac:dyDescent="0.25">
      <c r="A4148" s="3" t="s">
        <v>12414</v>
      </c>
      <c r="B4148" s="3"/>
      <c r="C4148" s="3" t="str">
        <f>"Retail hardware and industrial and contractor supplies. Tools, general hardware, paint and paint sundries, electrical, plumbing, fasteners, lawn and garden, housewares and hard to find items."</f>
        <v>Retail hardware and industrial and contractor supplies. Tools, general hardware, paint and paint sundries, electrical, plumbing, fasteners, lawn and garden, housewares and hard to find items.</v>
      </c>
      <c r="D4148" s="3" t="s">
        <v>9</v>
      </c>
      <c r="E4148" s="3" t="s">
        <v>12415</v>
      </c>
      <c r="F4148" s="3" t="str">
        <f>"260-723-4842"</f>
        <v>260-723-4842</v>
      </c>
      <c r="G4148" s="3">
        <v>44413</v>
      </c>
      <c r="H4148" s="3" t="s">
        <v>2597</v>
      </c>
    </row>
    <row r="4149" spans="1:8" ht="268.5" x14ac:dyDescent="0.25">
      <c r="A4149" s="3" t="s">
        <v>12416</v>
      </c>
      <c r="B4149" s="3"/>
      <c r="C4149" s="3" t="s">
        <v>12417</v>
      </c>
      <c r="D4149" s="3" t="s">
        <v>12418</v>
      </c>
      <c r="E4149" s="3" t="s">
        <v>12419</v>
      </c>
      <c r="F4149" s="3" t="str">
        <f>"260-439-8372"</f>
        <v>260-439-8372</v>
      </c>
      <c r="G4149" s="3">
        <v>541611</v>
      </c>
      <c r="H4149" s="3" t="s">
        <v>278</v>
      </c>
    </row>
    <row r="4150" spans="1:8" ht="64.5" x14ac:dyDescent="0.25">
      <c r="A4150" s="3" t="s">
        <v>12420</v>
      </c>
      <c r="B4150" s="3"/>
      <c r="C4150" s="3" t="str">
        <f>"Executive &amp; business coaching, consulting and training Leadership and management development training Professional development training Effective communication"</f>
        <v>Executive &amp; business coaching, consulting and training Leadership and management development training Professional development training Effective communication</v>
      </c>
      <c r="D4150" s="3" t="s">
        <v>12421</v>
      </c>
      <c r="E4150" s="3" t="s">
        <v>46</v>
      </c>
      <c r="F4150" s="3" t="str">
        <f>"317 844-9825"</f>
        <v>317 844-9825</v>
      </c>
      <c r="G4150" s="3">
        <v>541611</v>
      </c>
      <c r="H4150" s="3" t="s">
        <v>278</v>
      </c>
    </row>
    <row r="4151" spans="1:8" ht="319.5" x14ac:dyDescent="0.25">
      <c r="A4151" s="3" t="s">
        <v>12422</v>
      </c>
      <c r="B4151" s="3"/>
      <c r="C4151" s="3" t="s">
        <v>12423</v>
      </c>
      <c r="D4151" s="3" t="s">
        <v>9</v>
      </c>
      <c r="E4151" s="3" t="s">
        <v>12424</v>
      </c>
      <c r="F4151" s="3" t="str">
        <f>"317-771-3103"</f>
        <v>317-771-3103</v>
      </c>
      <c r="G4151" s="3">
        <v>541611</v>
      </c>
      <c r="H4151" s="3" t="s">
        <v>278</v>
      </c>
    </row>
    <row r="4152" spans="1:8" ht="39" x14ac:dyDescent="0.25">
      <c r="A4152" s="3" t="s">
        <v>12425</v>
      </c>
      <c r="B4152" s="3"/>
      <c r="C4152" s="3" t="str">
        <f>"Distributors of Printed goods, promotional products &amp; office Supplies. Full Service Graphic Design."</f>
        <v>Distributors of Printed goods, promotional products &amp; office Supplies. Full Service Graphic Design.</v>
      </c>
      <c r="D4152" s="3" t="s">
        <v>12426</v>
      </c>
      <c r="E4152" s="3" t="s">
        <v>12427</v>
      </c>
      <c r="F4152" s="3" t="str">
        <f>"(317)865-9160"</f>
        <v>(317)865-9160</v>
      </c>
      <c r="G4152" s="3">
        <v>3231</v>
      </c>
      <c r="H4152" s="3" t="s">
        <v>302</v>
      </c>
    </row>
    <row r="4153" spans="1:8" ht="64.5" x14ac:dyDescent="0.25">
      <c r="A4153" s="3" t="s">
        <v>12428</v>
      </c>
      <c r="B4153" s="3"/>
      <c r="C4153" s="3" t="str">
        <f>"We are a traffic control products company. We offer equipment rentals, sales, service, and delivery We offer a wide variety of personal protective gear, and safety equipment for workers and work zones."</f>
        <v>We are a traffic control products company. We offer equipment rentals, sales, service, and delivery We offer a wide variety of personal protective gear, and safety equipment for workers and work zones.</v>
      </c>
      <c r="D4153" s="3" t="s">
        <v>12429</v>
      </c>
      <c r="E4153" s="3" t="s">
        <v>12430</v>
      </c>
      <c r="F4153" s="3" t="str">
        <f>"317-891-8065"</f>
        <v>317-891-8065</v>
      </c>
      <c r="G4153" s="3">
        <v>532310</v>
      </c>
      <c r="H4153" s="3" t="s">
        <v>10958</v>
      </c>
    </row>
    <row r="4154" spans="1:8" ht="115.5" x14ac:dyDescent="0.25">
      <c r="A4154" s="3" t="s">
        <v>12431</v>
      </c>
      <c r="B4154" s="3"/>
      <c r="C4154" s="3" t="s">
        <v>12432</v>
      </c>
      <c r="D4154" s="3" t="s">
        <v>12433</v>
      </c>
      <c r="E4154" s="3" t="s">
        <v>12434</v>
      </c>
      <c r="F4154" s="3" t="str">
        <f>"812-367-1870"</f>
        <v>812-367-1870</v>
      </c>
      <c r="G4154" s="3">
        <v>561990</v>
      </c>
      <c r="H4154" s="3" t="s">
        <v>219</v>
      </c>
    </row>
    <row r="4155" spans="1:8" ht="26.25" x14ac:dyDescent="0.25">
      <c r="A4155" s="3" t="s">
        <v>12435</v>
      </c>
      <c r="B4155" s="3"/>
      <c r="C4155" s="3" t="str">
        <f>"Manufacturer and seller of hospital beds and furniture."</f>
        <v>Manufacturer and seller of hospital beds and furniture.</v>
      </c>
      <c r="D4155" s="3" t="s">
        <v>12436</v>
      </c>
      <c r="E4155" s="3" t="s">
        <v>12437</v>
      </c>
      <c r="F4155" s="3" t="str">
        <f>"800-445-3730"</f>
        <v>800-445-3730</v>
      </c>
      <c r="G4155" s="3">
        <v>33911</v>
      </c>
      <c r="H4155" s="3" t="s">
        <v>2119</v>
      </c>
    </row>
    <row r="4156" spans="1:8" ht="141" x14ac:dyDescent="0.25">
      <c r="A4156" s="3" t="s">
        <v>12438</v>
      </c>
      <c r="B4156" s="3"/>
      <c r="C4156" s="3" t="s">
        <v>12439</v>
      </c>
      <c r="D4156" s="3" t="s">
        <v>12440</v>
      </c>
      <c r="E4156" s="3" t="s">
        <v>12441</v>
      </c>
      <c r="F4156" s="3" t="str">
        <f>"812-961-2803"</f>
        <v>812-961-2803</v>
      </c>
      <c r="G4156" s="3">
        <v>541211</v>
      </c>
      <c r="H4156" s="3" t="s">
        <v>337</v>
      </c>
    </row>
    <row r="4157" spans="1:8" ht="115.5" x14ac:dyDescent="0.25">
      <c r="A4157" s="3" t="s">
        <v>12442</v>
      </c>
      <c r="B4157" s="3"/>
      <c r="C4157" s="3" t="s">
        <v>12443</v>
      </c>
      <c r="D4157" s="3" t="s">
        <v>12444</v>
      </c>
      <c r="E4157" s="3" t="s">
        <v>12445</v>
      </c>
      <c r="F4157" s="3" t="str">
        <f>"812-428-0698"</f>
        <v>812-428-0698</v>
      </c>
      <c r="G4157" s="3">
        <v>623990</v>
      </c>
      <c r="H4157" s="3" t="s">
        <v>11066</v>
      </c>
    </row>
    <row r="4158" spans="1:8" ht="102.75" x14ac:dyDescent="0.25">
      <c r="A4158" s="3" t="s">
        <v>12446</v>
      </c>
      <c r="B4158" s="3"/>
      <c r="C4158" s="3" t="s">
        <v>12447</v>
      </c>
      <c r="D4158" s="3" t="s">
        <v>12448</v>
      </c>
      <c r="E4158" s="3" t="s">
        <v>12449</v>
      </c>
      <c r="F4158" s="3" t="str">
        <f>"765-284-4166"</f>
        <v>765-284-4166</v>
      </c>
      <c r="G4158" s="3">
        <v>62431</v>
      </c>
      <c r="H4158" s="3" t="s">
        <v>488</v>
      </c>
    </row>
    <row r="4159" spans="1:8" ht="141" x14ac:dyDescent="0.25">
      <c r="A4159" s="3" t="s">
        <v>12450</v>
      </c>
      <c r="B4159" s="3"/>
      <c r="C4159" s="3" t="s">
        <v>12451</v>
      </c>
      <c r="D4159" s="3" t="s">
        <v>12452</v>
      </c>
      <c r="E4159" s="3" t="s">
        <v>12453</v>
      </c>
      <c r="F4159" s="3" t="str">
        <f>"317-710-1996"</f>
        <v>317-710-1996</v>
      </c>
      <c r="G4159" s="3">
        <v>23814</v>
      </c>
      <c r="H4159" s="3" t="s">
        <v>1830</v>
      </c>
    </row>
    <row r="4160" spans="1:8" ht="39" x14ac:dyDescent="0.25">
      <c r="A4160" s="3" t="s">
        <v>12454</v>
      </c>
      <c r="B4160" s="3"/>
      <c r="C4160" s="3" t="str">
        <f>"Federally Qualified Community Health Center serving the uninsured and underunsured."</f>
        <v>Federally Qualified Community Health Center serving the uninsured and underunsured.</v>
      </c>
      <c r="D4160" s="3" t="s">
        <v>9</v>
      </c>
      <c r="E4160" s="3" t="s">
        <v>46</v>
      </c>
      <c r="F4160" s="3" t="str">
        <f>"219-462-7173"</f>
        <v>219-462-7173</v>
      </c>
      <c r="G4160" s="3">
        <v>62</v>
      </c>
      <c r="H4160" s="3" t="s">
        <v>1168</v>
      </c>
    </row>
    <row r="4161" spans="1:8" ht="319.5" x14ac:dyDescent="0.25">
      <c r="A4161" s="3" t="s">
        <v>12455</v>
      </c>
      <c r="B4161" s="3"/>
      <c r="C4161" s="3" t="s">
        <v>12456</v>
      </c>
      <c r="D4161" s="3" t="s">
        <v>12457</v>
      </c>
      <c r="E4161" s="3" t="s">
        <v>12458</v>
      </c>
      <c r="F4161" s="3" t="str">
        <f>"219-922-4868"</f>
        <v>219-922-4868</v>
      </c>
      <c r="G4161" s="3">
        <v>511130</v>
      </c>
      <c r="H4161" s="3" t="s">
        <v>3146</v>
      </c>
    </row>
    <row r="4162" spans="1:8" ht="26.25" x14ac:dyDescent="0.25">
      <c r="A4162" s="3" t="s">
        <v>12459</v>
      </c>
      <c r="B4162" s="3"/>
      <c r="C4162" s="3" t="str">
        <f>" "</f>
        <v xml:space="preserve"> </v>
      </c>
      <c r="D4162" s="3" t="s">
        <v>12460</v>
      </c>
      <c r="E4162" s="3" t="s">
        <v>12461</v>
      </c>
      <c r="F4162" s="3" t="str">
        <f>"1800 4 WATERS"</f>
        <v>1800 4 WATERS</v>
      </c>
      <c r="G4162" s="3">
        <v>22131</v>
      </c>
      <c r="H4162" s="3" t="s">
        <v>1833</v>
      </c>
    </row>
    <row r="4163" spans="1:8" ht="39" x14ac:dyDescent="0.25">
      <c r="A4163" s="3" t="s">
        <v>12462</v>
      </c>
      <c r="B4163" s="3"/>
      <c r="C4163" s="3" t="str">
        <f>"PATENTED Towel and Clothes - Racks and Warmers that save space, are simple to install and easy to use."</f>
        <v>PATENTED Towel and Clothes - Racks and Warmers that save space, are simple to install and easy to use.</v>
      </c>
      <c r="D4163" s="3" t="s">
        <v>12463</v>
      </c>
      <c r="E4163" s="3" t="s">
        <v>12464</v>
      </c>
      <c r="F4163" s="3" t="str">
        <f>"317-542-9514"</f>
        <v>317-542-9514</v>
      </c>
      <c r="G4163" s="3">
        <v>333513</v>
      </c>
      <c r="H4163" s="3" t="s">
        <v>12465</v>
      </c>
    </row>
    <row r="4164" spans="1:8" ht="64.5" x14ac:dyDescent="0.25">
      <c r="A4164" s="3" t="s">
        <v>12466</v>
      </c>
      <c r="B4164" s="3"/>
      <c r="C4164" s="3" t="str">
        <f>"Hinshaw Roofing was established in 1947 in Frankfort, IN. We are a commercial roofing contractor specializing in single-ply, shingles, tile, slate, BUR, modified and architectural sheet metal work."</f>
        <v>Hinshaw Roofing was established in 1947 in Frankfort, IN. We are a commercial roofing contractor specializing in single-ply, shingles, tile, slate, BUR, modified and architectural sheet metal work.</v>
      </c>
      <c r="D4164" s="3" t="s">
        <v>12467</v>
      </c>
      <c r="E4164" s="3" t="s">
        <v>12468</v>
      </c>
      <c r="F4164" s="3" t="str">
        <f>"765-659-3311"</f>
        <v>765-659-3311</v>
      </c>
      <c r="G4164" s="3">
        <v>238160</v>
      </c>
      <c r="H4164" s="3" t="s">
        <v>144</v>
      </c>
    </row>
    <row r="4165" spans="1:8" ht="102.75" x14ac:dyDescent="0.25">
      <c r="A4165" s="3" t="s">
        <v>12469</v>
      </c>
      <c r="B4165" s="3"/>
      <c r="C4165" s="3" t="s">
        <v>12470</v>
      </c>
      <c r="D4165" s="3" t="s">
        <v>11834</v>
      </c>
      <c r="E4165" s="3" t="s">
        <v>11835</v>
      </c>
      <c r="F4165" s="3" t="str">
        <f>"317-784-9385"</f>
        <v>317-784-9385</v>
      </c>
      <c r="G4165" s="3">
        <v>423420</v>
      </c>
      <c r="H4165" s="3" t="s">
        <v>521</v>
      </c>
    </row>
    <row r="4166" spans="1:8" ht="64.5" x14ac:dyDescent="0.25">
      <c r="A4166" s="3" t="s">
        <v>12471</v>
      </c>
      <c r="B4166" s="3"/>
      <c r="C4166" s="3" t="str">
        <f>"we alleviate company needs by providing a workforce that could be needed on a short to a long term basis due to labor shortages, high personnel turnover or recent growth in your company."</f>
        <v>we alleviate company needs by providing a workforce that could be needed on a short to a long term basis due to labor shortages, high personnel turnover or recent growth in your company.</v>
      </c>
      <c r="D4166" s="3" t="s">
        <v>9</v>
      </c>
      <c r="E4166" s="3" t="s">
        <v>12472</v>
      </c>
      <c r="F4166" s="3" t="str">
        <f>"317-849-8778"</f>
        <v>317-849-8778</v>
      </c>
      <c r="G4166" s="3">
        <v>56132</v>
      </c>
      <c r="H4166" s="3" t="s">
        <v>15</v>
      </c>
    </row>
    <row r="4167" spans="1:8" ht="77.25" x14ac:dyDescent="0.25">
      <c r="A4167" s="3" t="s">
        <v>12473</v>
      </c>
      <c r="B4167" s="3"/>
      <c r="C4167" s="3" t="str">
        <f>"Hittle Construction, Inc has been in business since 1995. We currently are in the field of building decks , fence, retaining walls, arbors, pergolas, gazebos, and treated handrails. We can custom build any shape or size to meet your needs."</f>
        <v>Hittle Construction, Inc has been in business since 1995. We currently are in the field of building decks , fence, retaining walls, arbors, pergolas, gazebos, and treated handrails. We can custom build any shape or size to meet your needs.</v>
      </c>
      <c r="D4167" s="3" t="s">
        <v>12474</v>
      </c>
      <c r="E4167" s="3" t="s">
        <v>12475</v>
      </c>
      <c r="F4167" s="3" t="str">
        <f>"317-896-9073"</f>
        <v>317-896-9073</v>
      </c>
      <c r="G4167" s="3">
        <v>238990</v>
      </c>
      <c r="H4167" s="3" t="s">
        <v>481</v>
      </c>
    </row>
    <row r="4168" spans="1:8" ht="128.25" x14ac:dyDescent="0.25">
      <c r="A4168" s="3" t="s">
        <v>12476</v>
      </c>
      <c r="B4168" s="3"/>
      <c r="C4168" s="3" t="s">
        <v>12477</v>
      </c>
      <c r="D4168" s="3" t="s">
        <v>9</v>
      </c>
      <c r="E4168" s="3" t="s">
        <v>46</v>
      </c>
      <c r="F4168" s="3" t="str">
        <f>"219-942-1178"</f>
        <v>219-942-1178</v>
      </c>
      <c r="G4168" s="3">
        <v>444190</v>
      </c>
      <c r="H4168" s="3" t="s">
        <v>1188</v>
      </c>
    </row>
    <row r="4169" spans="1:8" ht="77.25" x14ac:dyDescent="0.25">
      <c r="A4169" s="3" t="s">
        <v>12478</v>
      </c>
      <c r="B4169" s="3"/>
      <c r="C4169" s="3" t="str">
        <f>"Electric Motor Wholesaler/Distributor, HVAC Exhauster and roof top units, Pumps, Variable Frequency Drives, Belts, Sheaves, Pulleys, and More. WE are a one stop shop for building and facilities maintenance needs and services."</f>
        <v>Electric Motor Wholesaler/Distributor, HVAC Exhauster and roof top units, Pumps, Variable Frequency Drives, Belts, Sheaves, Pulleys, and More. WE are a one stop shop for building and facilities maintenance needs and services.</v>
      </c>
      <c r="D4169" s="3" t="s">
        <v>12479</v>
      </c>
      <c r="E4169" s="3" t="s">
        <v>12480</v>
      </c>
      <c r="F4169" s="3" t="str">
        <f>"765-617-1240"</f>
        <v>765-617-1240</v>
      </c>
      <c r="G4169" s="3">
        <v>423610</v>
      </c>
      <c r="H4169" s="3" t="s">
        <v>2414</v>
      </c>
    </row>
    <row r="4170" spans="1:8" ht="26.25" x14ac:dyDescent="0.25">
      <c r="A4170" s="3" t="s">
        <v>12481</v>
      </c>
      <c r="B4170" s="3"/>
      <c r="C4170" s="3" t="str">
        <f>" "</f>
        <v xml:space="preserve"> </v>
      </c>
      <c r="D4170" s="3" t="s">
        <v>12482</v>
      </c>
      <c r="E4170" s="3" t="s">
        <v>12483</v>
      </c>
      <c r="F4170" s="3" t="str">
        <f>"7653623756"</f>
        <v>7653623756</v>
      </c>
      <c r="G4170" s="3">
        <v>238210</v>
      </c>
      <c r="H4170" s="3" t="s">
        <v>306</v>
      </c>
    </row>
    <row r="4171" spans="1:8" ht="26.25" x14ac:dyDescent="0.25">
      <c r="A4171" s="3" t="s">
        <v>12484</v>
      </c>
      <c r="B4171" s="3"/>
      <c r="C4171" s="3" t="str">
        <f>"Private law practice and real estate title insurance and settlement agency"</f>
        <v>Private law practice and real estate title insurance and settlement agency</v>
      </c>
      <c r="D4171" s="3" t="s">
        <v>12485</v>
      </c>
      <c r="E4171" s="3" t="s">
        <v>12486</v>
      </c>
      <c r="F4171" s="3" t="str">
        <f>"317-578-1630"</f>
        <v>317-578-1630</v>
      </c>
      <c r="G4171" s="3">
        <v>541110</v>
      </c>
      <c r="H4171" s="3" t="s">
        <v>2978</v>
      </c>
    </row>
    <row r="4172" spans="1:8" ht="39" x14ac:dyDescent="0.25">
      <c r="A4172" s="3" t="s">
        <v>12487</v>
      </c>
      <c r="B4172" s="3"/>
      <c r="C4172" s="3" t="str">
        <f>"Retail Business of Farm Equipment, Lawnmowers, and ATV'S, including labor and parts"</f>
        <v>Retail Business of Farm Equipment, Lawnmowers, and ATV'S, including labor and parts</v>
      </c>
      <c r="D4172" s="3" t="s">
        <v>12488</v>
      </c>
      <c r="E4172" s="3" t="s">
        <v>12489</v>
      </c>
      <c r="F4172" s="3" t="str">
        <f>"812-254-3970"</f>
        <v>812-254-3970</v>
      </c>
      <c r="G4172" s="3">
        <v>4412</v>
      </c>
      <c r="H4172" s="3" t="s">
        <v>4634</v>
      </c>
    </row>
    <row r="4173" spans="1:8" ht="26.25" x14ac:dyDescent="0.25">
      <c r="A4173" s="3" t="s">
        <v>12490</v>
      </c>
      <c r="B4173" s="3"/>
      <c r="C4173" s="2"/>
      <c r="D4173" s="3" t="s">
        <v>9</v>
      </c>
      <c r="E4173" s="3" t="s">
        <v>12491</v>
      </c>
      <c r="F4173" s="3" t="str">
        <f>"317-453-4216"</f>
        <v>317-453-4216</v>
      </c>
      <c r="G4173" s="3">
        <v>424610</v>
      </c>
      <c r="H4173" s="3" t="s">
        <v>12492</v>
      </c>
    </row>
    <row r="4174" spans="1:8" ht="51.75" x14ac:dyDescent="0.25">
      <c r="A4174" s="3" t="s">
        <v>12493</v>
      </c>
      <c r="B4174" s="3"/>
      <c r="C4174" s="3" t="str">
        <f>"We offer sales, parts &amp; service for lawn mowers, tillers, string trimmers, leaf blowers, chain saws, chipper shredders, pressure washers, and snow blowers."</f>
        <v>We offer sales, parts &amp; service for lawn mowers, tillers, string trimmers, leaf blowers, chain saws, chipper shredders, pressure washers, and snow blowers.</v>
      </c>
      <c r="D4174" s="3" t="s">
        <v>12494</v>
      </c>
      <c r="E4174" s="3" t="s">
        <v>12495</v>
      </c>
      <c r="F4174" s="3" t="str">
        <f>"574-858-9322"</f>
        <v>574-858-9322</v>
      </c>
      <c r="G4174" s="3">
        <v>444210</v>
      </c>
      <c r="H4174" s="3" t="s">
        <v>392</v>
      </c>
    </row>
    <row r="4175" spans="1:8" ht="90" x14ac:dyDescent="0.25">
      <c r="A4175" s="3" t="s">
        <v>12496</v>
      </c>
      <c r="B4175" s="3"/>
      <c r="C4175" s="3" t="s">
        <v>12497</v>
      </c>
      <c r="D4175" s="3" t="s">
        <v>12498</v>
      </c>
      <c r="E4175" s="3" t="s">
        <v>12499</v>
      </c>
      <c r="F4175" s="3" t="str">
        <f>"317-846-6425"</f>
        <v>317-846-6425</v>
      </c>
      <c r="G4175" s="3">
        <v>221330</v>
      </c>
      <c r="H4175" s="3" t="s">
        <v>5198</v>
      </c>
    </row>
    <row r="4176" spans="1:8" ht="26.25" x14ac:dyDescent="0.25">
      <c r="A4176" s="3" t="s">
        <v>12500</v>
      </c>
      <c r="B4176" s="3"/>
      <c r="C4176" s="3" t="str">
        <f>"Factory Automation / Systems Integration"</f>
        <v>Factory Automation / Systems Integration</v>
      </c>
      <c r="D4176" s="3" t="s">
        <v>12501</v>
      </c>
      <c r="E4176" s="3" t="s">
        <v>12502</v>
      </c>
      <c r="F4176" s="3" t="str">
        <f>"317-431-4480"</f>
        <v>317-431-4480</v>
      </c>
      <c r="G4176" s="3">
        <v>541330</v>
      </c>
      <c r="H4176" s="3" t="s">
        <v>82</v>
      </c>
    </row>
    <row r="4177" spans="1:8" ht="39" x14ac:dyDescent="0.25">
      <c r="A4177" s="3" t="s">
        <v>12503</v>
      </c>
      <c r="B4177" s="3"/>
      <c r="C4177" s="3" t="str">
        <f>"Feeds supplier for all types of animals that walk, crawl, swim or fly and other items related to animal care"</f>
        <v>Feeds supplier for all types of animals that walk, crawl, swim or fly and other items related to animal care</v>
      </c>
      <c r="D4177" s="3" t="s">
        <v>9</v>
      </c>
      <c r="E4177" s="3" t="s">
        <v>12504</v>
      </c>
      <c r="F4177" s="3" t="str">
        <f>"812-630-1805"</f>
        <v>812-630-1805</v>
      </c>
      <c r="G4177" s="3">
        <v>4539</v>
      </c>
      <c r="H4177" s="3" t="s">
        <v>12505</v>
      </c>
    </row>
    <row r="4178" spans="1:8" ht="255.75" x14ac:dyDescent="0.25">
      <c r="A4178" s="3" t="s">
        <v>12506</v>
      </c>
      <c r="B4178" s="3"/>
      <c r="C4178" s="3" t="s">
        <v>12507</v>
      </c>
      <c r="D4178" s="3" t="s">
        <v>12508</v>
      </c>
      <c r="E4178" s="3" t="s">
        <v>12509</v>
      </c>
      <c r="F4178" s="3" t="str">
        <f>"219-921-1141"</f>
        <v>219-921-1141</v>
      </c>
      <c r="G4178" s="3">
        <v>5415</v>
      </c>
      <c r="H4178" s="3" t="s">
        <v>188</v>
      </c>
    </row>
    <row r="4179" spans="1:8" ht="102.75" x14ac:dyDescent="0.25">
      <c r="A4179" s="3" t="s">
        <v>12510</v>
      </c>
      <c r="B4179" s="3"/>
      <c r="C4179" s="3" t="s">
        <v>12511</v>
      </c>
      <c r="D4179" s="3" t="s">
        <v>12512</v>
      </c>
      <c r="E4179" s="3" t="s">
        <v>12513</v>
      </c>
      <c r="F4179" s="3" t="str">
        <f>"317-639-9583"</f>
        <v>317-639-9583</v>
      </c>
      <c r="G4179" s="3">
        <v>48</v>
      </c>
      <c r="H4179" s="3" t="s">
        <v>104</v>
      </c>
    </row>
    <row r="4180" spans="1:8" ht="319.5" x14ac:dyDescent="0.25">
      <c r="A4180" s="3" t="s">
        <v>12514</v>
      </c>
      <c r="B4180" s="3"/>
      <c r="C4180" s="3" t="s">
        <v>12515</v>
      </c>
      <c r="D4180" s="3" t="s">
        <v>12516</v>
      </c>
      <c r="E4180" s="3" t="s">
        <v>12517</v>
      </c>
      <c r="F4180" s="3" t="str">
        <f>"812- 2791206, 800HOLIDAY"</f>
        <v>812- 2791206, 800HOLIDAY</v>
      </c>
      <c r="G4180" s="3">
        <v>721110</v>
      </c>
      <c r="H4180" s="3" t="s">
        <v>872</v>
      </c>
    </row>
    <row r="4181" spans="1:8" ht="26.25" x14ac:dyDescent="0.25">
      <c r="A4181" s="3" t="s">
        <v>12518</v>
      </c>
      <c r="B4181" s="3"/>
      <c r="C4181" s="3" t="str">
        <f>"24 Hr Towing and Recovery/ Roadside Assistance"</f>
        <v>24 Hr Towing and Recovery/ Roadside Assistance</v>
      </c>
      <c r="D4181" s="3" t="s">
        <v>9</v>
      </c>
      <c r="E4181" s="3" t="s">
        <v>12519</v>
      </c>
      <c r="F4181" s="3" t="str">
        <f>"765 689-7149"</f>
        <v>765 689-7149</v>
      </c>
      <c r="G4181" s="3">
        <v>235</v>
      </c>
      <c r="H4181" s="3" t="s">
        <v>259</v>
      </c>
    </row>
    <row r="4182" spans="1:8" ht="128.25" x14ac:dyDescent="0.25">
      <c r="A4182" s="3" t="s">
        <v>12520</v>
      </c>
      <c r="B4182" s="3"/>
      <c r="C4182" s="3" t="s">
        <v>12521</v>
      </c>
      <c r="D4182" s="3" t="s">
        <v>12522</v>
      </c>
      <c r="E4182" s="3" t="s">
        <v>12523</v>
      </c>
      <c r="F4182" s="3" t="str">
        <f>"317.824.9000"</f>
        <v>317.824.9000</v>
      </c>
      <c r="G4182" s="3">
        <v>541110</v>
      </c>
      <c r="H4182" s="3" t="s">
        <v>2978</v>
      </c>
    </row>
    <row r="4183" spans="1:8" ht="102.75" x14ac:dyDescent="0.25">
      <c r="A4183" s="3" t="s">
        <v>12524</v>
      </c>
      <c r="B4183" s="3"/>
      <c r="C4183" s="3" t="s">
        <v>12525</v>
      </c>
      <c r="D4183" s="3" t="s">
        <v>12526</v>
      </c>
      <c r="E4183" s="3" t="s">
        <v>12527</v>
      </c>
      <c r="F4183" s="3" t="str">
        <f>"310-963-0409"</f>
        <v>310-963-0409</v>
      </c>
      <c r="G4183" s="3">
        <v>512110</v>
      </c>
      <c r="H4183" s="3" t="s">
        <v>406</v>
      </c>
    </row>
    <row r="4184" spans="1:8" ht="51.75" x14ac:dyDescent="0.25">
      <c r="A4184" s="3" t="s">
        <v>12528</v>
      </c>
      <c r="B4184" s="3"/>
      <c r="C4184" s="3" t="str">
        <f>"Manufacture and distribute floor care products under the Quick Shine label, wood care products and other laundry and general cleaning products"</f>
        <v>Manufacture and distribute floor care products under the Quick Shine label, wood care products and other laundry and general cleaning products</v>
      </c>
      <c r="D4184" s="3" t="s">
        <v>12529</v>
      </c>
      <c r="E4184" s="3" t="s">
        <v>12530</v>
      </c>
      <c r="F4184" s="3" t="str">
        <f>"317-485-4272"</f>
        <v>317-485-4272</v>
      </c>
      <c r="G4184" s="3">
        <v>325611</v>
      </c>
      <c r="H4184" s="3" t="s">
        <v>4219</v>
      </c>
    </row>
    <row r="4185" spans="1:8" ht="64.5" x14ac:dyDescent="0.25">
      <c r="A4185" s="3" t="s">
        <v>12531</v>
      </c>
      <c r="B4185" s="3"/>
      <c r="C4185" s="3" t="str">
        <f>"Holly's House provides a safe reporting environment for victims of intimate crimes, their families, and communities while providing support, promoting justice, and preventing violence."</f>
        <v>Holly's House provides a safe reporting environment for victims of intimate crimes, their families, and communities while providing support, promoting justice, and preventing violence.</v>
      </c>
      <c r="D4185" s="3" t="s">
        <v>12532</v>
      </c>
      <c r="E4185" s="3" t="s">
        <v>12533</v>
      </c>
      <c r="F4185" s="3" t="str">
        <f>"812-437-7233"</f>
        <v>812-437-7233</v>
      </c>
      <c r="G4185" s="3">
        <v>624110</v>
      </c>
      <c r="H4185" s="3" t="s">
        <v>628</v>
      </c>
    </row>
    <row r="4186" spans="1:8" ht="26.25" x14ac:dyDescent="0.25">
      <c r="A4186" s="3" t="s">
        <v>12534</v>
      </c>
      <c r="B4186" s="3"/>
      <c r="C4186" s="3" t="str">
        <f>"Holmes Bros. Inc. has manufactured and installed septic systems for over 31 years."</f>
        <v>Holmes Bros. Inc. has manufactured and installed septic systems for over 31 years.</v>
      </c>
      <c r="D4186" s="3" t="s">
        <v>9</v>
      </c>
      <c r="E4186" s="3" t="s">
        <v>12535</v>
      </c>
      <c r="F4186" s="3" t="str">
        <f>"219-345-5766"</f>
        <v>219-345-5766</v>
      </c>
      <c r="G4186" s="3">
        <v>238</v>
      </c>
      <c r="H4186" s="3" t="s">
        <v>397</v>
      </c>
    </row>
    <row r="4187" spans="1:8" ht="153.75" x14ac:dyDescent="0.25">
      <c r="A4187" s="3" t="s">
        <v>12536</v>
      </c>
      <c r="B4187" s="3"/>
      <c r="C4187" s="3" t="s">
        <v>12537</v>
      </c>
      <c r="D4187" s="3" t="s">
        <v>12538</v>
      </c>
      <c r="E4187" s="3" t="s">
        <v>12539</v>
      </c>
      <c r="F4187" s="3" t="str">
        <f>"1-812-849-4200"</f>
        <v>1-812-849-4200</v>
      </c>
      <c r="G4187" s="3">
        <v>444130</v>
      </c>
      <c r="H4187" s="3" t="s">
        <v>2597</v>
      </c>
    </row>
    <row r="4188" spans="1:8" ht="39" x14ac:dyDescent="0.25">
      <c r="A4188" s="3" t="s">
        <v>12540</v>
      </c>
      <c r="B4188" s="3"/>
      <c r="C4188" s="3" t="str">
        <f>"Management and Technical Consulting firm specializing in helping businesses solve their most complex problems."</f>
        <v>Management and Technical Consulting firm specializing in helping businesses solve their most complex problems.</v>
      </c>
      <c r="D4188" s="3" t="s">
        <v>12541</v>
      </c>
      <c r="E4188" s="3" t="s">
        <v>12542</v>
      </c>
      <c r="F4188" s="3" t="str">
        <f>"317-919-8214"</f>
        <v>317-919-8214</v>
      </c>
      <c r="G4188" s="3">
        <v>518210</v>
      </c>
      <c r="H4188" s="3" t="s">
        <v>3133</v>
      </c>
    </row>
    <row r="4189" spans="1:8" ht="255.75" x14ac:dyDescent="0.25">
      <c r="A4189" s="3" t="s">
        <v>12543</v>
      </c>
      <c r="B4189" s="3"/>
      <c r="C4189" s="3" t="s">
        <v>12544</v>
      </c>
      <c r="D4189" s="3" t="s">
        <v>12545</v>
      </c>
      <c r="E4189" s="3" t="s">
        <v>12546</v>
      </c>
      <c r="F4189" s="3" t="str">
        <f>"8126453418"</f>
        <v>8126453418</v>
      </c>
      <c r="G4189" s="3">
        <v>238</v>
      </c>
      <c r="H4189" s="3" t="s">
        <v>397</v>
      </c>
    </row>
    <row r="4190" spans="1:8" ht="102.75" x14ac:dyDescent="0.25">
      <c r="A4190" s="3" t="s">
        <v>12547</v>
      </c>
      <c r="B4190" s="3"/>
      <c r="C4190" s="3" t="s">
        <v>12548</v>
      </c>
      <c r="D4190" s="3" t="s">
        <v>12549</v>
      </c>
      <c r="E4190" s="3" t="s">
        <v>12550</v>
      </c>
      <c r="F4190" s="3" t="str">
        <f>"317-705-1882"</f>
        <v>317-705-1882</v>
      </c>
      <c r="G4190" s="3">
        <v>423710</v>
      </c>
      <c r="H4190" s="3" t="s">
        <v>6956</v>
      </c>
    </row>
    <row r="4191" spans="1:8" ht="90" x14ac:dyDescent="0.25">
      <c r="A4191" s="3" t="s">
        <v>12551</v>
      </c>
      <c r="B4191" s="3"/>
      <c r="C4191" s="3" t="str">
        <f>"Home Energy Rating Services provides certification testing for new homes fro the HERS index, ENERGY STAR ratings and code compliance. We also specialize in home energy audits helping improve comfort, air quality, homeowner health and lower utility bills."</f>
        <v>Home Energy Rating Services provides certification testing for new homes fro the HERS index, ENERGY STAR ratings and code compliance. We also specialize in home energy audits helping improve comfort, air quality, homeowner health and lower utility bills.</v>
      </c>
      <c r="D4191" s="3" t="s">
        <v>12552</v>
      </c>
      <c r="E4191" s="3" t="s">
        <v>12553</v>
      </c>
      <c r="F4191" s="3" t="str">
        <f>"812-663-1011"</f>
        <v>812-663-1011</v>
      </c>
      <c r="G4191" s="3">
        <v>541690</v>
      </c>
      <c r="H4191" s="3" t="s">
        <v>652</v>
      </c>
    </row>
    <row r="4192" spans="1:8" ht="77.25" x14ac:dyDescent="0.25">
      <c r="A4192" s="3" t="s">
        <v>12554</v>
      </c>
      <c r="B4192" s="3"/>
      <c r="C4192" s="3" t="str">
        <f>"Reshaping garments designed to alleviate stress and back pain. Garments will give abdominal support, reinforce the lower back, help protect the spine from backaches, help prevent muscular fatique and can reduce waist up to 3 sizes."</f>
        <v>Reshaping garments designed to alleviate stress and back pain. Garments will give abdominal support, reinforce the lower back, help protect the spine from backaches, help prevent muscular fatique and can reduce waist up to 3 sizes.</v>
      </c>
      <c r="D4192" s="3" t="s">
        <v>12555</v>
      </c>
      <c r="E4192" s="3" t="s">
        <v>12556</v>
      </c>
      <c r="F4192" s="3" t="str">
        <f>"260 426-3150"</f>
        <v>260 426-3150</v>
      </c>
      <c r="G4192" s="3">
        <v>448190</v>
      </c>
      <c r="H4192" s="3" t="s">
        <v>12557</v>
      </c>
    </row>
    <row r="4193" spans="1:8" ht="153.75" x14ac:dyDescent="0.25">
      <c r="A4193" s="3" t="s">
        <v>12558</v>
      </c>
      <c r="B4193" s="3"/>
      <c r="C4193" s="3" t="s">
        <v>12559</v>
      </c>
      <c r="D4193" s="3" t="s">
        <v>12560</v>
      </c>
      <c r="E4193" s="3" t="s">
        <v>12561</v>
      </c>
      <c r="F4193" s="3" t="str">
        <f>"317-848-1050"</f>
        <v>317-848-1050</v>
      </c>
      <c r="G4193" s="3">
        <v>541199</v>
      </c>
      <c r="H4193" s="3" t="s">
        <v>1371</v>
      </c>
    </row>
    <row r="4194" spans="1:8" ht="26.25" x14ac:dyDescent="0.25">
      <c r="A4194" s="3" t="s">
        <v>12562</v>
      </c>
      <c r="B4194" s="3"/>
      <c r="C4194" s="3" t="str">
        <f>" "</f>
        <v xml:space="preserve"> </v>
      </c>
      <c r="D4194" s="3" t="s">
        <v>9</v>
      </c>
      <c r="E4194" s="3" t="s">
        <v>46</v>
      </c>
      <c r="F4194" s="3" t="str">
        <f>"219.226.0000"</f>
        <v>219.226.0000</v>
      </c>
      <c r="G4194" s="3">
        <v>444190</v>
      </c>
      <c r="H4194" s="3" t="s">
        <v>1188</v>
      </c>
    </row>
    <row r="4195" spans="1:8" ht="51.75" x14ac:dyDescent="0.25">
      <c r="A4195" s="3" t="s">
        <v>12563</v>
      </c>
      <c r="B4195" s="3"/>
      <c r="C4195" s="3" t="str">
        <f>"Coldset Web Printing with full Pre Press, Bindery and mailing capabilities located in a new production facility in Columbus Indiana."</f>
        <v>Coldset Web Printing with full Pre Press, Bindery and mailing capabilities located in a new production facility in Columbus Indiana.</v>
      </c>
      <c r="D4195" s="3" t="s">
        <v>9</v>
      </c>
      <c r="E4195" s="3" t="s">
        <v>12564</v>
      </c>
      <c r="F4195" s="3" t="str">
        <f>"866-876-7811"</f>
        <v>866-876-7811</v>
      </c>
      <c r="G4195" s="3">
        <v>3231</v>
      </c>
      <c r="H4195" s="3" t="s">
        <v>302</v>
      </c>
    </row>
    <row r="4196" spans="1:8" ht="26.25" x14ac:dyDescent="0.25">
      <c r="A4196" s="3" t="s">
        <v>12565</v>
      </c>
      <c r="B4196" s="3"/>
      <c r="C4196" s="3" t="str">
        <f>"Home health care service"</f>
        <v>Home health care service</v>
      </c>
      <c r="D4196" s="3" t="s">
        <v>9</v>
      </c>
      <c r="E4196" s="3" t="s">
        <v>46</v>
      </c>
      <c r="F4196" s="3" t="str">
        <f>"317-471-0750"</f>
        <v>317-471-0750</v>
      </c>
      <c r="G4196" s="3">
        <v>6216</v>
      </c>
      <c r="H4196" s="3" t="s">
        <v>328</v>
      </c>
    </row>
    <row r="4197" spans="1:8" ht="26.25" x14ac:dyDescent="0.25">
      <c r="A4197" s="3" t="s">
        <v>12566</v>
      </c>
      <c r="B4197" s="3"/>
      <c r="C4197" s="3" t="str">
        <f>"Historical folk toy distributor to museum and gift shops."</f>
        <v>Historical folk toy distributor to museum and gift shops.</v>
      </c>
      <c r="D4197" s="3" t="s">
        <v>12567</v>
      </c>
      <c r="E4197" s="3" t="s">
        <v>12568</v>
      </c>
      <c r="F4197" s="3" t="str">
        <f>"812-988-2320"</f>
        <v>812-988-2320</v>
      </c>
      <c r="G4197" s="3">
        <v>42</v>
      </c>
      <c r="H4197" s="3" t="s">
        <v>674</v>
      </c>
    </row>
    <row r="4198" spans="1:8" ht="128.25" x14ac:dyDescent="0.25">
      <c r="A4198" s="3" t="s">
        <v>12569</v>
      </c>
      <c r="B4198" s="3"/>
      <c r="C4198" s="3" t="s">
        <v>12570</v>
      </c>
      <c r="D4198" s="3" t="s">
        <v>12571</v>
      </c>
      <c r="E4198" s="3" t="s">
        <v>12572</v>
      </c>
      <c r="F4198" s="3" t="str">
        <f>"812-866-4415"</f>
        <v>812-866-4415</v>
      </c>
      <c r="G4198" s="3">
        <v>321918</v>
      </c>
      <c r="H4198" s="3" t="s">
        <v>12573</v>
      </c>
    </row>
    <row r="4199" spans="1:8" ht="26.25" x14ac:dyDescent="0.25">
      <c r="A4199" s="3" t="s">
        <v>12574</v>
      </c>
      <c r="B4199" s="3"/>
      <c r="C4199" s="3" t="str">
        <f>"Residential remodeling, room additions and custom home building"</f>
        <v>Residential remodeling, room additions and custom home building</v>
      </c>
      <c r="D4199" s="3" t="s">
        <v>12575</v>
      </c>
      <c r="E4199" s="3" t="s">
        <v>12576</v>
      </c>
      <c r="F4199" s="3" t="str">
        <f>"317-885-1608"</f>
        <v>317-885-1608</v>
      </c>
      <c r="G4199" s="3">
        <v>2332</v>
      </c>
      <c r="H4199" s="3" t="s">
        <v>3466</v>
      </c>
    </row>
    <row r="4200" spans="1:8" ht="90" x14ac:dyDescent="0.25">
      <c r="A4200" s="3" t="s">
        <v>12577</v>
      </c>
      <c r="B4200" s="3"/>
      <c r="C4200" s="3" t="s">
        <v>12578</v>
      </c>
      <c r="D4200" s="3" t="s">
        <v>12579</v>
      </c>
      <c r="E4200" s="3" t="s">
        <v>12580</v>
      </c>
      <c r="F4200" s="3" t="str">
        <f>"3173721382"</f>
        <v>3173721382</v>
      </c>
      <c r="G4200" s="3">
        <v>3159</v>
      </c>
      <c r="H4200" s="3" t="s">
        <v>12581</v>
      </c>
    </row>
    <row r="4201" spans="1:8" ht="39" x14ac:dyDescent="0.25">
      <c r="A4201" s="3" t="s">
        <v>12582</v>
      </c>
      <c r="B4201" s="3"/>
      <c r="C4201" s="3" t="str">
        <f>"Planning, design and construction contract administration of water and wastewater systems"</f>
        <v>Planning, design and construction contract administration of water and wastewater systems</v>
      </c>
      <c r="D4201" s="3" t="s">
        <v>9</v>
      </c>
      <c r="E4201" s="3" t="s">
        <v>12583</v>
      </c>
      <c r="F4201" s="3" t="str">
        <f>"3177808805"</f>
        <v>3177808805</v>
      </c>
      <c r="G4201" s="3">
        <v>541330</v>
      </c>
      <c r="H4201" s="3" t="s">
        <v>82</v>
      </c>
    </row>
    <row r="4202" spans="1:8" ht="64.5" x14ac:dyDescent="0.25">
      <c r="A4202" s="3" t="s">
        <v>12584</v>
      </c>
      <c r="B4202" s="3"/>
      <c r="C4202" s="3" t="str">
        <f>"Quality automotive products and services with great value and outstanding customer satisfaction. It is our mission to enrich the lives of our customers, employees and our community."</f>
        <v>Quality automotive products and services with great value and outstanding customer satisfaction. It is our mission to enrich the lives of our customers, employees and our community.</v>
      </c>
      <c r="D4202" s="3" t="s">
        <v>12585</v>
      </c>
      <c r="E4202" s="3" t="s">
        <v>12586</v>
      </c>
      <c r="F4202" s="3" t="str">
        <f>"317-299-3551"</f>
        <v>317-299-3551</v>
      </c>
      <c r="G4202" s="3">
        <v>522220</v>
      </c>
      <c r="H4202" s="3" t="s">
        <v>4071</v>
      </c>
    </row>
    <row r="4203" spans="1:8" ht="64.5" x14ac:dyDescent="0.25">
      <c r="A4203" s="3" t="s">
        <v>12587</v>
      </c>
      <c r="B4203" s="3"/>
      <c r="C4203" s="3" t="str">
        <f>"We offer plumbing services with the highest level of statistication with a variety of plumbing experience. We strive to be competitive with our low rates and affordability."</f>
        <v>We offer plumbing services with the highest level of statistication with a variety of plumbing experience. We strive to be competitive with our low rates and affordability.</v>
      </c>
      <c r="D4203" s="3" t="s">
        <v>12588</v>
      </c>
      <c r="E4203" s="3" t="s">
        <v>12589</v>
      </c>
      <c r="F4203" s="3" t="str">
        <f>"317-437-0446"</f>
        <v>317-437-0446</v>
      </c>
      <c r="G4203" s="3">
        <v>238220</v>
      </c>
      <c r="H4203" s="3" t="s">
        <v>348</v>
      </c>
    </row>
    <row r="4204" spans="1:8" ht="64.5" x14ac:dyDescent="0.25">
      <c r="A4204" s="3" t="s">
        <v>12590</v>
      </c>
      <c r="B4204" s="3"/>
      <c r="C4204" s="3" t="str">
        <f>"Commerical Kitchen Exhaust Hood System Cleaning. We clean Restaurants, Bars, Schools, Colleges, Nursning Homes, and Senior Living Communitys. All over the State of Indiana"</f>
        <v>Commerical Kitchen Exhaust Hood System Cleaning. We clean Restaurants, Bars, Schools, Colleges, Nursning Homes, and Senior Living Communitys. All over the State of Indiana</v>
      </c>
      <c r="D4204" s="3" t="s">
        <v>9</v>
      </c>
      <c r="E4204" s="3" t="s">
        <v>12591</v>
      </c>
      <c r="F4204" s="3" t="str">
        <f>"317-839-4247"</f>
        <v>317-839-4247</v>
      </c>
      <c r="G4204" s="3">
        <v>238</v>
      </c>
      <c r="H4204" s="3" t="s">
        <v>397</v>
      </c>
    </row>
    <row r="4205" spans="1:8" ht="26.25" x14ac:dyDescent="0.25">
      <c r="A4205" s="3" t="s">
        <v>12592</v>
      </c>
      <c r="B4205" s="3"/>
      <c r="C4205" s="3" t="str">
        <f>"Manufacturer and rebuilder of hydraulic and pneumatic components"</f>
        <v>Manufacturer and rebuilder of hydraulic and pneumatic components</v>
      </c>
      <c r="D4205" s="3" t="s">
        <v>9</v>
      </c>
      <c r="E4205" s="3" t="s">
        <v>12593</v>
      </c>
      <c r="F4205" s="3" t="str">
        <f>"(317)545-8100"</f>
        <v>(317)545-8100</v>
      </c>
      <c r="G4205" s="3">
        <v>333995</v>
      </c>
      <c r="H4205" s="3" t="s">
        <v>12594</v>
      </c>
    </row>
    <row r="4206" spans="1:8" ht="39" x14ac:dyDescent="0.25">
      <c r="A4206" s="3" t="s">
        <v>12595</v>
      </c>
      <c r="B4206" s="3"/>
      <c r="C4206" s="3" t="str">
        <f>"Indoor Air Quality: Clean air duct systems and dryer vents"</f>
        <v>Indoor Air Quality: Clean air duct systems and dryer vents</v>
      </c>
      <c r="D4206" s="3" t="s">
        <v>12596</v>
      </c>
      <c r="E4206" s="3" t="s">
        <v>12597</v>
      </c>
      <c r="F4206" s="3" t="str">
        <f>"317-858-1345"</f>
        <v>317-858-1345</v>
      </c>
      <c r="G4206" s="3">
        <v>333415</v>
      </c>
      <c r="H4206" s="3" t="s">
        <v>1731</v>
      </c>
    </row>
    <row r="4207" spans="1:8" ht="51.75" x14ac:dyDescent="0.25">
      <c r="A4207" s="3" t="s">
        <v>12598</v>
      </c>
      <c r="B4207" s="3"/>
      <c r="C4207" s="3" t="str">
        <f>"Our business provides services to buildings and dwellings. Carpet cleaning, janitorial services, interior construction clean up and janitorial supplies"</f>
        <v>Our business provides services to buildings and dwellings. Carpet cleaning, janitorial services, interior construction clean up and janitorial supplies</v>
      </c>
      <c r="D4207" s="3" t="s">
        <v>9</v>
      </c>
      <c r="E4207" s="3" t="s">
        <v>12599</v>
      </c>
      <c r="F4207" s="3" t="str">
        <f>"812-886-0785"</f>
        <v>812-886-0785</v>
      </c>
      <c r="G4207" s="3">
        <v>561720</v>
      </c>
      <c r="H4207" s="3" t="s">
        <v>222</v>
      </c>
    </row>
    <row r="4208" spans="1:8" ht="115.5" x14ac:dyDescent="0.25">
      <c r="A4208" s="3" t="s">
        <v>12600</v>
      </c>
      <c r="B4208" s="3"/>
      <c r="C4208" s="3" t="s">
        <v>12601</v>
      </c>
      <c r="D4208" s="3" t="s">
        <v>9</v>
      </c>
      <c r="E4208" s="3" t="s">
        <v>12602</v>
      </c>
      <c r="F4208" s="3" t="str">
        <f>"574-642-4788"</f>
        <v>574-642-4788</v>
      </c>
      <c r="G4208" s="3">
        <v>238110</v>
      </c>
      <c r="H4208" s="3" t="s">
        <v>156</v>
      </c>
    </row>
    <row r="4209" spans="1:8" ht="39" x14ac:dyDescent="0.25">
      <c r="A4209" s="3" t="s">
        <v>12603</v>
      </c>
      <c r="B4209" s="3"/>
      <c r="C4209" s="3" t="str">
        <f>"We are a corrugated sheet plant manufacturing all types of corrugated packaging and supplies."</f>
        <v>We are a corrugated sheet plant manufacturing all types of corrugated packaging and supplies.</v>
      </c>
      <c r="D4209" s="3" t="s">
        <v>12604</v>
      </c>
      <c r="E4209" s="3" t="s">
        <v>12605</v>
      </c>
      <c r="F4209" s="3" t="str">
        <f>"765-966-2541"</f>
        <v>765-966-2541</v>
      </c>
      <c r="G4209" s="3">
        <v>3222</v>
      </c>
      <c r="H4209" s="3" t="s">
        <v>3097</v>
      </c>
    </row>
    <row r="4210" spans="1:8" ht="115.5" x14ac:dyDescent="0.25">
      <c r="A4210" s="3" t="s">
        <v>12606</v>
      </c>
      <c r="B4210" s="3"/>
      <c r="C4210" s="3" t="s">
        <v>12607</v>
      </c>
      <c r="D4210" s="3" t="s">
        <v>12608</v>
      </c>
      <c r="E4210" s="3" t="s">
        <v>12609</v>
      </c>
      <c r="F4210" s="3" t="str">
        <f>"800-509-6131"</f>
        <v>800-509-6131</v>
      </c>
      <c r="G4210" s="3">
        <v>333923</v>
      </c>
      <c r="H4210" s="3" t="s">
        <v>12610</v>
      </c>
    </row>
    <row r="4211" spans="1:8" ht="26.25" x14ac:dyDescent="0.25">
      <c r="A4211" s="3" t="s">
        <v>12611</v>
      </c>
      <c r="B4211" s="3"/>
      <c r="C4211" s="3" t="str">
        <f>"sales and service of garage doors."</f>
        <v>sales and service of garage doors.</v>
      </c>
      <c r="D4211" s="3" t="s">
        <v>9</v>
      </c>
      <c r="E4211" s="3" t="s">
        <v>46</v>
      </c>
      <c r="F4211" s="3" t="str">
        <f>"812-275-7718"</f>
        <v>812-275-7718</v>
      </c>
      <c r="G4211" s="3">
        <v>444190</v>
      </c>
      <c r="H4211" s="3" t="s">
        <v>1188</v>
      </c>
    </row>
    <row r="4212" spans="1:8" ht="39" x14ac:dyDescent="0.25">
      <c r="A4212" s="3" t="s">
        <v>12612</v>
      </c>
      <c r="B4212" s="3"/>
      <c r="C4212" s="3" t="str">
        <f>"Heavy equipment for road maintenance, construction, roadside maintenance and sewer"</f>
        <v>Heavy equipment for road maintenance, construction, roadside maintenance and sewer</v>
      </c>
      <c r="D4212" s="3" t="s">
        <v>9</v>
      </c>
      <c r="E4212" s="3" t="s">
        <v>12613</v>
      </c>
      <c r="F4212" s="3" t="str">
        <f>"574-952-5808"</f>
        <v>574-952-5808</v>
      </c>
      <c r="G4212" s="3">
        <v>811</v>
      </c>
      <c r="H4212" s="3" t="s">
        <v>816</v>
      </c>
    </row>
    <row r="4213" spans="1:8" ht="192" x14ac:dyDescent="0.25">
      <c r="A4213" s="3" t="s">
        <v>12614</v>
      </c>
      <c r="B4213" s="3"/>
      <c r="C4213" s="3" t="s">
        <v>12615</v>
      </c>
      <c r="D4213" s="3" t="s">
        <v>12616</v>
      </c>
      <c r="E4213" s="3" t="s">
        <v>12617</v>
      </c>
      <c r="F4213" s="3" t="str">
        <f>"317-838-8988"</f>
        <v>317-838-8988</v>
      </c>
      <c r="G4213" s="3">
        <v>562910</v>
      </c>
      <c r="H4213" s="3" t="s">
        <v>2278</v>
      </c>
    </row>
    <row r="4214" spans="1:8" ht="51.75" x14ac:dyDescent="0.25">
      <c r="A4214" s="3" t="s">
        <v>12618</v>
      </c>
      <c r="B4214" s="3"/>
      <c r="C4214" s="3" t="str">
        <f>"Manufactured Home Retailer specializing in selling, buying, moving, servicing, brokering and financing manufactured housing and mobile homes."</f>
        <v>Manufactured Home Retailer specializing in selling, buying, moving, servicing, brokering and financing manufactured housing and mobile homes.</v>
      </c>
      <c r="D4214" s="3" t="s">
        <v>12619</v>
      </c>
      <c r="E4214" s="3" t="s">
        <v>12620</v>
      </c>
      <c r="F4214" s="3" t="str">
        <f>"812-442-9000"</f>
        <v>812-442-9000</v>
      </c>
      <c r="G4214" s="3">
        <v>453930</v>
      </c>
      <c r="H4214" s="3" t="s">
        <v>8257</v>
      </c>
    </row>
    <row r="4215" spans="1:8" ht="26.25" x14ac:dyDescent="0.25">
      <c r="A4215" s="3" t="s">
        <v>12621</v>
      </c>
      <c r="B4215" s="3"/>
      <c r="C4215" s="3" t="str">
        <f>"Innovative solutions for the records and information management environment."</f>
        <v>Innovative solutions for the records and information management environment.</v>
      </c>
      <c r="D4215" s="3" t="s">
        <v>12622</v>
      </c>
      <c r="E4215" s="3" t="s">
        <v>12623</v>
      </c>
      <c r="F4215" s="3" t="str">
        <f>"(317) 895-0670"</f>
        <v>(317) 895-0670</v>
      </c>
      <c r="G4215" s="3">
        <v>337211</v>
      </c>
      <c r="H4215" s="3" t="s">
        <v>12624</v>
      </c>
    </row>
    <row r="4216" spans="1:8" ht="26.25" x14ac:dyDescent="0.25">
      <c r="A4216" s="3" t="s">
        <v>12625</v>
      </c>
      <c r="B4216" s="3"/>
      <c r="C4216" s="3" t="str">
        <f>"Fire equipment sales and service"</f>
        <v>Fire equipment sales and service</v>
      </c>
      <c r="D4216" s="3" t="s">
        <v>12626</v>
      </c>
      <c r="E4216" s="3" t="s">
        <v>12627</v>
      </c>
      <c r="F4216" s="3" t="str">
        <f>"2194621707"</f>
        <v>2194621707</v>
      </c>
      <c r="G4216" s="3">
        <v>922160</v>
      </c>
      <c r="H4216" s="3" t="s">
        <v>2246</v>
      </c>
    </row>
    <row r="4217" spans="1:8" ht="26.25" x14ac:dyDescent="0.25">
      <c r="A4217" s="3" t="s">
        <v>12628</v>
      </c>
      <c r="B4217" s="3"/>
      <c r="C4217" s="3" t="str">
        <f>" "</f>
        <v xml:space="preserve"> </v>
      </c>
      <c r="D4217" s="3" t="s">
        <v>9</v>
      </c>
      <c r="E4217" s="3" t="s">
        <v>12629</v>
      </c>
      <c r="F4217" s="3" t="str">
        <f>"317-862-0933"</f>
        <v>317-862-0933</v>
      </c>
      <c r="G4217" s="3">
        <v>81</v>
      </c>
      <c r="H4217" s="3" t="s">
        <v>751</v>
      </c>
    </row>
    <row r="4218" spans="1:8" ht="64.5" x14ac:dyDescent="0.25">
      <c r="A4218" s="3" t="s">
        <v>12630</v>
      </c>
      <c r="B4218" s="3"/>
      <c r="C4218" s="3" t="str">
        <f>"Commercial glass and glazing subcontractor specializing in the fabrication and installation of storefront, curtain wall, windows and doors in Indiana."</f>
        <v>Commercial glass and glazing subcontractor specializing in the fabrication and installation of storefront, curtain wall, windows and doors in Indiana.</v>
      </c>
      <c r="D4218" s="3" t="s">
        <v>12631</v>
      </c>
      <c r="E4218" s="3" t="s">
        <v>46</v>
      </c>
      <c r="F4218" s="3" t="str">
        <f>"317-897-1818"</f>
        <v>317-897-1818</v>
      </c>
      <c r="G4218" s="3">
        <v>238150</v>
      </c>
      <c r="H4218" s="3" t="s">
        <v>2530</v>
      </c>
    </row>
    <row r="4219" spans="1:8" ht="51.75" x14ac:dyDescent="0.25">
      <c r="A4219" s="3" t="s">
        <v>12632</v>
      </c>
      <c r="B4219" s="3"/>
      <c r="C4219" s="3" t="str">
        <f>"Sales and installation services of all types of hardwood flooring products. Distributor of Chelsa Plank Flooring &amp; Indiana Hardwood."</f>
        <v>Sales and installation services of all types of hardwood flooring products. Distributor of Chelsa Plank Flooring &amp; Indiana Hardwood.</v>
      </c>
      <c r="D4219" s="3" t="s">
        <v>9</v>
      </c>
      <c r="E4219" s="3" t="s">
        <v>12633</v>
      </c>
      <c r="F4219" s="3" t="str">
        <f>"574-533-2070"</f>
        <v>574-533-2070</v>
      </c>
      <c r="G4219" s="3">
        <v>238330</v>
      </c>
      <c r="H4219" s="3" t="s">
        <v>2995</v>
      </c>
    </row>
    <row r="4220" spans="1:8" ht="51.75" x14ac:dyDescent="0.25">
      <c r="A4220" s="3" t="s">
        <v>12634</v>
      </c>
      <c r="B4220" s="3"/>
      <c r="C4220" s="3" t="str">
        <f>"Hoosier Hills Food Bank collects, stores and distributes donated food to non-profit agencies serving the ill, children and low-income Hoosiers."</f>
        <v>Hoosier Hills Food Bank collects, stores and distributes donated food to non-profit agencies serving the ill, children and low-income Hoosiers.</v>
      </c>
      <c r="D4220" s="3" t="s">
        <v>12635</v>
      </c>
      <c r="E4220" s="3" t="s">
        <v>12636</v>
      </c>
      <c r="F4220" s="3" t="str">
        <f>"812-334-8374"</f>
        <v>812-334-8374</v>
      </c>
      <c r="G4220" s="3">
        <v>624210</v>
      </c>
      <c r="H4220" s="3" t="s">
        <v>2017</v>
      </c>
    </row>
    <row r="4221" spans="1:8" ht="115.5" x14ac:dyDescent="0.25">
      <c r="A4221" s="3" t="s">
        <v>12637</v>
      </c>
      <c r="B4221" s="3"/>
      <c r="C4221" s="3" t="s">
        <v>12638</v>
      </c>
      <c r="D4221" s="3" t="s">
        <v>12639</v>
      </c>
      <c r="E4221" s="3" t="s">
        <v>12640</v>
      </c>
      <c r="F4221" s="3" t="str">
        <f>"812-346-2232"</f>
        <v>812-346-2232</v>
      </c>
      <c r="G4221" s="3">
        <v>23821</v>
      </c>
      <c r="H4221" s="3" t="s">
        <v>306</v>
      </c>
    </row>
    <row r="4222" spans="1:8" ht="51.75" x14ac:dyDescent="0.25">
      <c r="A4222" s="3" t="s">
        <v>12641</v>
      </c>
      <c r="B4222" s="3"/>
      <c r="C4222" s="3" t="str">
        <f>"This is an 18 hole golf course. From the black tees it's 7,404 yards. Full bar and restaurant. Open year round dawn to dusk, seven days a week. Call for tee times."</f>
        <v>This is an 18 hole golf course. From the black tees it's 7,404 yards. Full bar and restaurant. Open year round dawn to dusk, seven days a week. Call for tee times.</v>
      </c>
      <c r="D4222" s="3" t="s">
        <v>9</v>
      </c>
      <c r="E4222" s="3" t="s">
        <v>46</v>
      </c>
      <c r="F4222" s="3" t="str">
        <f>"812-654-2440"</f>
        <v>812-654-2440</v>
      </c>
      <c r="G4222" s="3">
        <v>713910</v>
      </c>
      <c r="H4222" s="3" t="s">
        <v>6583</v>
      </c>
    </row>
    <row r="4223" spans="1:8" ht="39" x14ac:dyDescent="0.25">
      <c r="A4223" s="3" t="s">
        <v>12642</v>
      </c>
      <c r="B4223" s="3"/>
      <c r="C4223" s="3" t="str">
        <f>"Provider of Mailing Equipment Sales, Service and Supplies as well as Postage Meter rentals."</f>
        <v>Provider of Mailing Equipment Sales, Service and Supplies as well as Postage Meter rentals.</v>
      </c>
      <c r="D4223" s="3" t="s">
        <v>12643</v>
      </c>
      <c r="E4223" s="3" t="s">
        <v>12644</v>
      </c>
      <c r="F4223" s="3" t="str">
        <f>"317-297-7447"</f>
        <v>317-297-7447</v>
      </c>
      <c r="G4223" s="3">
        <v>532420</v>
      </c>
      <c r="H4223" s="3" t="s">
        <v>5166</v>
      </c>
    </row>
    <row r="4224" spans="1:8" ht="51.75" x14ac:dyDescent="0.25">
      <c r="A4224" s="3" t="s">
        <v>12645</v>
      </c>
      <c r="B4224" s="3"/>
      <c r="C4224" s="3" t="str">
        <f>"Our business offers a cleaning solution to fit your needs. We clean schools, businesses, move-ins/outs, banks, model homes, etc."</f>
        <v>Our business offers a cleaning solution to fit your needs. We clean schools, businesses, move-ins/outs, banks, model homes, etc.</v>
      </c>
      <c r="D4224" s="3" t="s">
        <v>12646</v>
      </c>
      <c r="E4224" s="3" t="s">
        <v>12647</v>
      </c>
      <c r="F4224" s="3" t="str">
        <f>"317-871-4928"</f>
        <v>317-871-4928</v>
      </c>
      <c r="G4224" s="3">
        <v>561720</v>
      </c>
      <c r="H4224" s="3" t="s">
        <v>222</v>
      </c>
    </row>
    <row r="4225" spans="1:8" ht="51.75" x14ac:dyDescent="0.25">
      <c r="A4225" s="3" t="s">
        <v>12648</v>
      </c>
      <c r="B4225" s="3"/>
      <c r="C4225" s="3" t="str">
        <f>"Hoosier Molded Products manufactures plastic injection molded components and mold tooling for the automotive, electronic, and consumer products industries."</f>
        <v>Hoosier Molded Products manufactures plastic injection molded components and mold tooling for the automotive, electronic, and consumer products industries.</v>
      </c>
      <c r="D4225" s="3" t="s">
        <v>9</v>
      </c>
      <c r="E4225" s="3" t="s">
        <v>12649</v>
      </c>
      <c r="F4225" s="3" t="str">
        <f>"574-235-7900"</f>
        <v>574-235-7900</v>
      </c>
      <c r="G4225" s="3">
        <v>326100</v>
      </c>
      <c r="H4225" s="2"/>
    </row>
    <row r="4226" spans="1:8" ht="77.25" x14ac:dyDescent="0.25">
      <c r="A4226" s="3" t="s">
        <v>12650</v>
      </c>
      <c r="B4226" s="3"/>
      <c r="C4226" s="3" t="str">
        <f>"We provide paramedical examination services for life insurance companies. We provide on-site DOT drug screening and Non-DOT drug and alcohol screening. We provide mobile phlebotomy services for doctors and laboritories"</f>
        <v>We provide paramedical examination services for life insurance companies. We provide on-site DOT drug screening and Non-DOT drug and alcohol screening. We provide mobile phlebotomy services for doctors and laboritories</v>
      </c>
      <c r="D4226" s="3" t="s">
        <v>9</v>
      </c>
      <c r="E4226" s="3" t="s">
        <v>12651</v>
      </c>
      <c r="F4226" s="3" t="str">
        <f>"317-823-6345"</f>
        <v>317-823-6345</v>
      </c>
      <c r="G4226" s="3">
        <v>62199</v>
      </c>
      <c r="H4226" s="3" t="s">
        <v>12652</v>
      </c>
    </row>
    <row r="4227" spans="1:8" ht="64.5" x14ac:dyDescent="0.25">
      <c r="A4227" s="3" t="s">
        <v>12653</v>
      </c>
      <c r="B4227" s="3"/>
      <c r="C4227" s="3" t="str">
        <f>"Lubricant Wholesaler-motor oil, transmission fluid, gear oil, grease, oil and air filters. Bulk and packaged products. Brands include Pennnzoil, Quaker State, Shell, Motorcraft, and house brand."</f>
        <v>Lubricant Wholesaler-motor oil, transmission fluid, gear oil, grease, oil and air filters. Bulk and packaged products. Brands include Pennnzoil, Quaker State, Shell, Motorcraft, and house brand.</v>
      </c>
      <c r="D4227" s="3" t="s">
        <v>12654</v>
      </c>
      <c r="E4227" s="3" t="s">
        <v>12655</v>
      </c>
      <c r="F4227" s="3" t="str">
        <f>"317-390-5406"</f>
        <v>317-390-5406</v>
      </c>
      <c r="G4227" s="3">
        <v>4227</v>
      </c>
      <c r="H4227" s="3" t="s">
        <v>12656</v>
      </c>
    </row>
    <row r="4228" spans="1:8" ht="115.5" x14ac:dyDescent="0.25">
      <c r="A4228" s="3" t="s">
        <v>12657</v>
      </c>
      <c r="B4228" s="3"/>
      <c r="C4228" s="3" t="s">
        <v>12658</v>
      </c>
      <c r="D4228" s="3" t="s">
        <v>12659</v>
      </c>
      <c r="E4228" s="3" t="s">
        <v>12660</v>
      </c>
      <c r="F4228" s="3" t="str">
        <f>"765 649 3716"</f>
        <v>765 649 3716</v>
      </c>
      <c r="G4228" s="3">
        <v>32311</v>
      </c>
      <c r="H4228" s="3" t="s">
        <v>531</v>
      </c>
    </row>
    <row r="4229" spans="1:8" ht="64.5" x14ac:dyDescent="0.25">
      <c r="A4229" s="3" t="s">
        <v>12661</v>
      </c>
      <c r="B4229" s="3"/>
      <c r="C4229" s="3" t="str">
        <f>"Hoosier Scale is a woman owned business providing scale repairs, calibration, and preventive maintenance. We also provide new scale equipment, rental scales and used scales. We are available 24/7."</f>
        <v>Hoosier Scale is a woman owned business providing scale repairs, calibration, and preventive maintenance. We also provide new scale equipment, rental scales and used scales. We are available 24/7.</v>
      </c>
      <c r="D4229" s="3" t="s">
        <v>9</v>
      </c>
      <c r="E4229" s="3" t="s">
        <v>12662</v>
      </c>
      <c r="F4229" s="3" t="str">
        <f>"317-830-8040"</f>
        <v>317-830-8040</v>
      </c>
      <c r="G4229" s="3">
        <v>811219</v>
      </c>
      <c r="H4229" s="3" t="s">
        <v>1427</v>
      </c>
    </row>
    <row r="4230" spans="1:8" ht="51.75" x14ac:dyDescent="0.25">
      <c r="A4230" s="3" t="s">
        <v>12663</v>
      </c>
      <c r="B4230" s="3"/>
      <c r="C4230" s="3" t="str">
        <f>"Hoosier Security provides a wide range of security solutions including CCTV surveillance systems, security systems, and access control systems."</f>
        <v>Hoosier Security provides a wide range of security solutions including CCTV surveillance systems, security systems, and access control systems.</v>
      </c>
      <c r="D4230" s="3" t="s">
        <v>12664</v>
      </c>
      <c r="E4230" s="3" t="s">
        <v>12665</v>
      </c>
      <c r="F4230" s="3" t="str">
        <f>"317-644-0570"</f>
        <v>317-644-0570</v>
      </c>
      <c r="G4230" s="3">
        <v>561621</v>
      </c>
      <c r="H4230" s="3" t="s">
        <v>827</v>
      </c>
    </row>
    <row r="4231" spans="1:8" ht="51.75" x14ac:dyDescent="0.25">
      <c r="A4231" s="3" t="s">
        <v>12666</v>
      </c>
      <c r="B4231" s="3"/>
      <c r="C4231" s="3" t="str">
        <f>"Hoosier Shred offers cost-effective Secure Document Destruction Services throughout Indiana. We also have a paper recycling program."</f>
        <v>Hoosier Shred offers cost-effective Secure Document Destruction Services throughout Indiana. We also have a paper recycling program.</v>
      </c>
      <c r="D4231" s="3" t="s">
        <v>12667</v>
      </c>
      <c r="E4231" s="3" t="s">
        <v>12668</v>
      </c>
      <c r="F4231" s="3" t="str">
        <f>"317-989-9333"</f>
        <v>317-989-9333</v>
      </c>
      <c r="G4231" s="3">
        <v>561990</v>
      </c>
      <c r="H4231" s="3" t="s">
        <v>219</v>
      </c>
    </row>
    <row r="4232" spans="1:8" ht="39" x14ac:dyDescent="0.25">
      <c r="A4232" s="3" t="s">
        <v>12669</v>
      </c>
      <c r="B4232" s="3"/>
      <c r="C4232" s="3" t="str">
        <f>"Vehicle Lettering, signage, Fleet Vehicle lettering, Banners, Yard Signs, Sandblasted Wood Signs and Magnetics"</f>
        <v>Vehicle Lettering, signage, Fleet Vehicle lettering, Banners, Yard Signs, Sandblasted Wood Signs and Magnetics</v>
      </c>
      <c r="D4232" s="3" t="s">
        <v>9</v>
      </c>
      <c r="E4232" s="3" t="s">
        <v>12670</v>
      </c>
      <c r="F4232" s="3" t="str">
        <f>"812-402-7446"</f>
        <v>812-402-7446</v>
      </c>
      <c r="G4232" s="3">
        <v>541890</v>
      </c>
      <c r="H4232" s="3" t="s">
        <v>401</v>
      </c>
    </row>
    <row r="4233" spans="1:8" ht="26.25" x14ac:dyDescent="0.25">
      <c r="A4233" s="3" t="s">
        <v>12671</v>
      </c>
      <c r="B4233" s="3"/>
      <c r="C4233" s="3" t="str">
        <f>"Public Accounting, Bookkeeping, Tax Preparation, Payroll Processing."</f>
        <v>Public Accounting, Bookkeeping, Tax Preparation, Payroll Processing.</v>
      </c>
      <c r="D4233" s="3" t="s">
        <v>12672</v>
      </c>
      <c r="E4233" s="3" t="s">
        <v>12673</v>
      </c>
      <c r="F4233" s="3" t="str">
        <f>"812-232-2744"</f>
        <v>812-232-2744</v>
      </c>
      <c r="G4233" s="3">
        <v>54121</v>
      </c>
      <c r="H4233" s="3" t="s">
        <v>311</v>
      </c>
    </row>
    <row r="4234" spans="1:8" ht="26.25" x14ac:dyDescent="0.25">
      <c r="A4234" s="3" t="s">
        <v>12674</v>
      </c>
      <c r="B4234" s="3"/>
      <c r="C4234" s="3" t="str">
        <f>"Commercial &amp; Residential Pest Control, Termite Treatment , Animal Removal"</f>
        <v>Commercial &amp; Residential Pest Control, Termite Treatment , Animal Removal</v>
      </c>
      <c r="D4234" s="3" t="s">
        <v>12675</v>
      </c>
      <c r="E4234" s="3" t="s">
        <v>12676</v>
      </c>
      <c r="F4234" s="3" t="str">
        <f>"8129444452"</f>
        <v>8129444452</v>
      </c>
      <c r="G4234" s="3">
        <v>811490</v>
      </c>
      <c r="H4234" s="3" t="s">
        <v>1539</v>
      </c>
    </row>
    <row r="4235" spans="1:8" ht="179.25" x14ac:dyDescent="0.25">
      <c r="A4235" s="3" t="s">
        <v>12677</v>
      </c>
      <c r="B4235" s="3"/>
      <c r="C4235" s="3" t="s">
        <v>12678</v>
      </c>
      <c r="D4235" s="3" t="s">
        <v>9</v>
      </c>
      <c r="E4235" s="3" t="s">
        <v>12679</v>
      </c>
      <c r="F4235" s="3" t="str">
        <f>"317-271-4007"</f>
        <v>317-271-4007</v>
      </c>
      <c r="G4235" s="3">
        <v>31</v>
      </c>
      <c r="H4235" s="3" t="s">
        <v>999</v>
      </c>
    </row>
    <row r="4236" spans="1:8" ht="153.75" x14ac:dyDescent="0.25">
      <c r="A4236" s="3" t="s">
        <v>12680</v>
      </c>
      <c r="B4236" s="3"/>
      <c r="C4236" s="3" t="s">
        <v>12681</v>
      </c>
      <c r="D4236" s="3" t="s">
        <v>12682</v>
      </c>
      <c r="E4236" s="3" t="s">
        <v>12683</v>
      </c>
      <c r="F4236" s="3" t="str">
        <f>"812-849-4447"</f>
        <v>812-849-4447</v>
      </c>
      <c r="G4236" s="3">
        <v>624120</v>
      </c>
      <c r="H4236" s="3" t="s">
        <v>22</v>
      </c>
    </row>
    <row r="4237" spans="1:8" ht="64.5" x14ac:dyDescent="0.25">
      <c r="A4237" s="3" t="s">
        <v>12684</v>
      </c>
      <c r="B4237" s="3"/>
      <c r="C4237" s="3" t="str">
        <f>"Woodworking company specializing in displays and other custom made-to-order wood products. Complete assembly and finishing, pop displays and components, laser engraving."</f>
        <v>Woodworking company specializing in displays and other custom made-to-order wood products. Complete assembly and finishing, pop displays and components, laser engraving.</v>
      </c>
      <c r="D4237" s="3" t="s">
        <v>9</v>
      </c>
      <c r="E4237" s="3" t="s">
        <v>46</v>
      </c>
      <c r="F4237" s="2"/>
      <c r="G4237" s="3">
        <v>321999</v>
      </c>
      <c r="H4237" s="3" t="s">
        <v>2185</v>
      </c>
    </row>
    <row r="4238" spans="1:8" ht="166.5" x14ac:dyDescent="0.25">
      <c r="A4238" s="3" t="s">
        <v>12685</v>
      </c>
      <c r="B4238" s="3"/>
      <c r="C4238" s="3" t="s">
        <v>12686</v>
      </c>
      <c r="D4238" s="3" t="s">
        <v>12687</v>
      </c>
      <c r="E4238" s="3" t="s">
        <v>12688</v>
      </c>
      <c r="F4238" s="3" t="str">
        <f>"812-944-3302"</f>
        <v>812-944-3302</v>
      </c>
      <c r="G4238" s="3">
        <v>31</v>
      </c>
      <c r="H4238" s="3" t="s">
        <v>999</v>
      </c>
    </row>
    <row r="4239" spans="1:8" ht="217.5" x14ac:dyDescent="0.25">
      <c r="A4239" s="3" t="s">
        <v>12689</v>
      </c>
      <c r="B4239" s="3"/>
      <c r="C4239" s="3" t="s">
        <v>12690</v>
      </c>
      <c r="D4239" s="3" t="s">
        <v>12691</v>
      </c>
      <c r="E4239" s="3" t="s">
        <v>12692</v>
      </c>
      <c r="F4239" s="3" t="str">
        <f>"317-797-3305"</f>
        <v>317-797-3305</v>
      </c>
      <c r="G4239" s="3">
        <v>541330</v>
      </c>
      <c r="H4239" s="3" t="s">
        <v>82</v>
      </c>
    </row>
    <row r="4240" spans="1:8" ht="115.5" x14ac:dyDescent="0.25">
      <c r="A4240" s="3" t="s">
        <v>12693</v>
      </c>
      <c r="B4240" s="3"/>
      <c r="C4240" s="3" t="s">
        <v>12694</v>
      </c>
      <c r="D4240" s="3" t="s">
        <v>12695</v>
      </c>
      <c r="E4240" s="3" t="s">
        <v>12696</v>
      </c>
      <c r="F4240" s="3" t="str">
        <f>"800-742-7408"</f>
        <v>800-742-7408</v>
      </c>
      <c r="G4240" s="3">
        <v>441229</v>
      </c>
      <c r="H4240" s="3" t="s">
        <v>3721</v>
      </c>
    </row>
    <row r="4241" spans="1:8" ht="115.5" x14ac:dyDescent="0.25">
      <c r="A4241" s="3" t="s">
        <v>12693</v>
      </c>
      <c r="B4241" s="3"/>
      <c r="C4241" s="3" t="s">
        <v>12694</v>
      </c>
      <c r="D4241" s="3" t="s">
        <v>12695</v>
      </c>
      <c r="E4241" s="3" t="s">
        <v>12696</v>
      </c>
      <c r="F4241" s="3" t="str">
        <f>"800-742-7408"</f>
        <v>800-742-7408</v>
      </c>
      <c r="G4241" s="3">
        <v>441229</v>
      </c>
      <c r="H4241" s="3" t="s">
        <v>3721</v>
      </c>
    </row>
    <row r="4242" spans="1:8" ht="39" x14ac:dyDescent="0.25">
      <c r="A4242" s="3" t="s">
        <v>12697</v>
      </c>
      <c r="B4242" s="3"/>
      <c r="C4242" s="3" t="str">
        <f>"Specialty contractor, asphalt &amp; paving, residential renovation, concrete &amp; masonary, consulting, sub contractor"</f>
        <v>Specialty contractor, asphalt &amp; paving, residential renovation, concrete &amp; masonary, consulting, sub contractor</v>
      </c>
      <c r="D4242" s="3" t="s">
        <v>12698</v>
      </c>
      <c r="E4242" s="3" t="s">
        <v>12699</v>
      </c>
      <c r="F4242" s="3" t="str">
        <f>"317-257-7440"</f>
        <v>317-257-7440</v>
      </c>
      <c r="G4242" s="3">
        <v>23</v>
      </c>
      <c r="H4242" s="3" t="s">
        <v>133</v>
      </c>
    </row>
    <row r="4243" spans="1:8" ht="64.5" x14ac:dyDescent="0.25">
      <c r="A4243" s="3" t="s">
        <v>12700</v>
      </c>
      <c r="B4243" s="3"/>
      <c r="C4243" s="3" t="str">
        <f>"Horizon Education Alliance exists to strengthen collaboration, increase innovation, and move everyone from hope to belief that Elkhart County will be transformed though education."</f>
        <v>Horizon Education Alliance exists to strengthen collaboration, increase innovation, and move everyone from hope to belief that Elkhart County will be transformed though education.</v>
      </c>
      <c r="D4243" s="3" t="s">
        <v>12701</v>
      </c>
      <c r="E4243" s="3" t="s">
        <v>46</v>
      </c>
      <c r="F4243" s="3" t="str">
        <f>"574-849-0492"</f>
        <v>574-849-0492</v>
      </c>
      <c r="G4243" s="3">
        <v>611710</v>
      </c>
      <c r="H4243" s="3" t="s">
        <v>508</v>
      </c>
    </row>
    <row r="4244" spans="1:8" ht="26.25" x14ac:dyDescent="0.25">
      <c r="A4244" s="3" t="s">
        <v>12702</v>
      </c>
      <c r="B4244" s="3"/>
      <c r="C4244" s="2"/>
      <c r="D4244" s="3" t="s">
        <v>9</v>
      </c>
      <c r="E4244" s="3" t="s">
        <v>46</v>
      </c>
      <c r="F4244" s="3" t="str">
        <f>"812-285-7400"</f>
        <v>812-285-7400</v>
      </c>
      <c r="G4244" s="3">
        <v>812320</v>
      </c>
      <c r="H4244" s="3" t="s">
        <v>204</v>
      </c>
    </row>
    <row r="4245" spans="1:8" ht="128.25" x14ac:dyDescent="0.25">
      <c r="A4245" s="3" t="s">
        <v>12703</v>
      </c>
      <c r="B4245" s="3"/>
      <c r="C4245" s="3" t="s">
        <v>12704</v>
      </c>
      <c r="D4245" s="3" t="s">
        <v>12705</v>
      </c>
      <c r="E4245" s="3" t="s">
        <v>46</v>
      </c>
      <c r="F4245" s="3" t="str">
        <f>"317 639 4261"</f>
        <v>317 639 4261</v>
      </c>
      <c r="G4245" s="3">
        <v>81131</v>
      </c>
      <c r="H4245" s="3" t="s">
        <v>1895</v>
      </c>
    </row>
    <row r="4246" spans="1:8" ht="26.25" x14ac:dyDescent="0.25">
      <c r="A4246" s="3" t="s">
        <v>12706</v>
      </c>
      <c r="B4246" s="3"/>
      <c r="C4246" s="3" t="str">
        <f>"We lease real estate to businesses."</f>
        <v>We lease real estate to businesses.</v>
      </c>
      <c r="D4246" s="3" t="s">
        <v>12707</v>
      </c>
      <c r="E4246" s="3" t="s">
        <v>46</v>
      </c>
      <c r="F4246" s="3" t="str">
        <f>"3178901714"</f>
        <v>3178901714</v>
      </c>
      <c r="G4246" s="3">
        <v>531120</v>
      </c>
      <c r="H4246" s="3" t="s">
        <v>2926</v>
      </c>
    </row>
    <row r="4247" spans="1:8" ht="64.5" x14ac:dyDescent="0.25">
      <c r="A4247" s="3" t="s">
        <v>12708</v>
      </c>
      <c r="B4247" s="3"/>
      <c r="C4247" s="3" t="str">
        <f>"Horning Roofing &amp; Sheet Metal Co. LLC is a roofing and sheet metal contractor whose employees are all in the state of Indiana. We do all types of roofing and related sheet metal."</f>
        <v>Horning Roofing &amp; Sheet Metal Co. LLC is a roofing and sheet metal contractor whose employees are all in the state of Indiana. We do all types of roofing and related sheet metal.</v>
      </c>
      <c r="D4247" s="3" t="s">
        <v>12709</v>
      </c>
      <c r="E4247" s="3" t="s">
        <v>12710</v>
      </c>
      <c r="F4247" s="3" t="str">
        <f>"317-636-9128"</f>
        <v>317-636-9128</v>
      </c>
      <c r="G4247" s="3">
        <v>238160</v>
      </c>
      <c r="H4247" s="3" t="s">
        <v>144</v>
      </c>
    </row>
    <row r="4248" spans="1:8" ht="115.5" x14ac:dyDescent="0.25">
      <c r="A4248" s="3" t="s">
        <v>12711</v>
      </c>
      <c r="B4248" s="3"/>
      <c r="C4248" s="3" t="s">
        <v>12712</v>
      </c>
      <c r="D4248" s="3" t="s">
        <v>12713</v>
      </c>
      <c r="E4248" s="3" t="s">
        <v>12714</v>
      </c>
      <c r="F4248" s="3" t="str">
        <f>"317-300-0332"</f>
        <v>317-300-0332</v>
      </c>
      <c r="G4248" s="3">
        <v>238220</v>
      </c>
      <c r="H4248" s="3" t="s">
        <v>348</v>
      </c>
    </row>
    <row r="4249" spans="1:8" ht="26.25" x14ac:dyDescent="0.25">
      <c r="A4249" s="3" t="s">
        <v>12715</v>
      </c>
      <c r="B4249" s="3"/>
      <c r="C4249" s="3" t="str">
        <f>"dump truck services hauling gravel, sand, dirt, topsoil, rip rap, asphalt and paving"</f>
        <v>dump truck services hauling gravel, sand, dirt, topsoil, rip rap, asphalt and paving</v>
      </c>
      <c r="D4249" s="3" t="s">
        <v>9</v>
      </c>
      <c r="E4249" s="3" t="s">
        <v>46</v>
      </c>
      <c r="F4249" s="2"/>
      <c r="G4249" s="3">
        <v>484110</v>
      </c>
      <c r="H4249" s="3" t="s">
        <v>644</v>
      </c>
    </row>
    <row r="4250" spans="1:8" ht="192" x14ac:dyDescent="0.25">
      <c r="A4250" s="3" t="s">
        <v>12716</v>
      </c>
      <c r="B4250" s="3"/>
      <c r="C4250" s="3" t="s">
        <v>12717</v>
      </c>
      <c r="D4250" s="3" t="s">
        <v>12718</v>
      </c>
      <c r="E4250" s="3" t="s">
        <v>12719</v>
      </c>
      <c r="F4250" s="3" t="str">
        <f>"812-882-2696"</f>
        <v>812-882-2696</v>
      </c>
      <c r="G4250" s="3">
        <v>518210</v>
      </c>
      <c r="H4250" s="3" t="s">
        <v>3133</v>
      </c>
    </row>
    <row r="4251" spans="1:8" ht="64.5" x14ac:dyDescent="0.25">
      <c r="A4251" s="3" t="s">
        <v>12720</v>
      </c>
      <c r="B4251" s="3"/>
      <c r="C4251" s="3" t="str">
        <f>"Online and onsite registration for conventions, meetings, exhibitions, tours, volunteers, runs/walks and general registration activities. Full service event planning."</f>
        <v>Online and onsite registration for conventions, meetings, exhibitions, tours, volunteers, runs/walks and general registration activities. Full service event planning.</v>
      </c>
      <c r="D4251" s="3" t="s">
        <v>12721</v>
      </c>
      <c r="E4251" s="3" t="s">
        <v>12722</v>
      </c>
      <c r="F4251" s="3" t="str">
        <f>"317-685-9780"</f>
        <v>317-685-9780</v>
      </c>
      <c r="G4251" s="3">
        <v>5415</v>
      </c>
      <c r="H4251" s="3" t="s">
        <v>188</v>
      </c>
    </row>
    <row r="4252" spans="1:8" ht="192" x14ac:dyDescent="0.25">
      <c r="A4252" s="3" t="s">
        <v>12723</v>
      </c>
      <c r="B4252" s="3"/>
      <c r="C4252" s="3" t="s">
        <v>12724</v>
      </c>
      <c r="D4252" s="3" t="s">
        <v>12725</v>
      </c>
      <c r="E4252" s="3" t="s">
        <v>12726</v>
      </c>
      <c r="F4252" s="3" t="str">
        <f>"317-733-8700"</f>
        <v>317-733-8700</v>
      </c>
      <c r="G4252" s="3">
        <v>541613</v>
      </c>
      <c r="H4252" s="3" t="s">
        <v>558</v>
      </c>
    </row>
    <row r="4253" spans="1:8" ht="26.25" x14ac:dyDescent="0.25">
      <c r="A4253" s="3" t="s">
        <v>12727</v>
      </c>
      <c r="B4253" s="3"/>
      <c r="C4253" s="3" t="str">
        <f>"Hot Mix Asphalt Production &amp; Products"</f>
        <v>Hot Mix Asphalt Production &amp; Products</v>
      </c>
      <c r="D4253" s="3" t="s">
        <v>9</v>
      </c>
      <c r="E4253" s="3" t="s">
        <v>12728</v>
      </c>
      <c r="F4253" s="3" t="str">
        <f>"812-926-1471"</f>
        <v>812-926-1471</v>
      </c>
      <c r="G4253" s="3">
        <v>23</v>
      </c>
      <c r="H4253" s="3" t="s">
        <v>133</v>
      </c>
    </row>
    <row r="4254" spans="1:8" ht="39" x14ac:dyDescent="0.25">
      <c r="A4254" s="3" t="s">
        <v>12729</v>
      </c>
      <c r="B4254" s="3"/>
      <c r="C4254" s="3" t="str">
        <f>"Dance, Gymnastic, Liturgical, Cheer, and Chior suppliers for Clothing, Shoes, and accessories."</f>
        <v>Dance, Gymnastic, Liturgical, Cheer, and Chior suppliers for Clothing, Shoes, and accessories.</v>
      </c>
      <c r="D4254" s="3" t="s">
        <v>9</v>
      </c>
      <c r="E4254" s="3" t="s">
        <v>46</v>
      </c>
      <c r="F4254" s="2"/>
      <c r="G4254" s="3">
        <v>44</v>
      </c>
      <c r="H4254" s="3" t="s">
        <v>574</v>
      </c>
    </row>
    <row r="4255" spans="1:8" ht="102.75" x14ac:dyDescent="0.25">
      <c r="A4255" s="3" t="s">
        <v>12730</v>
      </c>
      <c r="B4255" s="3"/>
      <c r="C4255" s="3" t="s">
        <v>12731</v>
      </c>
      <c r="D4255" s="3" t="s">
        <v>12732</v>
      </c>
      <c r="E4255" s="3" t="s">
        <v>12733</v>
      </c>
      <c r="F4255" s="3" t="str">
        <f>"317-631-2097"</f>
        <v>317-631-2097</v>
      </c>
      <c r="G4255" s="3">
        <v>541613</v>
      </c>
      <c r="H4255" s="3" t="s">
        <v>558</v>
      </c>
    </row>
    <row r="4256" spans="1:8" ht="26.25" x14ac:dyDescent="0.25">
      <c r="A4256" s="3" t="s">
        <v>12734</v>
      </c>
      <c r="B4256" s="3"/>
      <c r="C4256" s="3" t="str">
        <f>"quality cabling and terminating, voice, data, fiber and paging installation and repair"</f>
        <v>quality cabling and terminating, voice, data, fiber and paging installation and repair</v>
      </c>
      <c r="D4256" s="3" t="s">
        <v>9</v>
      </c>
      <c r="E4256" s="3" t="s">
        <v>12735</v>
      </c>
      <c r="F4256" s="3" t="str">
        <f>"5745943008"</f>
        <v>5745943008</v>
      </c>
      <c r="G4256" s="3">
        <v>238210</v>
      </c>
      <c r="H4256" s="3" t="s">
        <v>306</v>
      </c>
    </row>
    <row r="4257" spans="1:8" ht="39" x14ac:dyDescent="0.25">
      <c r="A4257" s="3" t="s">
        <v>12736</v>
      </c>
      <c r="B4257" s="3"/>
      <c r="C4257" s="3" t="str">
        <f>"We do Backoe, Bobcat, Trenching, Septic Intallation &amp; Repair, Drain Tile, Rock Sand and Dirt. We are Licensed and Insured."</f>
        <v>We do Backoe, Bobcat, Trenching, Septic Intallation &amp; Repair, Drain Tile, Rock Sand and Dirt. We are Licensed and Insured.</v>
      </c>
      <c r="D4257" s="3" t="s">
        <v>9</v>
      </c>
      <c r="E4257" s="3" t="s">
        <v>46</v>
      </c>
      <c r="F4257" s="3" t="str">
        <f>"812-873-8377"</f>
        <v>812-873-8377</v>
      </c>
      <c r="G4257" s="3">
        <v>233</v>
      </c>
      <c r="H4257" s="3" t="s">
        <v>131</v>
      </c>
    </row>
    <row r="4258" spans="1:8" ht="39" x14ac:dyDescent="0.25">
      <c r="A4258" s="3" t="s">
        <v>12737</v>
      </c>
      <c r="B4258" s="3"/>
      <c r="C4258" s="3" t="str">
        <f>"Not-for-profit halfway house for adult males in recovery from alcohol and/or drug addiction."</f>
        <v>Not-for-profit halfway house for adult males in recovery from alcohol and/or drug addiction.</v>
      </c>
      <c r="D4258" s="3" t="s">
        <v>12738</v>
      </c>
      <c r="E4258" s="3" t="s">
        <v>46</v>
      </c>
      <c r="F4258" s="3" t="str">
        <f>"765-644-7086"</f>
        <v>765-644-7086</v>
      </c>
      <c r="G4258" s="3">
        <v>111</v>
      </c>
      <c r="H4258" s="3" t="s">
        <v>6077</v>
      </c>
    </row>
    <row r="4259" spans="1:8" ht="26.25" x14ac:dyDescent="0.25">
      <c r="A4259" s="3" t="s">
        <v>12739</v>
      </c>
      <c r="B4259" s="3"/>
      <c r="C4259" s="3" t="str">
        <f>"Property Management"</f>
        <v>Property Management</v>
      </c>
      <c r="D4259" s="3" t="s">
        <v>9</v>
      </c>
      <c r="E4259" s="3" t="s">
        <v>12740</v>
      </c>
      <c r="F4259" s="3" t="str">
        <f>"812-232-1381"</f>
        <v>812-232-1381</v>
      </c>
      <c r="G4259" s="3">
        <v>531110</v>
      </c>
      <c r="H4259" s="3" t="s">
        <v>1311</v>
      </c>
    </row>
    <row r="4260" spans="1:8" ht="26.25" x14ac:dyDescent="0.25">
      <c r="A4260" s="3" t="s">
        <v>12741</v>
      </c>
      <c r="B4260" s="3"/>
      <c r="C4260" s="3" t="str">
        <f>"Provide appliances, window shades and bathroom fixtures for residential housing."</f>
        <v>Provide appliances, window shades and bathroom fixtures for residential housing.</v>
      </c>
      <c r="D4260" s="3" t="s">
        <v>9</v>
      </c>
      <c r="E4260" s="3" t="s">
        <v>46</v>
      </c>
      <c r="F4260" s="3" t="str">
        <f>"317-371-6132"</f>
        <v>317-371-6132</v>
      </c>
      <c r="G4260" s="3">
        <v>23611</v>
      </c>
      <c r="H4260" s="3" t="s">
        <v>3466</v>
      </c>
    </row>
    <row r="4261" spans="1:8" ht="26.25" x14ac:dyDescent="0.25">
      <c r="A4261" s="3" t="s">
        <v>12742</v>
      </c>
      <c r="B4261" s="3"/>
      <c r="C4261" s="3" t="str">
        <f>"Employee Benefit sales"</f>
        <v>Employee Benefit sales</v>
      </c>
      <c r="D4261" s="3" t="s">
        <v>9</v>
      </c>
      <c r="E4261" s="3" t="s">
        <v>12743</v>
      </c>
      <c r="F4261" s="3" t="str">
        <f>"317-776-3703"</f>
        <v>317-776-3703</v>
      </c>
      <c r="G4261" s="3">
        <v>524210</v>
      </c>
      <c r="H4261" s="3" t="s">
        <v>1183</v>
      </c>
    </row>
    <row r="4262" spans="1:8" ht="39" x14ac:dyDescent="0.25">
      <c r="A4262" s="3" t="s">
        <v>12744</v>
      </c>
      <c r="B4262" s="3"/>
      <c r="C4262" s="3" t="str">
        <f>"Consulting Engineers - Civil Engineering Bridge, Roads, Sewer, Water, Structural, Building design"</f>
        <v>Consulting Engineers - Civil Engineering Bridge, Roads, Sewer, Water, Structural, Building design</v>
      </c>
      <c r="D4262" s="3" t="s">
        <v>12745</v>
      </c>
      <c r="E4262" s="3" t="s">
        <v>12746</v>
      </c>
      <c r="F4262" s="3" t="str">
        <f>"8126632177"</f>
        <v>8126632177</v>
      </c>
      <c r="G4262" s="3">
        <v>54133</v>
      </c>
      <c r="H4262" s="3" t="s">
        <v>82</v>
      </c>
    </row>
    <row r="4263" spans="1:8" ht="39" x14ac:dyDescent="0.25">
      <c r="A4263" s="3" t="s">
        <v>12747</v>
      </c>
      <c r="B4263" s="3"/>
      <c r="C4263" s="3" t="str">
        <f>"John Deere dealer, ag and consumer sales and repair, Polaris, Western fertilizer spreaders, and spray parts."</f>
        <v>John Deere dealer, ag and consumer sales and repair, Polaris, Western fertilizer spreaders, and spray parts.</v>
      </c>
      <c r="D4263" s="3" t="s">
        <v>12748</v>
      </c>
      <c r="E4263" s="3" t="s">
        <v>12749</v>
      </c>
      <c r="F4263" s="3" t="str">
        <f>"574-583-7117"</f>
        <v>574-583-7117</v>
      </c>
      <c r="G4263" s="3">
        <v>421</v>
      </c>
      <c r="H4263" s="3" t="s">
        <v>3013</v>
      </c>
    </row>
    <row r="4264" spans="1:8" ht="141" x14ac:dyDescent="0.25">
      <c r="A4264" s="3" t="s">
        <v>12750</v>
      </c>
      <c r="B4264" s="3"/>
      <c r="C4264" s="3" t="s">
        <v>12751</v>
      </c>
      <c r="D4264" s="3" t="s">
        <v>12752</v>
      </c>
      <c r="E4264" s="3" t="s">
        <v>46</v>
      </c>
      <c r="F4264" s="2"/>
      <c r="G4264" s="3">
        <v>624110</v>
      </c>
      <c r="H4264" s="3" t="s">
        <v>628</v>
      </c>
    </row>
    <row r="4265" spans="1:8" ht="39" x14ac:dyDescent="0.25">
      <c r="A4265" s="3" t="s">
        <v>12753</v>
      </c>
      <c r="B4265" s="3"/>
      <c r="C4265" s="3" t="str">
        <f>"We meet personal, commercial, life and health insurance needs. Also meet personal and commercial real esate needs."</f>
        <v>We meet personal, commercial, life and health insurance needs. Also meet personal and commercial real esate needs.</v>
      </c>
      <c r="D4265" s="3" t="s">
        <v>12754</v>
      </c>
      <c r="E4265" s="3" t="s">
        <v>12755</v>
      </c>
      <c r="F4265" s="3" t="str">
        <f>"2604632881"</f>
        <v>2604632881</v>
      </c>
      <c r="G4265" s="3">
        <v>524210</v>
      </c>
      <c r="H4265" s="3" t="s">
        <v>1183</v>
      </c>
    </row>
    <row r="4266" spans="1:8" ht="26.25" x14ac:dyDescent="0.25">
      <c r="A4266" s="3" t="s">
        <v>12756</v>
      </c>
      <c r="B4266" s="3"/>
      <c r="C4266" s="3" t="str">
        <f>"Residential mortgage originator."</f>
        <v>Residential mortgage originator.</v>
      </c>
      <c r="D4266" s="3" t="s">
        <v>12754</v>
      </c>
      <c r="E4266" s="3" t="s">
        <v>12757</v>
      </c>
      <c r="F4266" s="3" t="str">
        <f>"2604632881"</f>
        <v>2604632881</v>
      </c>
      <c r="G4266" s="3">
        <v>522292</v>
      </c>
      <c r="H4266" s="3" t="s">
        <v>12758</v>
      </c>
    </row>
    <row r="4267" spans="1:8" ht="26.25" x14ac:dyDescent="0.25">
      <c r="A4267" s="3" t="s">
        <v>12759</v>
      </c>
      <c r="B4267" s="3"/>
      <c r="C4267" s="3" t="str">
        <f>"Actuarial Consulting"</f>
        <v>Actuarial Consulting</v>
      </c>
      <c r="D4267" s="3" t="s">
        <v>9</v>
      </c>
      <c r="E4267" s="3" t="s">
        <v>12760</v>
      </c>
      <c r="F4267" s="3" t="str">
        <f>"317/257-6563"</f>
        <v>317/257-6563</v>
      </c>
      <c r="G4267" s="3">
        <v>5416</v>
      </c>
      <c r="H4267" s="3" t="s">
        <v>194</v>
      </c>
    </row>
    <row r="4268" spans="1:8" ht="90" x14ac:dyDescent="0.25">
      <c r="A4268" s="3" t="s">
        <v>12761</v>
      </c>
      <c r="B4268" s="3"/>
      <c r="C4268" s="3" t="s">
        <v>12762</v>
      </c>
      <c r="D4268" s="3" t="s">
        <v>9</v>
      </c>
      <c r="E4268" s="3" t="s">
        <v>12763</v>
      </c>
      <c r="F4268" s="3" t="str">
        <f>"8122389296"</f>
        <v>8122389296</v>
      </c>
      <c r="G4268" s="3">
        <v>562998</v>
      </c>
      <c r="H4268" s="3" t="s">
        <v>1530</v>
      </c>
    </row>
    <row r="4269" spans="1:8" ht="64.5" x14ac:dyDescent="0.25">
      <c r="A4269" s="3" t="s">
        <v>12764</v>
      </c>
      <c r="B4269" s="3"/>
      <c r="C4269" s="3" t="str">
        <f>"Professional Engineering Firm practicing in Engineering Certification, Engineering Consulting, Full Engineering Services, Full Architectural Services, Construction Management, and Surveying Services."</f>
        <v>Professional Engineering Firm practicing in Engineering Certification, Engineering Consulting, Full Engineering Services, Full Architectural Services, Construction Management, and Surveying Services.</v>
      </c>
      <c r="D4269" s="3" t="s">
        <v>12765</v>
      </c>
      <c r="E4269" s="3" t="s">
        <v>12766</v>
      </c>
      <c r="F4269" s="3" t="str">
        <f>"8125374700"</f>
        <v>8125374700</v>
      </c>
      <c r="G4269" s="3">
        <v>541330</v>
      </c>
      <c r="H4269" s="3" t="s">
        <v>82</v>
      </c>
    </row>
    <row r="4270" spans="1:8" x14ac:dyDescent="0.25">
      <c r="A4270" s="3" t="s">
        <v>12767</v>
      </c>
      <c r="B4270" s="3"/>
      <c r="C4270" s="3" t="str">
        <f>" "</f>
        <v xml:space="preserve"> </v>
      </c>
      <c r="D4270" s="3" t="s">
        <v>9</v>
      </c>
      <c r="E4270" s="3" t="s">
        <v>46</v>
      </c>
      <c r="F4270" s="2"/>
      <c r="G4270" s="3">
        <v>541330</v>
      </c>
      <c r="H4270" s="3" t="s">
        <v>82</v>
      </c>
    </row>
    <row r="4271" spans="1:8" ht="39" x14ac:dyDescent="0.25">
      <c r="A4271" s="3" t="s">
        <v>12768</v>
      </c>
      <c r="B4271" s="3"/>
      <c r="C4271" s="3" t="str">
        <f>"Provide painting, wallcovering, sandblasting, pressure washing, special coatings."</f>
        <v>Provide painting, wallcovering, sandblasting, pressure washing, special coatings.</v>
      </c>
      <c r="D4271" s="3" t="s">
        <v>9</v>
      </c>
      <c r="E4271" s="3" t="s">
        <v>12769</v>
      </c>
      <c r="F4271" s="3" t="str">
        <f>"317-392-1566"</f>
        <v>317-392-1566</v>
      </c>
      <c r="G4271" s="3">
        <v>2352</v>
      </c>
      <c r="H4271" s="3" t="s">
        <v>462</v>
      </c>
    </row>
    <row r="4272" spans="1:8" ht="39" x14ac:dyDescent="0.25">
      <c r="A4272" s="3" t="s">
        <v>12770</v>
      </c>
      <c r="B4272" s="3"/>
      <c r="C4272" s="3" t="str">
        <f>"Mortgage lending, insurance and financial services. Company has been in business for 35 years."</f>
        <v>Mortgage lending, insurance and financial services. Company has been in business for 35 years.</v>
      </c>
      <c r="D4272" s="3" t="s">
        <v>9</v>
      </c>
      <c r="E4272" s="3" t="s">
        <v>46</v>
      </c>
      <c r="F4272" s="3" t="str">
        <f>"574-233-1322"</f>
        <v>574-233-1322</v>
      </c>
      <c r="G4272" s="3">
        <v>52231</v>
      </c>
      <c r="H4272" s="3" t="s">
        <v>12771</v>
      </c>
    </row>
    <row r="4273" spans="1:8" ht="26.25" x14ac:dyDescent="0.25">
      <c r="A4273" s="3" t="s">
        <v>12772</v>
      </c>
      <c r="B4273" s="3"/>
      <c r="C4273" s="3" t="str">
        <f>"Lawn care and property maintenance for all seasons."</f>
        <v>Lawn care and property maintenance for all seasons.</v>
      </c>
      <c r="D4273" s="3" t="s">
        <v>9</v>
      </c>
      <c r="E4273" s="3" t="s">
        <v>12773</v>
      </c>
      <c r="F4273" s="3" t="str">
        <f>"812.593.1091"</f>
        <v>812.593.1091</v>
      </c>
      <c r="G4273" s="3">
        <v>561730</v>
      </c>
      <c r="H4273" s="3" t="s">
        <v>65</v>
      </c>
    </row>
    <row r="4274" spans="1:8" ht="179.25" x14ac:dyDescent="0.25">
      <c r="A4274" s="3" t="s">
        <v>12774</v>
      </c>
      <c r="B4274" s="3"/>
      <c r="C4274" s="3" t="s">
        <v>12775</v>
      </c>
      <c r="D4274" s="3" t="s">
        <v>12776</v>
      </c>
      <c r="E4274" s="3" t="s">
        <v>12777</v>
      </c>
      <c r="F4274" s="3" t="str">
        <f>"(317) 471-3550"</f>
        <v>(317) 471-3550</v>
      </c>
      <c r="G4274" s="3">
        <v>5613</v>
      </c>
      <c r="H4274" s="3" t="s">
        <v>1882</v>
      </c>
    </row>
    <row r="4275" spans="1:8" ht="90" x14ac:dyDescent="0.25">
      <c r="A4275" s="3" t="s">
        <v>12778</v>
      </c>
      <c r="B4275" s="3"/>
      <c r="C4275" s="3" t="s">
        <v>12779</v>
      </c>
      <c r="D4275" s="3" t="s">
        <v>9</v>
      </c>
      <c r="E4275" s="3" t="s">
        <v>12780</v>
      </c>
      <c r="F4275" s="3" t="str">
        <f>"812-679-9514"</f>
        <v>812-679-9514</v>
      </c>
      <c r="G4275" s="3">
        <v>541620</v>
      </c>
      <c r="H4275" s="3" t="s">
        <v>216</v>
      </c>
    </row>
    <row r="4276" spans="1:8" ht="128.25" x14ac:dyDescent="0.25">
      <c r="A4276" s="3" t="s">
        <v>12781</v>
      </c>
      <c r="B4276" s="3"/>
      <c r="C4276" s="3" t="s">
        <v>12782</v>
      </c>
      <c r="D4276" s="3" t="s">
        <v>12783</v>
      </c>
      <c r="E4276" s="3" t="s">
        <v>12784</v>
      </c>
      <c r="F4276" s="3" t="str">
        <f>"317-467-1564"</f>
        <v>317-467-1564</v>
      </c>
      <c r="G4276" s="3">
        <v>541612</v>
      </c>
      <c r="H4276" s="3" t="s">
        <v>1923</v>
      </c>
    </row>
    <row r="4277" spans="1:8" ht="281.25" x14ac:dyDescent="0.25">
      <c r="A4277" s="3" t="s">
        <v>12785</v>
      </c>
      <c r="B4277" s="3"/>
      <c r="C4277" s="3" t="s">
        <v>12786</v>
      </c>
      <c r="D4277" s="3" t="s">
        <v>9</v>
      </c>
      <c r="E4277" s="3" t="s">
        <v>12787</v>
      </c>
      <c r="F4277" s="3" t="str">
        <f>"773-919-3745"</f>
        <v>773-919-3745</v>
      </c>
      <c r="G4277" s="3">
        <v>541720</v>
      </c>
      <c r="H4277" s="3" t="s">
        <v>1123</v>
      </c>
    </row>
    <row r="4278" spans="1:8" ht="64.5" x14ac:dyDescent="0.25">
      <c r="A4278" s="3" t="s">
        <v>12788</v>
      </c>
      <c r="B4278" s="3"/>
      <c r="C4278" s="3" t="str">
        <f>"Community Action Agency providing multiple programs and services to low income residents in our service area of Bartholomew, Decatur, Jackson, Johnson, and Shelby Counties"</f>
        <v>Community Action Agency providing multiple programs and services to low income residents in our service area of Bartholomew, Decatur, Jackson, Johnson, and Shelby Counties</v>
      </c>
      <c r="D4278" s="3" t="s">
        <v>12789</v>
      </c>
      <c r="E4278" s="3" t="s">
        <v>46</v>
      </c>
      <c r="F4278" s="3" t="str">
        <f>"(812) 372-8407"</f>
        <v>(812) 372-8407</v>
      </c>
      <c r="G4278" s="3">
        <v>923130</v>
      </c>
      <c r="H4278" s="3" t="s">
        <v>724</v>
      </c>
    </row>
    <row r="4279" spans="1:8" ht="26.25" x14ac:dyDescent="0.25">
      <c r="A4279" s="3" t="s">
        <v>12790</v>
      </c>
      <c r="B4279" s="3"/>
      <c r="C4279" s="3" t="str">
        <f>"Electrical Contractor, Electrical maintenance"</f>
        <v>Electrical Contractor, Electrical maintenance</v>
      </c>
      <c r="D4279" s="3" t="s">
        <v>9</v>
      </c>
      <c r="E4279" s="3" t="s">
        <v>12791</v>
      </c>
      <c r="F4279" s="3" t="str">
        <f>"317-697-5600"</f>
        <v>317-697-5600</v>
      </c>
      <c r="G4279" s="3">
        <v>238210</v>
      </c>
      <c r="H4279" s="3" t="s">
        <v>306</v>
      </c>
    </row>
    <row r="4280" spans="1:8" ht="90" x14ac:dyDescent="0.25">
      <c r="A4280" s="3" t="s">
        <v>12792</v>
      </c>
      <c r="B4280" s="3"/>
      <c r="C4280" s="3" t="str">
        <f>"Hummel Electric, Inc., a Corporation of Indiana since 1986, is currently specializing in permanent and temporary traffic signal installation, highway sheet and panel signing installation, and highway lighting system installation and maintenance."</f>
        <v>Hummel Electric, Inc., a Corporation of Indiana since 1986, is currently specializing in permanent and temporary traffic signal installation, highway sheet and panel signing installation, and highway lighting system installation and maintenance.</v>
      </c>
      <c r="D4280" s="3" t="s">
        <v>12793</v>
      </c>
      <c r="E4280" s="3" t="s">
        <v>6949</v>
      </c>
      <c r="F4280" s="3" t="str">
        <f>"(812) 474-1500"</f>
        <v>(812) 474-1500</v>
      </c>
      <c r="G4280" s="3">
        <v>238210</v>
      </c>
      <c r="H4280" s="3" t="s">
        <v>306</v>
      </c>
    </row>
    <row r="4281" spans="1:8" ht="51.75" x14ac:dyDescent="0.25">
      <c r="A4281" s="3" t="s">
        <v>12794</v>
      </c>
      <c r="B4281" s="3"/>
      <c r="C4281" s="3" t="str">
        <f>"Commercial printer offering traditional and digital printing. Graphic design, programming, creative writing, marketing and promotional items"</f>
        <v>Commercial printer offering traditional and digital printing. Graphic design, programming, creative writing, marketing and promotional items</v>
      </c>
      <c r="D4281" s="3" t="s">
        <v>12795</v>
      </c>
      <c r="E4281" s="3" t="s">
        <v>12796</v>
      </c>
      <c r="F4281" s="3" t="str">
        <f>"7654520093"</f>
        <v>7654520093</v>
      </c>
      <c r="G4281" s="3">
        <v>32311</v>
      </c>
      <c r="H4281" s="3" t="s">
        <v>531</v>
      </c>
    </row>
    <row r="4282" spans="1:8" x14ac:dyDescent="0.25">
      <c r="A4282" s="3" t="s">
        <v>12797</v>
      </c>
      <c r="B4282" s="3"/>
      <c r="C4282" s="3" t="str">
        <f>" "</f>
        <v xml:space="preserve"> </v>
      </c>
      <c r="D4282" s="3" t="s">
        <v>9</v>
      </c>
      <c r="E4282" s="3" t="s">
        <v>46</v>
      </c>
      <c r="F4282" s="2"/>
      <c r="G4282" s="3">
        <v>522291</v>
      </c>
      <c r="H4282" s="3" t="s">
        <v>1966</v>
      </c>
    </row>
    <row r="4283" spans="1:8" ht="128.25" x14ac:dyDescent="0.25">
      <c r="A4283" s="3" t="s">
        <v>12798</v>
      </c>
      <c r="B4283" s="3"/>
      <c r="C4283" s="3" t="s">
        <v>12799</v>
      </c>
      <c r="D4283" s="3" t="s">
        <v>12800</v>
      </c>
      <c r="E4283" s="3" t="s">
        <v>12801</v>
      </c>
      <c r="F4283" s="3" t="str">
        <f>"260-358-4805"</f>
        <v>260-358-4805</v>
      </c>
      <c r="G4283" s="3">
        <v>921190</v>
      </c>
      <c r="H4283" s="3" t="s">
        <v>4809</v>
      </c>
    </row>
    <row r="4284" spans="1:8" ht="102.75" x14ac:dyDescent="0.25">
      <c r="A4284" s="3" t="s">
        <v>12802</v>
      </c>
      <c r="B4284" s="3"/>
      <c r="C4284" s="3" t="s">
        <v>12803</v>
      </c>
      <c r="D4284" s="3" t="s">
        <v>12804</v>
      </c>
      <c r="E4284" s="3" t="s">
        <v>12805</v>
      </c>
      <c r="F4284" s="3" t="str">
        <f>"651-238-0064"</f>
        <v>651-238-0064</v>
      </c>
      <c r="G4284" s="3">
        <v>514</v>
      </c>
      <c r="H4284" s="3" t="s">
        <v>322</v>
      </c>
    </row>
    <row r="4285" spans="1:8" ht="77.25" x14ac:dyDescent="0.25">
      <c r="A4285" s="3" t="s">
        <v>12806</v>
      </c>
      <c r="B4285" s="3"/>
      <c r="C4285" s="3" t="str">
        <f>"Strategic Consulting, including business process integration,implementation and development. Comprehensive database management and migration from SQL to Oracle, SOA, Oracle and BPM business logic resolution. Java, .NET and C++ programming."</f>
        <v>Strategic Consulting, including business process integration,implementation and development. Comprehensive database management and migration from SQL to Oracle, SOA, Oracle and BPM business logic resolution. Java, .NET and C++ programming.</v>
      </c>
      <c r="D4285" s="3" t="s">
        <v>12807</v>
      </c>
      <c r="E4285" s="3" t="s">
        <v>12808</v>
      </c>
      <c r="F4285" s="3" t="str">
        <f>"651-238-0064"</f>
        <v>651-238-0064</v>
      </c>
      <c r="G4285" s="3">
        <v>541512</v>
      </c>
      <c r="H4285" s="3" t="s">
        <v>19</v>
      </c>
    </row>
    <row r="4286" spans="1:8" ht="26.25" x14ac:dyDescent="0.25">
      <c r="A4286" s="3" t="s">
        <v>12809</v>
      </c>
      <c r="B4286" s="3"/>
      <c r="C4286" s="3" t="str">
        <f>"Court Reporting/Stenography"</f>
        <v>Court Reporting/Stenography</v>
      </c>
      <c r="D4286" s="3" t="s">
        <v>12810</v>
      </c>
      <c r="E4286" s="3" t="s">
        <v>12811</v>
      </c>
      <c r="F4286" s="3" t="str">
        <f>"812-402-4402"</f>
        <v>812-402-4402</v>
      </c>
      <c r="G4286" s="3">
        <v>5411</v>
      </c>
      <c r="H4286" s="3" t="s">
        <v>87</v>
      </c>
    </row>
    <row r="4287" spans="1:8" x14ac:dyDescent="0.25">
      <c r="A4287" s="3" t="s">
        <v>12812</v>
      </c>
      <c r="B4287" s="3"/>
      <c r="C4287" s="2"/>
      <c r="D4287" s="3" t="s">
        <v>9</v>
      </c>
      <c r="E4287" s="3" t="s">
        <v>46</v>
      </c>
      <c r="F4287" s="2"/>
      <c r="G4287" s="3">
        <v>922160</v>
      </c>
      <c r="H4287" s="3" t="s">
        <v>2246</v>
      </c>
    </row>
    <row r="4288" spans="1:8" ht="26.25" x14ac:dyDescent="0.25">
      <c r="A4288" s="3" t="s">
        <v>12813</v>
      </c>
      <c r="B4288" s="3"/>
      <c r="C4288" s="3" t="str">
        <f>"Independant Physical &amp; Occupational Therapy Provider"</f>
        <v>Independant Physical &amp; Occupational Therapy Provider</v>
      </c>
      <c r="D4288" s="3" t="s">
        <v>12814</v>
      </c>
      <c r="E4288" s="3" t="s">
        <v>46</v>
      </c>
      <c r="F4288" s="2"/>
      <c r="G4288" s="3">
        <v>621340</v>
      </c>
      <c r="H4288" s="3" t="s">
        <v>987</v>
      </c>
    </row>
    <row r="4289" spans="1:8" ht="26.25" x14ac:dyDescent="0.25">
      <c r="A4289" s="3" t="s">
        <v>12815</v>
      </c>
      <c r="B4289" s="3"/>
      <c r="C4289" s="3" t="str">
        <f>"Long distance freight brokerage and transportation company"</f>
        <v>Long distance freight brokerage and transportation company</v>
      </c>
      <c r="D4289" s="3" t="s">
        <v>9</v>
      </c>
      <c r="E4289" s="3" t="s">
        <v>12816</v>
      </c>
      <c r="F4289" s="3" t="str">
        <f>"(765) 457-7292"</f>
        <v>(765) 457-7292</v>
      </c>
      <c r="G4289" s="3">
        <v>48412</v>
      </c>
      <c r="H4289" s="3" t="s">
        <v>758</v>
      </c>
    </row>
    <row r="4290" spans="1:8" ht="102.75" x14ac:dyDescent="0.25">
      <c r="A4290" s="3" t="s">
        <v>12817</v>
      </c>
      <c r="B4290" s="3"/>
      <c r="C4290" s="3" t="s">
        <v>12818</v>
      </c>
      <c r="D4290" s="3" t="s">
        <v>12819</v>
      </c>
      <c r="E4290" s="3" t="s">
        <v>12820</v>
      </c>
      <c r="F4290" s="3" t="str">
        <f>"8122872214"</f>
        <v>8122872214</v>
      </c>
      <c r="G4290" s="3">
        <v>541611</v>
      </c>
      <c r="H4290" s="3" t="s">
        <v>278</v>
      </c>
    </row>
    <row r="4291" spans="1:8" ht="141" x14ac:dyDescent="0.25">
      <c r="A4291" s="3" t="s">
        <v>12821</v>
      </c>
      <c r="B4291" s="3"/>
      <c r="C4291" s="3" t="s">
        <v>12822</v>
      </c>
      <c r="D4291" s="3" t="s">
        <v>12823</v>
      </c>
      <c r="E4291" s="3" t="s">
        <v>12824</v>
      </c>
      <c r="F4291" s="3" t="str">
        <f>"317 209 8000"</f>
        <v>317 209 8000</v>
      </c>
      <c r="G4291" s="3">
        <v>44131</v>
      </c>
      <c r="H4291" s="3" t="s">
        <v>1699</v>
      </c>
    </row>
    <row r="4292" spans="1:8" ht="26.25" x14ac:dyDescent="0.25">
      <c r="A4292" s="3" t="s">
        <v>12825</v>
      </c>
      <c r="B4292" s="3"/>
      <c r="C4292" s="3" t="str">
        <f>" "</f>
        <v xml:space="preserve"> </v>
      </c>
      <c r="D4292" s="3" t="s">
        <v>12826</v>
      </c>
      <c r="E4292" s="3" t="s">
        <v>12827</v>
      </c>
      <c r="F4292" s="3" t="str">
        <f>"3177830953"</f>
        <v>3177830953</v>
      </c>
      <c r="G4292" s="3">
        <v>238220</v>
      </c>
      <c r="H4292" s="3" t="s">
        <v>348</v>
      </c>
    </row>
    <row r="4293" spans="1:8" ht="255.75" x14ac:dyDescent="0.25">
      <c r="A4293" s="3" t="s">
        <v>12828</v>
      </c>
      <c r="B4293" s="3"/>
      <c r="C4293" s="3" t="s">
        <v>12829</v>
      </c>
      <c r="D4293" s="3" t="s">
        <v>12830</v>
      </c>
      <c r="E4293" s="3" t="s">
        <v>12831</v>
      </c>
      <c r="F4293" s="3" t="str">
        <f>"317-849-3535"</f>
        <v>317-849-3535</v>
      </c>
      <c r="G4293" s="3">
        <v>339999</v>
      </c>
      <c r="H4293" s="3" t="s">
        <v>2044</v>
      </c>
    </row>
    <row r="4294" spans="1:8" ht="39" x14ac:dyDescent="0.25">
      <c r="A4294" s="3" t="s">
        <v>12832</v>
      </c>
      <c r="B4294" s="3"/>
      <c r="C4294" s="3" t="str">
        <f>"Hybrid-3 Inc. provides environmental consulting services with a focus on the aviation industry."</f>
        <v>Hybrid-3 Inc. provides environmental consulting services with a focus on the aviation industry.</v>
      </c>
      <c r="D4294" s="3" t="s">
        <v>12833</v>
      </c>
      <c r="E4294" s="3" t="s">
        <v>12834</v>
      </c>
      <c r="F4294" s="3" t="str">
        <f>"317-789-0515"</f>
        <v>317-789-0515</v>
      </c>
      <c r="G4294" s="3">
        <v>541620</v>
      </c>
      <c r="H4294" s="3" t="s">
        <v>216</v>
      </c>
    </row>
    <row r="4295" spans="1:8" ht="26.25" x14ac:dyDescent="0.25">
      <c r="A4295" s="3" t="s">
        <v>12835</v>
      </c>
      <c r="B4295" s="3"/>
      <c r="C4295" s="3" t="str">
        <f>"Environmental Consulting and Engineering"</f>
        <v>Environmental Consulting and Engineering</v>
      </c>
      <c r="D4295" s="3" t="s">
        <v>12836</v>
      </c>
      <c r="E4295" s="3" t="s">
        <v>46</v>
      </c>
      <c r="F4295" s="3" t="str">
        <f>"7656421581"</f>
        <v>7656421581</v>
      </c>
      <c r="G4295" s="3">
        <v>541620</v>
      </c>
      <c r="H4295" s="3" t="s">
        <v>216</v>
      </c>
    </row>
    <row r="4296" spans="1:8" ht="26.25" x14ac:dyDescent="0.25">
      <c r="A4296" s="3" t="s">
        <v>12837</v>
      </c>
      <c r="B4296" s="3"/>
      <c r="C4296" s="3" t="str">
        <f>"CCTV Video Pipe Inspection and Flow Monitoring"</f>
        <v>CCTV Video Pipe Inspection and Flow Monitoring</v>
      </c>
      <c r="D4296" s="3" t="s">
        <v>12838</v>
      </c>
      <c r="E4296" s="3" t="s">
        <v>12839</v>
      </c>
      <c r="F4296" s="3" t="str">
        <f>"8129253930"</f>
        <v>8129253930</v>
      </c>
      <c r="G4296" s="3">
        <v>562119</v>
      </c>
      <c r="H4296" s="3" t="s">
        <v>586</v>
      </c>
    </row>
    <row r="4297" spans="1:8" ht="26.25" x14ac:dyDescent="0.25">
      <c r="A4297" s="3" t="s">
        <v>12840</v>
      </c>
      <c r="B4297" s="3"/>
      <c r="C4297" s="3" t="str">
        <f>"lawn installation &amp; fertilization"</f>
        <v>lawn installation &amp; fertilization</v>
      </c>
      <c r="D4297" s="3" t="s">
        <v>12841</v>
      </c>
      <c r="E4297" s="3" t="s">
        <v>46</v>
      </c>
      <c r="F4297" s="3" t="str">
        <f>"574-674-5296"</f>
        <v>574-674-5296</v>
      </c>
      <c r="G4297" s="3">
        <v>812990</v>
      </c>
      <c r="H4297" s="3" t="s">
        <v>294</v>
      </c>
    </row>
    <row r="4298" spans="1:8" ht="26.25" x14ac:dyDescent="0.25">
      <c r="A4298" s="3" t="s">
        <v>12842</v>
      </c>
      <c r="B4298" s="3"/>
      <c r="C4298" s="3" t="str">
        <f>"Hygrade Excavating specializes in site &amp; utilities construction."</f>
        <v>Hygrade Excavating specializes in site &amp; utilities construction.</v>
      </c>
      <c r="D4298" s="3" t="s">
        <v>9</v>
      </c>
      <c r="E4298" s="3" t="s">
        <v>12843</v>
      </c>
      <c r="F4298" s="3" t="str">
        <f>"812-663-5175"</f>
        <v>812-663-5175</v>
      </c>
      <c r="G4298" s="3">
        <v>238910</v>
      </c>
      <c r="H4298" s="3" t="s">
        <v>886</v>
      </c>
    </row>
    <row r="4299" spans="1:8" ht="115.5" x14ac:dyDescent="0.25">
      <c r="A4299" s="3" t="s">
        <v>12844</v>
      </c>
      <c r="B4299" s="3"/>
      <c r="C4299" s="3" t="s">
        <v>12845</v>
      </c>
      <c r="D4299" s="3" t="s">
        <v>12846</v>
      </c>
      <c r="E4299" s="3" t="s">
        <v>12847</v>
      </c>
      <c r="F4299" s="3" t="str">
        <f>"317-987-6534"</f>
        <v>317-987-6534</v>
      </c>
      <c r="G4299" s="3">
        <v>611430</v>
      </c>
      <c r="H4299" s="3" t="s">
        <v>1224</v>
      </c>
    </row>
    <row r="4300" spans="1:8" ht="77.25" x14ac:dyDescent="0.25">
      <c r="A4300" s="3" t="s">
        <v>12848</v>
      </c>
      <c r="B4300" s="3"/>
      <c r="C4300" s="3" t="str">
        <f>"Roofing; Siding; Drywall hanging; Drywall finishing; Wall texturing; Interior and exterior painting; Water damage and mold removal; Doors and windows installation; Decking and fencing; Power washing driveways, siding, soffits etc."</f>
        <v>Roofing; Siding; Drywall hanging; Drywall finishing; Wall texturing; Interior and exterior painting; Water damage and mold removal; Doors and windows installation; Decking and fencing; Power washing driveways, siding, soffits etc.</v>
      </c>
      <c r="D4300" s="3" t="s">
        <v>12849</v>
      </c>
      <c r="E4300" s="3" t="s">
        <v>12850</v>
      </c>
      <c r="F4300" s="3" t="str">
        <f>"3174546365"</f>
        <v>3174546365</v>
      </c>
      <c r="G4300" s="3">
        <v>236118</v>
      </c>
      <c r="H4300" s="3" t="s">
        <v>465</v>
      </c>
    </row>
    <row r="4301" spans="1:8" ht="64.5" x14ac:dyDescent="0.25">
      <c r="A4301" s="3" t="s">
        <v>12851</v>
      </c>
      <c r="B4301" s="3"/>
      <c r="C4301" s="3" t="str">
        <f>"Make STRETCHER MATTRESSES for Hospitals, and Mattresses for Prison Beds, Covered Pillows. Any Sewing project needed. 2 WOMEN with 50 years combined experience for your sewing and upholstery needs"</f>
        <v>Make STRETCHER MATTRESSES for Hospitals, and Mattresses for Prison Beds, Covered Pillows. Any Sewing project needed. 2 WOMEN with 50 years combined experience for your sewing and upholstery needs</v>
      </c>
      <c r="D4301" s="3" t="s">
        <v>9</v>
      </c>
      <c r="E4301" s="3" t="s">
        <v>12852</v>
      </c>
      <c r="F4301" s="3" t="str">
        <f>"765-635-7239"</f>
        <v>765-635-7239</v>
      </c>
      <c r="G4301" s="3">
        <v>337910</v>
      </c>
      <c r="H4301" s="3" t="s">
        <v>12853</v>
      </c>
    </row>
    <row r="4302" spans="1:8" ht="128.25" x14ac:dyDescent="0.25">
      <c r="A4302" s="3" t="s">
        <v>12854</v>
      </c>
      <c r="B4302" s="3"/>
      <c r="C4302" s="3" t="s">
        <v>12855</v>
      </c>
      <c r="D4302" s="3" t="s">
        <v>9</v>
      </c>
      <c r="E4302" s="3" t="s">
        <v>46</v>
      </c>
      <c r="F4302" s="2"/>
      <c r="G4302" s="3">
        <v>524210</v>
      </c>
      <c r="H4302" s="3" t="s">
        <v>1183</v>
      </c>
    </row>
    <row r="4303" spans="1:8" ht="26.25" x14ac:dyDescent="0.25">
      <c r="A4303" s="3" t="s">
        <v>12856</v>
      </c>
      <c r="B4303" s="3"/>
      <c r="C4303" s="3" t="str">
        <f>"Floor covering distributor."</f>
        <v>Floor covering distributor.</v>
      </c>
      <c r="D4303" s="3" t="s">
        <v>12857</v>
      </c>
      <c r="E4303" s="3" t="s">
        <v>12858</v>
      </c>
      <c r="F4303" s="3" t="str">
        <f>"317-328-8989"</f>
        <v>317-328-8989</v>
      </c>
      <c r="G4303" s="3">
        <v>444190</v>
      </c>
      <c r="H4303" s="3" t="s">
        <v>1188</v>
      </c>
    </row>
    <row r="4304" spans="1:8" ht="39" x14ac:dyDescent="0.25">
      <c r="A4304" s="3" t="s">
        <v>12859</v>
      </c>
      <c r="B4304" s="3"/>
      <c r="C4304" s="3" t="str">
        <f>"I See Corporation is a General Contracting Company. We offer goods and services in all the aspects of the construction business."</f>
        <v>I See Corporation is a General Contracting Company. We offer goods and services in all the aspects of the construction business.</v>
      </c>
      <c r="D4304" s="3" t="s">
        <v>12860</v>
      </c>
      <c r="E4304" s="3" t="s">
        <v>12861</v>
      </c>
      <c r="F4304" s="3" t="str">
        <f>"3178619221"</f>
        <v>3178619221</v>
      </c>
      <c r="G4304" s="3">
        <v>454390</v>
      </c>
      <c r="H4304" s="3" t="s">
        <v>1348</v>
      </c>
    </row>
    <row r="4305" spans="1:8" ht="77.25" x14ac:dyDescent="0.25">
      <c r="A4305" s="3" t="s">
        <v>12862</v>
      </c>
      <c r="B4305" s="3"/>
      <c r="C4305" s="3" t="str">
        <f>"Electrical contractor specializing in repairs, upgrades, additions, alterations of residential, commercial and lite Industrial properties. Also specializing in electrical code compliance for the properties mentioned above."</f>
        <v>Electrical contractor specializing in repairs, upgrades, additions, alterations of residential, commercial and lite Industrial properties. Also specializing in electrical code compliance for the properties mentioned above.</v>
      </c>
      <c r="D4305" s="3" t="s">
        <v>12863</v>
      </c>
      <c r="E4305" s="3" t="s">
        <v>46</v>
      </c>
      <c r="F4305" s="3" t="str">
        <f>"260-447-7749"</f>
        <v>260-447-7749</v>
      </c>
      <c r="G4305" s="3">
        <v>23531</v>
      </c>
      <c r="H4305" s="3" t="s">
        <v>306</v>
      </c>
    </row>
    <row r="4306" spans="1:8" ht="39" x14ac:dyDescent="0.25">
      <c r="A4306" s="3" t="s">
        <v>12864</v>
      </c>
      <c r="B4306" s="3"/>
      <c r="C4306" s="3" t="str">
        <f>"Manufacture non-synchronous conveyor transporter systems, belt conveyors, and chain conveyors. 24-Hour service available."</f>
        <v>Manufacture non-synchronous conveyor transporter systems, belt conveyors, and chain conveyors. 24-Hour service available.</v>
      </c>
      <c r="D4306" s="3" t="s">
        <v>12865</v>
      </c>
      <c r="E4306" s="3" t="s">
        <v>12866</v>
      </c>
      <c r="F4306" s="3" t="str">
        <f>"574-936-3028"</f>
        <v>574-936-3028</v>
      </c>
      <c r="G4306" s="3">
        <v>3332</v>
      </c>
      <c r="H4306" s="3" t="s">
        <v>570</v>
      </c>
    </row>
    <row r="4307" spans="1:8" ht="64.5" x14ac:dyDescent="0.25">
      <c r="A4307" s="3" t="s">
        <v>12867</v>
      </c>
      <c r="B4307" s="3"/>
      <c r="C4307" s="3" t="str">
        <f>"Datacenter (computer) integration, consolidation and server virtualization, leading to rapid computer deployment, ease of IT administration and significant reduction of datacenters carbon footprint."</f>
        <v>Datacenter (computer) integration, consolidation and server virtualization, leading to rapid computer deployment, ease of IT administration and significant reduction of datacenters carbon footprint.</v>
      </c>
      <c r="D4307" s="3" t="s">
        <v>12868</v>
      </c>
      <c r="E4307" s="3" t="s">
        <v>12869</v>
      </c>
      <c r="F4307" s="3" t="str">
        <f>"317-319-2064"</f>
        <v>317-319-2064</v>
      </c>
      <c r="G4307" s="3">
        <v>2359</v>
      </c>
      <c r="H4307" s="3" t="s">
        <v>631</v>
      </c>
    </row>
    <row r="4308" spans="1:8" ht="51.75" x14ac:dyDescent="0.25">
      <c r="A4308" s="3" t="s">
        <v>12870</v>
      </c>
      <c r="B4308" s="3"/>
      <c r="C4308" s="3" t="str">
        <f>"IA Technology is a Technical Training and Information Techiology company that strives on providing top quality customer services and technology to it's clients"</f>
        <v>IA Technology is a Technical Training and Information Techiology company that strives on providing top quality customer services and technology to it's clients</v>
      </c>
      <c r="D4308" s="3" t="s">
        <v>12871</v>
      </c>
      <c r="E4308" s="3" t="s">
        <v>12872</v>
      </c>
      <c r="F4308" s="3" t="str">
        <f>"317-348-2246"</f>
        <v>317-348-2246</v>
      </c>
      <c r="G4308" s="3">
        <v>61142</v>
      </c>
      <c r="H4308" s="3" t="s">
        <v>39</v>
      </c>
    </row>
    <row r="4309" spans="1:8" ht="128.25" x14ac:dyDescent="0.25">
      <c r="A4309" s="3" t="s">
        <v>12873</v>
      </c>
      <c r="B4309" s="3"/>
      <c r="C4309" s="3" t="s">
        <v>12874</v>
      </c>
      <c r="D4309" s="3" t="s">
        <v>12875</v>
      </c>
      <c r="E4309" s="3" t="s">
        <v>12876</v>
      </c>
      <c r="F4309" s="3" t="str">
        <f>"317-205-9201"</f>
        <v>317-205-9201</v>
      </c>
      <c r="G4309" s="3">
        <v>611430</v>
      </c>
      <c r="H4309" s="3" t="s">
        <v>1224</v>
      </c>
    </row>
    <row r="4310" spans="1:8" ht="243" x14ac:dyDescent="0.25">
      <c r="A4310" s="3" t="s">
        <v>12877</v>
      </c>
      <c r="B4310" s="3"/>
      <c r="C4310" s="3" t="s">
        <v>12878</v>
      </c>
      <c r="D4310" s="3" t="s">
        <v>12879</v>
      </c>
      <c r="E4310" s="3" t="s">
        <v>12880</v>
      </c>
      <c r="F4310" s="3" t="str">
        <f>"(317) 598-0148"</f>
        <v>(317) 598-0148</v>
      </c>
      <c r="G4310" s="3">
        <v>541620</v>
      </c>
      <c r="H4310" s="3" t="s">
        <v>216</v>
      </c>
    </row>
    <row r="4311" spans="1:8" ht="26.25" x14ac:dyDescent="0.25">
      <c r="A4311" s="3" t="s">
        <v>12881</v>
      </c>
      <c r="B4311" s="3"/>
      <c r="C4311" s="3" t="str">
        <f>"Publishers of the legal notice newspaper for Marion County."</f>
        <v>Publishers of the legal notice newspaper for Marion County.</v>
      </c>
      <c r="D4311" s="3" t="s">
        <v>12882</v>
      </c>
      <c r="E4311" s="3" t="s">
        <v>12883</v>
      </c>
      <c r="F4311" s="3" t="str">
        <f>"3176346200"</f>
        <v>3176346200</v>
      </c>
      <c r="G4311" s="3">
        <v>511110</v>
      </c>
      <c r="H4311" s="3" t="s">
        <v>8225</v>
      </c>
    </row>
    <row r="4312" spans="1:8" ht="102.75" x14ac:dyDescent="0.25">
      <c r="A4312" s="3" t="s">
        <v>12884</v>
      </c>
      <c r="B4312" s="3"/>
      <c r="C4312" s="3" t="s">
        <v>12885</v>
      </c>
      <c r="D4312" s="3" t="s">
        <v>12886</v>
      </c>
      <c r="E4312" s="3" t="s">
        <v>12887</v>
      </c>
      <c r="F4312" s="3" t="str">
        <f>"317-679-4666"</f>
        <v>317-679-4666</v>
      </c>
      <c r="G4312" s="3">
        <v>541930</v>
      </c>
      <c r="H4312" s="3" t="s">
        <v>971</v>
      </c>
    </row>
    <row r="4313" spans="1:8" ht="192" x14ac:dyDescent="0.25">
      <c r="A4313" s="3" t="s">
        <v>12888</v>
      </c>
      <c r="B4313" s="3"/>
      <c r="C4313" s="3" t="s">
        <v>12889</v>
      </c>
      <c r="D4313" s="3" t="s">
        <v>12890</v>
      </c>
      <c r="E4313" s="3" t="s">
        <v>12891</v>
      </c>
      <c r="F4313" s="3" t="str">
        <f>"317-946-1188"</f>
        <v>317-946-1188</v>
      </c>
      <c r="G4313" s="3">
        <v>541611</v>
      </c>
      <c r="H4313" s="3" t="s">
        <v>278</v>
      </c>
    </row>
    <row r="4314" spans="1:8" ht="64.5" x14ac:dyDescent="0.25">
      <c r="A4314" s="3" t="s">
        <v>12892</v>
      </c>
      <c r="B4314" s="3"/>
      <c r="C4314" s="3" t="str">
        <f>"ICADV is committed to the elimination of domestic violence through public awareness, education and training, advocacy, direct service, allocation of resources, and emergency legal assistance."</f>
        <v>ICADV is committed to the elimination of domestic violence through public awareness, education and training, advocacy, direct service, allocation of resources, and emergency legal assistance.</v>
      </c>
      <c r="D4314" s="3" t="s">
        <v>12893</v>
      </c>
      <c r="E4314" s="3" t="s">
        <v>12894</v>
      </c>
      <c r="F4314" s="3" t="str">
        <f>"317-917-3685"</f>
        <v>317-917-3685</v>
      </c>
      <c r="G4314" s="3">
        <v>8133</v>
      </c>
      <c r="H4314" s="3" t="s">
        <v>5487</v>
      </c>
    </row>
    <row r="4315" spans="1:8" ht="90" x14ac:dyDescent="0.25">
      <c r="A4315" s="3" t="s">
        <v>12895</v>
      </c>
      <c r="B4315" s="3"/>
      <c r="C4315" s="3" t="s">
        <v>12896</v>
      </c>
      <c r="D4315" s="3" t="s">
        <v>9</v>
      </c>
      <c r="E4315" s="3" t="s">
        <v>12897</v>
      </c>
      <c r="F4315" s="3" t="str">
        <f>"317-423-8701"</f>
        <v>317-423-8701</v>
      </c>
      <c r="G4315" s="3">
        <v>423990</v>
      </c>
      <c r="H4315" s="3" t="s">
        <v>983</v>
      </c>
    </row>
    <row r="4316" spans="1:8" ht="26.25" x14ac:dyDescent="0.25">
      <c r="A4316" s="3" t="s">
        <v>12898</v>
      </c>
      <c r="B4316" s="3"/>
      <c r="C4316" s="3" t="str">
        <f>"Case Management Service for persons with developmental disabilities."</f>
        <v>Case Management Service for persons with developmental disabilities.</v>
      </c>
      <c r="D4316" s="3" t="s">
        <v>9</v>
      </c>
      <c r="E4316" s="3" t="s">
        <v>12899</v>
      </c>
      <c r="F4316" s="3" t="str">
        <f>"219 696-6668"</f>
        <v>219 696-6668</v>
      </c>
      <c r="G4316" s="3">
        <v>62412</v>
      </c>
      <c r="H4316" s="3" t="s">
        <v>22</v>
      </c>
    </row>
    <row r="4317" spans="1:8" ht="102.75" x14ac:dyDescent="0.25">
      <c r="A4317" s="3" t="s">
        <v>12900</v>
      </c>
      <c r="B4317" s="3"/>
      <c r="C4317" s="3" t="s">
        <v>12901</v>
      </c>
      <c r="D4317" s="3" t="s">
        <v>12902</v>
      </c>
      <c r="E4317" s="3" t="s">
        <v>12903</v>
      </c>
      <c r="F4317" s="3" t="str">
        <f>"407-808-7108"</f>
        <v>407-808-7108</v>
      </c>
      <c r="G4317" s="3">
        <v>5415</v>
      </c>
      <c r="H4317" s="3" t="s">
        <v>188</v>
      </c>
    </row>
    <row r="4318" spans="1:8" ht="90" x14ac:dyDescent="0.25">
      <c r="A4318" s="3" t="s">
        <v>12904</v>
      </c>
      <c r="B4318" s="3"/>
      <c r="C4318" s="3" t="s">
        <v>12905</v>
      </c>
      <c r="D4318" s="3" t="s">
        <v>9</v>
      </c>
      <c r="E4318" s="3" t="s">
        <v>12906</v>
      </c>
      <c r="F4318" s="3" t="str">
        <f>"812-449-8804"</f>
        <v>812-449-8804</v>
      </c>
      <c r="G4318" s="3">
        <v>11</v>
      </c>
      <c r="H4318" s="3" t="s">
        <v>175</v>
      </c>
    </row>
    <row r="4319" spans="1:8" ht="77.25" x14ac:dyDescent="0.25">
      <c r="A4319" s="3" t="s">
        <v>12907</v>
      </c>
      <c r="B4319" s="3"/>
      <c r="C4319" s="3" t="str">
        <f>"We are garment decoration business specializing in everything Imprintable. We work with local athletic leagues, fashion groups, and promotional groups. We also design and create custom signs, decals, or logos."</f>
        <v>We are garment decoration business specializing in everything Imprintable. We work with local athletic leagues, fashion groups, and promotional groups. We also design and create custom signs, decals, or logos.</v>
      </c>
      <c r="D4319" s="3" t="s">
        <v>12908</v>
      </c>
      <c r="E4319" s="3" t="s">
        <v>12909</v>
      </c>
      <c r="F4319" s="3" t="str">
        <f>"317-690-9254"</f>
        <v>317-690-9254</v>
      </c>
      <c r="G4319" s="3">
        <v>323113</v>
      </c>
      <c r="H4319" s="3" t="s">
        <v>1606</v>
      </c>
    </row>
    <row r="4320" spans="1:8" ht="39" x14ac:dyDescent="0.25">
      <c r="A4320" s="3" t="s">
        <v>12910</v>
      </c>
      <c r="B4320" s="3"/>
      <c r="C4320" s="3" t="str">
        <f>"Plumbing, HVAC and process piping for commercial, industrial &amp; institutional entities"</f>
        <v>Plumbing, HVAC and process piping for commercial, industrial &amp; institutional entities</v>
      </c>
      <c r="D4320" s="3" t="s">
        <v>9</v>
      </c>
      <c r="E4320" s="3" t="s">
        <v>12911</v>
      </c>
      <c r="F4320" s="3" t="str">
        <f>"317-894-1955"</f>
        <v>317-894-1955</v>
      </c>
      <c r="G4320" s="3">
        <v>23511</v>
      </c>
      <c r="H4320" s="3" t="s">
        <v>892</v>
      </c>
    </row>
    <row r="4321" spans="1:8" ht="51.75" x14ac:dyDescent="0.25">
      <c r="A4321" s="3" t="s">
        <v>12912</v>
      </c>
      <c r="B4321" s="3"/>
      <c r="C4321" s="3" t="str">
        <f>"Service Commercial Refrigeration, HVAC, Cooking Equipment, Ice machines (sales &amp; service), Plumbing and Backflow Device Inspections and Certifications."</f>
        <v>Service Commercial Refrigeration, HVAC, Cooking Equipment, Ice machines (sales &amp; service), Plumbing and Backflow Device Inspections and Certifications.</v>
      </c>
      <c r="D4321" s="3" t="s">
        <v>12913</v>
      </c>
      <c r="E4321" s="3" t="s">
        <v>12914</v>
      </c>
      <c r="F4321" s="3" t="str">
        <f>"765-420-8127"</f>
        <v>765-420-8127</v>
      </c>
      <c r="G4321" s="3">
        <v>238220</v>
      </c>
      <c r="H4321" s="3" t="s">
        <v>348</v>
      </c>
    </row>
    <row r="4322" spans="1:8" ht="51.75" x14ac:dyDescent="0.25">
      <c r="A4322" s="3" t="s">
        <v>12915</v>
      </c>
      <c r="B4322" s="3"/>
      <c r="C4322" s="3" t="str">
        <f>"We provide evaluations of individuals who are developmentally disabled for the State of Indiana and do psychological testing for vocational rehabilitation services."</f>
        <v>We provide evaluations of individuals who are developmentally disabled for the State of Indiana and do psychological testing for vocational rehabilitation services.</v>
      </c>
      <c r="D4322" s="3" t="s">
        <v>12916</v>
      </c>
      <c r="E4322" s="3" t="s">
        <v>12917</v>
      </c>
      <c r="F4322" s="3" t="str">
        <f>"260-422-2838"</f>
        <v>260-422-2838</v>
      </c>
      <c r="G4322" s="3">
        <v>621399</v>
      </c>
      <c r="H4322" s="3" t="s">
        <v>2306</v>
      </c>
    </row>
    <row r="4323" spans="1:8" ht="26.25" x14ac:dyDescent="0.25">
      <c r="A4323" s="3" t="s">
        <v>12918</v>
      </c>
      <c r="B4323" s="3"/>
      <c r="C4323" s="3" t="str">
        <f>"State Employee"</f>
        <v>State Employee</v>
      </c>
      <c r="D4323" s="3" t="s">
        <v>9</v>
      </c>
      <c r="E4323" s="3" t="s">
        <v>12919</v>
      </c>
      <c r="F4323" s="3" t="str">
        <f>"812-380-2300"</f>
        <v>812-380-2300</v>
      </c>
      <c r="G4323" s="3">
        <v>8114</v>
      </c>
      <c r="H4323" s="3" t="s">
        <v>12920</v>
      </c>
    </row>
    <row r="4324" spans="1:8" ht="102.75" x14ac:dyDescent="0.25">
      <c r="A4324" s="3" t="s">
        <v>12921</v>
      </c>
      <c r="B4324" s="3"/>
      <c r="C4324" s="3" t="s">
        <v>12922</v>
      </c>
      <c r="D4324" s="3" t="s">
        <v>12923</v>
      </c>
      <c r="E4324" s="3" t="s">
        <v>12924</v>
      </c>
      <c r="F4324" s="3" t="str">
        <f>"317-486-8744"</f>
        <v>317-486-8744</v>
      </c>
      <c r="G4324" s="3">
        <v>484110</v>
      </c>
      <c r="H4324" s="3" t="s">
        <v>644</v>
      </c>
    </row>
    <row r="4325" spans="1:8" ht="192" x14ac:dyDescent="0.25">
      <c r="A4325" s="3" t="s">
        <v>12925</v>
      </c>
      <c r="B4325" s="3"/>
      <c r="C4325" s="3" t="s">
        <v>12926</v>
      </c>
      <c r="D4325" s="3" t="s">
        <v>12927</v>
      </c>
      <c r="E4325" s="3" t="s">
        <v>12928</v>
      </c>
      <c r="F4325" s="3" t="str">
        <f>"(317) 243 9800"</f>
        <v>(317) 243 9800</v>
      </c>
      <c r="G4325" s="3">
        <v>541330</v>
      </c>
      <c r="H4325" s="3" t="s">
        <v>82</v>
      </c>
    </row>
    <row r="4326" spans="1:8" ht="26.25" x14ac:dyDescent="0.25">
      <c r="A4326" s="3" t="s">
        <v>12929</v>
      </c>
      <c r="B4326" s="3"/>
      <c r="C4326" s="3" t="str">
        <f>"Association representing the life/health industry in Indiana"</f>
        <v>Association representing the life/health industry in Indiana</v>
      </c>
      <c r="D4326" s="3" t="s">
        <v>12930</v>
      </c>
      <c r="E4326" s="3" t="s">
        <v>12931</v>
      </c>
      <c r="F4326" s="3" t="str">
        <f>"317-278-9970"</f>
        <v>317-278-9970</v>
      </c>
      <c r="G4326" s="3">
        <v>813910</v>
      </c>
      <c r="H4326" s="3" t="s">
        <v>1906</v>
      </c>
    </row>
    <row r="4327" spans="1:8" ht="77.25" x14ac:dyDescent="0.25">
      <c r="A4327" s="3" t="s">
        <v>12932</v>
      </c>
      <c r="B4327" s="3"/>
      <c r="C4327" s="3" t="str">
        <f>"Advocacy organization that focuses on environmental threats to children's health. IKE can provide education, outreach, policy analysis on environmental issues, including lead poisoning, air pollution, pesticide use and others."</f>
        <v>Advocacy organization that focuses on environmental threats to children's health. IKE can provide education, outreach, policy analysis on environmental issues, including lead poisoning, air pollution, pesticide use and others.</v>
      </c>
      <c r="D4327" s="3" t="s">
        <v>12933</v>
      </c>
      <c r="E4327" s="3" t="s">
        <v>12934</v>
      </c>
      <c r="F4327" s="3" t="str">
        <f>"317-902-3610"</f>
        <v>317-902-3610</v>
      </c>
      <c r="G4327" s="3">
        <v>54162</v>
      </c>
      <c r="H4327" s="3" t="s">
        <v>216</v>
      </c>
    </row>
    <row r="4328" spans="1:8" ht="102.75" x14ac:dyDescent="0.25">
      <c r="A4328" s="3" t="s">
        <v>12935</v>
      </c>
      <c r="B4328" s="3"/>
      <c r="C4328" s="3" t="s">
        <v>12936</v>
      </c>
      <c r="D4328" s="3" t="s">
        <v>12937</v>
      </c>
      <c r="E4328" s="3" t="s">
        <v>12938</v>
      </c>
      <c r="F4328" s="3" t="str">
        <f>"888-815-8023"</f>
        <v>888-815-8023</v>
      </c>
      <c r="G4328" s="3">
        <v>221119</v>
      </c>
      <c r="H4328" s="3" t="s">
        <v>12939</v>
      </c>
    </row>
    <row r="4329" spans="1:8" ht="64.5" x14ac:dyDescent="0.25">
      <c r="A4329" s="3" t="s">
        <v>12940</v>
      </c>
      <c r="B4329" s="3"/>
      <c r="C4329" s="3" t="str">
        <f>"DECORATIVE LIGHTING, CEILING FANS, LAMPS, MIRRORS, LANDSCAPE LIGHTING 3500 SQUARE FT SHOWROOM RESIDENTIAL AND COMMERCIAL MANUFACTURERS REPRESENTED"</f>
        <v>DECORATIVE LIGHTING, CEILING FANS, LAMPS, MIRRORS, LANDSCAPE LIGHTING 3500 SQUARE FT SHOWROOM RESIDENTIAL AND COMMERCIAL MANUFACTURERS REPRESENTED</v>
      </c>
      <c r="D4329" s="3" t="s">
        <v>12941</v>
      </c>
      <c r="E4329" s="3" t="s">
        <v>12942</v>
      </c>
      <c r="F4329" s="3" t="str">
        <f>"812-437-5483"</f>
        <v>812-437-5483</v>
      </c>
      <c r="G4329" s="3">
        <v>442299</v>
      </c>
      <c r="H4329" s="3" t="s">
        <v>951</v>
      </c>
    </row>
    <row r="4330" spans="1:8" ht="51.75" x14ac:dyDescent="0.25">
      <c r="A4330" s="3" t="s">
        <v>12943</v>
      </c>
      <c r="B4330" s="3"/>
      <c r="C4330" s="3" t="str">
        <f>"Data router manufacturer. T1, NxT1, DS3, OC3, OC12. Wirespeed specifications. Competes vs. Cisco routers (18xx through 7xxx in most applications)."</f>
        <v>Data router manufacturer. T1, NxT1, DS3, OC3, OC12. Wirespeed specifications. Competes vs. Cisco routers (18xx through 7xxx in most applications).</v>
      </c>
      <c r="D4330" s="3" t="s">
        <v>12944</v>
      </c>
      <c r="E4330" s="3" t="s">
        <v>12945</v>
      </c>
      <c r="F4330" s="3" t="str">
        <f>"800-813-5123"</f>
        <v>800-813-5123</v>
      </c>
      <c r="G4330" s="3">
        <v>31</v>
      </c>
      <c r="H4330" s="3" t="s">
        <v>999</v>
      </c>
    </row>
    <row r="4331" spans="1:8" ht="64.5" x14ac:dyDescent="0.25">
      <c r="A4331" s="3" t="s">
        <v>12946</v>
      </c>
      <c r="B4331" s="3"/>
      <c r="C4331" s="3" t="str">
        <f>"Imaging Office Systems (IOS) provides document imaging services including paper-to-digital, paper-to-film, film-to-digital, digital-to-film. IOS offers content management software systems."</f>
        <v>Imaging Office Systems (IOS) provides document imaging services including paper-to-digital, paper-to-film, film-to-digital, digital-to-film. IOS offers content management software systems.</v>
      </c>
      <c r="D4331" s="3" t="s">
        <v>12947</v>
      </c>
      <c r="E4331" s="3" t="s">
        <v>12948</v>
      </c>
      <c r="F4331" s="3" t="str">
        <f>"317-254-9545"</f>
        <v>317-254-9545</v>
      </c>
      <c r="G4331" s="3">
        <v>423990</v>
      </c>
      <c r="H4331" s="3" t="s">
        <v>983</v>
      </c>
    </row>
    <row r="4332" spans="1:8" ht="179.25" x14ac:dyDescent="0.25">
      <c r="A4332" s="3" t="s">
        <v>12949</v>
      </c>
      <c r="B4332" s="3"/>
      <c r="C4332" s="3" t="s">
        <v>12950</v>
      </c>
      <c r="D4332" s="3" t="s">
        <v>12951</v>
      </c>
      <c r="E4332" s="3" t="s">
        <v>12952</v>
      </c>
      <c r="F4332" s="3" t="str">
        <f>"317-849-6933"</f>
        <v>317-849-6933</v>
      </c>
      <c r="G4332" s="3">
        <v>561440</v>
      </c>
      <c r="H4332" s="3" t="s">
        <v>473</v>
      </c>
    </row>
    <row r="4333" spans="1:8" ht="255.75" x14ac:dyDescent="0.25">
      <c r="A4333" s="3" t="s">
        <v>12953</v>
      </c>
      <c r="B4333" s="3"/>
      <c r="C4333" s="3" t="s">
        <v>12954</v>
      </c>
      <c r="D4333" s="3" t="s">
        <v>9</v>
      </c>
      <c r="E4333" s="3" t="s">
        <v>12955</v>
      </c>
      <c r="F4333" s="3" t="str">
        <f>"812-346-5920"</f>
        <v>812-346-5920</v>
      </c>
      <c r="G4333" s="3">
        <v>2353</v>
      </c>
      <c r="H4333" s="3" t="s">
        <v>306</v>
      </c>
    </row>
    <row r="4334" spans="1:8" ht="51.75" x14ac:dyDescent="0.25">
      <c r="A4334" s="3" t="s">
        <v>12956</v>
      </c>
      <c r="B4334" s="3"/>
      <c r="C4334" s="3" t="str">
        <f>"INDUSTRIAL AND CONSTRUCTION SUPPLY COMPANY, FASTENERS, TOOLS, SAFETY, CHEMICALS, ELECTRICAL, ABRASIVES AND CUTTING TOOLS SUPPLIER"</f>
        <v>INDUSTRIAL AND CONSTRUCTION SUPPLY COMPANY, FASTENERS, TOOLS, SAFETY, CHEMICALS, ELECTRICAL, ABRASIVES AND CUTTING TOOLS SUPPLIER</v>
      </c>
      <c r="D4334" s="3" t="s">
        <v>12957</v>
      </c>
      <c r="E4334" s="3" t="s">
        <v>12958</v>
      </c>
      <c r="F4334" s="3" t="str">
        <f>"812-464-5947"</f>
        <v>812-464-5947</v>
      </c>
      <c r="G4334" s="3">
        <v>423710</v>
      </c>
      <c r="H4334" s="3" t="s">
        <v>6956</v>
      </c>
    </row>
    <row r="4335" spans="1:8" ht="51.75" x14ac:dyDescent="0.25">
      <c r="A4335" s="3" t="s">
        <v>12959</v>
      </c>
      <c r="B4335" s="3"/>
      <c r="C4335" s="3" t="str">
        <f>"Full service travel company with motorcoach tours, charter buses, limousines, airline tickets, cruises and travel packages."</f>
        <v>Full service travel company with motorcoach tours, charter buses, limousines, airline tickets, cruises and travel packages.</v>
      </c>
      <c r="D4335" s="3" t="s">
        <v>12960</v>
      </c>
      <c r="E4335" s="3" t="s">
        <v>12961</v>
      </c>
      <c r="F4335" s="3" t="str">
        <f>"765-447-9321"</f>
        <v>765-447-9321</v>
      </c>
      <c r="G4335" s="3">
        <v>485510</v>
      </c>
      <c r="H4335" s="3" t="s">
        <v>8779</v>
      </c>
    </row>
    <row r="4336" spans="1:8" ht="51.75" x14ac:dyDescent="0.25">
      <c r="A4336" s="3" t="s">
        <v>12962</v>
      </c>
      <c r="B4336" s="3"/>
      <c r="C4336" s="3" t="str">
        <f>"The Indiana Association of Area Agencies on Aging (IAAAA) advocates for quality programs and services for older adults and persons with disabilities."</f>
        <v>The Indiana Association of Area Agencies on Aging (IAAAA) advocates for quality programs and services for older adults and persons with disabilities.</v>
      </c>
      <c r="D4336" s="3" t="s">
        <v>9</v>
      </c>
      <c r="E4336" s="3" t="s">
        <v>46</v>
      </c>
      <c r="F4336" s="2"/>
      <c r="G4336" s="3">
        <v>813910</v>
      </c>
      <c r="H4336" s="3" t="s">
        <v>1906</v>
      </c>
    </row>
    <row r="4337" spans="1:8" ht="64.5" x14ac:dyDescent="0.25">
      <c r="A4337" s="3" t="s">
        <v>12963</v>
      </c>
      <c r="B4337" s="3"/>
      <c r="C4337" s="3" t="str">
        <f>"Indiana state association (501-c-6) representing fire service professionals in Indiana. Offer training, networking, information and support to fire service professionals."</f>
        <v>Indiana state association (501-c-6) representing fire service professionals in Indiana. Offer training, networking, information and support to fire service professionals.</v>
      </c>
      <c r="D4337" s="3" t="s">
        <v>12964</v>
      </c>
      <c r="E4337" s="3" t="s">
        <v>12965</v>
      </c>
      <c r="F4337" s="3" t="str">
        <f>"317-856-1850"</f>
        <v>317-856-1850</v>
      </c>
      <c r="G4337" s="3">
        <v>813920</v>
      </c>
      <c r="H4337" s="3" t="s">
        <v>8755</v>
      </c>
    </row>
    <row r="4338" spans="1:8" ht="26.25" x14ac:dyDescent="0.25">
      <c r="A4338" s="3" t="s">
        <v>12966</v>
      </c>
      <c r="B4338" s="3"/>
      <c r="C4338" s="3" t="str">
        <f>"Nephrology Physicians &amp; Pulmonary Physicians in the State of Indiana"</f>
        <v>Nephrology Physicians &amp; Pulmonary Physicians in the State of Indiana</v>
      </c>
      <c r="D4338" s="3" t="s">
        <v>9</v>
      </c>
      <c r="E4338" s="3" t="s">
        <v>46</v>
      </c>
      <c r="F4338" s="2"/>
      <c r="G4338" s="3">
        <v>62</v>
      </c>
      <c r="H4338" s="3" t="s">
        <v>1168</v>
      </c>
    </row>
    <row r="4339" spans="1:8" ht="39" x14ac:dyDescent="0.25">
      <c r="A4339" s="3" t="s">
        <v>12967</v>
      </c>
      <c r="B4339" s="3"/>
      <c r="C4339" s="3" t="str">
        <f>"We are a rescource for Firefighters, via educational training, bookstore, and quality assurance for State Fire Certifications."</f>
        <v>We are a rescource for Firefighters, via educational training, bookstore, and quality assurance for State Fire Certifications.</v>
      </c>
      <c r="D4339" s="3" t="s">
        <v>12968</v>
      </c>
      <c r="E4339" s="3" t="s">
        <v>12969</v>
      </c>
      <c r="F4339" s="3" t="str">
        <f>"812-903-0103"</f>
        <v>812-903-0103</v>
      </c>
      <c r="G4339" s="3">
        <v>61</v>
      </c>
      <c r="H4339" s="3" t="s">
        <v>140</v>
      </c>
    </row>
    <row r="4340" spans="1:8" ht="26.25" x14ac:dyDescent="0.25">
      <c r="A4340" s="3" t="s">
        <v>12970</v>
      </c>
      <c r="B4340" s="3"/>
      <c r="C4340" s="3" t="str">
        <f>" "</f>
        <v xml:space="preserve"> </v>
      </c>
      <c r="D4340" s="3" t="s">
        <v>9</v>
      </c>
      <c r="E4340" s="3" t="s">
        <v>46</v>
      </c>
      <c r="F4340" s="2"/>
      <c r="G4340" s="3">
        <v>484220</v>
      </c>
      <c r="H4340" s="3" t="s">
        <v>11</v>
      </c>
    </row>
    <row r="4341" spans="1:8" ht="26.25" x14ac:dyDescent="0.25">
      <c r="A4341" s="3" t="s">
        <v>12970</v>
      </c>
      <c r="B4341" s="3"/>
      <c r="C4341" s="3" t="str">
        <f>" "</f>
        <v xml:space="preserve"> </v>
      </c>
      <c r="D4341" s="3" t="s">
        <v>12971</v>
      </c>
      <c r="E4341" s="3" t="s">
        <v>12972</v>
      </c>
      <c r="F4341" s="3" t="str">
        <f>"219.397.8819"</f>
        <v>219.397.8819</v>
      </c>
      <c r="G4341" s="3">
        <v>23</v>
      </c>
      <c r="H4341" s="3" t="s">
        <v>133</v>
      </c>
    </row>
    <row r="4342" spans="1:8" ht="90" x14ac:dyDescent="0.25">
      <c r="A4342" s="3" t="s">
        <v>12970</v>
      </c>
      <c r="B4342" s="3"/>
      <c r="C4342" s="3" t="str">
        <f>"AT Your Service is a Business Development servicing company. We sell a wide variety of goods and services, marketing/promotional items and invitations. Our target clients are churches, construction companies, government entities and individuals."</f>
        <v>AT Your Service is a Business Development servicing company. We sell a wide variety of goods and services, marketing/promotional items and invitations. Our target clients are churches, construction companies, government entities and individuals.</v>
      </c>
      <c r="D4342" s="3" t="s">
        <v>9</v>
      </c>
      <c r="E4342" s="3" t="s">
        <v>12973</v>
      </c>
      <c r="F4342" s="3" t="str">
        <f>"2196880704"</f>
        <v>2196880704</v>
      </c>
      <c r="G4342" s="3">
        <v>561</v>
      </c>
      <c r="H4342" s="3" t="s">
        <v>2836</v>
      </c>
    </row>
    <row r="4343" spans="1:8" ht="141" x14ac:dyDescent="0.25">
      <c r="A4343" s="3" t="s">
        <v>12970</v>
      </c>
      <c r="B4343" s="3"/>
      <c r="C4343" s="3" t="s">
        <v>12974</v>
      </c>
      <c r="D4343" s="3" t="s">
        <v>9</v>
      </c>
      <c r="E4343" s="3" t="s">
        <v>12975</v>
      </c>
      <c r="F4343" s="3" t="str">
        <f>"219941810"</f>
        <v>219941810</v>
      </c>
      <c r="G4343" s="3">
        <v>23</v>
      </c>
      <c r="H4343" s="3" t="s">
        <v>133</v>
      </c>
    </row>
    <row r="4344" spans="1:8" ht="153.75" x14ac:dyDescent="0.25">
      <c r="A4344" s="3" t="s">
        <v>12970</v>
      </c>
      <c r="B4344" s="3"/>
      <c r="C4344" s="3" t="s">
        <v>12976</v>
      </c>
      <c r="D4344" s="3" t="s">
        <v>9</v>
      </c>
      <c r="E4344" s="3" t="s">
        <v>46</v>
      </c>
      <c r="F4344" s="3" t="str">
        <f>"260-414-3692"</f>
        <v>260-414-3692</v>
      </c>
      <c r="G4344" s="3">
        <v>541611</v>
      </c>
      <c r="H4344" s="3" t="s">
        <v>278</v>
      </c>
    </row>
    <row r="4345" spans="1:8" ht="128.25" x14ac:dyDescent="0.25">
      <c r="A4345" s="3" t="s">
        <v>12970</v>
      </c>
      <c r="B4345" s="3"/>
      <c r="C4345" s="3" t="s">
        <v>12977</v>
      </c>
      <c r="D4345" s="3" t="s">
        <v>12978</v>
      </c>
      <c r="E4345" s="3" t="s">
        <v>12979</v>
      </c>
      <c r="F4345" s="3" t="str">
        <f>"260-489-8511"</f>
        <v>260-489-8511</v>
      </c>
      <c r="G4345" s="3">
        <v>561730</v>
      </c>
      <c r="H4345" s="3" t="s">
        <v>65</v>
      </c>
    </row>
    <row r="4346" spans="1:8" ht="64.5" x14ac:dyDescent="0.25">
      <c r="A4346" s="3" t="s">
        <v>12970</v>
      </c>
      <c r="B4346" s="3"/>
      <c r="C4346" s="3" t="str">
        <f>"Streak Free provides services of: housekeeping, detailed cleaning (move-in/out), construction clean-up, floor buffing, floor polishing, carpet cleaning, commercial cleaning"</f>
        <v>Streak Free provides services of: housekeeping, detailed cleaning (move-in/out), construction clean-up, floor buffing, floor polishing, carpet cleaning, commercial cleaning</v>
      </c>
      <c r="D4346" s="3" t="s">
        <v>9</v>
      </c>
      <c r="E4346" s="3" t="s">
        <v>12980</v>
      </c>
      <c r="F4346" s="3" t="str">
        <f>"317-414-8844"</f>
        <v>317-414-8844</v>
      </c>
      <c r="G4346" s="3">
        <v>561720</v>
      </c>
      <c r="H4346" s="3" t="s">
        <v>222</v>
      </c>
    </row>
    <row r="4347" spans="1:8" ht="90" x14ac:dyDescent="0.25">
      <c r="A4347" s="3" t="s">
        <v>12970</v>
      </c>
      <c r="B4347" s="3"/>
      <c r="C4347" s="3" t="s">
        <v>12981</v>
      </c>
      <c r="D4347" s="3" t="s">
        <v>12982</v>
      </c>
      <c r="E4347" s="3" t="s">
        <v>12983</v>
      </c>
      <c r="F4347" s="3" t="str">
        <f>"317-557-1945"</f>
        <v>317-557-1945</v>
      </c>
      <c r="G4347" s="3">
        <v>541890</v>
      </c>
      <c r="H4347" s="3" t="s">
        <v>401</v>
      </c>
    </row>
    <row r="4348" spans="1:8" ht="39" x14ac:dyDescent="0.25">
      <c r="A4348" s="3" t="s">
        <v>12970</v>
      </c>
      <c r="B4348" s="3"/>
      <c r="C4348" s="3" t="str">
        <f>"Distribution of Food, pharmacuetical, Cosmetic, Industrial chemicals and relates services"</f>
        <v>Distribution of Food, pharmacuetical, Cosmetic, Industrial chemicals and relates services</v>
      </c>
      <c r="D4348" s="3" t="s">
        <v>12115</v>
      </c>
      <c r="E4348" s="3" t="s">
        <v>12984</v>
      </c>
      <c r="F4348" s="3" t="str">
        <f>"317-591-0000"</f>
        <v>317-591-0000</v>
      </c>
      <c r="G4348" s="3">
        <v>42269</v>
      </c>
      <c r="H4348" s="3" t="s">
        <v>12117</v>
      </c>
    </row>
    <row r="4349" spans="1:8" ht="26.25" x14ac:dyDescent="0.25">
      <c r="A4349" s="3" t="s">
        <v>12970</v>
      </c>
      <c r="B4349" s="3"/>
      <c r="C4349" s="3" t="str">
        <f>"To help aged, chronically ill or disabled people get dental care."</f>
        <v>To help aged, chronically ill or disabled people get dental care.</v>
      </c>
      <c r="D4349" s="3" t="s">
        <v>12985</v>
      </c>
      <c r="E4349" s="3" t="s">
        <v>46</v>
      </c>
      <c r="F4349" s="3" t="str">
        <f>"317-631-6022"</f>
        <v>317-631-6022</v>
      </c>
      <c r="G4349" s="3">
        <v>813212</v>
      </c>
      <c r="H4349" s="3" t="s">
        <v>12986</v>
      </c>
    </row>
    <row r="4350" spans="1:8" ht="39" x14ac:dyDescent="0.25">
      <c r="A4350" s="3" t="s">
        <v>12970</v>
      </c>
      <c r="B4350" s="3"/>
      <c r="C4350" s="3" t="str">
        <f>"Mechanical Contracting, Plumbing and HVAC. Installation for new or remodel construction. Service Department."</f>
        <v>Mechanical Contracting, Plumbing and HVAC. Installation for new or remodel construction. Service Department.</v>
      </c>
      <c r="D4350" s="3" t="s">
        <v>12987</v>
      </c>
      <c r="E4350" s="3" t="s">
        <v>12988</v>
      </c>
      <c r="F4350" s="3" t="str">
        <f>"317-884-0010"</f>
        <v>317-884-0010</v>
      </c>
      <c r="G4350" s="3">
        <v>238220</v>
      </c>
      <c r="H4350" s="3" t="s">
        <v>348</v>
      </c>
    </row>
    <row r="4351" spans="1:8" ht="115.5" x14ac:dyDescent="0.25">
      <c r="A4351" s="3" t="s">
        <v>12970</v>
      </c>
      <c r="B4351" s="3"/>
      <c r="C4351" s="3" t="s">
        <v>12989</v>
      </c>
      <c r="D4351" s="3" t="s">
        <v>12990</v>
      </c>
      <c r="E4351" s="3" t="s">
        <v>46</v>
      </c>
      <c r="F4351" s="3" t="str">
        <f>"317-897-7320"</f>
        <v>317-897-7320</v>
      </c>
      <c r="G4351" s="3">
        <v>624310</v>
      </c>
      <c r="H4351" s="3" t="s">
        <v>488</v>
      </c>
    </row>
    <row r="4352" spans="1:8" ht="115.5" x14ac:dyDescent="0.25">
      <c r="A4352" s="3" t="s">
        <v>12970</v>
      </c>
      <c r="B4352" s="3"/>
      <c r="C4352" s="3" t="s">
        <v>12991</v>
      </c>
      <c r="D4352" s="3" t="s">
        <v>12992</v>
      </c>
      <c r="E4352" s="3" t="s">
        <v>12993</v>
      </c>
      <c r="F4352" s="3" t="str">
        <f>"317-917-4244"</f>
        <v>317-917-4244</v>
      </c>
      <c r="G4352" s="3">
        <v>541330</v>
      </c>
      <c r="H4352" s="3" t="s">
        <v>82</v>
      </c>
    </row>
    <row r="4353" spans="1:8" ht="39" x14ac:dyDescent="0.25">
      <c r="A4353" s="3" t="s">
        <v>12970</v>
      </c>
      <c r="B4353" s="3"/>
      <c r="C4353" s="3" t="str">
        <f>"Non profit entity to be an effective voice and vehicle for the social and economic advancement of African Americans"</f>
        <v>Non profit entity to be an effective voice and vehicle for the social and economic advancement of African Americans</v>
      </c>
      <c r="D4353" s="3" t="s">
        <v>12994</v>
      </c>
      <c r="E4353" s="3" t="s">
        <v>12995</v>
      </c>
      <c r="F4353" s="3" t="str">
        <f>"317-925-2702"</f>
        <v>317-925-2702</v>
      </c>
      <c r="G4353" s="3">
        <v>8133</v>
      </c>
      <c r="H4353" s="3" t="s">
        <v>5487</v>
      </c>
    </row>
    <row r="4354" spans="1:8" ht="243" x14ac:dyDescent="0.25">
      <c r="A4354" s="3" t="s">
        <v>12970</v>
      </c>
      <c r="B4354" s="3"/>
      <c r="C4354" s="3" t="s">
        <v>12996</v>
      </c>
      <c r="D4354" s="3" t="s">
        <v>9</v>
      </c>
      <c r="E4354" s="3" t="s">
        <v>46</v>
      </c>
      <c r="F4354" s="3" t="str">
        <f>"317/873-3383"</f>
        <v>317/873-3383</v>
      </c>
      <c r="G4354" s="3">
        <v>236220</v>
      </c>
      <c r="H4354" s="3" t="s">
        <v>598</v>
      </c>
    </row>
    <row r="4355" spans="1:8" ht="294" x14ac:dyDescent="0.25">
      <c r="A4355" s="3" t="s">
        <v>12970</v>
      </c>
      <c r="B4355" s="3"/>
      <c r="C4355" s="3" t="s">
        <v>12997</v>
      </c>
      <c r="D4355" s="3" t="s">
        <v>12998</v>
      </c>
      <c r="E4355" s="3" t="s">
        <v>12999</v>
      </c>
      <c r="F4355" s="3" t="str">
        <f>"3175757600"</f>
        <v>3175757600</v>
      </c>
      <c r="G4355" s="3">
        <v>6114</v>
      </c>
      <c r="H4355" s="3" t="s">
        <v>13000</v>
      </c>
    </row>
    <row r="4356" spans="1:8" ht="64.5" x14ac:dyDescent="0.25">
      <c r="A4356" s="3" t="s">
        <v>12970</v>
      </c>
      <c r="B4356" s="3"/>
      <c r="C4356" s="3" t="str">
        <f>"Cleland Environmental Engineering, Inc. primary focus is design engineering for water and wastewater facilities. The firm also performs drainage engineering and other environmental engineering services."</f>
        <v>Cleland Environmental Engineering, Inc. primary focus is design engineering for water and wastewater facilities. The firm also performs drainage engineering and other environmental engineering services.</v>
      </c>
      <c r="D4356" s="3" t="s">
        <v>9</v>
      </c>
      <c r="E4356" s="3" t="s">
        <v>13001</v>
      </c>
      <c r="F4356" s="3" t="str">
        <f>"3177330351"</f>
        <v>3177330351</v>
      </c>
      <c r="G4356" s="3">
        <v>541330</v>
      </c>
      <c r="H4356" s="3" t="s">
        <v>82</v>
      </c>
    </row>
    <row r="4357" spans="1:8" ht="306.75" x14ac:dyDescent="0.25">
      <c r="A4357" s="3" t="s">
        <v>12970</v>
      </c>
      <c r="B4357" s="3"/>
      <c r="C4357" s="3" t="s">
        <v>13002</v>
      </c>
      <c r="D4357" s="3" t="s">
        <v>13003</v>
      </c>
      <c r="E4357" s="3" t="s">
        <v>13004</v>
      </c>
      <c r="F4357" s="3" t="str">
        <f>"3179510000"</f>
        <v>3179510000</v>
      </c>
      <c r="G4357" s="3">
        <v>541320</v>
      </c>
      <c r="H4357" s="3" t="s">
        <v>2241</v>
      </c>
    </row>
    <row r="4358" spans="1:8" ht="51.75" x14ac:dyDescent="0.25">
      <c r="A4358" s="3" t="s">
        <v>12970</v>
      </c>
      <c r="B4358" s="3"/>
      <c r="C4358" s="3" t="str">
        <f>"Sanco Disributing Inc. sells. 1.Janitorial &amp; Maintenance Supplies 2.Lighting 3.Electrical 4.Plumbing 5.Hardware 6.Tools &amp; Equipment 7.Hvac 8.Paint 9.Office Supplies"</f>
        <v>Sanco Disributing Inc. sells. 1.Janitorial &amp; Maintenance Supplies 2.Lighting 3.Electrical 4.Plumbing 5.Hardware 6.Tools &amp; Equipment 7.Hvac 8.Paint 9.Office Supplies</v>
      </c>
      <c r="D4358" s="3" t="s">
        <v>13005</v>
      </c>
      <c r="E4358" s="3" t="s">
        <v>13006</v>
      </c>
      <c r="F4358" s="3" t="str">
        <f>"574-282-2810"</f>
        <v>574-282-2810</v>
      </c>
      <c r="G4358" s="3">
        <v>23511</v>
      </c>
      <c r="H4358" s="3" t="s">
        <v>892</v>
      </c>
    </row>
    <row r="4359" spans="1:8" ht="51.75" x14ac:dyDescent="0.25">
      <c r="A4359" s="3" t="s">
        <v>12970</v>
      </c>
      <c r="B4359" s="3"/>
      <c r="C4359" s="3" t="str">
        <f>"Provide assistance to non-profit organizations and local governments with affordable housing and community development projects."</f>
        <v>Provide assistance to non-profit organizations and local governments with affordable housing and community development projects.</v>
      </c>
      <c r="D4359" s="3" t="s">
        <v>13007</v>
      </c>
      <c r="E4359" s="3" t="s">
        <v>13008</v>
      </c>
      <c r="F4359" s="3" t="str">
        <f>"574-288-4369"</f>
        <v>574-288-4369</v>
      </c>
      <c r="G4359" s="3">
        <v>531390</v>
      </c>
      <c r="H4359" s="3" t="s">
        <v>623</v>
      </c>
    </row>
    <row r="4360" spans="1:8" ht="26.25" x14ac:dyDescent="0.25">
      <c r="A4360" s="3" t="s">
        <v>12970</v>
      </c>
      <c r="B4360" s="3"/>
      <c r="C4360" s="3" t="str">
        <f>"Engineering technical services company supporting DOD programs"</f>
        <v>Engineering technical services company supporting DOD programs</v>
      </c>
      <c r="D4360" s="3" t="s">
        <v>13009</v>
      </c>
      <c r="E4360" s="3" t="s">
        <v>13010</v>
      </c>
      <c r="F4360" s="3" t="str">
        <f>"812-277-0208"</f>
        <v>812-277-0208</v>
      </c>
      <c r="G4360" s="3">
        <v>541330</v>
      </c>
      <c r="H4360" s="3" t="s">
        <v>82</v>
      </c>
    </row>
    <row r="4361" spans="1:8" ht="179.25" x14ac:dyDescent="0.25">
      <c r="A4361" s="3" t="s">
        <v>12970</v>
      </c>
      <c r="B4361" s="3"/>
      <c r="C4361" s="3" t="s">
        <v>13011</v>
      </c>
      <c r="D4361" s="3" t="s">
        <v>6803</v>
      </c>
      <c r="E4361" s="3" t="s">
        <v>13012</v>
      </c>
      <c r="F4361" s="3" t="str">
        <f>"812-868-0709"</f>
        <v>812-868-0709</v>
      </c>
      <c r="G4361" s="3">
        <v>541620</v>
      </c>
      <c r="H4361" s="3" t="s">
        <v>216</v>
      </c>
    </row>
    <row r="4362" spans="1:8" ht="26.25" x14ac:dyDescent="0.25">
      <c r="A4362" s="3" t="s">
        <v>13013</v>
      </c>
      <c r="B4362" s="3"/>
      <c r="C4362" s="3" t="str">
        <f>"I sell various products and services to casinos"</f>
        <v>I sell various products and services to casinos</v>
      </c>
      <c r="D4362" s="3" t="s">
        <v>9</v>
      </c>
      <c r="E4362" s="3" t="s">
        <v>13014</v>
      </c>
      <c r="F4362" s="3" t="str">
        <f>"219-558-0107"</f>
        <v>219-558-0107</v>
      </c>
      <c r="G4362" s="3">
        <v>11</v>
      </c>
      <c r="H4362" s="3" t="s">
        <v>175</v>
      </c>
    </row>
    <row r="4363" spans="1:8" ht="217.5" x14ac:dyDescent="0.25">
      <c r="A4363" s="3" t="s">
        <v>13015</v>
      </c>
      <c r="B4363" s="3"/>
      <c r="C4363" s="3" t="s">
        <v>13016</v>
      </c>
      <c r="D4363" s="3" t="s">
        <v>13017</v>
      </c>
      <c r="E4363" s="3" t="s">
        <v>13018</v>
      </c>
      <c r="F4363" s="3" t="str">
        <f>"(888) 995-1522"</f>
        <v>(888) 995-1522</v>
      </c>
      <c r="G4363" s="3">
        <v>221119</v>
      </c>
      <c r="H4363" s="3" t="s">
        <v>12939</v>
      </c>
    </row>
    <row r="4364" spans="1:8" ht="243" x14ac:dyDescent="0.25">
      <c r="A4364" s="3" t="s">
        <v>13019</v>
      </c>
      <c r="B4364" s="3"/>
      <c r="C4364" s="3" t="s">
        <v>13020</v>
      </c>
      <c r="D4364" s="3" t="s">
        <v>13021</v>
      </c>
      <c r="E4364" s="3" t="s">
        <v>13022</v>
      </c>
      <c r="F4364" s="3" t="str">
        <f>"1 866 326 5687"</f>
        <v>1 866 326 5687</v>
      </c>
      <c r="G4364" s="3">
        <v>812990</v>
      </c>
      <c r="H4364" s="3" t="s">
        <v>294</v>
      </c>
    </row>
    <row r="4365" spans="1:8" ht="26.25" x14ac:dyDescent="0.25">
      <c r="A4365" s="3" t="s">
        <v>13023</v>
      </c>
      <c r="B4365" s="3"/>
      <c r="C4365" s="3" t="str">
        <f>"PRIVATE AUTOPSIES,RESEARCH,AND TISSUE PROCUREMENT."</f>
        <v>PRIVATE AUTOPSIES,RESEARCH,AND TISSUE PROCUREMENT.</v>
      </c>
      <c r="D4365" s="3" t="s">
        <v>13024</v>
      </c>
      <c r="E4365" s="3" t="s">
        <v>13025</v>
      </c>
      <c r="F4365" s="3" t="str">
        <f>"317-469-4856"</f>
        <v>317-469-4856</v>
      </c>
      <c r="G4365" s="3">
        <v>541990</v>
      </c>
      <c r="H4365" s="3" t="s">
        <v>378</v>
      </c>
    </row>
    <row r="4366" spans="1:8" ht="26.25" x14ac:dyDescent="0.25">
      <c r="A4366" s="3" t="s">
        <v>13026</v>
      </c>
      <c r="B4366" s="3"/>
      <c r="C4366" s="2"/>
      <c r="D4366" s="3" t="s">
        <v>13027</v>
      </c>
      <c r="E4366" s="3" t="s">
        <v>13028</v>
      </c>
      <c r="F4366" s="3" t="str">
        <f>"812.232.5190"</f>
        <v>812.232.5190</v>
      </c>
      <c r="G4366" s="3">
        <v>81331</v>
      </c>
      <c r="H4366" s="3" t="s">
        <v>5487</v>
      </c>
    </row>
    <row r="4367" spans="1:8" ht="39" x14ac:dyDescent="0.25">
      <c r="A4367" s="3" t="s">
        <v>13029</v>
      </c>
      <c r="B4367" s="3"/>
      <c r="C4367" s="3" t="str">
        <f>"Residential and treatment services to persons with developmental disabilities, mental retardation and/or mental illness"</f>
        <v>Residential and treatment services to persons with developmental disabilities, mental retardation and/or mental illness</v>
      </c>
      <c r="D4367" s="3" t="s">
        <v>13030</v>
      </c>
      <c r="E4367" s="3" t="s">
        <v>46</v>
      </c>
      <c r="F4367" s="2"/>
      <c r="G4367" s="3">
        <v>623210</v>
      </c>
      <c r="H4367" s="3" t="s">
        <v>5236</v>
      </c>
    </row>
    <row r="4368" spans="1:8" ht="26.25" x14ac:dyDescent="0.25">
      <c r="A4368" s="3" t="s">
        <v>13031</v>
      </c>
      <c r="B4368" s="3"/>
      <c r="C4368" s="3" t="str">
        <f>"Mental health disability determination consultants for the State of Indiana."</f>
        <v>Mental health disability determination consultants for the State of Indiana.</v>
      </c>
      <c r="D4368" s="3" t="s">
        <v>9</v>
      </c>
      <c r="E4368" s="3" t="s">
        <v>46</v>
      </c>
      <c r="F4368" s="2"/>
      <c r="G4368" s="3">
        <v>923120</v>
      </c>
      <c r="H4368" s="3" t="s">
        <v>611</v>
      </c>
    </row>
    <row r="4369" spans="1:8" ht="26.25" x14ac:dyDescent="0.25">
      <c r="A4369" s="3" t="s">
        <v>13032</v>
      </c>
      <c r="B4369" s="3"/>
      <c r="C4369" s="3" t="str">
        <f>"INSTALLATION AND SERVICE OF AUTOMATIC DOORS"</f>
        <v>INSTALLATION AND SERVICE OF AUTOMATIC DOORS</v>
      </c>
      <c r="D4369" s="3" t="s">
        <v>9</v>
      </c>
      <c r="E4369" s="3" t="s">
        <v>13033</v>
      </c>
      <c r="F4369" s="3" t="str">
        <f>"317-782-9191"</f>
        <v>317-782-9191</v>
      </c>
      <c r="G4369" s="3">
        <v>238290</v>
      </c>
      <c r="H4369" s="3" t="s">
        <v>237</v>
      </c>
    </row>
    <row r="4370" spans="1:8" ht="192" x14ac:dyDescent="0.25">
      <c r="A4370" s="3" t="s">
        <v>13034</v>
      </c>
      <c r="B4370" s="3"/>
      <c r="C4370" s="3" t="s">
        <v>13035</v>
      </c>
      <c r="D4370" s="3" t="s">
        <v>9</v>
      </c>
      <c r="E4370" s="3" t="s">
        <v>13036</v>
      </c>
      <c r="F4370" s="3" t="str">
        <f>"(317)823-2474"</f>
        <v>(317)823-2474</v>
      </c>
      <c r="G4370" s="3">
        <v>561310</v>
      </c>
      <c r="H4370" s="3" t="s">
        <v>1720</v>
      </c>
    </row>
    <row r="4371" spans="1:8" ht="64.5" x14ac:dyDescent="0.25">
      <c r="A4371" s="3" t="s">
        <v>13037</v>
      </c>
      <c r="B4371" s="3"/>
      <c r="C4371" s="3" t="str">
        <f>"Indiana Filter Supply, Inc. is a family owned Indiana based business. We are a manufacturers rep for Airguard Industries and sell all types of air filtration (HVAC)products."</f>
        <v>Indiana Filter Supply, Inc. is a family owned Indiana based business. We are a manufacturers rep for Airguard Industries and sell all types of air filtration (HVAC)products.</v>
      </c>
      <c r="D4371" s="3" t="s">
        <v>13038</v>
      </c>
      <c r="E4371" s="3" t="s">
        <v>13039</v>
      </c>
      <c r="F4371" s="3" t="str">
        <f>"317-788-2897"</f>
        <v>317-788-2897</v>
      </c>
      <c r="G4371" s="3">
        <v>4237</v>
      </c>
      <c r="H4371" s="3" t="s">
        <v>245</v>
      </c>
    </row>
    <row r="4372" spans="1:8" ht="39" x14ac:dyDescent="0.25">
      <c r="A4372" s="3" t="s">
        <v>13040</v>
      </c>
      <c r="B4372" s="3"/>
      <c r="C4372" s="3" t="str">
        <f>"We are an office furniture manufacturer including office desks, seating and conference room products."</f>
        <v>We are an office furniture manufacturer including office desks, seating and conference room products.</v>
      </c>
      <c r="D4372" s="3" t="s">
        <v>13041</v>
      </c>
      <c r="E4372" s="3" t="s">
        <v>13042</v>
      </c>
      <c r="F4372" s="3" t="str">
        <f>"800-422-5727"</f>
        <v>800-422-5727</v>
      </c>
      <c r="G4372" s="3">
        <v>337211</v>
      </c>
      <c r="H4372" s="3" t="s">
        <v>12624</v>
      </c>
    </row>
    <row r="4373" spans="1:8" ht="141" x14ac:dyDescent="0.25">
      <c r="A4373" s="3" t="s">
        <v>13043</v>
      </c>
      <c r="B4373" s="3"/>
      <c r="C4373" s="3" t="s">
        <v>13044</v>
      </c>
      <c r="D4373" s="3" t="s">
        <v>13045</v>
      </c>
      <c r="E4373" s="3" t="s">
        <v>13046</v>
      </c>
      <c r="F4373" s="3" t="str">
        <f>"317-984-9339"</f>
        <v>317-984-9339</v>
      </c>
      <c r="G4373" s="3">
        <v>44</v>
      </c>
      <c r="H4373" s="3" t="s">
        <v>574</v>
      </c>
    </row>
    <row r="4374" spans="1:8" ht="51.75" x14ac:dyDescent="0.25">
      <c r="A4374" s="3" t="s">
        <v>13047</v>
      </c>
      <c r="B4374" s="3"/>
      <c r="C4374" s="3" t="str">
        <f>"We sell and rent Agricultural Irrigation. Including Pipe (and Fittings), Pumps, Sprinklers, Water Reels, T-L Center Pivots, Plastic Mulch, Drip Tube and Fittings, etc."</f>
        <v>We sell and rent Agricultural Irrigation. Including Pipe (and Fittings), Pumps, Sprinklers, Water Reels, T-L Center Pivots, Plastic Mulch, Drip Tube and Fittings, etc.</v>
      </c>
      <c r="D4374" s="3" t="s">
        <v>13048</v>
      </c>
      <c r="E4374" s="3" t="s">
        <v>13049</v>
      </c>
      <c r="F4374" s="3" t="str">
        <f>"574-626-3398"</f>
        <v>574-626-3398</v>
      </c>
      <c r="G4374" s="3">
        <v>423990</v>
      </c>
      <c r="H4374" s="3" t="s">
        <v>983</v>
      </c>
    </row>
    <row r="4375" spans="1:8" ht="64.5" x14ac:dyDescent="0.25">
      <c r="A4375" s="3" t="s">
        <v>13050</v>
      </c>
      <c r="B4375" s="3"/>
      <c r="C4375" s="3" t="str">
        <f>"The Mission of the Indiana Juvenile Justice Task Force, Inc. is to Impact Systems and Policies so as to Ensure the Well-Being of Youth and Families Involved in the Juvenile Justice System Across Indiana."</f>
        <v>The Mission of the Indiana Juvenile Justice Task Force, Inc. is to Impact Systems and Policies so as to Ensure the Well-Being of Youth and Families Involved in the Juvenile Justice System Across Indiana.</v>
      </c>
      <c r="D4375" s="3" t="s">
        <v>13051</v>
      </c>
      <c r="E4375" s="3" t="s">
        <v>13052</v>
      </c>
      <c r="F4375" s="3" t="str">
        <f>"3179266100"</f>
        <v>3179266100</v>
      </c>
      <c r="G4375" s="3">
        <v>624110</v>
      </c>
      <c r="H4375" s="3" t="s">
        <v>628</v>
      </c>
    </row>
    <row r="4376" spans="1:8" ht="319.5" x14ac:dyDescent="0.25">
      <c r="A4376" s="3" t="s">
        <v>13053</v>
      </c>
      <c r="B4376" s="3"/>
      <c r="C4376" s="3" t="s">
        <v>13054</v>
      </c>
      <c r="D4376" s="3" t="s">
        <v>13055</v>
      </c>
      <c r="E4376" s="3" t="s">
        <v>13056</v>
      </c>
      <c r="F4376" s="3" t="str">
        <f>"3174721055"</f>
        <v>3174721055</v>
      </c>
      <c r="G4376" s="3">
        <v>813</v>
      </c>
      <c r="H4376" s="3" t="s">
        <v>13057</v>
      </c>
    </row>
    <row r="4377" spans="1:8" ht="128.25" x14ac:dyDescent="0.25">
      <c r="A4377" s="3" t="s">
        <v>13058</v>
      </c>
      <c r="B4377" s="3"/>
      <c r="C4377" s="3" t="s">
        <v>13059</v>
      </c>
      <c r="D4377" s="3" t="s">
        <v>13060</v>
      </c>
      <c r="E4377" s="3" t="s">
        <v>13061</v>
      </c>
      <c r="F4377" s="3" t="str">
        <f>"812-257-0499"</f>
        <v>812-257-0499</v>
      </c>
      <c r="G4377" s="3">
        <v>423840</v>
      </c>
      <c r="H4377" s="3" t="s">
        <v>553</v>
      </c>
    </row>
    <row r="4378" spans="1:8" ht="26.25" x14ac:dyDescent="0.25">
      <c r="A4378" s="3" t="s">
        <v>13062</v>
      </c>
      <c r="B4378" s="3"/>
      <c r="C4378" s="3" t="str">
        <f>"Steel Sales,Consulting Service,Project Management,Construction Services"</f>
        <v>Steel Sales,Consulting Service,Project Management,Construction Services</v>
      </c>
      <c r="D4378" s="3" t="s">
        <v>13063</v>
      </c>
      <c r="E4378" s="3" t="s">
        <v>13064</v>
      </c>
      <c r="F4378" s="3" t="str">
        <f>"2193977692"</f>
        <v>2193977692</v>
      </c>
      <c r="G4378" s="3">
        <v>331111</v>
      </c>
      <c r="H4378" s="3" t="s">
        <v>13065</v>
      </c>
    </row>
    <row r="4379" spans="1:8" ht="26.25" x14ac:dyDescent="0.25">
      <c r="A4379" s="3" t="s">
        <v>13066</v>
      </c>
      <c r="B4379" s="3"/>
      <c r="C4379" s="3" t="str">
        <f>"HVAC MANUFACTURERS REPS."</f>
        <v>HVAC MANUFACTURERS REPS.</v>
      </c>
      <c r="D4379" s="3" t="s">
        <v>13067</v>
      </c>
      <c r="E4379" s="3" t="s">
        <v>46</v>
      </c>
      <c r="F4379" s="3" t="str">
        <f>"317-570-5400"</f>
        <v>317-570-5400</v>
      </c>
      <c r="G4379" s="3">
        <v>23331</v>
      </c>
      <c r="H4379" s="3" t="s">
        <v>5828</v>
      </c>
    </row>
    <row r="4380" spans="1:8" ht="39" x14ac:dyDescent="0.25">
      <c r="A4380" s="3" t="s">
        <v>13068</v>
      </c>
      <c r="B4380" s="3"/>
      <c r="C4380" s="3" t="str">
        <f>"Private refuse company, all income made in Indiana. All employees paid in Indiana. All employess residents of Indiana"</f>
        <v>Private refuse company, all income made in Indiana. All employees paid in Indiana. All employess residents of Indiana</v>
      </c>
      <c r="D4380" s="3" t="s">
        <v>9</v>
      </c>
      <c r="E4380" s="3" t="s">
        <v>13069</v>
      </c>
      <c r="F4380" s="3" t="str">
        <f>"574-583-7949"</f>
        <v>574-583-7949</v>
      </c>
      <c r="G4380" s="3">
        <v>562111</v>
      </c>
      <c r="H4380" s="3" t="s">
        <v>1818</v>
      </c>
    </row>
    <row r="4381" spans="1:8" ht="64.5" x14ac:dyDescent="0.25">
      <c r="A4381" s="3" t="s">
        <v>13070</v>
      </c>
      <c r="B4381" s="3"/>
      <c r="C4381" s="3" t="str">
        <f>"container and related items. manufacturers, distributors and factory reps. . plastic, glass &amp; metal bottles, can, pails and drums from 1/4oz to 55 gallon. Also, full line of lab ware and dispensing products"</f>
        <v>container and related items. manufacturers, distributors and factory reps. . plastic, glass &amp; metal bottles, can, pails and drums from 1/4oz to 55 gallon. Also, full line of lab ware and dispensing products</v>
      </c>
      <c r="D4381" s="3" t="s">
        <v>13071</v>
      </c>
      <c r="E4381" s="3" t="s">
        <v>13072</v>
      </c>
      <c r="F4381" s="3" t="str">
        <f>"317-580-5000"</f>
        <v>317-580-5000</v>
      </c>
      <c r="G4381" s="3">
        <v>424990</v>
      </c>
      <c r="H4381" s="3" t="s">
        <v>1019</v>
      </c>
    </row>
    <row r="4382" spans="1:8" ht="64.5" x14ac:dyDescent="0.25">
      <c r="A4382" s="3" t="s">
        <v>13073</v>
      </c>
      <c r="B4382" s="3"/>
      <c r="C4382" s="3" t="str">
        <f>"WE ARE A PLUMBING WHOLESALER THAT PROVIDES PLUMBING AND HEATING CONTRACTORS, MUNICIPALITIES, HOSPITALITIY, HOSPITALS, AND OTHER BUSINESSES WITH PLUMBING SUPPLIES."</f>
        <v>WE ARE A PLUMBING WHOLESALER THAT PROVIDES PLUMBING AND HEATING CONTRACTORS, MUNICIPALITIES, HOSPITALITIY, HOSPITALS, AND OTHER BUSINESSES WITH PLUMBING SUPPLIES.</v>
      </c>
      <c r="D4382" s="3" t="s">
        <v>13074</v>
      </c>
      <c r="E4382" s="3" t="s">
        <v>13075</v>
      </c>
      <c r="F4382" s="3" t="str">
        <f>"317-273-6365"</f>
        <v>317-273-6365</v>
      </c>
      <c r="G4382" s="3">
        <v>423720</v>
      </c>
      <c r="H4382" s="3" t="s">
        <v>2695</v>
      </c>
    </row>
    <row r="4383" spans="1:8" ht="166.5" x14ac:dyDescent="0.25">
      <c r="A4383" s="3" t="s">
        <v>13076</v>
      </c>
      <c r="B4383" s="3"/>
      <c r="C4383" s="3" t="s">
        <v>13077</v>
      </c>
      <c r="D4383" s="3" t="s">
        <v>9</v>
      </c>
      <c r="E4383" s="3" t="s">
        <v>13078</v>
      </c>
      <c r="F4383" s="3" t="str">
        <f>"317-541-1100"</f>
        <v>317-541-1100</v>
      </c>
      <c r="G4383" s="3">
        <v>325520</v>
      </c>
      <c r="H4383" s="3" t="s">
        <v>13079</v>
      </c>
    </row>
    <row r="4384" spans="1:8" ht="26.25" x14ac:dyDescent="0.25">
      <c r="A4384" s="3" t="s">
        <v>13080</v>
      </c>
      <c r="B4384" s="3"/>
      <c r="C4384" s="3" t="str">
        <f>"Indy EIFS Supply Inc. is a distributor for building materials."</f>
        <v>Indy EIFS Supply Inc. is a distributor for building materials.</v>
      </c>
      <c r="D4384" s="3" t="s">
        <v>9</v>
      </c>
      <c r="E4384" s="3" t="s">
        <v>13081</v>
      </c>
      <c r="F4384" s="3" t="str">
        <f>"317-872-7100"</f>
        <v>317-872-7100</v>
      </c>
      <c r="G4384" s="3">
        <v>444190</v>
      </c>
      <c r="H4384" s="3" t="s">
        <v>1188</v>
      </c>
    </row>
    <row r="4385" spans="1:8" ht="26.25" x14ac:dyDescent="0.25">
      <c r="A4385" s="3" t="s">
        <v>13082</v>
      </c>
      <c r="B4385" s="3"/>
      <c r="C4385" s="3" t="str">
        <f>"This company is a Women Owned business we deal with Firestop and Insulation."</f>
        <v>This company is a Women Owned business we deal with Firestop and Insulation.</v>
      </c>
      <c r="D4385" s="3" t="s">
        <v>9</v>
      </c>
      <c r="E4385" s="3" t="s">
        <v>13083</v>
      </c>
      <c r="F4385" s="3" t="str">
        <f>"(317) 679-3629"</f>
        <v>(317) 679-3629</v>
      </c>
      <c r="G4385" s="3">
        <v>236220</v>
      </c>
      <c r="H4385" s="3" t="s">
        <v>598</v>
      </c>
    </row>
    <row r="4386" spans="1:8" ht="166.5" x14ac:dyDescent="0.25">
      <c r="A4386" s="3" t="s">
        <v>13084</v>
      </c>
      <c r="B4386" s="3"/>
      <c r="C4386" s="3" t="s">
        <v>13085</v>
      </c>
      <c r="D4386" s="3" t="s">
        <v>13086</v>
      </c>
      <c r="E4386" s="3" t="s">
        <v>13087</v>
      </c>
      <c r="F4386" s="3" t="str">
        <f>"(317) 844-0033"</f>
        <v>(317) 844-0033</v>
      </c>
      <c r="G4386" s="3">
        <v>423420</v>
      </c>
      <c r="H4386" s="3" t="s">
        <v>521</v>
      </c>
    </row>
    <row r="4387" spans="1:8" ht="153.75" x14ac:dyDescent="0.25">
      <c r="A4387" s="3" t="s">
        <v>13088</v>
      </c>
      <c r="B4387" s="3"/>
      <c r="C4387" s="3" t="s">
        <v>13089</v>
      </c>
      <c r="D4387" s="3" t="s">
        <v>9</v>
      </c>
      <c r="E4387" s="3" t="s">
        <v>13090</v>
      </c>
      <c r="F4387" s="3" t="str">
        <f>"765.649.8399"</f>
        <v>765.649.8399</v>
      </c>
      <c r="G4387" s="3">
        <v>7223</v>
      </c>
      <c r="H4387" s="3" t="s">
        <v>13091</v>
      </c>
    </row>
    <row r="4388" spans="1:8" ht="128.25" x14ac:dyDescent="0.25">
      <c r="A4388" s="3" t="s">
        <v>13092</v>
      </c>
      <c r="B4388" s="3"/>
      <c r="C4388" s="3" t="s">
        <v>13093</v>
      </c>
      <c r="D4388" s="3" t="s">
        <v>9</v>
      </c>
      <c r="E4388" s="3" t="s">
        <v>13094</v>
      </c>
      <c r="F4388" s="3" t="str">
        <f>"1-800-653-8656"</f>
        <v>1-800-653-8656</v>
      </c>
      <c r="G4388" s="3">
        <v>453210</v>
      </c>
      <c r="H4388" s="3" t="s">
        <v>431</v>
      </c>
    </row>
    <row r="4389" spans="1:8" ht="319.5" x14ac:dyDescent="0.25">
      <c r="A4389" s="3" t="s">
        <v>13095</v>
      </c>
      <c r="B4389" s="3"/>
      <c r="C4389" s="3" t="s">
        <v>13096</v>
      </c>
      <c r="D4389" s="3" t="s">
        <v>13097</v>
      </c>
      <c r="E4389" s="3" t="s">
        <v>13098</v>
      </c>
      <c r="F4389" s="3" t="str">
        <f>"317-213-3997"</f>
        <v>317-213-3997</v>
      </c>
      <c r="G4389" s="3">
        <v>541370</v>
      </c>
      <c r="H4389" s="3" t="s">
        <v>160</v>
      </c>
    </row>
    <row r="4390" spans="1:8" ht="179.25" x14ac:dyDescent="0.25">
      <c r="A4390" s="3" t="s">
        <v>13099</v>
      </c>
      <c r="B4390" s="3"/>
      <c r="C4390" s="3" t="s">
        <v>13100</v>
      </c>
      <c r="D4390" s="3" t="s">
        <v>13101</v>
      </c>
      <c r="E4390" s="3" t="s">
        <v>13102</v>
      </c>
      <c r="F4390" s="3" t="str">
        <f>"317-569-4400"</f>
        <v>317-569-4400</v>
      </c>
      <c r="G4390" s="3">
        <v>5415</v>
      </c>
      <c r="H4390" s="3" t="s">
        <v>188</v>
      </c>
    </row>
    <row r="4391" spans="1:8" ht="268.5" x14ac:dyDescent="0.25">
      <c r="A4391" s="3" t="s">
        <v>13103</v>
      </c>
      <c r="B4391" s="3"/>
      <c r="C4391" s="3" t="s">
        <v>13104</v>
      </c>
      <c r="D4391" s="3" t="s">
        <v>13105</v>
      </c>
      <c r="E4391" s="3" t="s">
        <v>13106</v>
      </c>
      <c r="F4391" s="3" t="str">
        <f>"317-252-5630"</f>
        <v>317-252-5630</v>
      </c>
      <c r="G4391" s="3">
        <v>54161</v>
      </c>
      <c r="H4391" s="3" t="s">
        <v>1221</v>
      </c>
    </row>
    <row r="4392" spans="1:8" ht="64.5" x14ac:dyDescent="0.25">
      <c r="A4392" s="3" t="s">
        <v>13107</v>
      </c>
      <c r="B4392" s="3"/>
      <c r="C4392" s="3" t="str">
        <f>"InstrucTech LLC is a consulting firm specializing in human resources consulting, business management, and educational support services to government, commercial, and non-profit organizations."</f>
        <v>InstrucTech LLC is a consulting firm specializing in human resources consulting, business management, and educational support services to government, commercial, and non-profit organizations.</v>
      </c>
      <c r="D4392" s="3" t="s">
        <v>13108</v>
      </c>
      <c r="E4392" s="3" t="s">
        <v>13109</v>
      </c>
      <c r="F4392" s="3" t="str">
        <f>"888.707.5036"</f>
        <v>888.707.5036</v>
      </c>
      <c r="G4392" s="3">
        <v>611430</v>
      </c>
      <c r="H4392" s="3" t="s">
        <v>1224</v>
      </c>
    </row>
    <row r="4393" spans="1:8" ht="128.25" x14ac:dyDescent="0.25">
      <c r="A4393" s="3" t="s">
        <v>13110</v>
      </c>
      <c r="B4393" s="3"/>
      <c r="C4393" s="3" t="s">
        <v>13111</v>
      </c>
      <c r="D4393" s="3" t="s">
        <v>13112</v>
      </c>
      <c r="E4393" s="3" t="s">
        <v>13113</v>
      </c>
      <c r="F4393" s="3" t="str">
        <f>"219-939-5000"</f>
        <v>219-939-5000</v>
      </c>
      <c r="G4393" s="3">
        <v>562</v>
      </c>
      <c r="H4393" s="3" t="s">
        <v>2798</v>
      </c>
    </row>
    <row r="4394" spans="1:8" ht="26.25" x14ac:dyDescent="0.25">
      <c r="A4394" s="3" t="s">
        <v>13114</v>
      </c>
      <c r="B4394" s="3"/>
      <c r="C4394" s="3" t="str">
        <f>"Architecture, Interior Design and Graphic Design (digital 3D visualisation)"</f>
        <v>Architecture, Interior Design and Graphic Design (digital 3D visualisation)</v>
      </c>
      <c r="D4394" s="3" t="s">
        <v>13115</v>
      </c>
      <c r="E4394" s="3" t="s">
        <v>13116</v>
      </c>
      <c r="F4394" s="3" t="str">
        <f>"(317) 603-2056"</f>
        <v>(317) 603-2056</v>
      </c>
      <c r="G4394" s="3">
        <v>541310</v>
      </c>
      <c r="H4394" s="3" t="s">
        <v>446</v>
      </c>
    </row>
    <row r="4395" spans="1:8" ht="90" x14ac:dyDescent="0.25">
      <c r="A4395" s="3" t="s">
        <v>13117</v>
      </c>
      <c r="B4395" s="3"/>
      <c r="C4395" s="3" t="s">
        <v>13118</v>
      </c>
      <c r="D4395" s="3" t="s">
        <v>13119</v>
      </c>
      <c r="E4395" s="3" t="s">
        <v>13120</v>
      </c>
      <c r="F4395" s="3" t="str">
        <f>"1-317-845-9382"</f>
        <v>1-317-845-9382</v>
      </c>
      <c r="G4395" s="3">
        <v>32311</v>
      </c>
      <c r="H4395" s="3" t="s">
        <v>531</v>
      </c>
    </row>
    <row r="4396" spans="1:8" ht="115.5" x14ac:dyDescent="0.25">
      <c r="A4396" s="3" t="s">
        <v>13121</v>
      </c>
      <c r="B4396" s="3"/>
      <c r="C4396" s="3" t="s">
        <v>13122</v>
      </c>
      <c r="D4396" s="3" t="s">
        <v>13123</v>
      </c>
      <c r="E4396" s="3" t="s">
        <v>46</v>
      </c>
      <c r="F4396" s="3" t="str">
        <f>"765-463-7111"</f>
        <v>765-463-7111</v>
      </c>
      <c r="G4396" s="3">
        <v>621610</v>
      </c>
      <c r="H4396" s="3" t="s">
        <v>328</v>
      </c>
    </row>
    <row r="4397" spans="1:8" ht="115.5" x14ac:dyDescent="0.25">
      <c r="A4397" s="3" t="s">
        <v>13124</v>
      </c>
      <c r="B4397" s="3"/>
      <c r="C4397" s="3" t="s">
        <v>13125</v>
      </c>
      <c r="D4397" s="3" t="s">
        <v>13126</v>
      </c>
      <c r="E4397" s="3" t="s">
        <v>13127</v>
      </c>
      <c r="F4397" s="3" t="str">
        <f>"317-336-7423"</f>
        <v>317-336-7423</v>
      </c>
      <c r="G4397" s="3">
        <v>561320</v>
      </c>
      <c r="H4397" s="3" t="s">
        <v>15</v>
      </c>
    </row>
    <row r="4398" spans="1:8" ht="26.25" x14ac:dyDescent="0.25">
      <c r="A4398" s="3" t="s">
        <v>13128</v>
      </c>
      <c r="B4398" s="3"/>
      <c r="C4398" s="3" t="str">
        <f>"Systems integration"</f>
        <v>Systems integration</v>
      </c>
      <c r="D4398" s="3" t="s">
        <v>13129</v>
      </c>
      <c r="E4398" s="3" t="s">
        <v>13130</v>
      </c>
      <c r="F4398" s="3" t="str">
        <f>"260-459-8800"</f>
        <v>260-459-8800</v>
      </c>
      <c r="G4398" s="3">
        <v>541519</v>
      </c>
      <c r="H4398" s="3" t="s">
        <v>898</v>
      </c>
    </row>
    <row r="4399" spans="1:8" ht="115.5" x14ac:dyDescent="0.25">
      <c r="A4399" s="3" t="s">
        <v>13131</v>
      </c>
      <c r="B4399" s="3"/>
      <c r="C4399" s="3" t="s">
        <v>13132</v>
      </c>
      <c r="D4399" s="3" t="s">
        <v>486</v>
      </c>
      <c r="E4399" s="3" t="s">
        <v>13133</v>
      </c>
      <c r="F4399" s="3" t="str">
        <f>"812-949-8696"</f>
        <v>812-949-8696</v>
      </c>
      <c r="G4399" s="3">
        <v>4214</v>
      </c>
      <c r="H4399" s="3" t="s">
        <v>13134</v>
      </c>
    </row>
    <row r="4400" spans="1:8" ht="141" x14ac:dyDescent="0.25">
      <c r="A4400" s="3" t="s">
        <v>13135</v>
      </c>
      <c r="B4400" s="3"/>
      <c r="C4400" s="3" t="s">
        <v>13136</v>
      </c>
      <c r="D4400" s="3" t="s">
        <v>13137</v>
      </c>
      <c r="E4400" s="3" t="s">
        <v>13138</v>
      </c>
      <c r="F4400" s="3" t="str">
        <f>"317 546 6400"</f>
        <v>317 546 6400</v>
      </c>
      <c r="G4400" s="3">
        <v>4213</v>
      </c>
      <c r="H4400" s="3" t="s">
        <v>1301</v>
      </c>
    </row>
    <row r="4401" spans="1:8" ht="64.5" x14ac:dyDescent="0.25">
      <c r="A4401" s="3" t="s">
        <v>13139</v>
      </c>
      <c r="B4401" s="3"/>
      <c r="C4401" s="3" t="str">
        <f>"Complete environmental services with emphasis on hazardous and non-hazardous waste management, transportation, and PROPER disposal. Consulting, contracting, remediation, and training services."</f>
        <v>Complete environmental services with emphasis on hazardous and non-hazardous waste management, transportation, and PROPER disposal. Consulting, contracting, remediation, and training services.</v>
      </c>
      <c r="D4401" s="3" t="s">
        <v>13140</v>
      </c>
      <c r="E4401" s="3" t="s">
        <v>13141</v>
      </c>
      <c r="F4401" s="3" t="str">
        <f>"812-925-3610"</f>
        <v>812-925-3610</v>
      </c>
      <c r="G4401" s="3">
        <v>562112</v>
      </c>
      <c r="H4401" s="3" t="s">
        <v>11471</v>
      </c>
    </row>
    <row r="4402" spans="1:8" ht="192" x14ac:dyDescent="0.25">
      <c r="A4402" s="3" t="s">
        <v>13142</v>
      </c>
      <c r="B4402" s="3"/>
      <c r="C4402" s="3" t="s">
        <v>13143</v>
      </c>
      <c r="D4402" s="3" t="s">
        <v>13144</v>
      </c>
      <c r="E4402" s="3" t="s">
        <v>13145</v>
      </c>
      <c r="F4402" s="3" t="str">
        <f>"5742502400"</f>
        <v>5742502400</v>
      </c>
      <c r="G4402" s="3">
        <v>561720</v>
      </c>
      <c r="H4402" s="3" t="s">
        <v>222</v>
      </c>
    </row>
    <row r="4403" spans="1:8" ht="51.75" x14ac:dyDescent="0.25">
      <c r="A4403" s="3" t="s">
        <v>13146</v>
      </c>
      <c r="B4403" s="3"/>
      <c r="C4403" s="3" t="str">
        <f>"Your source for welding supplies and industrial gases. Serving you from Indianapolis, Terre Haute, Evansville and Lafayette."</f>
        <v>Your source for welding supplies and industrial gases. Serving you from Indianapolis, Terre Haute, Evansville and Lafayette.</v>
      </c>
      <c r="D4403" s="3" t="s">
        <v>13147</v>
      </c>
      <c r="E4403" s="3" t="s">
        <v>13148</v>
      </c>
      <c r="F4403" s="3" t="str">
        <f>"317-248-0651"</f>
        <v>317-248-0651</v>
      </c>
      <c r="G4403" s="3">
        <v>424690</v>
      </c>
      <c r="H4403" s="3" t="s">
        <v>2494</v>
      </c>
    </row>
    <row r="4404" spans="1:8" ht="39" x14ac:dyDescent="0.25">
      <c r="A4404" s="3" t="s">
        <v>13149</v>
      </c>
      <c r="B4404" s="3"/>
      <c r="C4404" s="3" t="str">
        <f>"IPN provides perinatal health education services to perinatal providers and consumers."</f>
        <v>IPN provides perinatal health education services to perinatal providers and consumers.</v>
      </c>
      <c r="D4404" s="3" t="s">
        <v>13150</v>
      </c>
      <c r="E4404" s="3" t="s">
        <v>13151</v>
      </c>
      <c r="F4404" s="3" t="str">
        <f>"317-924-0825"</f>
        <v>317-924-0825</v>
      </c>
      <c r="G4404" s="3">
        <v>62411</v>
      </c>
      <c r="H4404" s="3" t="s">
        <v>628</v>
      </c>
    </row>
    <row r="4405" spans="1:8" ht="26.25" x14ac:dyDescent="0.25">
      <c r="A4405" s="3" t="s">
        <v>13152</v>
      </c>
      <c r="B4405" s="3"/>
      <c r="C4405" s="3" t="str">
        <f>"IQE supplies metal forging, metal casting, and plastic injection molding."</f>
        <v>IQE supplies metal forging, metal casting, and plastic injection molding.</v>
      </c>
      <c r="D4405" s="3" t="s">
        <v>13153</v>
      </c>
      <c r="E4405" s="3" t="s">
        <v>13154</v>
      </c>
      <c r="F4405" s="3" t="str">
        <f>"317-6527894"</f>
        <v>317-6527894</v>
      </c>
      <c r="G4405" s="3">
        <v>332111</v>
      </c>
      <c r="H4405" s="3" t="s">
        <v>13155</v>
      </c>
    </row>
    <row r="4406" spans="1:8" ht="102.75" x14ac:dyDescent="0.25">
      <c r="A4406" s="3" t="s">
        <v>13156</v>
      </c>
      <c r="B4406" s="3"/>
      <c r="C4406" s="3" t="s">
        <v>13157</v>
      </c>
      <c r="D4406" s="3" t="s">
        <v>13158</v>
      </c>
      <c r="E4406" s="3" t="s">
        <v>13159</v>
      </c>
      <c r="F4406" s="3" t="str">
        <f>"(812)424-2448"</f>
        <v>(812)424-2448</v>
      </c>
      <c r="G4406" s="3">
        <v>561612</v>
      </c>
      <c r="H4406" s="3" t="s">
        <v>362</v>
      </c>
    </row>
    <row r="4407" spans="1:8" ht="39" x14ac:dyDescent="0.25">
      <c r="A4407" s="3" t="s">
        <v>13160</v>
      </c>
      <c r="B4407" s="3"/>
      <c r="C4407" s="3" t="str">
        <f>"Records management, document management, content management, compliance, requirements for applications"</f>
        <v>Records management, document management, content management, compliance, requirements for applications</v>
      </c>
      <c r="D4407" s="3" t="s">
        <v>13161</v>
      </c>
      <c r="E4407" s="3" t="s">
        <v>13162</v>
      </c>
      <c r="F4407" s="3" t="str">
        <f>"317-294-8329"</f>
        <v>317-294-8329</v>
      </c>
      <c r="G4407" s="3">
        <v>541611</v>
      </c>
      <c r="H4407" s="3" t="s">
        <v>278</v>
      </c>
    </row>
    <row r="4408" spans="1:8" ht="51.75" x14ac:dyDescent="0.25">
      <c r="A4408" s="3" t="s">
        <v>13163</v>
      </c>
      <c r="B4408" s="3"/>
      <c r="C4408" s="3" t="str">
        <f>"Who are a foodservice wholesaler. We offer a complete line of foodservice related products specializing in; frozen vegetables, canned goods, spices."</f>
        <v>Who are a foodservice wholesaler. We offer a complete line of foodservice related products specializing in; frozen vegetables, canned goods, spices.</v>
      </c>
      <c r="D4408" s="3" t="s">
        <v>13164</v>
      </c>
      <c r="E4408" s="3" t="s">
        <v>13165</v>
      </c>
      <c r="F4408" s="3" t="str">
        <f>"5749683660"</f>
        <v>5749683660</v>
      </c>
      <c r="G4408" s="3">
        <v>4224</v>
      </c>
      <c r="H4408" s="3" t="s">
        <v>2311</v>
      </c>
    </row>
    <row r="4409" spans="1:8" x14ac:dyDescent="0.25">
      <c r="A4409" s="3" t="s">
        <v>13166</v>
      </c>
      <c r="B4409" s="3"/>
      <c r="C4409" s="3" t="str">
        <f>" "</f>
        <v xml:space="preserve"> </v>
      </c>
      <c r="D4409" s="3" t="s">
        <v>9</v>
      </c>
      <c r="E4409" s="3" t="s">
        <v>46</v>
      </c>
      <c r="F4409" s="2"/>
      <c r="G4409" s="3">
        <v>212321</v>
      </c>
      <c r="H4409" s="3" t="s">
        <v>4979</v>
      </c>
    </row>
    <row r="4410" spans="1:8" ht="77.25" x14ac:dyDescent="0.25">
      <c r="A4410" s="3" t="s">
        <v>13167</v>
      </c>
      <c r="B4410" s="3"/>
      <c r="C4410" s="3" t="str">
        <f>"Irving Ready-Mix, Inc. delivers top quality concrete from 5 locations in the greater Fort Wayne area. A fully computerized system ( order entry, batching, dispatching, and billing) assured unparelled customer service."</f>
        <v>Irving Ready-Mix, Inc. delivers top quality concrete from 5 locations in the greater Fort Wayne area. A fully computerized system ( order entry, batching, dispatching, and billing) assured unparelled customer service.</v>
      </c>
      <c r="D4410" s="3" t="s">
        <v>13168</v>
      </c>
      <c r="E4410" s="3" t="s">
        <v>46</v>
      </c>
      <c r="F4410" s="3" t="str">
        <f>"260-637-3101"</f>
        <v>260-637-3101</v>
      </c>
      <c r="G4410" s="3">
        <v>327320</v>
      </c>
      <c r="H4410" s="3" t="s">
        <v>5501</v>
      </c>
    </row>
    <row r="4411" spans="1:8" ht="39" x14ac:dyDescent="0.25">
      <c r="A4411" s="3" t="s">
        <v>13169</v>
      </c>
      <c r="B4411" s="3"/>
      <c r="C4411" s="3" t="str">
        <f>"IT Consulting - Custom Application Development - DOTNET &amp; JAVA High Value IT Services"</f>
        <v>IT Consulting - Custom Application Development - DOTNET &amp; JAVA High Value IT Services</v>
      </c>
      <c r="D4411" s="3" t="s">
        <v>13170</v>
      </c>
      <c r="E4411" s="3" t="s">
        <v>13171</v>
      </c>
      <c r="F4411" s="3" t="str">
        <f>"317-814-1035"</f>
        <v>317-814-1035</v>
      </c>
      <c r="G4411" s="3">
        <v>5415</v>
      </c>
      <c r="H4411" s="3" t="s">
        <v>188</v>
      </c>
    </row>
    <row r="4412" spans="1:8" ht="204.75" x14ac:dyDescent="0.25">
      <c r="A4412" s="3" t="s">
        <v>13172</v>
      </c>
      <c r="B4412" s="3"/>
      <c r="C4412" s="3" t="s">
        <v>13173</v>
      </c>
      <c r="D4412" s="3" t="s">
        <v>13174</v>
      </c>
      <c r="E4412" s="3" t="s">
        <v>13175</v>
      </c>
      <c r="F4412" s="3" t="str">
        <f>"317-201-2728"</f>
        <v>317-201-2728</v>
      </c>
      <c r="G4412" s="3">
        <v>541511</v>
      </c>
      <c r="H4412" s="3" t="s">
        <v>122</v>
      </c>
    </row>
    <row r="4413" spans="1:8" ht="217.5" x14ac:dyDescent="0.25">
      <c r="A4413" s="3" t="s">
        <v>13176</v>
      </c>
      <c r="B4413" s="3"/>
      <c r="C4413" s="3" t="s">
        <v>13177</v>
      </c>
      <c r="D4413" s="3" t="s">
        <v>9</v>
      </c>
      <c r="E4413" s="3" t="s">
        <v>13178</v>
      </c>
      <c r="F4413" s="3" t="str">
        <f>"3177747425"</f>
        <v>3177747425</v>
      </c>
      <c r="G4413" s="3">
        <v>238210</v>
      </c>
      <c r="H4413" s="3" t="s">
        <v>306</v>
      </c>
    </row>
    <row r="4414" spans="1:8" ht="153.75" x14ac:dyDescent="0.25">
      <c r="A4414" s="3" t="s">
        <v>13179</v>
      </c>
      <c r="B4414" s="3"/>
      <c r="C4414" s="3" t="s">
        <v>13180</v>
      </c>
      <c r="D4414" s="3" t="s">
        <v>13181</v>
      </c>
      <c r="E4414" s="3" t="s">
        <v>13182</v>
      </c>
      <c r="F4414" s="3" t="str">
        <f>"219-462-8746"</f>
        <v>219-462-8746</v>
      </c>
      <c r="G4414" s="3">
        <v>562219</v>
      </c>
      <c r="H4414" s="3" t="s">
        <v>13183</v>
      </c>
    </row>
    <row r="4415" spans="1:8" ht="64.5" x14ac:dyDescent="0.25">
      <c r="A4415" s="3" t="s">
        <v>13184</v>
      </c>
      <c r="B4415" s="3"/>
      <c r="C4415" s="3" t="str">
        <f>"Center Print is a mid-size copy center offering high speed Black and White copying and Color Copying. We also offer Desktop publishing, binding, and shipping services."</f>
        <v>Center Print is a mid-size copy center offering high speed Black and White copying and Color Copying. We also offer Desktop publishing, binding, and shipping services.</v>
      </c>
      <c r="D4415" s="3" t="s">
        <v>13185</v>
      </c>
      <c r="E4415" s="3" t="s">
        <v>46</v>
      </c>
      <c r="F4415" s="3" t="str">
        <f>"317.263.3400"</f>
        <v>317.263.3400</v>
      </c>
      <c r="G4415" s="3">
        <v>81393</v>
      </c>
      <c r="H4415" s="3" t="s">
        <v>13186</v>
      </c>
    </row>
    <row r="4416" spans="1:8" ht="166.5" x14ac:dyDescent="0.25">
      <c r="A4416" s="3" t="s">
        <v>13187</v>
      </c>
      <c r="B4416" s="3"/>
      <c r="C4416" s="3" t="s">
        <v>13188</v>
      </c>
      <c r="D4416" s="3" t="s">
        <v>9</v>
      </c>
      <c r="E4416" s="3" t="s">
        <v>46</v>
      </c>
      <c r="F4416" s="2"/>
      <c r="G4416" s="3">
        <v>541611</v>
      </c>
      <c r="H4416" s="3" t="s">
        <v>278</v>
      </c>
    </row>
    <row r="4417" spans="1:8" ht="319.5" x14ac:dyDescent="0.25">
      <c r="A4417" s="3" t="s">
        <v>13189</v>
      </c>
      <c r="B4417" s="3"/>
      <c r="C4417" s="3" t="s">
        <v>13190</v>
      </c>
      <c r="D4417" s="3" t="s">
        <v>9</v>
      </c>
      <c r="E4417" s="3" t="s">
        <v>13191</v>
      </c>
      <c r="F4417" s="3" t="str">
        <f>"317-250-3456"</f>
        <v>317-250-3456</v>
      </c>
      <c r="G4417" s="3">
        <v>541511</v>
      </c>
      <c r="H4417" s="3" t="s">
        <v>122</v>
      </c>
    </row>
    <row r="4418" spans="1:8" ht="77.25" x14ac:dyDescent="0.25">
      <c r="A4418" s="3" t="s">
        <v>13192</v>
      </c>
      <c r="B4418" s="3"/>
      <c r="C4418" s="3" t="str">
        <f>"Providing Transportation and Logistics Solutions to Manufacturing and Distribution comanies all over the U.S. Our in house carrier provides local and long distance specialized refrigerated trucking to companies thru out the US."</f>
        <v>Providing Transportation and Logistics Solutions to Manufacturing and Distribution comanies all over the U.S. Our in house carrier provides local and long distance specialized refrigerated trucking to companies thru out the US.</v>
      </c>
      <c r="D4418" s="3" t="s">
        <v>13193</v>
      </c>
      <c r="E4418" s="3" t="s">
        <v>13194</v>
      </c>
      <c r="F4418" s="3" t="str">
        <f>"7659627200"</f>
        <v>7659627200</v>
      </c>
      <c r="G4418" s="3">
        <v>484230</v>
      </c>
      <c r="H4418" s="3" t="s">
        <v>4666</v>
      </c>
    </row>
    <row r="4419" spans="1:8" ht="306.75" x14ac:dyDescent="0.25">
      <c r="A4419" s="3" t="s">
        <v>13195</v>
      </c>
      <c r="B4419" s="3"/>
      <c r="C4419" s="3" t="s">
        <v>13196</v>
      </c>
      <c r="D4419" s="3" t="s">
        <v>13197</v>
      </c>
      <c r="E4419" s="3" t="s">
        <v>13198</v>
      </c>
      <c r="F4419" s="3" t="str">
        <f>"317-853-1902"</f>
        <v>317-853-1902</v>
      </c>
      <c r="G4419" s="3">
        <v>514</v>
      </c>
      <c r="H4419" s="3" t="s">
        <v>322</v>
      </c>
    </row>
    <row r="4420" spans="1:8" ht="204.75" x14ac:dyDescent="0.25">
      <c r="A4420" s="3" t="s">
        <v>13199</v>
      </c>
      <c r="B4420" s="3"/>
      <c r="C4420" s="3" t="s">
        <v>13200</v>
      </c>
      <c r="D4420" s="3" t="s">
        <v>13201</v>
      </c>
      <c r="E4420" s="3" t="s">
        <v>13202</v>
      </c>
      <c r="F4420" s="3" t="str">
        <f>"317-514-6172"</f>
        <v>317-514-6172</v>
      </c>
      <c r="G4420" s="3">
        <v>541511</v>
      </c>
      <c r="H4420" s="3" t="s">
        <v>122</v>
      </c>
    </row>
    <row r="4421" spans="1:8" ht="26.25" x14ac:dyDescent="0.25">
      <c r="A4421" s="3" t="s">
        <v>13203</v>
      </c>
      <c r="B4421" s="3"/>
      <c r="C4421" s="3" t="str">
        <f>" "</f>
        <v xml:space="preserve"> </v>
      </c>
      <c r="D4421" s="3" t="s">
        <v>13129</v>
      </c>
      <c r="E4421" s="3" t="s">
        <v>46</v>
      </c>
      <c r="F4421" s="3" t="str">
        <f>"260-459-8800"</f>
        <v>260-459-8800</v>
      </c>
      <c r="G4421" s="3">
        <v>541519</v>
      </c>
      <c r="H4421" s="3" t="s">
        <v>898</v>
      </c>
    </row>
    <row r="4422" spans="1:8" ht="281.25" x14ac:dyDescent="0.25">
      <c r="A4422" s="3" t="s">
        <v>13204</v>
      </c>
      <c r="B4422" s="3"/>
      <c r="C4422" s="3" t="s">
        <v>13205</v>
      </c>
      <c r="D4422" s="3" t="s">
        <v>13206</v>
      </c>
      <c r="E4422" s="3" t="s">
        <v>13207</v>
      </c>
      <c r="F4422" s="3" t="str">
        <f>"812-923-0546"</f>
        <v>812-923-0546</v>
      </c>
      <c r="G4422" s="3">
        <v>541513</v>
      </c>
      <c r="H4422" s="3" t="s">
        <v>2401</v>
      </c>
    </row>
    <row r="4423" spans="1:8" ht="51.75" x14ac:dyDescent="0.25">
      <c r="A4423" s="3" t="s">
        <v>13208</v>
      </c>
      <c r="B4423" s="3"/>
      <c r="C4423" s="3" t="str">
        <f>"An Indiana HMO exclusively dedicated to operations of MdWise, Inc. in connection with the Indiana Risk Based Managed Care Medicaid program."</f>
        <v>An Indiana HMO exclusively dedicated to operations of MdWise, Inc. in connection with the Indiana Risk Based Managed Care Medicaid program.</v>
      </c>
      <c r="D4423" s="3" t="s">
        <v>9</v>
      </c>
      <c r="E4423" s="3" t="s">
        <v>13209</v>
      </c>
      <c r="F4423" s="3" t="str">
        <f>"317-871-8811"</f>
        <v>317-871-8811</v>
      </c>
      <c r="G4423" s="3">
        <v>621491</v>
      </c>
      <c r="H4423" s="3" t="s">
        <v>13210</v>
      </c>
    </row>
    <row r="4424" spans="1:8" ht="26.25" x14ac:dyDescent="0.25">
      <c r="A4424" s="3" t="s">
        <v>13211</v>
      </c>
      <c r="B4424" s="3"/>
      <c r="C4424" s="3" t="str">
        <f>"Medical Professional Liability Insurance for Indiana health care providers"</f>
        <v>Medical Professional Liability Insurance for Indiana health care providers</v>
      </c>
      <c r="D4424" s="3" t="s">
        <v>13212</v>
      </c>
      <c r="E4424" s="3" t="s">
        <v>46</v>
      </c>
      <c r="F4424" s="3" t="str">
        <f>"317-963-7822"</f>
        <v>317-963-7822</v>
      </c>
      <c r="G4424" s="3">
        <v>52412</v>
      </c>
      <c r="H4424" s="3" t="s">
        <v>13213</v>
      </c>
    </row>
    <row r="4425" spans="1:8" ht="26.25" x14ac:dyDescent="0.25">
      <c r="A4425" s="3" t="s">
        <v>13214</v>
      </c>
      <c r="B4425" s="3"/>
      <c r="C4425" s="3" t="str">
        <f>"Hospital"</f>
        <v>Hospital</v>
      </c>
      <c r="D4425" s="3" t="s">
        <v>9</v>
      </c>
      <c r="E4425" s="3" t="s">
        <v>46</v>
      </c>
      <c r="F4425" s="3" t="str">
        <f>"5745837111"</f>
        <v>5745837111</v>
      </c>
      <c r="G4425" s="3">
        <v>622110</v>
      </c>
      <c r="H4425" s="3" t="s">
        <v>3335</v>
      </c>
    </row>
    <row r="4426" spans="1:8" ht="319.5" x14ac:dyDescent="0.25">
      <c r="A4426" s="3" t="s">
        <v>13215</v>
      </c>
      <c r="B4426" s="3"/>
      <c r="C4426" s="3" t="s">
        <v>13216</v>
      </c>
      <c r="D4426" s="3" t="s">
        <v>13217</v>
      </c>
      <c r="E4426" s="3" t="s">
        <v>13218</v>
      </c>
      <c r="F4426" s="3" t="str">
        <f>"317-840-0026"</f>
        <v>317-840-0026</v>
      </c>
      <c r="G4426" s="3">
        <v>541330</v>
      </c>
      <c r="H4426" s="3" t="s">
        <v>82</v>
      </c>
    </row>
    <row r="4427" spans="1:8" ht="64.5" x14ac:dyDescent="0.25">
      <c r="A4427" s="3" t="s">
        <v>13219</v>
      </c>
      <c r="B4427" s="3"/>
      <c r="C4427" s="3" t="str">
        <f>"A government solutions consulting business that develops innovative yet pragmatic solutions to challenges facing state and local governments and is focused on public safety communications."</f>
        <v>A government solutions consulting business that develops innovative yet pragmatic solutions to challenges facing state and local governments and is focused on public safety communications.</v>
      </c>
      <c r="D4427" s="3" t="s">
        <v>13220</v>
      </c>
      <c r="E4427" s="3" t="s">
        <v>13221</v>
      </c>
      <c r="F4427" s="3" t="str">
        <f>"317.291.1855"</f>
        <v>317.291.1855</v>
      </c>
      <c r="G4427" s="3">
        <v>541990</v>
      </c>
      <c r="H4427" s="3" t="s">
        <v>378</v>
      </c>
    </row>
    <row r="4428" spans="1:8" ht="64.5" x14ac:dyDescent="0.25">
      <c r="A4428" s="3" t="s">
        <v>13222</v>
      </c>
      <c r="B4428" s="3"/>
      <c r="C4428" s="3" t="str">
        <f>"Interpreter and translation services English to Spanish specializes in Social Service and Mental Health Industry. General social and mental health services to Hispanic family and children."</f>
        <v>Interpreter and translation services English to Spanish specializes in Social Service and Mental Health Industry. General social and mental health services to Hispanic family and children.</v>
      </c>
      <c r="D4428" s="3" t="s">
        <v>9</v>
      </c>
      <c r="E4428" s="3" t="s">
        <v>46</v>
      </c>
      <c r="F4428" s="3" t="str">
        <f>"1-866-925-7395"</f>
        <v>1-866-925-7395</v>
      </c>
      <c r="G4428" s="3">
        <v>624190</v>
      </c>
      <c r="H4428" s="3" t="s">
        <v>54</v>
      </c>
    </row>
    <row r="4429" spans="1:8" ht="26.25" x14ac:dyDescent="0.25">
      <c r="A4429" s="3" t="s">
        <v>13223</v>
      </c>
      <c r="B4429" s="3"/>
      <c r="C4429" s="3" t="str">
        <f>"I provide individual and group mental health counseling services."</f>
        <v>I provide individual and group mental health counseling services.</v>
      </c>
      <c r="D4429" s="3" t="s">
        <v>9</v>
      </c>
      <c r="E4429" s="3" t="s">
        <v>46</v>
      </c>
      <c r="F4429" s="2"/>
      <c r="G4429" s="3">
        <v>624190</v>
      </c>
      <c r="H4429" s="3" t="s">
        <v>54</v>
      </c>
    </row>
    <row r="4430" spans="1:8" ht="26.25" x14ac:dyDescent="0.25">
      <c r="A4430" s="3" t="s">
        <v>13224</v>
      </c>
      <c r="B4430" s="3"/>
      <c r="C4430" s="3" t="str">
        <f>"Speech-Language Therapy Services"</f>
        <v>Speech-Language Therapy Services</v>
      </c>
      <c r="D4430" s="3" t="s">
        <v>13225</v>
      </c>
      <c r="E4430" s="3" t="s">
        <v>13226</v>
      </c>
      <c r="F4430" s="3" t="str">
        <f>"317-938-3216"</f>
        <v>317-938-3216</v>
      </c>
      <c r="G4430" s="3">
        <v>62</v>
      </c>
      <c r="H4430" s="3" t="s">
        <v>1168</v>
      </c>
    </row>
    <row r="4431" spans="1:8" ht="51.75" x14ac:dyDescent="0.25">
      <c r="A4431" s="3" t="s">
        <v>13227</v>
      </c>
      <c r="B4431" s="3"/>
      <c r="C4431" s="3" t="str">
        <f>"Minority company which specializes in design build, excavation, trucking, road/highway work, utilities, directional drilling and materials supply."</f>
        <v>Minority company which specializes in design build, excavation, trucking, road/highway work, utilities, directional drilling and materials supply.</v>
      </c>
      <c r="D4431" s="3" t="s">
        <v>9</v>
      </c>
      <c r="E4431" s="3" t="s">
        <v>13228</v>
      </c>
      <c r="F4431" s="3" t="str">
        <f>"8124065568"</f>
        <v>8124065568</v>
      </c>
      <c r="G4431" s="3">
        <v>237110</v>
      </c>
      <c r="H4431" s="3" t="s">
        <v>901</v>
      </c>
    </row>
    <row r="4432" spans="1:8" ht="39" x14ac:dyDescent="0.25">
      <c r="A4432" s="3" t="s">
        <v>13229</v>
      </c>
      <c r="B4432" s="3"/>
      <c r="C4432" s="3" t="str">
        <f>"Biometric Identification Solutions - Background check services provider, i-3 Live Scan System Sales - Exclusive Dealer"</f>
        <v>Biometric Identification Solutions - Background check services provider, i-3 Live Scan System Sales - Exclusive Dealer</v>
      </c>
      <c r="D4432" s="3" t="s">
        <v>9</v>
      </c>
      <c r="E4432" s="3" t="s">
        <v>13230</v>
      </c>
      <c r="F4432" s="3" t="str">
        <f>"513-509-8534"</f>
        <v>513-509-8534</v>
      </c>
      <c r="G4432" s="3">
        <v>334119</v>
      </c>
      <c r="H4432" s="3" t="s">
        <v>6977</v>
      </c>
    </row>
    <row r="4433" spans="1:8" ht="319.5" x14ac:dyDescent="0.25">
      <c r="A4433" s="3" t="s">
        <v>13231</v>
      </c>
      <c r="B4433" s="3"/>
      <c r="C4433" s="3" t="s">
        <v>13232</v>
      </c>
      <c r="D4433" s="3" t="s">
        <v>13233</v>
      </c>
      <c r="E4433" s="3" t="s">
        <v>13234</v>
      </c>
      <c r="F4433" s="3" t="str">
        <f>"219-922-8831"</f>
        <v>219-922-8831</v>
      </c>
      <c r="G4433" s="3">
        <v>511210</v>
      </c>
      <c r="H4433" s="3" t="s">
        <v>315</v>
      </c>
    </row>
    <row r="4434" spans="1:8" ht="51.75" x14ac:dyDescent="0.25">
      <c r="A4434" s="3" t="s">
        <v>13235</v>
      </c>
      <c r="B4434" s="3"/>
      <c r="C4434" s="3" t="str">
        <f>"We sell outdoor power equipment such as consumer lawnmowers,commercial zero-turn mowing equipment, chain saws, &amp; string trimmers."</f>
        <v>We sell outdoor power equipment such as consumer lawnmowers,commercial zero-turn mowing equipment, chain saws, &amp; string trimmers.</v>
      </c>
      <c r="D4434" s="3" t="s">
        <v>9</v>
      </c>
      <c r="E4434" s="3" t="s">
        <v>46</v>
      </c>
      <c r="F4434" s="2"/>
      <c r="G4434" s="3">
        <v>444210</v>
      </c>
      <c r="H4434" s="3" t="s">
        <v>392</v>
      </c>
    </row>
    <row r="4435" spans="1:8" ht="26.25" x14ac:dyDescent="0.25">
      <c r="A4435" s="3" t="s">
        <v>13236</v>
      </c>
      <c r="B4435" s="3"/>
      <c r="C4435" s="3" t="str">
        <f>"Toilet Partitions and Washroom Accessories"</f>
        <v>Toilet Partitions and Washroom Accessories</v>
      </c>
      <c r="D4435" s="3" t="s">
        <v>9</v>
      </c>
      <c r="E4435" s="3" t="s">
        <v>13237</v>
      </c>
      <c r="F4435" s="3" t="str">
        <f>"317-899-7463"</f>
        <v>317-899-7463</v>
      </c>
      <c r="G4435" s="3">
        <v>23</v>
      </c>
      <c r="H4435" s="3" t="s">
        <v>133</v>
      </c>
    </row>
    <row r="4436" spans="1:8" ht="166.5" x14ac:dyDescent="0.25">
      <c r="A4436" s="3" t="s">
        <v>13238</v>
      </c>
      <c r="B4436" s="3"/>
      <c r="C4436" s="3" t="s">
        <v>13239</v>
      </c>
      <c r="D4436" s="3" t="s">
        <v>13240</v>
      </c>
      <c r="E4436" s="3" t="s">
        <v>13241</v>
      </c>
      <c r="F4436" s="3" t="str">
        <f>"8778344007"</f>
        <v>8778344007</v>
      </c>
      <c r="G4436" s="3">
        <v>54182</v>
      </c>
      <c r="H4436" s="3" t="s">
        <v>795</v>
      </c>
    </row>
    <row r="4437" spans="1:8" ht="39" x14ac:dyDescent="0.25">
      <c r="A4437" s="3" t="s">
        <v>13242</v>
      </c>
      <c r="B4437" s="3"/>
      <c r="C4437" s="3" t="str">
        <f>"We sell non fiction books to public schools K-12 and public libraries in Indiana and 12 other states."</f>
        <v>We sell non fiction books to public schools K-12 and public libraries in Indiana and 12 other states.</v>
      </c>
      <c r="D4437" s="3" t="s">
        <v>13243</v>
      </c>
      <c r="E4437" s="3" t="s">
        <v>13244</v>
      </c>
      <c r="F4437" s="3" t="str">
        <f>"317-578-1113"</f>
        <v>317-578-1113</v>
      </c>
      <c r="G4437" s="3">
        <v>424920</v>
      </c>
      <c r="H4437" s="3" t="s">
        <v>13245</v>
      </c>
    </row>
    <row r="4438" spans="1:8" ht="141" x14ac:dyDescent="0.25">
      <c r="A4438" s="3" t="s">
        <v>13246</v>
      </c>
      <c r="B4438" s="3"/>
      <c r="C4438" s="3" t="s">
        <v>13247</v>
      </c>
      <c r="D4438" s="3" t="s">
        <v>13248</v>
      </c>
      <c r="E4438" s="3" t="s">
        <v>13249</v>
      </c>
      <c r="F4438" s="3" t="str">
        <f>"219-989-9578"</f>
        <v>219-989-9578</v>
      </c>
      <c r="G4438" s="3">
        <v>532420</v>
      </c>
      <c r="H4438" s="3" t="s">
        <v>5166</v>
      </c>
    </row>
    <row r="4439" spans="1:8" ht="26.25" x14ac:dyDescent="0.25">
      <c r="A4439" s="3" t="s">
        <v>13250</v>
      </c>
      <c r="B4439" s="3"/>
      <c r="C4439" s="3" t="str">
        <f>"Industrial instrumentation, sales, service and supplies"</f>
        <v>Industrial instrumentation, sales, service and supplies</v>
      </c>
      <c r="D4439" s="3" t="s">
        <v>13251</v>
      </c>
      <c r="E4439" s="3" t="s">
        <v>13252</v>
      </c>
      <c r="F4439" s="3" t="str">
        <f>"219-942-5588"</f>
        <v>219-942-5588</v>
      </c>
      <c r="G4439" s="3">
        <v>54133</v>
      </c>
      <c r="H4439" s="3" t="s">
        <v>82</v>
      </c>
    </row>
    <row r="4440" spans="1:8" ht="26.25" x14ac:dyDescent="0.25">
      <c r="A4440" s="3" t="s">
        <v>13253</v>
      </c>
      <c r="B4440" s="3"/>
      <c r="C4440" s="3" t="str">
        <f>"Photography for all Occasions"</f>
        <v>Photography for all Occasions</v>
      </c>
      <c r="D4440" s="3" t="s">
        <v>9</v>
      </c>
      <c r="E4440" s="3" t="s">
        <v>13254</v>
      </c>
      <c r="F4440" s="3" t="str">
        <f>"317-770-6595"</f>
        <v>317-770-6595</v>
      </c>
      <c r="G4440" s="3">
        <v>541921</v>
      </c>
      <c r="H4440" s="3" t="s">
        <v>1325</v>
      </c>
    </row>
    <row r="4441" spans="1:8" ht="39" x14ac:dyDescent="0.25">
      <c r="A4441" s="3" t="s">
        <v>13255</v>
      </c>
      <c r="B4441" s="3"/>
      <c r="C4441" s="3" t="str">
        <f>"Custom imprinted corporate giftware, apparel, promotional products and employee incentives"</f>
        <v>Custom imprinted corporate giftware, apparel, promotional products and employee incentives</v>
      </c>
      <c r="D4441" s="3" t="s">
        <v>13256</v>
      </c>
      <c r="E4441" s="3" t="s">
        <v>13257</v>
      </c>
      <c r="F4441" s="3" t="str">
        <f>"812-923-0304"</f>
        <v>812-923-0304</v>
      </c>
      <c r="G4441" s="3">
        <v>541890</v>
      </c>
      <c r="H4441" s="3" t="s">
        <v>401</v>
      </c>
    </row>
    <row r="4442" spans="1:8" ht="51.75" x14ac:dyDescent="0.25">
      <c r="A4442" s="3" t="s">
        <v>13258</v>
      </c>
      <c r="B4442" s="3"/>
      <c r="C4442" s="3" t="str">
        <f>"Image Concepts provides a wide variety of promotional products and screenprinted as well as embroidered garments. T-shirts, golf-shirts and athletic apparel."</f>
        <v>Image Concepts provides a wide variety of promotional products and screenprinted as well as embroidered garments. T-shirts, golf-shirts and athletic apparel.</v>
      </c>
      <c r="D4442" s="3" t="s">
        <v>13259</v>
      </c>
      <c r="E4442" s="3" t="s">
        <v>13260</v>
      </c>
      <c r="F4442" s="3" t="str">
        <f>"812-933-5832"</f>
        <v>812-933-5832</v>
      </c>
      <c r="G4442" s="3">
        <v>541890</v>
      </c>
      <c r="H4442" s="3" t="s">
        <v>401</v>
      </c>
    </row>
    <row r="4443" spans="1:8" ht="51.75" x14ac:dyDescent="0.25">
      <c r="A4443" s="3" t="s">
        <v>13261</v>
      </c>
      <c r="B4443" s="3"/>
      <c r="C4443" s="3" t="str">
        <f>"Video, WEB, Virtual tour and interactive DVD and CD-ROM production. Production of marketing, training and business communication materials."</f>
        <v>Video, WEB, Virtual tour and interactive DVD and CD-ROM production. Production of marketing, training and business communication materials.</v>
      </c>
      <c r="D4443" s="3" t="s">
        <v>13262</v>
      </c>
      <c r="E4443" s="3" t="s">
        <v>13263</v>
      </c>
      <c r="F4443" s="3" t="str">
        <f>"574-299-9354"</f>
        <v>574-299-9354</v>
      </c>
      <c r="G4443" s="3">
        <v>512110</v>
      </c>
      <c r="H4443" s="3" t="s">
        <v>406</v>
      </c>
    </row>
    <row r="4444" spans="1:8" ht="64.5" x14ac:dyDescent="0.25">
      <c r="A4444" s="3" t="s">
        <v>13264</v>
      </c>
      <c r="B4444" s="3"/>
      <c r="C4444" s="3" t="str">
        <f>"Manufacturer or trade show exhibitry, mall kiosks, trade show rentals, exhibit storage, creation of models, corporate lobbies, show services (installation and dismantlement), refurbishment of exhibitry structures"</f>
        <v>Manufacturer or trade show exhibitry, mall kiosks, trade show rentals, exhibit storage, creation of models, corporate lobbies, show services (installation and dismantlement), refurbishment of exhibitry structures</v>
      </c>
      <c r="D4444" s="3" t="s">
        <v>13265</v>
      </c>
      <c r="E4444" s="3" t="s">
        <v>13266</v>
      </c>
      <c r="F4444" s="3" t="str">
        <f>"260-484-2091"</f>
        <v>260-484-2091</v>
      </c>
      <c r="G4444" s="3">
        <v>337</v>
      </c>
      <c r="H4444" s="3" t="s">
        <v>6695</v>
      </c>
    </row>
    <row r="4445" spans="1:8" ht="102.75" x14ac:dyDescent="0.25">
      <c r="A4445" s="3" t="s">
        <v>13267</v>
      </c>
      <c r="B4445" s="3"/>
      <c r="C4445" s="3" t="s">
        <v>13268</v>
      </c>
      <c r="D4445" s="3" t="s">
        <v>13269</v>
      </c>
      <c r="E4445" s="3" t="s">
        <v>13270</v>
      </c>
      <c r="F4445" s="3" t="str">
        <f>"317-258-1327"</f>
        <v>317-258-1327</v>
      </c>
      <c r="G4445" s="3">
        <v>5418</v>
      </c>
      <c r="H4445" s="3" t="s">
        <v>1337</v>
      </c>
    </row>
    <row r="4446" spans="1:8" ht="90" x14ac:dyDescent="0.25">
      <c r="A4446" s="3" t="s">
        <v>13271</v>
      </c>
      <c r="B4446" s="3"/>
      <c r="C4446" s="3" t="s">
        <v>13272</v>
      </c>
      <c r="D4446" s="3" t="s">
        <v>13273</v>
      </c>
      <c r="E4446" s="3" t="s">
        <v>13274</v>
      </c>
      <c r="F4446" s="3" t="str">
        <f>"765-362-8929"</f>
        <v>765-362-8929</v>
      </c>
      <c r="G4446" s="3">
        <v>541890</v>
      </c>
      <c r="H4446" s="3" t="s">
        <v>401</v>
      </c>
    </row>
    <row r="4447" spans="1:8" ht="64.5" x14ac:dyDescent="0.25">
      <c r="A4447" s="3" t="s">
        <v>13275</v>
      </c>
      <c r="B4447" s="3"/>
      <c r="C4447" s="3" t="str">
        <f>"B/W &amp; color printing, wide-format printing, spec books, drawings, enrollment packet printing &amp; preparation, business cards, letterhead, facility management services, binding, lamination, dsitribution"</f>
        <v>B/W &amp; color printing, wide-format printing, spec books, drawings, enrollment packet printing &amp; preparation, business cards, letterhead, facility management services, binding, lamination, dsitribution</v>
      </c>
      <c r="D4447" s="3" t="s">
        <v>13276</v>
      </c>
      <c r="E4447" s="3" t="s">
        <v>13277</v>
      </c>
      <c r="F4447" s="3" t="str">
        <f>"317.566.0292"</f>
        <v>317.566.0292</v>
      </c>
      <c r="G4447" s="3">
        <v>3231</v>
      </c>
      <c r="H4447" s="3" t="s">
        <v>302</v>
      </c>
    </row>
    <row r="4448" spans="1:8" ht="166.5" x14ac:dyDescent="0.25">
      <c r="A4448" s="3" t="s">
        <v>13278</v>
      </c>
      <c r="B4448" s="3"/>
      <c r="C4448" s="3" t="s">
        <v>13279</v>
      </c>
      <c r="D4448" s="3" t="s">
        <v>13280</v>
      </c>
      <c r="E4448" s="3" t="s">
        <v>13281</v>
      </c>
      <c r="F4448" s="3" t="str">
        <f>"317-244-8772"</f>
        <v>317-244-8772</v>
      </c>
      <c r="G4448" s="3">
        <v>518210</v>
      </c>
      <c r="H4448" s="3" t="s">
        <v>3133</v>
      </c>
    </row>
    <row r="4449" spans="1:8" ht="64.5" x14ac:dyDescent="0.25">
      <c r="A4449" s="3" t="s">
        <v>13282</v>
      </c>
      <c r="B4449" s="3"/>
      <c r="C4449" s="3" t="str">
        <f>"Specializing in graphic design &amp; printing, Imagehaus is your one-stop shop. From ad layout &amp; websites to full service printing and promotional items, we have what you need to run your business."</f>
        <v>Specializing in graphic design &amp; printing, Imagehaus is your one-stop shop. From ad layout &amp; websites to full service printing and promotional items, we have what you need to run your business.</v>
      </c>
      <c r="D4449" s="3" t="s">
        <v>13283</v>
      </c>
      <c r="E4449" s="3" t="s">
        <v>13284</v>
      </c>
      <c r="F4449" s="3" t="str">
        <f>"219-923-5971"</f>
        <v>219-923-5971</v>
      </c>
      <c r="G4449" s="3">
        <v>541430</v>
      </c>
      <c r="H4449" s="3" t="s">
        <v>78</v>
      </c>
    </row>
    <row r="4450" spans="1:8" ht="26.25" x14ac:dyDescent="0.25">
      <c r="A4450" s="3" t="s">
        <v>13285</v>
      </c>
      <c r="B4450" s="3"/>
      <c r="C4450" s="3" t="str">
        <f>"Commercial sign company"</f>
        <v>Commercial sign company</v>
      </c>
      <c r="D4450" s="3" t="s">
        <v>9</v>
      </c>
      <c r="E4450" s="3" t="s">
        <v>13286</v>
      </c>
      <c r="F4450" s="3" t="str">
        <f>"8123528288"</f>
        <v>8123528288</v>
      </c>
      <c r="G4450" s="3">
        <v>2359</v>
      </c>
      <c r="H4450" s="3" t="s">
        <v>631</v>
      </c>
    </row>
    <row r="4451" spans="1:8" ht="102.75" x14ac:dyDescent="0.25">
      <c r="A4451" s="3" t="s">
        <v>13287</v>
      </c>
      <c r="B4451" s="3"/>
      <c r="C4451" s="3" t="s">
        <v>13288</v>
      </c>
      <c r="D4451" s="3" t="s">
        <v>13289</v>
      </c>
      <c r="E4451" s="3" t="s">
        <v>13290</v>
      </c>
      <c r="F4451" s="3" t="str">
        <f>"317-843-0706"</f>
        <v>317-843-0706</v>
      </c>
      <c r="G4451" s="3">
        <v>511210</v>
      </c>
      <c r="H4451" s="3" t="s">
        <v>315</v>
      </c>
    </row>
    <row r="4452" spans="1:8" ht="39" x14ac:dyDescent="0.25">
      <c r="A4452" s="3" t="s">
        <v>13291</v>
      </c>
      <c r="B4452" s="3"/>
      <c r="C4452" s="3" t="str">
        <f>"Speech language pathology consultants who provide chart review relative to speech and language disorders."</f>
        <v>Speech language pathology consultants who provide chart review relative to speech and language disorders.</v>
      </c>
      <c r="D4452" s="3" t="s">
        <v>9</v>
      </c>
      <c r="E4452" s="3" t="s">
        <v>13292</v>
      </c>
      <c r="F4452" s="2"/>
      <c r="G4452" s="3">
        <v>621340</v>
      </c>
      <c r="H4452" s="3" t="s">
        <v>987</v>
      </c>
    </row>
    <row r="4453" spans="1:8" ht="90" x14ac:dyDescent="0.25">
      <c r="A4453" s="3" t="s">
        <v>13293</v>
      </c>
      <c r="B4453" s="3"/>
      <c r="C4453" s="3" t="s">
        <v>13294</v>
      </c>
      <c r="D4453" s="3" t="s">
        <v>13295</v>
      </c>
      <c r="E4453" s="3" t="s">
        <v>13296</v>
      </c>
      <c r="F4453" s="3" t="str">
        <f>"3178491211"</f>
        <v>3178491211</v>
      </c>
      <c r="G4453" s="3">
        <v>81</v>
      </c>
      <c r="H4453" s="3" t="s">
        <v>751</v>
      </c>
    </row>
    <row r="4454" spans="1:8" ht="153.75" x14ac:dyDescent="0.25">
      <c r="A4454" s="3" t="s">
        <v>13297</v>
      </c>
      <c r="B4454" s="3"/>
      <c r="C4454" s="3" t="s">
        <v>13298</v>
      </c>
      <c r="D4454" s="3" t="s">
        <v>13299</v>
      </c>
      <c r="E4454" s="3" t="s">
        <v>13300</v>
      </c>
      <c r="F4454" s="3" t="str">
        <f>"317-348-0545"</f>
        <v>317-348-0545</v>
      </c>
      <c r="G4454" s="3">
        <v>5617</v>
      </c>
      <c r="H4454" s="3" t="s">
        <v>812</v>
      </c>
    </row>
    <row r="4455" spans="1:8" ht="51.75" x14ac:dyDescent="0.25">
      <c r="A4455" s="3" t="s">
        <v>13301</v>
      </c>
      <c r="B4455" s="3"/>
      <c r="C4455" s="3" t="str">
        <f>"General cleaning of commercial and residential properties. Construction clean up, debris removal, and floor care. Cleaning supplies, and assessments."</f>
        <v>General cleaning of commercial and residential properties. Construction clean up, debris removal, and floor care. Cleaning supplies, and assessments.</v>
      </c>
      <c r="D4455" s="3" t="s">
        <v>9</v>
      </c>
      <c r="E4455" s="3" t="s">
        <v>13302</v>
      </c>
      <c r="F4455" s="3" t="str">
        <f>"(219)588-7736"</f>
        <v>(219)588-7736</v>
      </c>
      <c r="G4455" s="3">
        <v>561720</v>
      </c>
      <c r="H4455" s="3" t="s">
        <v>222</v>
      </c>
    </row>
    <row r="4456" spans="1:8" ht="51.75" x14ac:dyDescent="0.25">
      <c r="A4456" s="3" t="s">
        <v>13303</v>
      </c>
      <c r="B4456" s="3"/>
      <c r="C4456" s="3" t="str">
        <f>"ENVIRONMENTAL SAFE CLEANING FOR RESIDENTAL AND COMMERCIAL . OFFERING 100% CLEANING TO SATISFY, AND LOWEST PRICES"</f>
        <v>ENVIRONMENTAL SAFE CLEANING FOR RESIDENTAL AND COMMERCIAL . OFFERING 100% CLEANING TO SATISFY, AND LOWEST PRICES</v>
      </c>
      <c r="D4456" s="3" t="s">
        <v>9</v>
      </c>
      <c r="E4456" s="3" t="s">
        <v>13304</v>
      </c>
      <c r="F4456" s="3" t="str">
        <f>"317-331-9452"</f>
        <v>317-331-9452</v>
      </c>
      <c r="G4456" s="3">
        <v>561720</v>
      </c>
      <c r="H4456" s="3" t="s">
        <v>222</v>
      </c>
    </row>
    <row r="4457" spans="1:8" ht="141" x14ac:dyDescent="0.25">
      <c r="A4457" s="3" t="s">
        <v>13305</v>
      </c>
      <c r="B4457" s="3"/>
      <c r="C4457" s="3" t="s">
        <v>13306</v>
      </c>
      <c r="D4457" s="3" t="s">
        <v>13307</v>
      </c>
      <c r="E4457" s="3" t="s">
        <v>13308</v>
      </c>
      <c r="F4457" s="3" t="str">
        <f>"260-410-4400"</f>
        <v>260-410-4400</v>
      </c>
      <c r="G4457" s="3">
        <v>541620</v>
      </c>
      <c r="H4457" s="3" t="s">
        <v>216</v>
      </c>
    </row>
    <row r="4458" spans="1:8" ht="268.5" x14ac:dyDescent="0.25">
      <c r="A4458" s="3" t="s">
        <v>13309</v>
      </c>
      <c r="B4458" s="3"/>
      <c r="C4458" s="3" t="s">
        <v>13310</v>
      </c>
      <c r="D4458" s="3" t="s">
        <v>13311</v>
      </c>
      <c r="E4458" s="3" t="s">
        <v>13312</v>
      </c>
      <c r="F4458" s="3" t="str">
        <f>"317-708-8852"</f>
        <v>317-708-8852</v>
      </c>
      <c r="G4458" s="3">
        <v>541</v>
      </c>
      <c r="H4458" s="3" t="s">
        <v>179</v>
      </c>
    </row>
    <row r="4459" spans="1:8" ht="39" x14ac:dyDescent="0.25">
      <c r="A4459" s="3" t="s">
        <v>13313</v>
      </c>
      <c r="B4459" s="3"/>
      <c r="C4459" s="3" t="str">
        <f>"Large format digital printing for signs, banners, posters, window graphics. Routed items such as letters, stencils etc."</f>
        <v>Large format digital printing for signs, banners, posters, window graphics. Routed items such as letters, stencils etc.</v>
      </c>
      <c r="D4459" s="3" t="s">
        <v>9</v>
      </c>
      <c r="E4459" s="3" t="s">
        <v>13314</v>
      </c>
      <c r="F4459" s="3" t="str">
        <f>"317-240-6808"</f>
        <v>317-240-6808</v>
      </c>
      <c r="G4459" s="3">
        <v>323115</v>
      </c>
      <c r="H4459" s="3" t="s">
        <v>5281</v>
      </c>
    </row>
    <row r="4460" spans="1:8" ht="51.75" x14ac:dyDescent="0.25">
      <c r="A4460" s="3" t="s">
        <v>13315</v>
      </c>
      <c r="B4460" s="3"/>
      <c r="C4460" s="3" t="str">
        <f>"Promotional Items Specialist to include advertising specialties, promotional products, brand imaging promotions and display."</f>
        <v>Promotional Items Specialist to include advertising specialties, promotional products, brand imaging promotions and display.</v>
      </c>
      <c r="D4460" s="3" t="s">
        <v>13316</v>
      </c>
      <c r="E4460" s="3" t="s">
        <v>13317</v>
      </c>
      <c r="F4460" s="3" t="str">
        <f>"317-685-1200"</f>
        <v>317-685-1200</v>
      </c>
      <c r="G4460" s="3">
        <v>541613</v>
      </c>
      <c r="H4460" s="3" t="s">
        <v>558</v>
      </c>
    </row>
    <row r="4461" spans="1:8" ht="90" x14ac:dyDescent="0.25">
      <c r="A4461" s="3" t="s">
        <v>13318</v>
      </c>
      <c r="B4461" s="3"/>
      <c r="C4461" s="3" t="s">
        <v>13319</v>
      </c>
      <c r="D4461" s="3" t="s">
        <v>13320</v>
      </c>
      <c r="E4461" s="3" t="s">
        <v>13321</v>
      </c>
      <c r="F4461" s="3" t="str">
        <f>"812-967-6524"</f>
        <v>812-967-6524</v>
      </c>
      <c r="G4461" s="3">
        <v>333512</v>
      </c>
      <c r="H4461" s="3" t="s">
        <v>10487</v>
      </c>
    </row>
    <row r="4462" spans="1:8" ht="102.75" x14ac:dyDescent="0.25">
      <c r="A4462" s="3" t="s">
        <v>13322</v>
      </c>
      <c r="B4462" s="3"/>
      <c r="C4462" s="3" t="s">
        <v>13323</v>
      </c>
      <c r="D4462" s="3" t="s">
        <v>13324</v>
      </c>
      <c r="E4462" s="3" t="s">
        <v>13325</v>
      </c>
      <c r="F4462" s="3" t="str">
        <f>"574/295-6500"</f>
        <v>574/295-6500</v>
      </c>
      <c r="G4462" s="3">
        <v>323110</v>
      </c>
      <c r="H4462" s="3" t="s">
        <v>1900</v>
      </c>
    </row>
    <row r="4463" spans="1:8" ht="39" x14ac:dyDescent="0.25">
      <c r="A4463" s="3" t="s">
        <v>13326</v>
      </c>
      <c r="B4463" s="3"/>
      <c r="C4463" s="3" t="str">
        <f>"Provides marketing and public relations services as well as planning and executing special events, meetings, and conferences."</f>
        <v>Provides marketing and public relations services as well as planning and executing special events, meetings, and conferences.</v>
      </c>
      <c r="D4463" s="3" t="s">
        <v>9</v>
      </c>
      <c r="E4463" s="3" t="s">
        <v>13327</v>
      </c>
      <c r="F4463" s="3" t="str">
        <f>"317/636-1420"</f>
        <v>317/636-1420</v>
      </c>
      <c r="G4463" s="3">
        <v>541613</v>
      </c>
      <c r="H4463" s="3" t="s">
        <v>558</v>
      </c>
    </row>
    <row r="4464" spans="1:8" ht="39" x14ac:dyDescent="0.25">
      <c r="A4464" s="3" t="s">
        <v>13328</v>
      </c>
      <c r="B4464" s="3"/>
      <c r="C4464" s="3" t="str">
        <f>"Automotive repair, minor and major repairs, specialty in engine work, all makes and models, racing motors"</f>
        <v>Automotive repair, minor and major repairs, specialty in engine work, all makes and models, racing motors</v>
      </c>
      <c r="D4464" s="3" t="s">
        <v>9</v>
      </c>
      <c r="E4464" s="3" t="s">
        <v>13329</v>
      </c>
      <c r="F4464" s="3" t="str">
        <f>"317-364-0000"</f>
        <v>317-364-0000</v>
      </c>
      <c r="G4464" s="3">
        <v>8111</v>
      </c>
      <c r="H4464" s="3" t="s">
        <v>3587</v>
      </c>
    </row>
    <row r="4465" spans="1:8" ht="77.25" x14ac:dyDescent="0.25">
      <c r="A4465" s="3" t="s">
        <v>13330</v>
      </c>
      <c r="B4465" s="3"/>
      <c r="C4465" s="3" t="str">
        <f>"Design and branding services for business-to-business and business-to-consumer companies. Includes brand development, strategic planning and design development for corporate and product messaging in web, collateral and promotional tools."</f>
        <v>Design and branding services for business-to-business and business-to-consumer companies. Includes brand development, strategic planning and design development for corporate and product messaging in web, collateral and promotional tools.</v>
      </c>
      <c r="D4465" s="3" t="s">
        <v>13331</v>
      </c>
      <c r="E4465" s="3" t="s">
        <v>13332</v>
      </c>
      <c r="F4465" s="3" t="str">
        <f>"812-482-4898"</f>
        <v>812-482-4898</v>
      </c>
      <c r="G4465" s="3">
        <v>541430</v>
      </c>
      <c r="H4465" s="3" t="s">
        <v>78</v>
      </c>
    </row>
    <row r="4466" spans="1:8" ht="306.75" x14ac:dyDescent="0.25">
      <c r="A4466" s="3" t="s">
        <v>13333</v>
      </c>
      <c r="B4466" s="3"/>
      <c r="C4466" s="3" t="s">
        <v>13334</v>
      </c>
      <c r="D4466" s="3" t="s">
        <v>9</v>
      </c>
      <c r="E4466" s="3" t="s">
        <v>46</v>
      </c>
      <c r="F4466" s="2"/>
      <c r="G4466" s="3">
        <v>713940</v>
      </c>
      <c r="H4466" s="3" t="s">
        <v>1471</v>
      </c>
    </row>
    <row r="4467" spans="1:8" ht="268.5" x14ac:dyDescent="0.25">
      <c r="A4467" s="3" t="s">
        <v>13335</v>
      </c>
      <c r="B4467" s="3"/>
      <c r="C4467" s="3" t="s">
        <v>13336</v>
      </c>
      <c r="D4467" s="3" t="s">
        <v>13337</v>
      </c>
      <c r="E4467" s="3" t="s">
        <v>13338</v>
      </c>
      <c r="F4467" s="3" t="str">
        <f>"219 464 7055"</f>
        <v>219 464 7055</v>
      </c>
      <c r="G4467" s="3">
        <v>446110</v>
      </c>
      <c r="H4467" s="3" t="s">
        <v>3738</v>
      </c>
    </row>
    <row r="4468" spans="1:8" ht="102.75" x14ac:dyDescent="0.25">
      <c r="A4468" s="3" t="s">
        <v>13339</v>
      </c>
      <c r="B4468" s="3"/>
      <c r="C4468" s="3" t="s">
        <v>13340</v>
      </c>
      <c r="D4468" s="3" t="s">
        <v>9</v>
      </c>
      <c r="E4468" s="3" t="s">
        <v>46</v>
      </c>
      <c r="F4468" s="2"/>
      <c r="G4468" s="3">
        <v>813920</v>
      </c>
      <c r="H4468" s="3" t="s">
        <v>8755</v>
      </c>
    </row>
    <row r="4469" spans="1:8" ht="51.75" x14ac:dyDescent="0.25">
      <c r="A4469" s="3" t="s">
        <v>13341</v>
      </c>
      <c r="B4469" s="3"/>
      <c r="C4469" s="3" t="str">
        <f>"We are a Indiana based business that provides Indiana residents and business with quality lawn care and landscaping services."</f>
        <v>We are a Indiana based business that provides Indiana residents and business with quality lawn care and landscaping services.</v>
      </c>
      <c r="D4469" s="3" t="s">
        <v>9</v>
      </c>
      <c r="E4469" s="3" t="s">
        <v>13342</v>
      </c>
      <c r="F4469" s="3" t="str">
        <f>"317-607-6720"</f>
        <v>317-607-6720</v>
      </c>
      <c r="G4469" s="3">
        <v>561730</v>
      </c>
      <c r="H4469" s="3" t="s">
        <v>65</v>
      </c>
    </row>
    <row r="4470" spans="1:8" ht="39" x14ac:dyDescent="0.25">
      <c r="A4470" s="3" t="s">
        <v>13343</v>
      </c>
      <c r="B4470" s="3"/>
      <c r="C4470" s="3" t="str">
        <f>"Specializing in Information Services to include Cyber-Security, Vulnerability Hunting, and other infrastructure services."</f>
        <v>Specializing in Information Services to include Cyber-Security, Vulnerability Hunting, and other infrastructure services.</v>
      </c>
      <c r="D4470" s="3" t="s">
        <v>9</v>
      </c>
      <c r="E4470" s="3" t="s">
        <v>13344</v>
      </c>
      <c r="F4470" s="3" t="str">
        <f>"317-224-7962"</f>
        <v>317-224-7962</v>
      </c>
      <c r="G4470" s="3">
        <v>5141</v>
      </c>
      <c r="H4470" s="3" t="s">
        <v>1097</v>
      </c>
    </row>
    <row r="4471" spans="1:8" ht="51.75" x14ac:dyDescent="0.25">
      <c r="A4471" s="3" t="s">
        <v>13345</v>
      </c>
      <c r="B4471" s="3"/>
      <c r="C4471" s="3" t="str">
        <f>"InSite Solutions, Inc. provides practical yet powerful project management training solutions to energize project buy-in and create lasting value."</f>
        <v>InSite Solutions, Inc. provides practical yet powerful project management training solutions to energize project buy-in and create lasting value.</v>
      </c>
      <c r="D4471" s="3" t="s">
        <v>9</v>
      </c>
      <c r="E4471" s="3" t="s">
        <v>13346</v>
      </c>
      <c r="F4471" s="3" t="str">
        <f>"317-501-5530"</f>
        <v>317-501-5530</v>
      </c>
      <c r="G4471" s="3">
        <v>611430</v>
      </c>
      <c r="H4471" s="3" t="s">
        <v>1224</v>
      </c>
    </row>
    <row r="4472" spans="1:8" ht="128.25" x14ac:dyDescent="0.25">
      <c r="A4472" s="3" t="s">
        <v>13347</v>
      </c>
      <c r="B4472" s="3"/>
      <c r="C4472" s="3" t="s">
        <v>13348</v>
      </c>
      <c r="D4472" s="3" t="s">
        <v>13349</v>
      </c>
      <c r="E4472" s="3" t="s">
        <v>13350</v>
      </c>
      <c r="F4472" s="3" t="str">
        <f>"630-299-4994"</f>
        <v>630-299-4994</v>
      </c>
      <c r="G4472" s="3">
        <v>423610</v>
      </c>
      <c r="H4472" s="3" t="s">
        <v>2414</v>
      </c>
    </row>
    <row r="4473" spans="1:8" ht="26.25" x14ac:dyDescent="0.25">
      <c r="A4473" s="3" t="s">
        <v>13351</v>
      </c>
      <c r="B4473" s="3"/>
      <c r="C4473" s="3" t="str">
        <f>"Network systems integration and design services"</f>
        <v>Network systems integration and design services</v>
      </c>
      <c r="D4473" s="3" t="s">
        <v>13352</v>
      </c>
      <c r="E4473" s="3" t="s">
        <v>13353</v>
      </c>
      <c r="F4473" s="3" t="str">
        <f>"800-867-1024"</f>
        <v>800-867-1024</v>
      </c>
      <c r="G4473" s="3">
        <v>541512</v>
      </c>
      <c r="H4473" s="3" t="s">
        <v>19</v>
      </c>
    </row>
    <row r="4474" spans="1:8" ht="39" x14ac:dyDescent="0.25">
      <c r="A4474" s="3" t="s">
        <v>13354</v>
      </c>
      <c r="B4474" s="3"/>
      <c r="C4474" s="3" t="str">
        <f>"Provider of promotional specialty merchandise, on-site silk screening and embroidery."</f>
        <v>Provider of promotional specialty merchandise, on-site silk screening and embroidery.</v>
      </c>
      <c r="D4474" s="3" t="s">
        <v>13355</v>
      </c>
      <c r="E4474" s="3" t="s">
        <v>13356</v>
      </c>
      <c r="F4474" s="3" t="str">
        <f>"317-541-0569"</f>
        <v>317-541-0569</v>
      </c>
      <c r="G4474" s="3">
        <v>4243</v>
      </c>
      <c r="H4474" s="3" t="s">
        <v>6987</v>
      </c>
    </row>
    <row r="4475" spans="1:8" ht="26.25" x14ac:dyDescent="0.25">
      <c r="A4475" s="3" t="s">
        <v>13357</v>
      </c>
      <c r="B4475" s="3"/>
      <c r="C4475" s="3" t="str">
        <f>"Manufacturer of high tech ceramic components."</f>
        <v>Manufacturer of high tech ceramic components.</v>
      </c>
      <c r="D4475" s="3" t="s">
        <v>13358</v>
      </c>
      <c r="E4475" s="3" t="s">
        <v>13359</v>
      </c>
      <c r="F4475" s="3" t="str">
        <f>"(765)932-5909"</f>
        <v>(765)932-5909</v>
      </c>
      <c r="G4475" s="3">
        <v>327999</v>
      </c>
      <c r="H4475" s="3" t="s">
        <v>13360</v>
      </c>
    </row>
    <row r="4476" spans="1:8" ht="26.25" x14ac:dyDescent="0.25">
      <c r="A4476" s="3" t="s">
        <v>13361</v>
      </c>
      <c r="B4476" s="3"/>
      <c r="C4476" s="3" t="str">
        <f>"Fire Extinguishers sales and services, Kitchen Hood systems"</f>
        <v>Fire Extinguishers sales and services, Kitchen Hood systems</v>
      </c>
      <c r="D4476" s="3" t="s">
        <v>9</v>
      </c>
      <c r="E4476" s="3" t="s">
        <v>46</v>
      </c>
      <c r="F4476" s="3" t="str">
        <f>"1-866-932-3899"</f>
        <v>1-866-932-3899</v>
      </c>
      <c r="G4476" s="3">
        <v>423990</v>
      </c>
      <c r="H4476" s="3" t="s">
        <v>983</v>
      </c>
    </row>
    <row r="4477" spans="1:8" ht="102.75" x14ac:dyDescent="0.25">
      <c r="A4477" s="3" t="s">
        <v>13362</v>
      </c>
      <c r="B4477" s="3"/>
      <c r="C4477" s="3" t="s">
        <v>13363</v>
      </c>
      <c r="D4477" s="3" t="s">
        <v>13364</v>
      </c>
      <c r="E4477" s="3" t="s">
        <v>46</v>
      </c>
      <c r="F4477" s="3" t="str">
        <f>"800-942-4383"</f>
        <v>800-942-4383</v>
      </c>
      <c r="G4477" s="3">
        <v>31</v>
      </c>
      <c r="H4477" s="3" t="s">
        <v>999</v>
      </c>
    </row>
    <row r="4478" spans="1:8" ht="26.25" x14ac:dyDescent="0.25">
      <c r="A4478" s="3" t="s">
        <v>13365</v>
      </c>
      <c r="B4478" s="3"/>
      <c r="C4478" s="3" t="str">
        <f>"Information Technology staffing and consulting."</f>
        <v>Information Technology staffing and consulting.</v>
      </c>
      <c r="D4478" s="3" t="s">
        <v>13366</v>
      </c>
      <c r="E4478" s="3" t="s">
        <v>13367</v>
      </c>
      <c r="F4478" s="3" t="str">
        <f>"(317) 634-9482"</f>
        <v>(317) 634-9482</v>
      </c>
      <c r="G4478" s="3">
        <v>541990</v>
      </c>
      <c r="H4478" s="3" t="s">
        <v>378</v>
      </c>
    </row>
    <row r="4479" spans="1:8" ht="204.75" x14ac:dyDescent="0.25">
      <c r="A4479" s="3" t="s">
        <v>13368</v>
      </c>
      <c r="B4479" s="3"/>
      <c r="C4479" s="3" t="s">
        <v>13369</v>
      </c>
      <c r="D4479" s="3" t="s">
        <v>13370</v>
      </c>
      <c r="E4479" s="3" t="s">
        <v>13371</v>
      </c>
      <c r="F4479" s="3" t="str">
        <f>"3176349482"</f>
        <v>3176349482</v>
      </c>
      <c r="G4479" s="3">
        <v>541511</v>
      </c>
      <c r="H4479" s="3" t="s">
        <v>122</v>
      </c>
    </row>
    <row r="4480" spans="1:8" ht="128.25" x14ac:dyDescent="0.25">
      <c r="A4480" s="3" t="s">
        <v>13372</v>
      </c>
      <c r="B4480" s="3"/>
      <c r="C4480" s="3" t="s">
        <v>13373</v>
      </c>
      <c r="D4480" s="3" t="s">
        <v>13374</v>
      </c>
      <c r="E4480" s="3" t="s">
        <v>13375</v>
      </c>
      <c r="F4480" s="3" t="str">
        <f>"219-759-4200"</f>
        <v>219-759-4200</v>
      </c>
      <c r="G4480" s="3">
        <v>56162</v>
      </c>
      <c r="H4480" s="3" t="s">
        <v>1276</v>
      </c>
    </row>
    <row r="4481" spans="1:8" ht="39" x14ac:dyDescent="0.25">
      <c r="A4481" s="3" t="s">
        <v>13376</v>
      </c>
      <c r="B4481" s="3"/>
      <c r="C4481" s="3" t="str">
        <f>"Residential, Commercial, Farm, Multi-Family, Environmentally Impacted, Litigation Real Estate Appraisals"</f>
        <v>Residential, Commercial, Farm, Multi-Family, Environmentally Impacted, Litigation Real Estate Appraisals</v>
      </c>
      <c r="D4481" s="3" t="s">
        <v>13377</v>
      </c>
      <c r="E4481" s="3" t="s">
        <v>13378</v>
      </c>
      <c r="F4481" s="3" t="str">
        <f>"812-479-1001"</f>
        <v>812-479-1001</v>
      </c>
      <c r="G4481" s="3">
        <v>531320</v>
      </c>
      <c r="H4481" s="3" t="s">
        <v>34</v>
      </c>
    </row>
    <row r="4482" spans="1:8" ht="51.75" x14ac:dyDescent="0.25">
      <c r="A4482" s="3" t="s">
        <v>13379</v>
      </c>
      <c r="B4482" s="3"/>
      <c r="C4482" s="3" t="str">
        <f>"We provide Case Management Services to developmentally disabled individuals assisting them with finding the best quality of life available."</f>
        <v>We provide Case Management Services to developmentally disabled individuals assisting them with finding the best quality of life available.</v>
      </c>
      <c r="D4482" s="3" t="s">
        <v>9</v>
      </c>
      <c r="E4482" s="3" t="s">
        <v>13380</v>
      </c>
      <c r="F4482" s="3" t="str">
        <f>"317-254-1519"</f>
        <v>317-254-1519</v>
      </c>
      <c r="G4482" s="3">
        <v>62</v>
      </c>
      <c r="H4482" s="3" t="s">
        <v>1168</v>
      </c>
    </row>
    <row r="4483" spans="1:8" ht="39" x14ac:dyDescent="0.25">
      <c r="A4483" s="3" t="s">
        <v>13381</v>
      </c>
      <c r="B4483" s="3"/>
      <c r="C4483" s="3" t="str">
        <f>"ICI LLC is a disabled veteran owned small business focused on IT related consulting services."</f>
        <v>ICI LLC is a disabled veteran owned small business focused on IT related consulting services.</v>
      </c>
      <c r="D4483" s="3" t="s">
        <v>13382</v>
      </c>
      <c r="E4483" s="3" t="s">
        <v>13383</v>
      </c>
      <c r="F4483" s="3" t="str">
        <f>"703-861-9090"</f>
        <v>703-861-9090</v>
      </c>
      <c r="G4483" s="3">
        <v>541519</v>
      </c>
      <c r="H4483" s="3" t="s">
        <v>898</v>
      </c>
    </row>
    <row r="4484" spans="1:8" ht="26.25" x14ac:dyDescent="0.25">
      <c r="A4484" s="3" t="s">
        <v>13384</v>
      </c>
      <c r="B4484" s="3"/>
      <c r="C4484" s="3" t="str">
        <f>"Land Surveying Company"</f>
        <v>Land Surveying Company</v>
      </c>
      <c r="D4484" s="3" t="s">
        <v>9</v>
      </c>
      <c r="E4484" s="3" t="s">
        <v>46</v>
      </c>
      <c r="F4484" s="2"/>
      <c r="G4484" s="3">
        <v>541360</v>
      </c>
      <c r="H4484" s="3" t="s">
        <v>165</v>
      </c>
    </row>
    <row r="4485" spans="1:8" ht="39" x14ac:dyDescent="0.25">
      <c r="A4485" s="3" t="s">
        <v>13385</v>
      </c>
      <c r="B4485" s="3"/>
      <c r="C4485" s="3" t="str">
        <f>"A dealer-owned cooperative dealer group for independently-owned office supply dealers."</f>
        <v>A dealer-owned cooperative dealer group for independently-owned office supply dealers.</v>
      </c>
      <c r="D4485" s="3" t="s">
        <v>13386</v>
      </c>
      <c r="E4485" s="3" t="s">
        <v>13387</v>
      </c>
      <c r="F4485" s="3" t="str">
        <f>"317-845-9155"</f>
        <v>317-845-9155</v>
      </c>
      <c r="G4485" s="3">
        <v>453210</v>
      </c>
      <c r="H4485" s="3" t="s">
        <v>431</v>
      </c>
    </row>
    <row r="4486" spans="1:8" ht="166.5" x14ac:dyDescent="0.25">
      <c r="A4486" s="3" t="s">
        <v>13388</v>
      </c>
      <c r="B4486" s="3"/>
      <c r="C4486" s="3" t="s">
        <v>13389</v>
      </c>
      <c r="D4486" s="3" t="s">
        <v>13390</v>
      </c>
      <c r="E4486" s="3" t="s">
        <v>13391</v>
      </c>
      <c r="F4486" s="3" t="str">
        <f>"812-247-3342"</f>
        <v>812-247-3342</v>
      </c>
      <c r="G4486" s="3">
        <v>2389</v>
      </c>
      <c r="H4486" s="3" t="s">
        <v>1236</v>
      </c>
    </row>
    <row r="4487" spans="1:8" ht="128.25" x14ac:dyDescent="0.25">
      <c r="A4487" s="3" t="s">
        <v>13392</v>
      </c>
      <c r="B4487" s="3"/>
      <c r="C4487" s="3" t="s">
        <v>13393</v>
      </c>
      <c r="D4487" s="3" t="s">
        <v>13394</v>
      </c>
      <c r="E4487" s="3" t="s">
        <v>13395</v>
      </c>
      <c r="F4487" s="3" t="str">
        <f>"317-920-4850"</f>
        <v>317-920-4850</v>
      </c>
      <c r="G4487" s="3">
        <v>624</v>
      </c>
      <c r="H4487" s="3" t="s">
        <v>6524</v>
      </c>
    </row>
    <row r="4488" spans="1:8" ht="39" x14ac:dyDescent="0.25">
      <c r="A4488" s="3" t="s">
        <v>13396</v>
      </c>
      <c r="B4488" s="3"/>
      <c r="C4488" s="3" t="str">
        <f>"Real estate services including land acquisition for public use-right of way and easement acquisition"</f>
        <v>Real estate services including land acquisition for public use-right of way and easement acquisition</v>
      </c>
      <c r="D4488" s="3" t="s">
        <v>9</v>
      </c>
      <c r="E4488" s="3" t="s">
        <v>13397</v>
      </c>
      <c r="F4488" s="3" t="str">
        <f>"317 841-6560"</f>
        <v>317 841-6560</v>
      </c>
      <c r="G4488" s="3">
        <v>531</v>
      </c>
      <c r="H4488" s="3" t="s">
        <v>74</v>
      </c>
    </row>
    <row r="4489" spans="1:8" ht="102.75" x14ac:dyDescent="0.25">
      <c r="A4489" s="3" t="s">
        <v>13398</v>
      </c>
      <c r="B4489" s="3"/>
      <c r="C4489" s="3" t="s">
        <v>13399</v>
      </c>
      <c r="D4489" s="3" t="s">
        <v>9</v>
      </c>
      <c r="E4489" s="3" t="s">
        <v>13400</v>
      </c>
      <c r="F4489" s="3" t="str">
        <f>"3173562308"</f>
        <v>3173562308</v>
      </c>
      <c r="G4489" s="3">
        <v>813319</v>
      </c>
      <c r="H4489" s="3" t="s">
        <v>6313</v>
      </c>
    </row>
    <row r="4490" spans="1:8" ht="192" x14ac:dyDescent="0.25">
      <c r="A4490" s="3" t="s">
        <v>13401</v>
      </c>
      <c r="B4490" s="3"/>
      <c r="C4490" s="3" t="s">
        <v>13402</v>
      </c>
      <c r="D4490" s="3" t="s">
        <v>13403</v>
      </c>
      <c r="E4490" s="3" t="s">
        <v>13404</v>
      </c>
      <c r="F4490" s="3" t="str">
        <f>"317-829-3656"</f>
        <v>317-829-3656</v>
      </c>
      <c r="G4490" s="3">
        <v>813920</v>
      </c>
      <c r="H4490" s="3" t="s">
        <v>8755</v>
      </c>
    </row>
    <row r="4491" spans="1:8" ht="102.75" x14ac:dyDescent="0.25">
      <c r="A4491" s="3" t="s">
        <v>13405</v>
      </c>
      <c r="B4491" s="3"/>
      <c r="C4491" s="3" t="s">
        <v>13406</v>
      </c>
      <c r="D4491" s="3" t="s">
        <v>13407</v>
      </c>
      <c r="E4491" s="3" t="s">
        <v>13408</v>
      </c>
      <c r="F4491" s="3" t="str">
        <f>"317-454-8533"</f>
        <v>317-454-8533</v>
      </c>
      <c r="G4491" s="3">
        <v>813410</v>
      </c>
      <c r="H4491" s="3" t="s">
        <v>8420</v>
      </c>
    </row>
    <row r="4492" spans="1:8" x14ac:dyDescent="0.25">
      <c r="A4492" s="3" t="s">
        <v>13409</v>
      </c>
      <c r="B4492" s="3"/>
      <c r="C4492" s="2"/>
      <c r="D4492" s="3" t="s">
        <v>9</v>
      </c>
      <c r="E4492" s="3" t="s">
        <v>46</v>
      </c>
      <c r="F4492" s="2"/>
      <c r="G4492" s="3">
        <v>611110</v>
      </c>
      <c r="H4492" s="3" t="s">
        <v>3876</v>
      </c>
    </row>
    <row r="4493" spans="1:8" ht="64.5" x14ac:dyDescent="0.25">
      <c r="A4493" s="3" t="s">
        <v>13410</v>
      </c>
      <c r="B4493" s="3"/>
      <c r="C4493" s="3" t="str">
        <f>"We are a dealer auction selling the following types of vehicles every Wednesday at 9:30am: Salvage, flood, theft, watercraft, semi-tractors &amp; trailers, motorcycles, and fleet vehicles."</f>
        <v>We are a dealer auction selling the following types of vehicles every Wednesday at 9:30am: Salvage, flood, theft, watercraft, semi-tractors &amp; trailers, motorcycles, and fleet vehicles.</v>
      </c>
      <c r="D4493" s="3" t="s">
        <v>13411</v>
      </c>
      <c r="E4493" s="3" t="s">
        <v>13412</v>
      </c>
      <c r="F4493" s="3" t="str">
        <f>"317-787-3202"</f>
        <v>317-787-3202</v>
      </c>
      <c r="G4493" s="3">
        <v>56149</v>
      </c>
      <c r="H4493" s="3" t="s">
        <v>7754</v>
      </c>
    </row>
    <row r="4494" spans="1:8" ht="192" x14ac:dyDescent="0.25">
      <c r="A4494" s="3" t="s">
        <v>13413</v>
      </c>
      <c r="B4494" s="3"/>
      <c r="C4494" s="3" t="s">
        <v>13414</v>
      </c>
      <c r="D4494" s="3" t="s">
        <v>13415</v>
      </c>
      <c r="E4494" s="3" t="s">
        <v>13416</v>
      </c>
      <c r="F4494" s="3" t="str">
        <f>"317-466-9701"</f>
        <v>317-466-9701</v>
      </c>
      <c r="G4494" s="3">
        <v>813410</v>
      </c>
      <c r="H4494" s="3" t="s">
        <v>8420</v>
      </c>
    </row>
    <row r="4495" spans="1:8" ht="26.25" x14ac:dyDescent="0.25">
      <c r="A4495" s="3" t="s">
        <v>13417</v>
      </c>
      <c r="B4495" s="3"/>
      <c r="C4495" s="3" t="str">
        <f>"Manufacturer of plastic bottles."</f>
        <v>Manufacturer of plastic bottles.</v>
      </c>
      <c r="D4495" s="3" t="s">
        <v>13418</v>
      </c>
      <c r="E4495" s="3" t="s">
        <v>13419</v>
      </c>
      <c r="F4495" s="3" t="str">
        <f>"812-752-8700"</f>
        <v>812-752-8700</v>
      </c>
      <c r="G4495" s="3">
        <v>32616</v>
      </c>
      <c r="H4495" s="3" t="s">
        <v>13420</v>
      </c>
    </row>
    <row r="4496" spans="1:8" ht="128.25" x14ac:dyDescent="0.25">
      <c r="A4496" s="3" t="s">
        <v>13421</v>
      </c>
      <c r="B4496" s="3"/>
      <c r="C4496" s="3" t="s">
        <v>13422</v>
      </c>
      <c r="D4496" s="3" t="s">
        <v>13423</v>
      </c>
      <c r="E4496" s="3" t="s">
        <v>13424</v>
      </c>
      <c r="F4496" s="3" t="str">
        <f>"317-917-1100"</f>
        <v>317-917-1100</v>
      </c>
      <c r="G4496" s="3">
        <v>813910</v>
      </c>
      <c r="H4496" s="3" t="s">
        <v>1906</v>
      </c>
    </row>
    <row r="4497" spans="1:8" ht="179.25" x14ac:dyDescent="0.25">
      <c r="A4497" s="3" t="s">
        <v>13425</v>
      </c>
      <c r="B4497" s="3"/>
      <c r="C4497" s="3" t="s">
        <v>13426</v>
      </c>
      <c r="D4497" s="3" t="s">
        <v>13427</v>
      </c>
      <c r="E4497" s="3" t="s">
        <v>13428</v>
      </c>
      <c r="F4497" s="3" t="str">
        <f>"317-635-3058"</f>
        <v>317-635-3058</v>
      </c>
      <c r="G4497" s="3">
        <v>5416</v>
      </c>
      <c r="H4497" s="3" t="s">
        <v>194</v>
      </c>
    </row>
    <row r="4498" spans="1:8" ht="39" x14ac:dyDescent="0.25">
      <c r="A4498" s="3" t="s">
        <v>13429</v>
      </c>
      <c r="B4498" s="3"/>
      <c r="C4498" s="3" t="str">
        <f>"Full service office furniture supplier. Design to install complete product line, service and maintenance"</f>
        <v>Full service office furniture supplier. Design to install complete product line, service and maintenance</v>
      </c>
      <c r="D4498" s="3" t="s">
        <v>13430</v>
      </c>
      <c r="E4498" s="3" t="s">
        <v>46</v>
      </c>
      <c r="F4498" s="3" t="str">
        <f>"317-630-2315"</f>
        <v>317-630-2315</v>
      </c>
      <c r="G4498" s="3">
        <v>442110</v>
      </c>
      <c r="H4498" s="3" t="s">
        <v>117</v>
      </c>
    </row>
    <row r="4499" spans="1:8" ht="319.5" x14ac:dyDescent="0.25">
      <c r="A4499" s="3" t="s">
        <v>13431</v>
      </c>
      <c r="B4499" s="3"/>
      <c r="C4499" s="3" t="s">
        <v>13432</v>
      </c>
      <c r="D4499" s="3" t="s">
        <v>13433</v>
      </c>
      <c r="E4499" s="3" t="s">
        <v>13434</v>
      </c>
      <c r="F4499" s="3" t="str">
        <f>"317-917-1970"</f>
        <v>317-917-1970</v>
      </c>
      <c r="G4499" s="3">
        <v>541512</v>
      </c>
      <c r="H4499" s="3" t="s">
        <v>19</v>
      </c>
    </row>
    <row r="4500" spans="1:8" ht="153.75" x14ac:dyDescent="0.25">
      <c r="A4500" s="3" t="s">
        <v>13435</v>
      </c>
      <c r="B4500" s="3"/>
      <c r="C4500" s="3" t="s">
        <v>13436</v>
      </c>
      <c r="D4500" s="3" t="s">
        <v>13437</v>
      </c>
      <c r="E4500" s="3" t="s">
        <v>13438</v>
      </c>
      <c r="F4500" s="3" t="str">
        <f>"800 547-2233"</f>
        <v>800 547-2233</v>
      </c>
      <c r="G4500" s="3">
        <v>453210</v>
      </c>
      <c r="H4500" s="3" t="s">
        <v>431</v>
      </c>
    </row>
    <row r="4501" spans="1:8" ht="26.25" x14ac:dyDescent="0.25">
      <c r="A4501" s="3" t="s">
        <v>13439</v>
      </c>
      <c r="B4501" s="3"/>
      <c r="C4501" s="3" t="str">
        <f>"Wholesale distributor of commercial floor coverings and flooring accessories"</f>
        <v>Wholesale distributor of commercial floor coverings and flooring accessories</v>
      </c>
      <c r="D4501" s="3" t="s">
        <v>13440</v>
      </c>
      <c r="E4501" s="3" t="s">
        <v>46</v>
      </c>
      <c r="F4501" s="3" t="str">
        <f>"317-283-5574"</f>
        <v>317-283-5574</v>
      </c>
      <c r="G4501" s="3">
        <v>442110</v>
      </c>
      <c r="H4501" s="3" t="s">
        <v>117</v>
      </c>
    </row>
    <row r="4502" spans="1:8" ht="26.25" x14ac:dyDescent="0.25">
      <c r="A4502" s="3" t="s">
        <v>13441</v>
      </c>
      <c r="B4502" s="3"/>
      <c r="C4502" s="3" t="str">
        <f>"Case Management Services."</f>
        <v>Case Management Services.</v>
      </c>
      <c r="D4502" s="3" t="s">
        <v>12875</v>
      </c>
      <c r="E4502" s="3" t="s">
        <v>13442</v>
      </c>
      <c r="F4502" s="3" t="str">
        <f>"317-202-0500"</f>
        <v>317-202-0500</v>
      </c>
      <c r="G4502" s="3">
        <v>62</v>
      </c>
      <c r="H4502" s="3" t="s">
        <v>1168</v>
      </c>
    </row>
    <row r="4503" spans="1:8" ht="26.25" x14ac:dyDescent="0.25">
      <c r="A4503" s="3" t="s">
        <v>13443</v>
      </c>
      <c r="B4503" s="3"/>
      <c r="C4503" s="3" t="str">
        <f>"Case management services for the Medicaid Waiver Program."</f>
        <v>Case management services for the Medicaid Waiver Program.</v>
      </c>
      <c r="D4503" s="3" t="s">
        <v>13444</v>
      </c>
      <c r="E4503" s="3" t="s">
        <v>13445</v>
      </c>
      <c r="F4503" s="3" t="str">
        <f>"317-585-5944"</f>
        <v>317-585-5944</v>
      </c>
      <c r="G4503" s="3">
        <v>62412</v>
      </c>
      <c r="H4503" s="3" t="s">
        <v>22</v>
      </c>
    </row>
    <row r="4504" spans="1:8" ht="77.25" x14ac:dyDescent="0.25">
      <c r="A4504" s="3" t="s">
        <v>13446</v>
      </c>
      <c r="B4504" s="3"/>
      <c r="C4504" s="3" t="str">
        <f>"Manufacturer of electronic, and manually activated cash drawers that are used in Point of Sales Systems, and retail cash wraps. ICD Telecom is a new entity that manufactures telecom cabinets, racks, and accessories for both."</f>
        <v>Manufacturer of electronic, and manually activated cash drawers that are used in Point of Sales Systems, and retail cash wraps. ICD Telecom is a new entity that manufactures telecom cabinets, racks, and accessories for both.</v>
      </c>
      <c r="D4504" s="3" t="s">
        <v>13447</v>
      </c>
      <c r="E4504" s="3" t="s">
        <v>13448</v>
      </c>
      <c r="F4504" s="3" t="str">
        <f>"317-398-6643"</f>
        <v>317-398-6643</v>
      </c>
      <c r="G4504" s="3">
        <v>334119</v>
      </c>
      <c r="H4504" s="3" t="s">
        <v>6977</v>
      </c>
    </row>
    <row r="4505" spans="1:8" ht="64.5" x14ac:dyDescent="0.25">
      <c r="A4505" s="3" t="s">
        <v>13449</v>
      </c>
      <c r="B4505" s="3"/>
      <c r="C4505" s="3" t="str">
        <f>"INCASA provides education, training, resources, advocacy, information, referrals, and support to professionals, survivors, and communities throughout Indiana regarding issues of sexual violence."</f>
        <v>INCASA provides education, training, resources, advocacy, information, referrals, and support to professionals, survivors, and communities throughout Indiana regarding issues of sexual violence.</v>
      </c>
      <c r="D4505" s="3" t="s">
        <v>13450</v>
      </c>
      <c r="E4505" s="3" t="s">
        <v>13451</v>
      </c>
      <c r="F4505" s="3" t="str">
        <f>"317-423-0233"</f>
        <v>317-423-0233</v>
      </c>
      <c r="G4505" s="3">
        <v>813319</v>
      </c>
      <c r="H4505" s="3" t="s">
        <v>6313</v>
      </c>
    </row>
    <row r="4506" spans="1:8" ht="51.75" x14ac:dyDescent="0.25">
      <c r="A4506" s="3" t="s">
        <v>13452</v>
      </c>
      <c r="B4506" s="3"/>
      <c r="C4506" s="3" t="str">
        <f>"We offer library services within the State of Indiana to public libraries, schools, colleges and universities, special libraries, and business entities with libraries."</f>
        <v>We offer library services within the State of Indiana to public libraries, schools, colleges and universities, special libraries, and business entities with libraries.</v>
      </c>
      <c r="D4506" s="3" t="s">
        <v>13453</v>
      </c>
      <c r="E4506" s="3" t="s">
        <v>13454</v>
      </c>
      <c r="F4506" s="3" t="str">
        <f>"317-298-6570"</f>
        <v>317-298-6570</v>
      </c>
      <c r="G4506" s="3">
        <v>519120</v>
      </c>
      <c r="H4506" s="3" t="s">
        <v>13455</v>
      </c>
    </row>
    <row r="4507" spans="1:8" ht="64.5" x14ac:dyDescent="0.25">
      <c r="A4507" s="3" t="s">
        <v>13456</v>
      </c>
      <c r="B4507" s="3"/>
      <c r="C4507" s="3" t="str">
        <f>"Non-profit organization providing technical assistance and education to individuals, groups and communities wanting to start a cooperative or other collaborative type of business."</f>
        <v>Non-profit organization providing technical assistance and education to individuals, groups and communities wanting to start a cooperative or other collaborative type of business.</v>
      </c>
      <c r="D4507" s="3" t="s">
        <v>13457</v>
      </c>
      <c r="E4507" s="3" t="s">
        <v>13458</v>
      </c>
      <c r="F4507" s="3" t="str">
        <f>"317-692-7707"</f>
        <v>317-692-7707</v>
      </c>
      <c r="G4507" s="3">
        <v>541611</v>
      </c>
      <c r="H4507" s="3" t="s">
        <v>278</v>
      </c>
    </row>
    <row r="4508" spans="1:8" ht="26.25" x14ac:dyDescent="0.25">
      <c r="A4508" s="3" t="s">
        <v>13459</v>
      </c>
      <c r="B4508" s="3"/>
      <c r="C4508" s="3" t="str">
        <f>"Not-For-Profit Corporation Working on the issue of gambling addiction in Indiana."</f>
        <v>Not-For-Profit Corporation Working on the issue of gambling addiction in Indiana.</v>
      </c>
      <c r="D4508" s="3" t="s">
        <v>13460</v>
      </c>
      <c r="E4508" s="3" t="s">
        <v>13461</v>
      </c>
      <c r="F4508" s="3" t="str">
        <f>"317-632-1364"</f>
        <v>317-632-1364</v>
      </c>
      <c r="G4508" s="3">
        <v>62</v>
      </c>
      <c r="H4508" s="3" t="s">
        <v>1168</v>
      </c>
    </row>
    <row r="4509" spans="1:8" ht="204.75" x14ac:dyDescent="0.25">
      <c r="A4509" s="3" t="s">
        <v>13462</v>
      </c>
      <c r="B4509" s="3"/>
      <c r="C4509" s="3" t="s">
        <v>13463</v>
      </c>
      <c r="D4509" s="3" t="s">
        <v>13464</v>
      </c>
      <c r="E4509" s="3" t="s">
        <v>13465</v>
      </c>
      <c r="F4509" s="3" t="str">
        <f>"765-523-2535"</f>
        <v>765-523-2535</v>
      </c>
      <c r="G4509" s="3">
        <v>541990</v>
      </c>
      <c r="H4509" s="3" t="s">
        <v>378</v>
      </c>
    </row>
    <row r="4510" spans="1:8" ht="77.25" x14ac:dyDescent="0.25">
      <c r="A4510" s="3" t="s">
        <v>13466</v>
      </c>
      <c r="B4510" s="3"/>
      <c r="C4510" s="3" t="str">
        <f>"Branding and Business Development Experts Since 1972, institutions, corporations and entrepreneurs in Indiana have partnered with idc for its expertise in the development and execution of strategic, integrated marketing plans."</f>
        <v>Branding and Business Development Experts Since 1972, institutions, corporations and entrepreneurs in Indiana have partnered with idc for its expertise in the development and execution of strategic, integrated marketing plans.</v>
      </c>
      <c r="D4510" s="3" t="s">
        <v>13467</v>
      </c>
      <c r="E4510" s="3" t="s">
        <v>13468</v>
      </c>
      <c r="F4510" s="3" t="str">
        <f>"765 423-5469"</f>
        <v>765 423-5469</v>
      </c>
      <c r="G4510" s="3">
        <v>23</v>
      </c>
      <c r="H4510" s="3" t="s">
        <v>133</v>
      </c>
    </row>
    <row r="4511" spans="1:8" ht="64.5" x14ac:dyDescent="0.25">
      <c r="A4511" s="3" t="s">
        <v>13469</v>
      </c>
      <c r="B4511" s="3"/>
      <c r="C4511" s="3" t="str">
        <f>"Residential treatment, educational/vocational and community based services for children, adolescents and young adults with developmental, emotional and other disabilities."</f>
        <v>Residential treatment, educational/vocational and community based services for children, adolescents and young adults with developmental, emotional and other disabilities.</v>
      </c>
      <c r="D4511" s="3" t="s">
        <v>13470</v>
      </c>
      <c r="E4511" s="3" t="s">
        <v>46</v>
      </c>
      <c r="F4511" s="3" t="str">
        <f>"765-448-4220"</f>
        <v>765-448-4220</v>
      </c>
      <c r="G4511" s="3">
        <v>623210</v>
      </c>
      <c r="H4511" s="3" t="s">
        <v>5236</v>
      </c>
    </row>
    <row r="4512" spans="1:8" x14ac:dyDescent="0.25">
      <c r="A4512" s="3" t="s">
        <v>13471</v>
      </c>
      <c r="B4512" s="3"/>
      <c r="C4512" s="2"/>
      <c r="D4512" s="3" t="s">
        <v>9</v>
      </c>
      <c r="E4512" s="3" t="s">
        <v>46</v>
      </c>
      <c r="F4512" s="2"/>
      <c r="G4512" s="3">
        <v>321918</v>
      </c>
      <c r="H4512" s="3" t="s">
        <v>12573</v>
      </c>
    </row>
    <row r="4513" spans="1:8" ht="102.75" x14ac:dyDescent="0.25">
      <c r="A4513" s="3" t="s">
        <v>13472</v>
      </c>
      <c r="B4513" s="3"/>
      <c r="C4513" s="3" t="s">
        <v>13473</v>
      </c>
      <c r="D4513" s="3" t="s">
        <v>9</v>
      </c>
      <c r="E4513" s="3" t="s">
        <v>13474</v>
      </c>
      <c r="F4513" s="3" t="str">
        <f>"812-336-0813"</f>
        <v>812-336-0813</v>
      </c>
      <c r="G4513" s="3">
        <v>42371</v>
      </c>
      <c r="H4513" s="3" t="s">
        <v>6956</v>
      </c>
    </row>
    <row r="4514" spans="1:8" ht="90" x14ac:dyDescent="0.25">
      <c r="A4514" s="3" t="s">
        <v>13475</v>
      </c>
      <c r="B4514" s="3"/>
      <c r="C4514" s="3" t="s">
        <v>13476</v>
      </c>
      <c r="D4514" s="3" t="s">
        <v>13477</v>
      </c>
      <c r="E4514" s="3" t="s">
        <v>13478</v>
      </c>
      <c r="F4514" s="3" t="str">
        <f>"317-849-3880"</f>
        <v>317-849-3880</v>
      </c>
      <c r="G4514" s="3">
        <v>423610</v>
      </c>
      <c r="H4514" s="3" t="s">
        <v>2414</v>
      </c>
    </row>
    <row r="4515" spans="1:8" ht="77.25" x14ac:dyDescent="0.25">
      <c r="A4515" s="3" t="s">
        <v>13479</v>
      </c>
      <c r="B4515" s="3"/>
      <c r="C4515" s="3" t="str">
        <f>"Manufacturer of 2 x 6 plastic profile lumber made from a mixture of 100% recycled plastic material. All of our raw materials originate from local Indiana businesses, material that would otherwise go to area landfills."</f>
        <v>Manufacturer of 2 x 6 plastic profile lumber made from a mixture of 100% recycled plastic material. All of our raw materials originate from local Indiana businesses, material that would otherwise go to area landfills.</v>
      </c>
      <c r="D4515" s="3" t="s">
        <v>9</v>
      </c>
      <c r="E4515" s="3" t="s">
        <v>13480</v>
      </c>
      <c r="F4515" s="3" t="str">
        <f>"765-384-7088"</f>
        <v>765-384-7088</v>
      </c>
      <c r="G4515" s="3">
        <v>326199</v>
      </c>
      <c r="H4515" s="3" t="s">
        <v>2129</v>
      </c>
    </row>
    <row r="4516" spans="1:8" ht="179.25" x14ac:dyDescent="0.25">
      <c r="A4516" s="3" t="s">
        <v>13481</v>
      </c>
      <c r="B4516" s="3"/>
      <c r="C4516" s="3" t="s">
        <v>13482</v>
      </c>
      <c r="D4516" s="3" t="s">
        <v>13483</v>
      </c>
      <c r="E4516" s="3" t="s">
        <v>13484</v>
      </c>
      <c r="F4516" s="3" t="str">
        <f>"317-280-4636"</f>
        <v>317-280-4636</v>
      </c>
      <c r="G4516" s="3">
        <v>5133</v>
      </c>
      <c r="H4516" s="3" t="s">
        <v>682</v>
      </c>
    </row>
    <row r="4517" spans="1:8" ht="26.25" x14ac:dyDescent="0.25">
      <c r="A4517" s="3" t="s">
        <v>13485</v>
      </c>
      <c r="B4517" s="3"/>
      <c r="C4517" s="2"/>
      <c r="D4517" s="3" t="s">
        <v>13486</v>
      </c>
      <c r="E4517" s="3" t="s">
        <v>13487</v>
      </c>
      <c r="F4517" s="3" t="str">
        <f>"317-524-5711"</f>
        <v>317-524-5711</v>
      </c>
      <c r="G4517" s="3">
        <v>517</v>
      </c>
      <c r="H4517" s="3" t="s">
        <v>682</v>
      </c>
    </row>
    <row r="4518" spans="1:8" ht="192" x14ac:dyDescent="0.25">
      <c r="A4518" s="3" t="s">
        <v>13488</v>
      </c>
      <c r="B4518" s="3"/>
      <c r="C4518" s="3" t="s">
        <v>13489</v>
      </c>
      <c r="D4518" s="3" t="s">
        <v>13490</v>
      </c>
      <c r="E4518" s="3" t="s">
        <v>13491</v>
      </c>
      <c r="F4518" s="3" t="str">
        <f>"888-644-7745"</f>
        <v>888-644-7745</v>
      </c>
      <c r="G4518" s="3">
        <v>323</v>
      </c>
      <c r="H4518" s="3" t="s">
        <v>302</v>
      </c>
    </row>
    <row r="4519" spans="1:8" ht="26.25" x14ac:dyDescent="0.25">
      <c r="A4519" s="3" t="s">
        <v>13492</v>
      </c>
      <c r="B4519" s="3"/>
      <c r="C4519" s="3" t="str">
        <f>" "</f>
        <v xml:space="preserve"> </v>
      </c>
      <c r="D4519" s="3" t="s">
        <v>13493</v>
      </c>
      <c r="E4519" s="3" t="s">
        <v>13494</v>
      </c>
      <c r="F4519" s="3" t="str">
        <f>"1-800-468-4228"</f>
        <v>1-800-468-4228</v>
      </c>
      <c r="G4519" s="3">
        <v>813410</v>
      </c>
      <c r="H4519" s="3" t="s">
        <v>8420</v>
      </c>
    </row>
    <row r="4520" spans="1:8" ht="90" x14ac:dyDescent="0.25">
      <c r="A4520" s="3" t="s">
        <v>13495</v>
      </c>
      <c r="B4520" s="3"/>
      <c r="C4520" s="3" t="s">
        <v>13496</v>
      </c>
      <c r="D4520" s="3" t="s">
        <v>13497</v>
      </c>
      <c r="E4520" s="3" t="s">
        <v>13498</v>
      </c>
      <c r="F4520" s="3" t="str">
        <f>"(317) 234-2924"</f>
        <v>(317) 234-2924</v>
      </c>
      <c r="G4520" s="3">
        <v>813920</v>
      </c>
      <c r="H4520" s="3" t="s">
        <v>8755</v>
      </c>
    </row>
    <row r="4521" spans="1:8" ht="204.75" x14ac:dyDescent="0.25">
      <c r="A4521" s="3" t="s">
        <v>13499</v>
      </c>
      <c r="B4521" s="3"/>
      <c r="C4521" s="3" t="s">
        <v>13500</v>
      </c>
      <c r="D4521" s="3" t="s">
        <v>13501</v>
      </c>
      <c r="E4521" s="3" t="s">
        <v>13502</v>
      </c>
      <c r="F4521" s="3" t="str">
        <f>"765/342-7651"</f>
        <v>765/342-7651</v>
      </c>
      <c r="G4521" s="3">
        <v>321912</v>
      </c>
      <c r="H4521" s="3" t="s">
        <v>13503</v>
      </c>
    </row>
    <row r="4522" spans="1:8" ht="128.25" x14ac:dyDescent="0.25">
      <c r="A4522" s="3" t="s">
        <v>13504</v>
      </c>
      <c r="B4522" s="3"/>
      <c r="C4522" s="3" t="s">
        <v>13505</v>
      </c>
      <c r="D4522" s="3" t="s">
        <v>13506</v>
      </c>
      <c r="E4522" s="3" t="s">
        <v>13507</v>
      </c>
      <c r="F4522" s="3" t="str">
        <f>"317-576-1335"</f>
        <v>317-576-1335</v>
      </c>
      <c r="G4522" s="3">
        <v>621111</v>
      </c>
      <c r="H4522" s="3" t="s">
        <v>2002</v>
      </c>
    </row>
    <row r="4523" spans="1:8" ht="90" x14ac:dyDescent="0.25">
      <c r="A4523" s="3" t="s">
        <v>13508</v>
      </c>
      <c r="B4523" s="3"/>
      <c r="C4523" s="3" t="s">
        <v>13509</v>
      </c>
      <c r="D4523" s="3" t="s">
        <v>13510</v>
      </c>
      <c r="E4523" s="3" t="s">
        <v>13511</v>
      </c>
      <c r="F4523" s="3" t="str">
        <f>"3176441750"</f>
        <v>3176441750</v>
      </c>
      <c r="G4523" s="3">
        <v>519190</v>
      </c>
      <c r="H4523" s="3" t="s">
        <v>13512</v>
      </c>
    </row>
    <row r="4524" spans="1:8" ht="64.5" x14ac:dyDescent="0.25">
      <c r="A4524" s="3" t="s">
        <v>13513</v>
      </c>
      <c r="B4524" s="3"/>
      <c r="C4524" s="3" t="str">
        <f>"The Indiana Immunization Coalition exists to reduce the spread of vaccine-preventable disease through immunization education, advocacy, promotion, and statewide collaborative partnerships."</f>
        <v>The Indiana Immunization Coalition exists to reduce the spread of vaccine-preventable disease through immunization education, advocacy, promotion, and statewide collaborative partnerships.</v>
      </c>
      <c r="D4524" s="3" t="s">
        <v>13514</v>
      </c>
      <c r="E4524" s="3" t="s">
        <v>13515</v>
      </c>
      <c r="F4524" s="3" t="str">
        <f>"317-628-7116"</f>
        <v>317-628-7116</v>
      </c>
      <c r="G4524" s="3">
        <v>923120</v>
      </c>
      <c r="H4524" s="3" t="s">
        <v>611</v>
      </c>
    </row>
    <row r="4525" spans="1:8" ht="39" x14ac:dyDescent="0.25">
      <c r="A4525" s="3" t="s">
        <v>13516</v>
      </c>
      <c r="B4525" s="3"/>
      <c r="C4525" s="3" t="str">
        <f>"sales of construction and industrial tools and fasteners,promotional advertising, floor cleaning and skid safe products"</f>
        <v>sales of construction and industrial tools and fasteners,promotional advertising, floor cleaning and skid safe products</v>
      </c>
      <c r="D4525" s="3" t="s">
        <v>9</v>
      </c>
      <c r="E4525" s="3" t="s">
        <v>46</v>
      </c>
      <c r="F4525" s="2"/>
      <c r="G4525" s="3">
        <v>541890</v>
      </c>
      <c r="H4525" s="3" t="s">
        <v>401</v>
      </c>
    </row>
    <row r="4526" spans="1:8" ht="26.25" x14ac:dyDescent="0.25">
      <c r="A4526" s="3" t="s">
        <v>13517</v>
      </c>
      <c r="B4526" s="3"/>
      <c r="C4526" s="2"/>
      <c r="D4526" s="3" t="s">
        <v>13518</v>
      </c>
      <c r="E4526" s="3" t="s">
        <v>13519</v>
      </c>
      <c r="F4526" s="3" t="str">
        <f>"317-576-9800"</f>
        <v>317-576-9800</v>
      </c>
      <c r="G4526" s="3">
        <v>334515</v>
      </c>
      <c r="H4526" s="3" t="s">
        <v>13520</v>
      </c>
    </row>
    <row r="4527" spans="1:8" ht="102.75" x14ac:dyDescent="0.25">
      <c r="A4527" s="3" t="s">
        <v>13521</v>
      </c>
      <c r="B4527" s="3"/>
      <c r="C4527" s="3" t="s">
        <v>13522</v>
      </c>
      <c r="D4527" s="3" t="s">
        <v>13523</v>
      </c>
      <c r="E4527" s="3" t="s">
        <v>13524</v>
      </c>
      <c r="F4527" s="3" t="str">
        <f>"8128280701"</f>
        <v>8128280701</v>
      </c>
      <c r="G4527" s="3">
        <v>327991</v>
      </c>
      <c r="H4527" s="3" t="s">
        <v>13525</v>
      </c>
    </row>
    <row r="4528" spans="1:8" ht="204.75" x14ac:dyDescent="0.25">
      <c r="A4528" s="3" t="s">
        <v>13526</v>
      </c>
      <c r="B4528" s="3"/>
      <c r="C4528" s="3" t="s">
        <v>13527</v>
      </c>
      <c r="D4528" s="3" t="s">
        <v>13528</v>
      </c>
      <c r="E4528" s="3" t="s">
        <v>13529</v>
      </c>
      <c r="F4528" s="3" t="str">
        <f>"317-831-2500"</f>
        <v>317-831-2500</v>
      </c>
      <c r="G4528" s="3">
        <v>333298</v>
      </c>
      <c r="H4528" s="3" t="s">
        <v>13530</v>
      </c>
    </row>
    <row r="4529" spans="1:8" ht="26.25" x14ac:dyDescent="0.25">
      <c r="A4529" s="3" t="s">
        <v>13531</v>
      </c>
      <c r="B4529" s="3"/>
      <c r="C4529" s="3" t="str">
        <f>"Non-Profit Full Serivce Financial Institution"</f>
        <v>Non-Profit Full Serivce Financial Institution</v>
      </c>
      <c r="D4529" s="3" t="s">
        <v>13532</v>
      </c>
      <c r="E4529" s="3" t="s">
        <v>13533</v>
      </c>
      <c r="F4529" s="3" t="str">
        <f>"317-248-8556"</f>
        <v>317-248-8556</v>
      </c>
      <c r="G4529" s="3">
        <v>522130</v>
      </c>
      <c r="H4529" s="3" t="s">
        <v>13534</v>
      </c>
    </row>
    <row r="4530" spans="1:8" ht="77.25" x14ac:dyDescent="0.25">
      <c r="A4530" s="3" t="s">
        <v>13535</v>
      </c>
      <c r="B4530" s="3"/>
      <c r="C4530" s="3" t="str">
        <f>"We are a full service manufacturer of coins, medallions, belt buckles, holiday ornaments, lapel pins including service awards, and golf accessories with company logos. We create art work, dies, molds, and products in our factory in Bloomington"</f>
        <v>We are a full service manufacturer of coins, medallions, belt buckles, holiday ornaments, lapel pins including service awards, and golf accessories with company logos. We create art work, dies, molds, and products in our factory in Bloomington</v>
      </c>
      <c r="D4530" s="3" t="s">
        <v>13536</v>
      </c>
      <c r="E4530" s="3" t="s">
        <v>13537</v>
      </c>
      <c r="F4530" s="3" t="str">
        <f>"812 336 2362"</f>
        <v>812 336 2362</v>
      </c>
      <c r="G4530" s="3">
        <v>3329</v>
      </c>
      <c r="H4530" s="3" t="s">
        <v>6800</v>
      </c>
    </row>
    <row r="4531" spans="1:8" ht="26.25" x14ac:dyDescent="0.25">
      <c r="A4531" s="3" t="s">
        <v>13538</v>
      </c>
      <c r="B4531" s="3"/>
      <c r="C4531" s="3" t="str">
        <f>"metal manufacturer"</f>
        <v>metal manufacturer</v>
      </c>
      <c r="D4531" s="3" t="s">
        <v>9</v>
      </c>
      <c r="E4531" s="3" t="s">
        <v>13539</v>
      </c>
      <c r="F4531" s="3" t="str">
        <f>"8123606930"</f>
        <v>8123606930</v>
      </c>
      <c r="G4531" s="3">
        <v>238</v>
      </c>
      <c r="H4531" s="3" t="s">
        <v>397</v>
      </c>
    </row>
    <row r="4532" spans="1:8" ht="64.5" x14ac:dyDescent="0.25">
      <c r="A4532" s="3" t="s">
        <v>13540</v>
      </c>
      <c r="B4532" s="3"/>
      <c r="C4532" s="3" t="str">
        <f>"Precision chemical etching of small copper, steel, bronze and brass parts used in electronics, jewelry, model toys, clocks, medical supplies with many other possiblities."</f>
        <v>Precision chemical etching of small copper, steel, bronze and brass parts used in electronics, jewelry, model toys, clocks, medical supplies with many other possiblities.</v>
      </c>
      <c r="D4532" s="3" t="s">
        <v>13541</v>
      </c>
      <c r="E4532" s="3" t="s">
        <v>13542</v>
      </c>
      <c r="F4532" s="3" t="str">
        <f>"574-293-3342"</f>
        <v>574-293-3342</v>
      </c>
      <c r="G4532" s="3">
        <v>3399</v>
      </c>
      <c r="H4532" s="3" t="s">
        <v>2236</v>
      </c>
    </row>
    <row r="4533" spans="1:8" ht="51.75" x14ac:dyDescent="0.25">
      <c r="A4533" s="3" t="s">
        <v>13543</v>
      </c>
      <c r="B4533" s="3"/>
      <c r="C4533" s="3" t="str">
        <f>"Precision sheet metal fabrication and general machine shop services. Niche work includes short to medium volume manufacturing with JIT type customers."</f>
        <v>Precision sheet metal fabrication and general machine shop services. Niche work includes short to medium volume manufacturing with JIT type customers.</v>
      </c>
      <c r="D4533" s="3" t="s">
        <v>13544</v>
      </c>
      <c r="E4533" s="3" t="s">
        <v>13545</v>
      </c>
      <c r="F4533" s="3" t="str">
        <f>"317-787-6358"</f>
        <v>317-787-6358</v>
      </c>
      <c r="G4533" s="3">
        <v>33299</v>
      </c>
      <c r="H4533" s="3" t="s">
        <v>8211</v>
      </c>
    </row>
    <row r="4534" spans="1:8" ht="26.25" x14ac:dyDescent="0.25">
      <c r="A4534" s="3" t="s">
        <v>13546</v>
      </c>
      <c r="B4534" s="3"/>
      <c r="C4534" s="3" t="str">
        <f>"Fabricators of dimensional Indiana Limestone building stone."</f>
        <v>Fabricators of dimensional Indiana Limestone building stone.</v>
      </c>
      <c r="D4534" s="3" t="s">
        <v>13547</v>
      </c>
      <c r="E4534" s="3" t="s">
        <v>13548</v>
      </c>
      <c r="F4534" s="3" t="str">
        <f>"812-275-0264"</f>
        <v>812-275-0264</v>
      </c>
      <c r="G4534" s="3">
        <v>327991</v>
      </c>
      <c r="H4534" s="3" t="s">
        <v>13525</v>
      </c>
    </row>
    <row r="4535" spans="1:8" x14ac:dyDescent="0.25">
      <c r="A4535" s="3" t="s">
        <v>13549</v>
      </c>
      <c r="B4535" s="3"/>
      <c r="C4535" s="3" t="str">
        <f>" "</f>
        <v xml:space="preserve"> </v>
      </c>
      <c r="D4535" s="3" t="s">
        <v>9</v>
      </c>
      <c r="E4535" s="3" t="s">
        <v>46</v>
      </c>
      <c r="F4535" s="2"/>
      <c r="G4535" s="3">
        <v>511110</v>
      </c>
      <c r="H4535" s="3" t="s">
        <v>8225</v>
      </c>
    </row>
    <row r="4536" spans="1:8" ht="51.75" x14ac:dyDescent="0.25">
      <c r="A4536" s="3" t="s">
        <v>13550</v>
      </c>
      <c r="B4536" s="3"/>
      <c r="C4536" s="3" t="str">
        <f>"Indiana Office Supply is a woman owned enterprise specializing in the sale of office supplies, office furniture and janitorial supplies."</f>
        <v>Indiana Office Supply is a woman owned enterprise specializing in the sale of office supplies, office furniture and janitorial supplies.</v>
      </c>
      <c r="D4536" s="3" t="s">
        <v>13551</v>
      </c>
      <c r="E4536" s="3" t="s">
        <v>13552</v>
      </c>
      <c r="F4536" s="3" t="str">
        <f>"8669219845"</f>
        <v>8669219845</v>
      </c>
      <c r="G4536" s="3">
        <v>453210</v>
      </c>
      <c r="H4536" s="3" t="s">
        <v>431</v>
      </c>
    </row>
    <row r="4537" spans="1:8" ht="26.25" x14ac:dyDescent="0.25">
      <c r="A4537" s="3" t="s">
        <v>13553</v>
      </c>
      <c r="B4537" s="3"/>
      <c r="C4537" s="3" t="str">
        <f>"Traffic Safety and Driver Education"</f>
        <v>Traffic Safety and Driver Education</v>
      </c>
      <c r="D4537" s="3" t="s">
        <v>13554</v>
      </c>
      <c r="E4537" s="3" t="s">
        <v>13555</v>
      </c>
      <c r="F4537" s="3" t="str">
        <f>"800-763-1297"</f>
        <v>800-763-1297</v>
      </c>
      <c r="G4537" s="3">
        <v>611710</v>
      </c>
      <c r="H4537" s="3" t="s">
        <v>508</v>
      </c>
    </row>
    <row r="4538" spans="1:8" ht="115.5" x14ac:dyDescent="0.25">
      <c r="A4538" s="3" t="s">
        <v>13556</v>
      </c>
      <c r="B4538" s="3"/>
      <c r="C4538" s="3" t="s">
        <v>13557</v>
      </c>
      <c r="D4538" s="3" t="s">
        <v>13558</v>
      </c>
      <c r="E4538" s="3" t="s">
        <v>13559</v>
      </c>
      <c r="F4538" s="3" t="str">
        <f>"317-290-0003"</f>
        <v>317-290-0003</v>
      </c>
      <c r="G4538" s="3">
        <v>325120</v>
      </c>
      <c r="H4538" s="3" t="s">
        <v>1670</v>
      </c>
    </row>
    <row r="4539" spans="1:8" ht="90" x14ac:dyDescent="0.25">
      <c r="A4539" s="3" t="s">
        <v>13560</v>
      </c>
      <c r="B4539" s="3"/>
      <c r="C4539" s="3" t="str">
        <f>"Paging services for the entire State of Indiana, Chicago and surrounding areas, Southwest Michigan and Nationwide. Authorized Nextel distributor Telephone answering services OnLine registration services Call center services Security devices"</f>
        <v>Paging services for the entire State of Indiana, Chicago and surrounding areas, Southwest Michigan and Nationwide. Authorized Nextel distributor Telephone answering services OnLine registration services Call center services Security devices</v>
      </c>
      <c r="D4539" s="3" t="s">
        <v>13561</v>
      </c>
      <c r="E4539" s="3" t="s">
        <v>13562</v>
      </c>
      <c r="F4539" s="3" t="str">
        <f>"219.874.5000"</f>
        <v>219.874.5000</v>
      </c>
      <c r="G4539" s="3">
        <v>517211</v>
      </c>
      <c r="H4539" s="3" t="s">
        <v>13563</v>
      </c>
    </row>
    <row r="4540" spans="1:8" ht="26.25" x14ac:dyDescent="0.25">
      <c r="A4540" s="3" t="s">
        <v>13564</v>
      </c>
      <c r="B4540" s="3"/>
      <c r="C4540" s="3" t="str">
        <f>" "</f>
        <v xml:space="preserve"> </v>
      </c>
      <c r="D4540" s="3" t="s">
        <v>9</v>
      </c>
      <c r="E4540" s="3" t="s">
        <v>46</v>
      </c>
      <c r="F4540" s="2"/>
      <c r="G4540" s="3">
        <v>621112</v>
      </c>
      <c r="H4540" s="3" t="s">
        <v>1112</v>
      </c>
    </row>
    <row r="4541" spans="1:8" ht="77.25" x14ac:dyDescent="0.25">
      <c r="A4541" s="3" t="s">
        <v>13565</v>
      </c>
      <c r="B4541" s="3"/>
      <c r="C4541" s="3" t="str">
        <f>"Indiana Power Service &amp; Supply is a certified Generac dealer that sells and services industrial and residential back-up power systems. We offer the sales of replacement parts for generators and use trained certified technicians in our service."</f>
        <v>Indiana Power Service &amp; Supply is a certified Generac dealer that sells and services industrial and residential back-up power systems. We offer the sales of replacement parts for generators and use trained certified technicians in our service.</v>
      </c>
      <c r="D4541" s="3" t="s">
        <v>9</v>
      </c>
      <c r="E4541" s="3" t="s">
        <v>13566</v>
      </c>
      <c r="F4541" s="3" t="str">
        <f>"317-271-1672"</f>
        <v>317-271-1672</v>
      </c>
      <c r="G4541" s="3">
        <v>81121</v>
      </c>
      <c r="H4541" s="3" t="s">
        <v>13567</v>
      </c>
    </row>
    <row r="4542" spans="1:8" ht="102.75" x14ac:dyDescent="0.25">
      <c r="A4542" s="3" t="s">
        <v>13568</v>
      </c>
      <c r="B4542" s="3"/>
      <c r="C4542" s="3" t="s">
        <v>13569</v>
      </c>
      <c r="D4542" s="3" t="s">
        <v>13570</v>
      </c>
      <c r="E4542" s="3" t="s">
        <v>13571</v>
      </c>
      <c r="F4542" s="3" t="str">
        <f>"317-630-0845"</f>
        <v>317-630-0845</v>
      </c>
      <c r="G4542" s="3">
        <v>813319</v>
      </c>
      <c r="H4542" s="3" t="s">
        <v>6313</v>
      </c>
    </row>
    <row r="4543" spans="1:8" ht="26.25" x14ac:dyDescent="0.25">
      <c r="A4543" s="3" t="s">
        <v>13572</v>
      </c>
      <c r="B4543" s="3"/>
      <c r="C4543" s="3" t="str">
        <f>"IPMG provides service coordination and case management support."</f>
        <v>IPMG provides service coordination and case management support.</v>
      </c>
      <c r="D4543" s="3" t="s">
        <v>13573</v>
      </c>
      <c r="E4543" s="3" t="s">
        <v>13574</v>
      </c>
      <c r="F4543" s="3" t="str">
        <f>"765-463-5508"</f>
        <v>765-463-5508</v>
      </c>
      <c r="G4543" s="3">
        <v>624120</v>
      </c>
      <c r="H4543" s="3" t="s">
        <v>22</v>
      </c>
    </row>
    <row r="4544" spans="1:8" ht="128.25" x14ac:dyDescent="0.25">
      <c r="A4544" s="3" t="s">
        <v>13575</v>
      </c>
      <c r="B4544" s="3"/>
      <c r="C4544" s="3" t="s">
        <v>13576</v>
      </c>
      <c r="D4544" s="3" t="s">
        <v>13577</v>
      </c>
      <c r="E4544" s="3" t="s">
        <v>13578</v>
      </c>
      <c r="F4544" s="3" t="str">
        <f>"812-283-7006"</f>
        <v>812-283-7006</v>
      </c>
      <c r="G4544" s="3">
        <v>621330</v>
      </c>
      <c r="H4544" s="3" t="s">
        <v>2643</v>
      </c>
    </row>
    <row r="4545" spans="1:8" ht="26.25" x14ac:dyDescent="0.25">
      <c r="A4545" s="3" t="s">
        <v>13579</v>
      </c>
      <c r="B4545" s="3"/>
      <c r="C4545" s="3" t="str">
        <f>"Non-profit member organization"</f>
        <v>Non-profit member organization</v>
      </c>
      <c r="D4545" s="3" t="s">
        <v>13580</v>
      </c>
      <c r="E4545" s="3" t="s">
        <v>46</v>
      </c>
      <c r="F4545" s="3" t="str">
        <f>"317-221-3005"</f>
        <v>317-221-3005</v>
      </c>
      <c r="G4545" s="3">
        <v>813920</v>
      </c>
      <c r="H4545" s="3" t="s">
        <v>8755</v>
      </c>
    </row>
    <row r="4546" spans="1:8" ht="90" x14ac:dyDescent="0.25">
      <c r="A4546" s="3" t="s">
        <v>13581</v>
      </c>
      <c r="B4546" s="3"/>
      <c r="C4546" s="3" t="str">
        <f>"The IPHF, Inc. is a 501 (c) 3 not-for-profit public institute that can provide educational programs; Continuing Medical Education for physicians,; and fiscal management services for grants, organizations, donations, and contracted services."</f>
        <v>The IPHF, Inc. is a 501 (c) 3 not-for-profit public institute that can provide educational programs; Continuing Medical Education for physicians,; and fiscal management services for grants, organizations, donations, and contracted services.</v>
      </c>
      <c r="D4546" s="3" t="s">
        <v>13582</v>
      </c>
      <c r="E4546" s="3" t="s">
        <v>13583</v>
      </c>
      <c r="F4546" s="3" t="str">
        <f>"317-244-2145"</f>
        <v>317-244-2145</v>
      </c>
      <c r="G4546" s="3">
        <v>813211</v>
      </c>
      <c r="H4546" s="3" t="s">
        <v>13584</v>
      </c>
    </row>
    <row r="4547" spans="1:8" ht="166.5" x14ac:dyDescent="0.25">
      <c r="A4547" s="3" t="s">
        <v>13585</v>
      </c>
      <c r="B4547" s="3"/>
      <c r="C4547" s="3" t="s">
        <v>13586</v>
      </c>
      <c r="D4547" s="3" t="s">
        <v>13587</v>
      </c>
      <c r="E4547" s="3" t="s">
        <v>13588</v>
      </c>
      <c r="F4547" s="3" t="str">
        <f>"317-926-3770"</f>
        <v>317-926-3770</v>
      </c>
      <c r="G4547" s="3">
        <v>237110</v>
      </c>
      <c r="H4547" s="3" t="s">
        <v>901</v>
      </c>
    </row>
    <row r="4548" spans="1:8" ht="64.5" x14ac:dyDescent="0.25">
      <c r="A4548" s="3" t="s">
        <v>13589</v>
      </c>
      <c r="B4548" s="3"/>
      <c r="C4548" s="3" t="str">
        <f>"Indiana Recycling Resource, LLC is a woman owned and operated business in Bloomington, Indiana. We focus on waste removal and recycling. We are in the process of become WBE certified."</f>
        <v>Indiana Recycling Resource, LLC is a woman owned and operated business in Bloomington, Indiana. We focus on waste removal and recycling. We are in the process of become WBE certified.</v>
      </c>
      <c r="D4548" s="3" t="s">
        <v>9</v>
      </c>
      <c r="E4548" s="3" t="s">
        <v>13590</v>
      </c>
      <c r="F4548" s="3" t="str">
        <f>"812-369-3777"</f>
        <v>812-369-3777</v>
      </c>
      <c r="G4548" s="3">
        <v>562</v>
      </c>
      <c r="H4548" s="3" t="s">
        <v>2798</v>
      </c>
    </row>
    <row r="4549" spans="1:8" ht="90" x14ac:dyDescent="0.25">
      <c r="A4549" s="3" t="s">
        <v>13591</v>
      </c>
      <c r="B4549" s="3"/>
      <c r="C4549" s="3" t="s">
        <v>13592</v>
      </c>
      <c r="D4549" s="3" t="s">
        <v>13593</v>
      </c>
      <c r="E4549" s="3" t="s">
        <v>13594</v>
      </c>
      <c r="F4549" s="3" t="str">
        <f>"1-877-501-1909"</f>
        <v>1-877-501-1909</v>
      </c>
      <c r="G4549" s="3">
        <v>511</v>
      </c>
      <c r="H4549" s="3" t="s">
        <v>13595</v>
      </c>
    </row>
    <row r="4550" spans="1:8" ht="102.75" x14ac:dyDescent="0.25">
      <c r="A4550" s="3" t="s">
        <v>13596</v>
      </c>
      <c r="B4550" s="3"/>
      <c r="C4550" s="3" t="s">
        <v>13597</v>
      </c>
      <c r="D4550" s="3" t="s">
        <v>13598</v>
      </c>
      <c r="E4550" s="3" t="s">
        <v>13599</v>
      </c>
      <c r="F4550" s="3" t="str">
        <f>"317-776-9942"</f>
        <v>317-776-9942</v>
      </c>
      <c r="G4550" s="3">
        <v>561790</v>
      </c>
      <c r="H4550" s="3" t="s">
        <v>2113</v>
      </c>
    </row>
    <row r="4551" spans="1:8" ht="255.75" x14ac:dyDescent="0.25">
      <c r="A4551" s="3" t="s">
        <v>13600</v>
      </c>
      <c r="B4551" s="3"/>
      <c r="C4551" s="3" t="s">
        <v>13601</v>
      </c>
      <c r="D4551" s="3" t="s">
        <v>13602</v>
      </c>
      <c r="E4551" s="3" t="s">
        <v>13603</v>
      </c>
      <c r="F4551" s="3" t="str">
        <f>"(812) 478-3919"</f>
        <v>(812) 478-3919</v>
      </c>
      <c r="G4551" s="3">
        <v>813920</v>
      </c>
      <c r="H4551" s="3" t="s">
        <v>8755</v>
      </c>
    </row>
    <row r="4552" spans="1:8" ht="166.5" x14ac:dyDescent="0.25">
      <c r="A4552" s="3" t="s">
        <v>13604</v>
      </c>
      <c r="B4552" s="3"/>
      <c r="C4552" s="3" t="s">
        <v>13605</v>
      </c>
      <c r="D4552" s="3" t="s">
        <v>13606</v>
      </c>
      <c r="E4552" s="3" t="s">
        <v>13607</v>
      </c>
      <c r="F4552" s="3" t="str">
        <f>"317-339-1141"</f>
        <v>317-339-1141</v>
      </c>
      <c r="G4552" s="3">
        <v>61</v>
      </c>
      <c r="H4552" s="3" t="s">
        <v>140</v>
      </c>
    </row>
    <row r="4553" spans="1:8" ht="77.25" x14ac:dyDescent="0.25">
      <c r="A4553" s="3" t="s">
        <v>13608</v>
      </c>
      <c r="B4553" s="3"/>
      <c r="C4553" s="3" t="str">
        <f>"Indiana Shipping Supply sells industrial packageing material. Boxes, mailing tubes, poly bags, strech film, tapes and banding material. Indiana Shipping Supply has grown to package and ship fine art for many of the galleries in the state."</f>
        <v>Indiana Shipping Supply sells industrial packageing material. Boxes, mailing tubes, poly bags, strech film, tapes and banding material. Indiana Shipping Supply has grown to package and ship fine art for many of the galleries in the state.</v>
      </c>
      <c r="D4553" s="3" t="s">
        <v>13609</v>
      </c>
      <c r="E4553" s="3" t="s">
        <v>13610</v>
      </c>
      <c r="F4553" s="3" t="str">
        <f>"317-849-6023"</f>
        <v>317-849-6023</v>
      </c>
      <c r="G4553" s="3">
        <v>423990</v>
      </c>
      <c r="H4553" s="3" t="s">
        <v>983</v>
      </c>
    </row>
    <row r="4554" spans="1:8" ht="141" x14ac:dyDescent="0.25">
      <c r="A4554" s="3" t="s">
        <v>13611</v>
      </c>
      <c r="B4554" s="3"/>
      <c r="C4554" s="3" t="s">
        <v>13612</v>
      </c>
      <c r="D4554" s="3" t="s">
        <v>13613</v>
      </c>
      <c r="E4554" s="3" t="s">
        <v>13614</v>
      </c>
      <c r="F4554" s="3" t="str">
        <f>"877-424-5395"</f>
        <v>877-424-5395</v>
      </c>
      <c r="G4554" s="3">
        <v>339943</v>
      </c>
      <c r="H4554" s="3" t="s">
        <v>11396</v>
      </c>
    </row>
    <row r="4555" spans="1:8" ht="26.25" x14ac:dyDescent="0.25">
      <c r="A4555" s="3" t="s">
        <v>13615</v>
      </c>
      <c r="B4555" s="3"/>
      <c r="C4555" s="3" t="str">
        <f>"Membership organization"</f>
        <v>Membership organization</v>
      </c>
      <c r="D4555" s="3" t="s">
        <v>13616</v>
      </c>
      <c r="E4555" s="3" t="s">
        <v>13617</v>
      </c>
      <c r="F4555" s="3" t="str">
        <f>"317/299-4575"</f>
        <v>317/299-4575</v>
      </c>
      <c r="G4555" s="3">
        <v>81392</v>
      </c>
      <c r="H4555" s="3" t="s">
        <v>8755</v>
      </c>
    </row>
    <row r="4556" spans="1:8" ht="26.25" x14ac:dyDescent="0.25">
      <c r="A4556" s="3" t="s">
        <v>13618</v>
      </c>
      <c r="B4556" s="3"/>
      <c r="C4556" s="3" t="str">
        <f>"Higher Education"</f>
        <v>Higher Education</v>
      </c>
      <c r="D4556" s="3" t="s">
        <v>13619</v>
      </c>
      <c r="E4556" s="3" t="s">
        <v>13620</v>
      </c>
      <c r="F4556" s="3" t="str">
        <f>"812-237-3088"</f>
        <v>812-237-3088</v>
      </c>
      <c r="G4556" s="3">
        <v>923110</v>
      </c>
      <c r="H4556" s="3" t="s">
        <v>13621</v>
      </c>
    </row>
    <row r="4557" spans="1:8" ht="90" x14ac:dyDescent="0.25">
      <c r="A4557" s="3" t="s">
        <v>13622</v>
      </c>
      <c r="B4557" s="3"/>
      <c r="C4557" s="3" t="s">
        <v>13623</v>
      </c>
      <c r="D4557" s="3" t="s">
        <v>13624</v>
      </c>
      <c r="E4557" s="3" t="s">
        <v>13625</v>
      </c>
      <c r="F4557" s="3" t="str">
        <f>"317.607.4660"</f>
        <v>317.607.4660</v>
      </c>
      <c r="G4557" s="3">
        <v>541611</v>
      </c>
      <c r="H4557" s="3" t="s">
        <v>278</v>
      </c>
    </row>
    <row r="4558" spans="1:8" ht="268.5" x14ac:dyDescent="0.25">
      <c r="A4558" s="3" t="s">
        <v>13626</v>
      </c>
      <c r="B4558" s="3"/>
      <c r="C4558" s="3" t="s">
        <v>13627</v>
      </c>
      <c r="D4558" s="3" t="s">
        <v>13628</v>
      </c>
      <c r="E4558" s="3" t="s">
        <v>13629</v>
      </c>
      <c r="F4558" s="3" t="str">
        <f>"317-644-1404"</f>
        <v>317-644-1404</v>
      </c>
      <c r="G4558" s="3">
        <v>811212</v>
      </c>
      <c r="H4558" s="3" t="s">
        <v>1632</v>
      </c>
    </row>
    <row r="4559" spans="1:8" ht="26.25" x14ac:dyDescent="0.25">
      <c r="A4559" s="3" t="s">
        <v>13630</v>
      </c>
      <c r="B4559" s="3"/>
      <c r="C4559" s="3" t="str">
        <f>"We are a Drug and Alcohol testing company that also handles DOT Compliance."</f>
        <v>We are a Drug and Alcohol testing company that also handles DOT Compliance.</v>
      </c>
      <c r="D4559" s="3" t="s">
        <v>13631</v>
      </c>
      <c r="E4559" s="3" t="s">
        <v>13632</v>
      </c>
      <c r="F4559" s="3" t="str">
        <f>"317-271-2611"</f>
        <v>317-271-2611</v>
      </c>
      <c r="G4559" s="3">
        <v>621999</v>
      </c>
      <c r="H4559" s="3" t="s">
        <v>3480</v>
      </c>
    </row>
    <row r="4560" spans="1:8" ht="39" x14ac:dyDescent="0.25">
      <c r="A4560" s="3" t="s">
        <v>13633</v>
      </c>
      <c r="B4560" s="3"/>
      <c r="C4560" s="3" t="str">
        <f>"General acute care not-for-profit hospital, providing comprehensive and extensive outpatient and inpatient medical services"</f>
        <v>General acute care not-for-profit hospital, providing comprehensive and extensive outpatient and inpatient medical services</v>
      </c>
      <c r="D4560" s="3" t="s">
        <v>13634</v>
      </c>
      <c r="E4560" s="3" t="s">
        <v>13635</v>
      </c>
      <c r="F4560" s="3" t="str">
        <f>"812-353-9821"</f>
        <v>812-353-9821</v>
      </c>
      <c r="G4560" s="3">
        <v>622</v>
      </c>
      <c r="H4560" s="3" t="s">
        <v>5145</v>
      </c>
    </row>
    <row r="4561" spans="1:8" ht="217.5" x14ac:dyDescent="0.25">
      <c r="A4561" s="3" t="s">
        <v>13636</v>
      </c>
      <c r="B4561" s="3"/>
      <c r="C4561" s="3" t="s">
        <v>13637</v>
      </c>
      <c r="D4561" s="3" t="s">
        <v>13634</v>
      </c>
      <c r="E4561" s="3" t="s">
        <v>46</v>
      </c>
      <c r="F4561" s="3" t="str">
        <f>"(317) 962-2000"</f>
        <v>(317) 962-2000</v>
      </c>
      <c r="G4561" s="3">
        <v>622110</v>
      </c>
      <c r="H4561" s="3" t="s">
        <v>3335</v>
      </c>
    </row>
    <row r="4562" spans="1:8" ht="115.5" x14ac:dyDescent="0.25">
      <c r="A4562" s="3" t="s">
        <v>13638</v>
      </c>
      <c r="B4562" s="3"/>
      <c r="C4562" s="3" t="s">
        <v>13639</v>
      </c>
      <c r="D4562" s="3" t="s">
        <v>13640</v>
      </c>
      <c r="E4562" s="3" t="s">
        <v>13641</v>
      </c>
      <c r="F4562" s="3" t="str">
        <f>"765-748-4667"</f>
        <v>765-748-4667</v>
      </c>
      <c r="G4562" s="3">
        <v>334511</v>
      </c>
      <c r="H4562" s="3" t="s">
        <v>13642</v>
      </c>
    </row>
    <row r="4563" spans="1:8" ht="26.25" x14ac:dyDescent="0.25">
      <c r="A4563" s="3" t="s">
        <v>13643</v>
      </c>
      <c r="B4563" s="3"/>
      <c r="C4563" s="3" t="str">
        <f>"Household and office movers"</f>
        <v>Household and office movers</v>
      </c>
      <c r="D4563" s="3" t="s">
        <v>9</v>
      </c>
      <c r="E4563" s="3" t="s">
        <v>13644</v>
      </c>
      <c r="F4563" s="3" t="str">
        <f>"574-583-7655"</f>
        <v>574-583-7655</v>
      </c>
      <c r="G4563" s="3">
        <v>48421</v>
      </c>
      <c r="H4563" s="3" t="s">
        <v>8993</v>
      </c>
    </row>
    <row r="4564" spans="1:8" ht="90" x14ac:dyDescent="0.25">
      <c r="A4564" s="3" t="s">
        <v>13645</v>
      </c>
      <c r="B4564" s="3"/>
      <c r="C4564" s="3" t="str">
        <f>"Indiana Waste Solutions provides maintenance services for commercial facilities. Our services include: kitchen hood cleaning, outdoor and indoor grease trap cleaning, portable restroom rentals, concrete cleaning, and everyday maintenance services."</f>
        <v>Indiana Waste Solutions provides maintenance services for commercial facilities. Our services include: kitchen hood cleaning, outdoor and indoor grease trap cleaning, portable restroom rentals, concrete cleaning, and everyday maintenance services.</v>
      </c>
      <c r="D4564" s="3" t="s">
        <v>13646</v>
      </c>
      <c r="E4564" s="3" t="s">
        <v>46</v>
      </c>
      <c r="F4564" s="3" t="str">
        <f>"877-591-0133"</f>
        <v>877-591-0133</v>
      </c>
      <c r="G4564" s="3">
        <v>56211</v>
      </c>
      <c r="H4564" s="3" t="s">
        <v>501</v>
      </c>
    </row>
    <row r="4565" spans="1:8" ht="77.25" x14ac:dyDescent="0.25">
      <c r="A4565" s="3" t="s">
        <v>13647</v>
      </c>
      <c r="B4565" s="3"/>
      <c r="C4565" s="3" t="str">
        <f>"Indiana Wellness Consultants, LLC provides business consulting and membership outreach services to state-wide health insurance programs. IWC also provides wellness counseling services to business, schools and individuals."</f>
        <v>Indiana Wellness Consultants, LLC provides business consulting and membership outreach services to state-wide health insurance programs. IWC also provides wellness counseling services to business, schools and individuals.</v>
      </c>
      <c r="D4565" s="3" t="s">
        <v>9</v>
      </c>
      <c r="E4565" s="3" t="s">
        <v>13648</v>
      </c>
      <c r="F4565" s="3" t="str">
        <f>"5749334455"</f>
        <v>5749334455</v>
      </c>
      <c r="G4565" s="3">
        <v>541611</v>
      </c>
      <c r="H4565" s="3" t="s">
        <v>278</v>
      </c>
    </row>
    <row r="4566" spans="1:8" ht="26.25" x14ac:dyDescent="0.25">
      <c r="A4566" s="3" t="s">
        <v>13649</v>
      </c>
      <c r="B4566" s="3"/>
      <c r="C4566" s="3" t="str">
        <f>"physician group"</f>
        <v>physician group</v>
      </c>
      <c r="D4566" s="3" t="s">
        <v>13650</v>
      </c>
      <c r="E4566" s="3" t="s">
        <v>13635</v>
      </c>
      <c r="F4566" s="2"/>
      <c r="G4566" s="3">
        <v>621111</v>
      </c>
      <c r="H4566" s="3" t="s">
        <v>2002</v>
      </c>
    </row>
    <row r="4567" spans="1:8" ht="39" x14ac:dyDescent="0.25">
      <c r="A4567" s="3" t="s">
        <v>13651</v>
      </c>
      <c r="B4567" s="3"/>
      <c r="C4567" s="3" t="str">
        <f>"Scuba Dive Training, Sales, Service of Aqua Lung, Scuba Pro, Sherwood, OTS equipment, in house Hydro system, Air Fills"</f>
        <v>Scuba Dive Training, Sales, Service of Aqua Lung, Scuba Pro, Sherwood, OTS equipment, in house Hydro system, Air Fills</v>
      </c>
      <c r="D4567" s="3" t="s">
        <v>13652</v>
      </c>
      <c r="E4567" s="3" t="s">
        <v>13653</v>
      </c>
      <c r="F4567" s="3" t="str">
        <f>"812-824-7234"</f>
        <v>812-824-7234</v>
      </c>
      <c r="G4567" s="3">
        <v>45111</v>
      </c>
      <c r="H4567" s="3" t="s">
        <v>3110</v>
      </c>
    </row>
    <row r="4568" spans="1:8" ht="51.75" x14ac:dyDescent="0.25">
      <c r="A4568" s="3" t="s">
        <v>13654</v>
      </c>
      <c r="B4568" s="3"/>
      <c r="C4568" s="3" t="str">
        <f>"Our mission is to bridge the information gap and provide a one stop information protal for Indiana's 500,000 plus veterans and their family members"</f>
        <v>Our mission is to bridge the information gap and provide a one stop information protal for Indiana's 500,000 plus veterans and their family members</v>
      </c>
      <c r="D4568" s="3" t="s">
        <v>13655</v>
      </c>
      <c r="E4568" s="3" t="s">
        <v>46</v>
      </c>
      <c r="F4568" s="2"/>
      <c r="G4568" s="3">
        <v>5418</v>
      </c>
      <c r="H4568" s="3" t="s">
        <v>1337</v>
      </c>
    </row>
    <row r="4569" spans="1:8" ht="90" x14ac:dyDescent="0.25">
      <c r="A4569" s="3" t="s">
        <v>13656</v>
      </c>
      <c r="B4569" s="3"/>
      <c r="C4569" s="3" t="s">
        <v>13657</v>
      </c>
      <c r="D4569" s="3" t="s">
        <v>13658</v>
      </c>
      <c r="E4569" s="3" t="s">
        <v>46</v>
      </c>
      <c r="F4569" s="3" t="str">
        <f>"(317) 849-0840"</f>
        <v>(317) 849-0840</v>
      </c>
      <c r="G4569" s="3">
        <v>488190</v>
      </c>
      <c r="H4569" s="3" t="s">
        <v>666</v>
      </c>
    </row>
    <row r="4570" spans="1:8" ht="90" x14ac:dyDescent="0.25">
      <c r="A4570" s="3" t="s">
        <v>13659</v>
      </c>
      <c r="B4570" s="3"/>
      <c r="C4570" s="3" t="s">
        <v>13660</v>
      </c>
      <c r="D4570" s="3" t="s">
        <v>9</v>
      </c>
      <c r="E4570" s="3" t="s">
        <v>13661</v>
      </c>
      <c r="F4570" s="3" t="str">
        <f>"317-352-8700"</f>
        <v>317-352-8700</v>
      </c>
      <c r="G4570" s="3">
        <v>423710</v>
      </c>
      <c r="H4570" s="3" t="s">
        <v>6956</v>
      </c>
    </row>
    <row r="4571" spans="1:8" ht="217.5" x14ac:dyDescent="0.25">
      <c r="A4571" s="3" t="s">
        <v>13662</v>
      </c>
      <c r="B4571" s="3"/>
      <c r="C4571" s="3" t="s">
        <v>13663</v>
      </c>
      <c r="D4571" s="3" t="s">
        <v>13664</v>
      </c>
      <c r="E4571" s="3" t="s">
        <v>13665</v>
      </c>
      <c r="F4571" s="3" t="str">
        <f>"317-549-0333"</f>
        <v>317-549-0333</v>
      </c>
      <c r="G4571" s="3">
        <v>624190</v>
      </c>
      <c r="H4571" s="3" t="s">
        <v>54</v>
      </c>
    </row>
    <row r="4572" spans="1:8" ht="51.75" x14ac:dyDescent="0.25">
      <c r="A4572" s="3" t="s">
        <v>13666</v>
      </c>
      <c r="B4572" s="3"/>
      <c r="C4572" s="3" t="str">
        <f>"The Indianapolis Demolition Company is an Indianapolis-based demolition contractor specializing in sustainable demolition practices and investment recovery."</f>
        <v>The Indianapolis Demolition Company is an Indianapolis-based demolition contractor specializing in sustainable demolition practices and investment recovery.</v>
      </c>
      <c r="D4572" s="3" t="s">
        <v>13667</v>
      </c>
      <c r="E4572" s="3" t="s">
        <v>13668</v>
      </c>
      <c r="F4572" s="3" t="str">
        <f>"317-296-3940"</f>
        <v>317-296-3940</v>
      </c>
      <c r="G4572" s="3">
        <v>238910</v>
      </c>
      <c r="H4572" s="3" t="s">
        <v>886</v>
      </c>
    </row>
    <row r="4573" spans="1:8" ht="64.5" x14ac:dyDescent="0.25">
      <c r="A4573" s="3" t="s">
        <v>13669</v>
      </c>
      <c r="B4573" s="3"/>
      <c r="C4573" s="3" t="str">
        <f>"The Indianapolis Institute for Families is a non-profit , non-discrimatory treatment center for child victims of abuse, neglect and family violence; special needs kids and foster and adoptive families."</f>
        <v>The Indianapolis Institute for Families is a non-profit , non-discrimatory treatment center for child victims of abuse, neglect and family violence; special needs kids and foster and adoptive families.</v>
      </c>
      <c r="D4573" s="3" t="s">
        <v>13670</v>
      </c>
      <c r="E4573" s="3" t="s">
        <v>46</v>
      </c>
      <c r="F4573" s="3" t="str">
        <f>"317-381-0355"</f>
        <v>317-381-0355</v>
      </c>
      <c r="G4573" s="3">
        <v>624190</v>
      </c>
      <c r="H4573" s="3" t="s">
        <v>54</v>
      </c>
    </row>
    <row r="4574" spans="1:8" ht="77.25" x14ac:dyDescent="0.25">
      <c r="A4574" s="3" t="s">
        <v>13671</v>
      </c>
      <c r="B4574" s="3"/>
      <c r="C4574" s="3" t="str">
        <f>"We are a full service interpretation and translation company servicing all of Indiana. We provide face to face interpreters and translate documents in over 100 languages. Our office is open 24 hours a day, 7 days a week!"</f>
        <v>We are a full service interpretation and translation company servicing all of Indiana. We provide face to face interpreters and translate documents in over 100 languages. Our office is open 24 hours a day, 7 days a week!</v>
      </c>
      <c r="D4574" s="3" t="s">
        <v>13672</v>
      </c>
      <c r="E4574" s="3" t="s">
        <v>13673</v>
      </c>
      <c r="F4574" s="3" t="str">
        <f>"317-341-4137"</f>
        <v>317-341-4137</v>
      </c>
      <c r="G4574" s="3">
        <v>54193</v>
      </c>
      <c r="H4574" s="3" t="s">
        <v>971</v>
      </c>
    </row>
    <row r="4575" spans="1:8" ht="102.75" x14ac:dyDescent="0.25">
      <c r="A4575" s="3" t="s">
        <v>13674</v>
      </c>
      <c r="B4575" s="3"/>
      <c r="C4575" s="3" t="s">
        <v>13675</v>
      </c>
      <c r="D4575" s="3" t="s">
        <v>13672</v>
      </c>
      <c r="E4575" s="3" t="s">
        <v>13676</v>
      </c>
      <c r="F4575" s="3" t="str">
        <f>"317-341-4137"</f>
        <v>317-341-4137</v>
      </c>
      <c r="G4575" s="3">
        <v>541930</v>
      </c>
      <c r="H4575" s="3" t="s">
        <v>971</v>
      </c>
    </row>
    <row r="4576" spans="1:8" ht="51.75" x14ac:dyDescent="0.25">
      <c r="A4576" s="3" t="s">
        <v>13677</v>
      </c>
      <c r="B4576" s="3"/>
      <c r="C4576" s="3" t="str">
        <f>"The Indianapolis Private Industry Council d/b/a EmployIndy is a non-profit organization responsible for workforce development in Marion County."</f>
        <v>The Indianapolis Private Industry Council d/b/a EmployIndy is a non-profit organization responsible for workforce development in Marion County.</v>
      </c>
      <c r="D4576" s="3" t="s">
        <v>13678</v>
      </c>
      <c r="E4576" s="3" t="s">
        <v>46</v>
      </c>
      <c r="F4576" s="3" t="str">
        <f>"317-639-4441"</f>
        <v>317-639-4441</v>
      </c>
      <c r="G4576" s="3">
        <v>62419</v>
      </c>
      <c r="H4576" s="3" t="s">
        <v>54</v>
      </c>
    </row>
    <row r="4577" spans="1:8" ht="51.75" x14ac:dyDescent="0.25">
      <c r="A4577" s="3" t="s">
        <v>13679</v>
      </c>
      <c r="B4577" s="3"/>
      <c r="C4577" s="3" t="str">
        <f>"Indy Scale = Industrial Scale Experts. Indy Scale sells, services, and rents virtually all types of weighing equipment from truck and railroad scales to precision lab balances."</f>
        <v>Indy Scale = Industrial Scale Experts. Indy Scale sells, services, and rents virtually all types of weighing equipment from truck and railroad scales to precision lab balances.</v>
      </c>
      <c r="D4577" s="3" t="s">
        <v>13680</v>
      </c>
      <c r="E4577" s="3" t="s">
        <v>13681</v>
      </c>
      <c r="F4577" s="3" t="str">
        <f>"1-800-908-3927"</f>
        <v>1-800-908-3927</v>
      </c>
      <c r="G4577" s="3">
        <v>811219</v>
      </c>
      <c r="H4577" s="3" t="s">
        <v>1427</v>
      </c>
    </row>
    <row r="4578" spans="1:8" ht="64.5" x14ac:dyDescent="0.25">
      <c r="A4578" s="3" t="s">
        <v>13682</v>
      </c>
      <c r="B4578" s="3"/>
      <c r="C4578" s="3" t="str">
        <f>"sales, services and parts for industrial sewing machines. repairs in our shop or yours. complete line of sewing machines for sale all makes and models. drop shipments of parts"</f>
        <v>sales, services and parts for industrial sewing machines. repairs in our shop or yours. complete line of sewing machines for sale all makes and models. drop shipments of parts</v>
      </c>
      <c r="D4578" s="3" t="s">
        <v>13683</v>
      </c>
      <c r="E4578" s="3" t="s">
        <v>13684</v>
      </c>
      <c r="F4578" s="3" t="str">
        <f>"3173220875"</f>
        <v>3173220875</v>
      </c>
      <c r="G4578" s="3">
        <v>443111</v>
      </c>
      <c r="H4578" s="3" t="s">
        <v>11614</v>
      </c>
    </row>
    <row r="4579" spans="1:8" ht="64.5" x14ac:dyDescent="0.25">
      <c r="A4579" s="3" t="s">
        <v>13685</v>
      </c>
      <c r="B4579" s="3"/>
      <c r="C4579" s="3" t="str">
        <f>"Sales and rental of theatrical lighting fixtures; dimming &amp; control systems; rigging &amp; curtains; fog, smoke &amp; haze; and consumables - scenic paint, gaffers tape, color media, gobos."</f>
        <v>Sales and rental of theatrical lighting fixtures; dimming &amp; control systems; rigging &amp; curtains; fog, smoke &amp; haze; and consumables - scenic paint, gaffers tape, color media, gobos.</v>
      </c>
      <c r="D4579" s="3" t="s">
        <v>13686</v>
      </c>
      <c r="E4579" s="3" t="s">
        <v>13687</v>
      </c>
      <c r="F4579" s="3" t="str">
        <f>"317-635-9430"</f>
        <v>317-635-9430</v>
      </c>
      <c r="G4579" s="3">
        <v>451140</v>
      </c>
      <c r="H4579" s="3" t="s">
        <v>10414</v>
      </c>
    </row>
    <row r="4580" spans="1:8" ht="26.25" x14ac:dyDescent="0.25">
      <c r="A4580" s="3" t="s">
        <v>13688</v>
      </c>
      <c r="B4580" s="3"/>
      <c r="C4580" s="3" t="str">
        <f>"Non Profit Organization 501(c)3"</f>
        <v>Non Profit Organization 501(c)3</v>
      </c>
      <c r="D4580" s="3" t="s">
        <v>13689</v>
      </c>
      <c r="E4580" s="3" t="s">
        <v>46</v>
      </c>
      <c r="F4580" s="3" t="str">
        <f>"3176937603"</f>
        <v>3176937603</v>
      </c>
      <c r="G4580" s="3">
        <v>813410</v>
      </c>
      <c r="H4580" s="3" t="s">
        <v>8420</v>
      </c>
    </row>
    <row r="4581" spans="1:8" ht="102.75" x14ac:dyDescent="0.25">
      <c r="A4581" s="3" t="s">
        <v>13690</v>
      </c>
      <c r="B4581" s="3"/>
      <c r="C4581" s="3" t="s">
        <v>13691</v>
      </c>
      <c r="D4581" s="3" t="s">
        <v>13692</v>
      </c>
      <c r="E4581" s="3" t="s">
        <v>13693</v>
      </c>
      <c r="F4581" s="3" t="str">
        <f>"317-782-1469"</f>
        <v>317-782-1469</v>
      </c>
      <c r="G4581" s="3">
        <v>423610</v>
      </c>
      <c r="H4581" s="3" t="s">
        <v>2414</v>
      </c>
    </row>
    <row r="4582" spans="1:8" ht="26.25" x14ac:dyDescent="0.25">
      <c r="A4582" s="3" t="s">
        <v>13694</v>
      </c>
      <c r="B4582" s="3"/>
      <c r="C4582" s="3" t="str">
        <f>"A Triple-A Professional Baseball Team located in Indianapolis, IN."</f>
        <v>A Triple-A Professional Baseball Team located in Indianapolis, IN.</v>
      </c>
      <c r="D4582" s="3" t="s">
        <v>13695</v>
      </c>
      <c r="E4582" s="3" t="s">
        <v>13696</v>
      </c>
      <c r="F4582" s="3" t="str">
        <f>"317-269-3542"</f>
        <v>317-269-3542</v>
      </c>
      <c r="G4582" s="3">
        <v>711211</v>
      </c>
      <c r="H4582" s="3" t="s">
        <v>13697</v>
      </c>
    </row>
    <row r="4583" spans="1:8" ht="39" x14ac:dyDescent="0.25">
      <c r="A4583" s="3" t="s">
        <v>13698</v>
      </c>
      <c r="B4583" s="3"/>
      <c r="C4583" s="3" t="str">
        <f>"Cellular Repeater Systems Signal Enhancment inside of buildings. Fiber Optic installation, repair, testing."</f>
        <v>Cellular Repeater Systems Signal Enhancment inside of buildings. Fiber Optic installation, repair, testing.</v>
      </c>
      <c r="D4583" s="3" t="s">
        <v>13699</v>
      </c>
      <c r="E4583" s="3" t="s">
        <v>46</v>
      </c>
      <c r="F4583" s="3" t="str">
        <f>"260-627-7002"</f>
        <v>260-627-7002</v>
      </c>
      <c r="G4583" s="3">
        <v>811213</v>
      </c>
      <c r="H4583" s="3" t="s">
        <v>1077</v>
      </c>
    </row>
    <row r="4584" spans="1:8" ht="141" x14ac:dyDescent="0.25">
      <c r="A4584" s="3" t="s">
        <v>13700</v>
      </c>
      <c r="B4584" s="3"/>
      <c r="C4584" s="3" t="s">
        <v>13701</v>
      </c>
      <c r="D4584" s="3" t="s">
        <v>9</v>
      </c>
      <c r="E4584" s="3" t="s">
        <v>13702</v>
      </c>
      <c r="F4584" s="3" t="str">
        <f>"317-713-1212"</f>
        <v>317-713-1212</v>
      </c>
      <c r="G4584" s="3">
        <v>561720</v>
      </c>
      <c r="H4584" s="3" t="s">
        <v>222</v>
      </c>
    </row>
    <row r="4585" spans="1:8" ht="77.25" x14ac:dyDescent="0.25">
      <c r="A4585" s="3" t="s">
        <v>13703</v>
      </c>
      <c r="B4585" s="3"/>
      <c r="C4585" s="3" t="str">
        <f>"ICS Mechanical is a WBE certified mechanical construction company specializing in plumbing/HVAC/process piping installation/service in the industrial/institutional/commercial industries in the State of Indiana."</f>
        <v>ICS Mechanical is a WBE certified mechanical construction company specializing in plumbing/HVAC/process piping installation/service in the industrial/institutional/commercial industries in the State of Indiana.</v>
      </c>
      <c r="D4585" s="3" t="s">
        <v>13704</v>
      </c>
      <c r="E4585" s="3" t="s">
        <v>12911</v>
      </c>
      <c r="F4585" s="3" t="str">
        <f>"317-894-1955"</f>
        <v>317-894-1955</v>
      </c>
      <c r="G4585" s="3">
        <v>238220</v>
      </c>
      <c r="H4585" s="3" t="s">
        <v>348</v>
      </c>
    </row>
    <row r="4586" spans="1:8" ht="128.25" x14ac:dyDescent="0.25">
      <c r="A4586" s="3" t="s">
        <v>13705</v>
      </c>
      <c r="B4586" s="3"/>
      <c r="C4586" s="3" t="s">
        <v>13706</v>
      </c>
      <c r="D4586" s="3" t="s">
        <v>13707</v>
      </c>
      <c r="E4586" s="3" t="s">
        <v>13708</v>
      </c>
      <c r="F4586" s="3" t="str">
        <f>"219-929-4487"</f>
        <v>219-929-4487</v>
      </c>
      <c r="G4586" s="3">
        <v>541620</v>
      </c>
      <c r="H4586" s="3" t="s">
        <v>216</v>
      </c>
    </row>
    <row r="4587" spans="1:8" ht="77.25" x14ac:dyDescent="0.25">
      <c r="A4587" s="3" t="s">
        <v>13709</v>
      </c>
      <c r="B4587" s="3"/>
      <c r="C4587" s="3" t="str">
        <f>"Servicing and repairing gas apparatus and accessories in accordance with original manufacturing standards and specifications. Concoa authorized repair center specializing in regulators,torches,gas mixers,laser assist gas systems."</f>
        <v>Servicing and repairing gas apparatus and accessories in accordance with original manufacturing standards and specifications. Concoa authorized repair center specializing in regulators,torches,gas mixers,laser assist gas systems.</v>
      </c>
      <c r="D4587" s="3" t="s">
        <v>13710</v>
      </c>
      <c r="E4587" s="3" t="s">
        <v>13711</v>
      </c>
      <c r="F4587" s="3" t="str">
        <f>"219-531-4196"</f>
        <v>219-531-4196</v>
      </c>
      <c r="G4587" s="3">
        <v>811</v>
      </c>
      <c r="H4587" s="3" t="s">
        <v>816</v>
      </c>
    </row>
    <row r="4588" spans="1:8" ht="115.5" x14ac:dyDescent="0.25">
      <c r="A4588" s="3" t="s">
        <v>13712</v>
      </c>
      <c r="B4588" s="3"/>
      <c r="C4588" s="3" t="s">
        <v>13713</v>
      </c>
      <c r="D4588" s="3" t="s">
        <v>13714</v>
      </c>
      <c r="E4588" s="3" t="s">
        <v>13715</v>
      </c>
      <c r="F4588" s="3" t="str">
        <f>"574-674-8357"</f>
        <v>574-674-8357</v>
      </c>
      <c r="G4588" s="3">
        <v>541620</v>
      </c>
      <c r="H4588" s="3" t="s">
        <v>216</v>
      </c>
    </row>
    <row r="4589" spans="1:8" ht="77.25" x14ac:dyDescent="0.25">
      <c r="A4589" s="3" t="s">
        <v>13716</v>
      </c>
      <c r="B4589" s="3"/>
      <c r="C4589" s="3" t="str">
        <f>"I sell and services back up power, that would be batteries of all types, for exits, emergency lighting, UPS systems, telecommunications, switch gear, enginer starting, door locks, parking meters, fire alarm and much moore."</f>
        <v>I sell and services back up power, that would be batteries of all types, for exits, emergency lighting, UPS systems, telecommunications, switch gear, enginer starting, door locks, parking meters, fire alarm and much moore.</v>
      </c>
      <c r="D4589" s="3" t="s">
        <v>13717</v>
      </c>
      <c r="E4589" s="3" t="s">
        <v>13718</v>
      </c>
      <c r="F4589" s="3" t="str">
        <f>"317 539-5983"</f>
        <v>317 539-5983</v>
      </c>
      <c r="G4589" s="3">
        <v>23829</v>
      </c>
      <c r="H4589" s="3" t="s">
        <v>237</v>
      </c>
    </row>
    <row r="4590" spans="1:8" ht="306.75" x14ac:dyDescent="0.25">
      <c r="A4590" s="3" t="s">
        <v>13719</v>
      </c>
      <c r="B4590" s="3"/>
      <c r="C4590" s="3" t="s">
        <v>13720</v>
      </c>
      <c r="D4590" s="3" t="s">
        <v>13721</v>
      </c>
      <c r="E4590" s="3" t="s">
        <v>13722</v>
      </c>
      <c r="F4590" s="3" t="str">
        <f>"260-497-7491"</f>
        <v>260-497-7491</v>
      </c>
      <c r="G4590" s="3">
        <v>541690</v>
      </c>
      <c r="H4590" s="3" t="s">
        <v>652</v>
      </c>
    </row>
    <row r="4591" spans="1:8" ht="179.25" x14ac:dyDescent="0.25">
      <c r="A4591" s="3" t="s">
        <v>13723</v>
      </c>
      <c r="B4591" s="3"/>
      <c r="C4591" s="3" t="s">
        <v>13724</v>
      </c>
      <c r="D4591" s="3" t="s">
        <v>9</v>
      </c>
      <c r="E4591" s="3" t="s">
        <v>13725</v>
      </c>
      <c r="F4591" s="3" t="str">
        <f>"317-831-0423"</f>
        <v>317-831-0423</v>
      </c>
      <c r="G4591" s="3">
        <v>81131</v>
      </c>
      <c r="H4591" s="3" t="s">
        <v>1895</v>
      </c>
    </row>
    <row r="4592" spans="1:8" ht="26.25" x14ac:dyDescent="0.25">
      <c r="A4592" s="3" t="s">
        <v>13726</v>
      </c>
      <c r="B4592" s="3"/>
      <c r="C4592" s="3" t="str">
        <f>"Contractor working for private industry, military bases and public works."</f>
        <v>Contractor working for private industry, military bases and public works.</v>
      </c>
      <c r="D4592" s="3" t="s">
        <v>13727</v>
      </c>
      <c r="E4592" s="3" t="s">
        <v>13728</v>
      </c>
      <c r="F4592" s="3" t="str">
        <f>"219-972-1250"</f>
        <v>219-972-1250</v>
      </c>
      <c r="G4592" s="3">
        <v>541990</v>
      </c>
      <c r="H4592" s="3" t="s">
        <v>378</v>
      </c>
    </row>
    <row r="4593" spans="1:8" ht="26.25" x14ac:dyDescent="0.25">
      <c r="A4593" s="3" t="s">
        <v>13729</v>
      </c>
      <c r="B4593" s="3"/>
      <c r="C4593" s="3" t="str">
        <f>"We buy non ferrous metals icluding copper, brass, aluminum and salvage cars"</f>
        <v>We buy non ferrous metals icluding copper, brass, aluminum and salvage cars</v>
      </c>
      <c r="D4593" s="3" t="s">
        <v>9</v>
      </c>
      <c r="E4593" s="3" t="s">
        <v>13730</v>
      </c>
      <c r="F4593" s="3" t="str">
        <f>"3179726655"</f>
        <v>3179726655</v>
      </c>
      <c r="G4593" s="3">
        <v>213115</v>
      </c>
      <c r="H4593" s="3" t="s">
        <v>13731</v>
      </c>
    </row>
    <row r="4594" spans="1:8" ht="51.75" x14ac:dyDescent="0.25">
      <c r="A4594" s="3" t="s">
        <v>13732</v>
      </c>
      <c r="B4594" s="3"/>
      <c r="C4594" s="3" t="str">
        <f>"Publisher and distributor of an annual high quality, glossy four-color minority business directory. A resource to locate and network with minority vendors and professionals."</f>
        <v>Publisher and distributor of an annual high quality, glossy four-color minority business directory. A resource to locate and network with minority vendors and professionals.</v>
      </c>
      <c r="D4594" s="3" t="s">
        <v>13733</v>
      </c>
      <c r="E4594" s="3" t="s">
        <v>13734</v>
      </c>
      <c r="F4594" s="3" t="str">
        <f>"317-536-0694"</f>
        <v>317-536-0694</v>
      </c>
      <c r="G4594" s="3">
        <v>511140</v>
      </c>
      <c r="H4594" s="3" t="s">
        <v>13735</v>
      </c>
    </row>
    <row r="4595" spans="1:8" ht="51.75" x14ac:dyDescent="0.25">
      <c r="A4595" s="3" t="s">
        <v>13736</v>
      </c>
      <c r="B4595" s="3"/>
      <c r="C4595" s="3" t="str">
        <f>"We design custom cake orders for any occasion including, but not limited to, birthdays, anniversaries, weddings, graduations and parties."</f>
        <v>We design custom cake orders for any occasion including, but not limited to, birthdays, anniversaries, weddings, graduations and parties.</v>
      </c>
      <c r="D4595" s="3" t="s">
        <v>13737</v>
      </c>
      <c r="E4595" s="3" t="s">
        <v>13738</v>
      </c>
      <c r="F4595" s="3" t="str">
        <f>"317-840-1562"</f>
        <v>317-840-1562</v>
      </c>
      <c r="G4595" s="3">
        <v>311812</v>
      </c>
      <c r="H4595" s="3" t="s">
        <v>1752</v>
      </c>
    </row>
    <row r="4596" spans="1:8" ht="51.75" x14ac:dyDescent="0.25">
      <c r="A4596" s="3" t="s">
        <v>13739</v>
      </c>
      <c r="B4596" s="3"/>
      <c r="C4596" s="3" t="str">
        <f>"We build custom Road Cases, Shipping Containers, and Flight Cases as well as CNC Routing of metal, plastic, and laminate materials."</f>
        <v>We build custom Road Cases, Shipping Containers, and Flight Cases as well as CNC Routing of metal, plastic, and laminate materials.</v>
      </c>
      <c r="D4596" s="3" t="s">
        <v>13740</v>
      </c>
      <c r="E4596" s="3" t="s">
        <v>13741</v>
      </c>
      <c r="F4596" s="3" t="str">
        <f>"317-677-0200"</f>
        <v>317-677-0200</v>
      </c>
      <c r="G4596" s="3">
        <v>321999</v>
      </c>
      <c r="H4596" s="3" t="s">
        <v>2185</v>
      </c>
    </row>
    <row r="4597" spans="1:8" ht="39" x14ac:dyDescent="0.25">
      <c r="A4597" s="3" t="s">
        <v>13742</v>
      </c>
      <c r="B4597" s="3"/>
      <c r="C4597" s="3" t="str">
        <f>"A uniquly impressive gift company, offering gourmet and up-scale gift solutions for any client or occasion."</f>
        <v>A uniquly impressive gift company, offering gourmet and up-scale gift solutions for any client or occasion.</v>
      </c>
      <c r="D4597" s="3" t="s">
        <v>13743</v>
      </c>
      <c r="E4597" s="3" t="s">
        <v>46</v>
      </c>
      <c r="F4597" s="3" t="str">
        <f>"317-782-4438"</f>
        <v>317-782-4438</v>
      </c>
      <c r="G4597" s="3">
        <v>45322</v>
      </c>
      <c r="H4597" s="3" t="s">
        <v>13744</v>
      </c>
    </row>
    <row r="4598" spans="1:8" ht="179.25" x14ac:dyDescent="0.25">
      <c r="A4598" s="3" t="s">
        <v>13745</v>
      </c>
      <c r="B4598" s="3"/>
      <c r="C4598" s="3" t="s">
        <v>13746</v>
      </c>
      <c r="D4598" s="3" t="s">
        <v>13747</v>
      </c>
      <c r="E4598" s="3" t="s">
        <v>13748</v>
      </c>
      <c r="F4598" s="3" t="str">
        <f>"317-824-0393"</f>
        <v>317-824-0393</v>
      </c>
      <c r="G4598" s="3">
        <v>541512</v>
      </c>
      <c r="H4598" s="3" t="s">
        <v>19</v>
      </c>
    </row>
    <row r="4599" spans="1:8" ht="39" x14ac:dyDescent="0.25">
      <c r="A4599" s="3" t="s">
        <v>13749</v>
      </c>
      <c r="B4599" s="3"/>
      <c r="C4599" s="3" t="str">
        <f>"Provide dead animal removal from residential, commercial and public roadways"</f>
        <v>Provide dead animal removal from residential, commercial and public roadways</v>
      </c>
      <c r="D4599" s="3" t="s">
        <v>9</v>
      </c>
      <c r="E4599" s="3" t="s">
        <v>13750</v>
      </c>
      <c r="F4599" s="3" t="str">
        <f>"3177538454"</f>
        <v>3177538454</v>
      </c>
      <c r="G4599" s="3">
        <v>484220</v>
      </c>
      <c r="H4599" s="3" t="s">
        <v>11</v>
      </c>
    </row>
    <row r="4600" spans="1:8" ht="90" x14ac:dyDescent="0.25">
      <c r="A4600" s="3" t="s">
        <v>13751</v>
      </c>
      <c r="B4600" s="3"/>
      <c r="C4600" s="3" t="str">
        <f>"Indy Developers Network is a telecommunications and IT services company located in Indianapolis, IN. IDN specializes in phone services for home and business, surveillance systems, web design, and much more. Please visit our website for more information."</f>
        <v>Indy Developers Network is a telecommunications and IT services company located in Indianapolis, IN. IDN specializes in phone services for home and business, surveillance systems, web design, and much more. Please visit our website for more information.</v>
      </c>
      <c r="D4600" s="3" t="s">
        <v>13752</v>
      </c>
      <c r="E4600" s="3" t="s">
        <v>13753</v>
      </c>
      <c r="F4600" s="3" t="str">
        <f>"317-644-0075"</f>
        <v>317-644-0075</v>
      </c>
      <c r="G4600" s="3">
        <v>517910</v>
      </c>
      <c r="H4600" s="3" t="s">
        <v>1677</v>
      </c>
    </row>
    <row r="4601" spans="1:8" ht="64.5" x14ac:dyDescent="0.25">
      <c r="A4601" s="3" t="s">
        <v>13754</v>
      </c>
      <c r="B4601" s="3"/>
      <c r="C4601" s="3" t="str">
        <f>"For over 25 years, the mission of Express Employment Professionals has been to help people find jobs and help businesses find the people and human resource services they need."</f>
        <v>For over 25 years, the mission of Express Employment Professionals has been to help people find jobs and help businesses find the people and human resource services they need.</v>
      </c>
      <c r="D4601" s="3" t="s">
        <v>13755</v>
      </c>
      <c r="E4601" s="3" t="s">
        <v>46</v>
      </c>
      <c r="F4601" s="3" t="str">
        <f>"317-251-3608"</f>
        <v>317-251-3608</v>
      </c>
      <c r="G4601" s="3">
        <v>561320</v>
      </c>
      <c r="H4601" s="3" t="s">
        <v>15</v>
      </c>
    </row>
    <row r="4602" spans="1:8" ht="102.75" x14ac:dyDescent="0.25">
      <c r="A4602" s="3" t="s">
        <v>13756</v>
      </c>
      <c r="B4602" s="3"/>
      <c r="C4602" s="3" t="s">
        <v>13757</v>
      </c>
      <c r="D4602" s="3" t="s">
        <v>13758</v>
      </c>
      <c r="E4602" s="3" t="s">
        <v>13759</v>
      </c>
      <c r="F4602" s="3" t="str">
        <f>"(317)257-5762"</f>
        <v>(317)257-5762</v>
      </c>
      <c r="G4602" s="3">
        <v>541990</v>
      </c>
      <c r="H4602" s="3" t="s">
        <v>378</v>
      </c>
    </row>
    <row r="4603" spans="1:8" ht="64.5" x14ac:dyDescent="0.25">
      <c r="A4603" s="3" t="s">
        <v>13760</v>
      </c>
      <c r="B4603" s="3"/>
      <c r="C4603" s="3" t="str">
        <f>"Residential and Commercial overhead door sales, installation and service. Dock leveler and related equipment sales, installation and service. Man-door sales, installation and service."</f>
        <v>Residential and Commercial overhead door sales, installation and service. Dock leveler and related equipment sales, installation and service. Man-door sales, installation and service.</v>
      </c>
      <c r="D4603" s="3" t="s">
        <v>13761</v>
      </c>
      <c r="E4603" s="3" t="s">
        <v>13762</v>
      </c>
      <c r="F4603" s="3" t="str">
        <f>"317-570-5445"</f>
        <v>317-570-5445</v>
      </c>
      <c r="G4603" s="3">
        <v>23599</v>
      </c>
      <c r="H4603" s="3" t="s">
        <v>248</v>
      </c>
    </row>
    <row r="4604" spans="1:8" ht="192" x14ac:dyDescent="0.25">
      <c r="A4604" s="3" t="s">
        <v>13763</v>
      </c>
      <c r="B4604" s="3"/>
      <c r="C4604" s="3" t="s">
        <v>13764</v>
      </c>
      <c r="D4604" s="3" t="s">
        <v>9</v>
      </c>
      <c r="E4604" s="3" t="s">
        <v>13765</v>
      </c>
      <c r="F4604" s="3" t="str">
        <f>"317.989.2001"</f>
        <v>317.989.2001</v>
      </c>
      <c r="G4604" s="3">
        <v>541330</v>
      </c>
      <c r="H4604" s="3" t="s">
        <v>82</v>
      </c>
    </row>
    <row r="4605" spans="1:8" ht="26.25" x14ac:dyDescent="0.25">
      <c r="A4605" s="3" t="s">
        <v>13766</v>
      </c>
      <c r="B4605" s="3"/>
      <c r="C4605" s="3" t="str">
        <f>"Event Planning, Meeting Planning and Association Management"</f>
        <v>Event Planning, Meeting Planning and Association Management</v>
      </c>
      <c r="D4605" s="3" t="s">
        <v>13767</v>
      </c>
      <c r="E4605" s="3" t="s">
        <v>13768</v>
      </c>
      <c r="F4605" s="3" t="str">
        <f>"317-873-1792"</f>
        <v>317-873-1792</v>
      </c>
      <c r="G4605" s="3">
        <v>238</v>
      </c>
      <c r="H4605" s="3" t="s">
        <v>397</v>
      </c>
    </row>
    <row r="4606" spans="1:8" ht="26.25" x14ac:dyDescent="0.25">
      <c r="A4606" s="3" t="s">
        <v>13769</v>
      </c>
      <c r="B4606" s="3"/>
      <c r="C4606" s="3" t="str">
        <f>"Automotive Repair, Parts sales and service"</f>
        <v>Automotive Repair, Parts sales and service</v>
      </c>
      <c r="D4606" s="3" t="s">
        <v>13770</v>
      </c>
      <c r="E4606" s="3" t="s">
        <v>13771</v>
      </c>
      <c r="F4606" s="3" t="str">
        <f>"317241-0339"</f>
        <v>317241-0339</v>
      </c>
      <c r="G4606" s="3">
        <v>45431</v>
      </c>
      <c r="H4606" s="3" t="s">
        <v>13772</v>
      </c>
    </row>
    <row r="4607" spans="1:8" ht="192" x14ac:dyDescent="0.25">
      <c r="A4607" s="3" t="s">
        <v>13773</v>
      </c>
      <c r="B4607" s="3"/>
      <c r="C4607" s="3" t="s">
        <v>13774</v>
      </c>
      <c r="D4607" s="3" t="s">
        <v>13775</v>
      </c>
      <c r="E4607" s="3" t="s">
        <v>13776</v>
      </c>
      <c r="F4607" s="3" t="str">
        <f>"(317) 572-7767"</f>
        <v>(317) 572-7767</v>
      </c>
      <c r="G4607" s="3">
        <v>541512</v>
      </c>
      <c r="H4607" s="3" t="s">
        <v>19</v>
      </c>
    </row>
    <row r="4608" spans="1:8" ht="77.25" x14ac:dyDescent="0.25">
      <c r="A4608" s="3" t="s">
        <v>13777</v>
      </c>
      <c r="B4608" s="3"/>
      <c r="C4608" s="3" t="str">
        <f>"Millennium Line-X provides and intalls a complete line of accessories required for fleet owners/managers to outfit their vehicles. Some accessories include tool boxes, ladder racks, strobe lights, hitches, and spray on bedliners."</f>
        <v>Millennium Line-X provides and intalls a complete line of accessories required for fleet owners/managers to outfit their vehicles. Some accessories include tool boxes, ladder racks, strobe lights, hitches, and spray on bedliners.</v>
      </c>
      <c r="D4608" s="3" t="s">
        <v>12823</v>
      </c>
      <c r="E4608" s="3" t="s">
        <v>13778</v>
      </c>
      <c r="F4608" s="3" t="str">
        <f>"317-807-2000"</f>
        <v>317-807-2000</v>
      </c>
      <c r="G4608" s="3">
        <v>441310</v>
      </c>
      <c r="H4608" s="3" t="s">
        <v>1699</v>
      </c>
    </row>
    <row r="4609" spans="1:8" ht="26.25" x14ac:dyDescent="0.25">
      <c r="A4609" s="3" t="s">
        <v>13779</v>
      </c>
      <c r="B4609" s="3"/>
      <c r="C4609" s="3" t="str">
        <f>"Scuba sales, service, and education."</f>
        <v>Scuba sales, service, and education.</v>
      </c>
      <c r="D4609" s="3" t="s">
        <v>13780</v>
      </c>
      <c r="E4609" s="3" t="s">
        <v>46</v>
      </c>
      <c r="F4609" s="3" t="str">
        <f>"317 842-1988"</f>
        <v>317 842-1988</v>
      </c>
      <c r="G4609" s="3">
        <v>44</v>
      </c>
      <c r="H4609" s="3" t="s">
        <v>574</v>
      </c>
    </row>
    <row r="4610" spans="1:8" ht="64.5" x14ac:dyDescent="0.25">
      <c r="A4610" s="3" t="s">
        <v>13781</v>
      </c>
      <c r="B4610" s="3"/>
      <c r="C4610" s="3" t="str">
        <f>"Masonry supplies including block, brick, mortar, cement and masonry accessories. Also selling prefabricated parking lots bumpers, landscape and retaining wall block."</f>
        <v>Masonry supplies including block, brick, mortar, cement and masonry accessories. Also selling prefabricated parking lots bumpers, landscape and retaining wall block.</v>
      </c>
      <c r="D4610" s="3" t="s">
        <v>9</v>
      </c>
      <c r="E4610" s="3" t="s">
        <v>13782</v>
      </c>
      <c r="F4610" s="3" t="str">
        <f>"317-375-1990"</f>
        <v>317-375-1990</v>
      </c>
      <c r="G4610" s="3">
        <v>423390</v>
      </c>
      <c r="H4610" s="3" t="s">
        <v>1863</v>
      </c>
    </row>
    <row r="4611" spans="1:8" ht="306.75" x14ac:dyDescent="0.25">
      <c r="A4611" s="3" t="s">
        <v>13783</v>
      </c>
      <c r="B4611" s="3"/>
      <c r="C4611" s="3" t="s">
        <v>13784</v>
      </c>
      <c r="D4611" s="3" t="s">
        <v>13785</v>
      </c>
      <c r="E4611" s="3" t="s">
        <v>13786</v>
      </c>
      <c r="F4611" s="3" t="str">
        <f>"317 431-7345"</f>
        <v>317 431-7345</v>
      </c>
      <c r="G4611" s="3">
        <v>423450</v>
      </c>
      <c r="H4611" s="3" t="s">
        <v>1406</v>
      </c>
    </row>
    <row r="4612" spans="1:8" ht="166.5" x14ac:dyDescent="0.25">
      <c r="A4612" s="3" t="s">
        <v>13783</v>
      </c>
      <c r="B4612" s="3"/>
      <c r="C4612" s="3" t="s">
        <v>13787</v>
      </c>
      <c r="D4612" s="3" t="s">
        <v>13785</v>
      </c>
      <c r="E4612" s="3" t="s">
        <v>13788</v>
      </c>
      <c r="F4612" s="3" t="str">
        <f>"317 431-7345"</f>
        <v>317 431-7345</v>
      </c>
      <c r="G4612" s="3">
        <v>42345</v>
      </c>
      <c r="H4612" s="3" t="s">
        <v>1406</v>
      </c>
    </row>
    <row r="4613" spans="1:8" ht="26.25" x14ac:dyDescent="0.25">
      <c r="A4613" s="3" t="s">
        <v>13789</v>
      </c>
      <c r="B4613" s="3"/>
      <c r="C4613" s="3" t="str">
        <f>"Design, procure, and manage returnable packaging systems"</f>
        <v>Design, procure, and manage returnable packaging systems</v>
      </c>
      <c r="D4613" s="3" t="s">
        <v>9</v>
      </c>
      <c r="E4613" s="3" t="s">
        <v>46</v>
      </c>
      <c r="F4613" s="2"/>
      <c r="G4613" s="3">
        <v>561910</v>
      </c>
      <c r="H4613" s="3" t="s">
        <v>7461</v>
      </c>
    </row>
    <row r="4614" spans="1:8" ht="64.5" x14ac:dyDescent="0.25">
      <c r="A4614" s="3" t="s">
        <v>13790</v>
      </c>
      <c r="B4614" s="3"/>
      <c r="C4614" s="3" t="str">
        <f>"Provides photo booth rentals and placement for events, parties, corporate events, weddings, bars, family entertainment centers, casinos, museums, and restaurants."</f>
        <v>Provides photo booth rentals and placement for events, parties, corporate events, weddings, bars, family entertainment centers, casinos, museums, and restaurants.</v>
      </c>
      <c r="D4614" s="3" t="s">
        <v>13791</v>
      </c>
      <c r="E4614" s="3" t="s">
        <v>13792</v>
      </c>
      <c r="F4614" s="3" t="str">
        <f>"317-508-4508"</f>
        <v>317-508-4508</v>
      </c>
      <c r="G4614" s="3">
        <v>532210</v>
      </c>
      <c r="H4614" s="3" t="s">
        <v>13793</v>
      </c>
    </row>
    <row r="4615" spans="1:8" ht="294" x14ac:dyDescent="0.25">
      <c r="A4615" s="3" t="s">
        <v>13794</v>
      </c>
      <c r="B4615" s="3"/>
      <c r="C4615" s="3" t="s">
        <v>13795</v>
      </c>
      <c r="D4615" s="3" t="s">
        <v>13796</v>
      </c>
      <c r="E4615" s="3" t="s">
        <v>13797</v>
      </c>
      <c r="F4615" s="3" t="str">
        <f>"317.849.3517"</f>
        <v>317.849.3517</v>
      </c>
      <c r="G4615" s="3">
        <v>62151</v>
      </c>
      <c r="H4615" s="3" t="s">
        <v>9841</v>
      </c>
    </row>
    <row r="4616" spans="1:8" ht="26.25" x14ac:dyDescent="0.25">
      <c r="A4616" s="3" t="s">
        <v>13798</v>
      </c>
      <c r="B4616" s="3"/>
      <c r="C4616" s="3" t="str">
        <f>"We are a website that covers Indiana political news and events."</f>
        <v>We are a website that covers Indiana political news and events.</v>
      </c>
      <c r="D4616" s="3" t="s">
        <v>13799</v>
      </c>
      <c r="E4616" s="3" t="s">
        <v>13800</v>
      </c>
      <c r="F4616" s="3" t="str">
        <f>"317-727-1250"</f>
        <v>317-727-1250</v>
      </c>
      <c r="G4616" s="3">
        <v>516110</v>
      </c>
      <c r="H4616" s="3" t="s">
        <v>13801</v>
      </c>
    </row>
    <row r="4617" spans="1:8" ht="153.75" x14ac:dyDescent="0.25">
      <c r="A4617" s="3" t="s">
        <v>13802</v>
      </c>
      <c r="B4617" s="3"/>
      <c r="C4617" s="3" t="s">
        <v>13803</v>
      </c>
      <c r="D4617" s="3" t="s">
        <v>13804</v>
      </c>
      <c r="E4617" s="3" t="s">
        <v>13805</v>
      </c>
      <c r="F4617" s="3" t="str">
        <f>"317-873-9897"</f>
        <v>317-873-9897</v>
      </c>
      <c r="G4617" s="3">
        <v>561790</v>
      </c>
      <c r="H4617" s="3" t="s">
        <v>2113</v>
      </c>
    </row>
    <row r="4618" spans="1:8" ht="51.75" x14ac:dyDescent="0.25">
      <c r="A4618" s="3" t="s">
        <v>13806</v>
      </c>
      <c r="B4618" s="3"/>
      <c r="C4618" s="3" t="str">
        <f>"Powersports dealership offering sales, service, parts, &amp; accessories for ATV's, UTV's, and motorcycles. Primary brand is Polaris."</f>
        <v>Powersports dealership offering sales, service, parts, &amp; accessories for ATV's, UTV's, and motorcycles. Primary brand is Polaris.</v>
      </c>
      <c r="D4618" s="3" t="s">
        <v>13807</v>
      </c>
      <c r="E4618" s="3" t="s">
        <v>13808</v>
      </c>
      <c r="F4618" s="3" t="str">
        <f>"317-769-5728"</f>
        <v>317-769-5728</v>
      </c>
      <c r="G4618" s="3">
        <v>441229</v>
      </c>
      <c r="H4618" s="3" t="s">
        <v>3721</v>
      </c>
    </row>
    <row r="4619" spans="1:8" ht="51.75" x14ac:dyDescent="0.25">
      <c r="A4619" s="3" t="s">
        <v>13809</v>
      </c>
      <c r="B4619" s="3"/>
      <c r="C4619" s="3" t="str">
        <f>"Through the use of promotional products and apparel, we assist our clients in attracting and retaining their clients and employees."</f>
        <v>Through the use of promotional products and apparel, we assist our clients in attracting and retaining their clients and employees.</v>
      </c>
      <c r="D4619" s="3" t="s">
        <v>13810</v>
      </c>
      <c r="E4619" s="3" t="s">
        <v>13811</v>
      </c>
      <c r="F4619" s="3" t="str">
        <f>"317-504-9785"</f>
        <v>317-504-9785</v>
      </c>
      <c r="G4619" s="3">
        <v>541890</v>
      </c>
      <c r="H4619" s="3" t="s">
        <v>401</v>
      </c>
    </row>
    <row r="4620" spans="1:8" ht="26.25" x14ac:dyDescent="0.25">
      <c r="A4620" s="3" t="s">
        <v>13812</v>
      </c>
      <c r="B4620" s="3"/>
      <c r="C4620" s="2"/>
      <c r="D4620" s="3" t="s">
        <v>13813</v>
      </c>
      <c r="E4620" s="3" t="s">
        <v>13814</v>
      </c>
      <c r="F4620" s="3" t="str">
        <f>"317-852-9119"</f>
        <v>317-852-9119</v>
      </c>
      <c r="G4620" s="3">
        <v>513112</v>
      </c>
      <c r="H4620" s="3" t="s">
        <v>9202</v>
      </c>
    </row>
    <row r="4621" spans="1:8" ht="204.75" x14ac:dyDescent="0.25">
      <c r="A4621" s="3" t="s">
        <v>13815</v>
      </c>
      <c r="B4621" s="3"/>
      <c r="C4621" s="3" t="s">
        <v>13816</v>
      </c>
      <c r="D4621" s="3" t="s">
        <v>13817</v>
      </c>
      <c r="E4621" s="3" t="s">
        <v>13818</v>
      </c>
      <c r="F4621" s="3" t="str">
        <f>"3178598593"</f>
        <v>3178598593</v>
      </c>
      <c r="G4621" s="3">
        <v>532412</v>
      </c>
      <c r="H4621" s="3" t="s">
        <v>777</v>
      </c>
    </row>
    <row r="4622" spans="1:8" ht="128.25" x14ac:dyDescent="0.25">
      <c r="A4622" s="3" t="s">
        <v>13819</v>
      </c>
      <c r="B4622" s="3"/>
      <c r="C4622" s="3" t="s">
        <v>13820</v>
      </c>
      <c r="D4622" s="3" t="s">
        <v>13821</v>
      </c>
      <c r="E4622" s="3" t="s">
        <v>13822</v>
      </c>
      <c r="F4622" s="3" t="str">
        <f>"317-540-6951"</f>
        <v>317-540-6951</v>
      </c>
      <c r="G4622" s="3">
        <v>561612</v>
      </c>
      <c r="H4622" s="3" t="s">
        <v>362</v>
      </c>
    </row>
    <row r="4623" spans="1:8" ht="26.25" x14ac:dyDescent="0.25">
      <c r="A4623" s="3" t="s">
        <v>13823</v>
      </c>
      <c r="B4623" s="3"/>
      <c r="C4623" s="3" t="str">
        <f>"HVAC, Electrical, Fire Alarm testing, Voice/Data wiring"</f>
        <v>HVAC, Electrical, Fire Alarm testing, Voice/Data wiring</v>
      </c>
      <c r="D4623" s="3" t="s">
        <v>13824</v>
      </c>
      <c r="E4623" s="3" t="s">
        <v>13825</v>
      </c>
      <c r="F4623" s="3" t="str">
        <f>"3173481150"</f>
        <v>3173481150</v>
      </c>
      <c r="G4623" s="3">
        <v>5617</v>
      </c>
      <c r="H4623" s="3" t="s">
        <v>812</v>
      </c>
    </row>
    <row r="4624" spans="1:8" ht="39" x14ac:dyDescent="0.25">
      <c r="A4624" s="3" t="s">
        <v>13826</v>
      </c>
      <c r="B4624" s="3"/>
      <c r="C4624" s="3" t="str">
        <f>"Indy Sheet Metal, Inc. is a sheet metal contractor operating within Central Indiana."</f>
        <v>Indy Sheet Metal, Inc. is a sheet metal contractor operating within Central Indiana.</v>
      </c>
      <c r="D4624" s="3" t="s">
        <v>8195</v>
      </c>
      <c r="E4624" s="3" t="s">
        <v>13827</v>
      </c>
      <c r="F4624" s="3" t="str">
        <f>"317-872-2783"</f>
        <v>317-872-2783</v>
      </c>
      <c r="G4624" s="3">
        <v>238</v>
      </c>
      <c r="H4624" s="3" t="s">
        <v>397</v>
      </c>
    </row>
    <row r="4625" spans="1:8" ht="77.25" x14ac:dyDescent="0.25">
      <c r="A4625" s="3" t="s">
        <v>13828</v>
      </c>
      <c r="B4625" s="3"/>
      <c r="C4625" s="3" t="str">
        <f>"John Deere Franchised dealership. Selling farm ag equipment as well as a complete line of lawn &amp; garden equipment, as well as construction worksite equipment. 4 Indiana locations: Mooresville, Lebanon, Franklin and Bloomington."</f>
        <v>John Deere Franchised dealership. Selling farm ag equipment as well as a complete line of lawn &amp; garden equipment, as well as construction worksite equipment. 4 Indiana locations: Mooresville, Lebanon, Franklin and Bloomington.</v>
      </c>
      <c r="D4625" s="3" t="s">
        <v>13829</v>
      </c>
      <c r="E4625" s="3" t="s">
        <v>13830</v>
      </c>
      <c r="F4625" s="3" t="str">
        <f>"317.831.4900"</f>
        <v>317.831.4900</v>
      </c>
      <c r="G4625" s="3">
        <v>441229</v>
      </c>
      <c r="H4625" s="3" t="s">
        <v>3721</v>
      </c>
    </row>
    <row r="4626" spans="1:8" ht="115.5" x14ac:dyDescent="0.25">
      <c r="A4626" s="3" t="s">
        <v>13831</v>
      </c>
      <c r="B4626" s="3"/>
      <c r="C4626" s="3" t="s">
        <v>13832</v>
      </c>
      <c r="D4626" s="3" t="s">
        <v>13833</v>
      </c>
      <c r="E4626" s="3" t="s">
        <v>13834</v>
      </c>
      <c r="F4626" s="3" t="str">
        <f>"317-566-8200"</f>
        <v>317-566-8200</v>
      </c>
      <c r="G4626" s="3">
        <v>541930</v>
      </c>
      <c r="H4626" s="3" t="s">
        <v>971</v>
      </c>
    </row>
    <row r="4627" spans="1:8" ht="64.5" x14ac:dyDescent="0.25">
      <c r="A4627" s="3" t="s">
        <v>13835</v>
      </c>
      <c r="B4627" s="3"/>
      <c r="C4627" s="3" t="str">
        <f>"We are a specialty drywall contractor (union) who does drywall, acoustic, insulation, plastering, steel studs, EIFS and fireproofing. We are also certified as a WBE."</f>
        <v>We are a specialty drywall contractor (union) who does drywall, acoustic, insulation, plastering, steel studs, EIFS and fireproofing. We are also certified as a WBE.</v>
      </c>
      <c r="D4627" s="3" t="s">
        <v>9</v>
      </c>
      <c r="E4627" s="3" t="s">
        <v>13836</v>
      </c>
      <c r="F4627" s="3" t="str">
        <f>"(317)352-9215"</f>
        <v>(317)352-9215</v>
      </c>
      <c r="G4627" s="3">
        <v>23</v>
      </c>
      <c r="H4627" s="3" t="s">
        <v>133</v>
      </c>
    </row>
    <row r="4628" spans="1:8" ht="64.5" x14ac:dyDescent="0.25">
      <c r="A4628" s="3" t="s">
        <v>13837</v>
      </c>
      <c r="B4628" s="3"/>
      <c r="C4628" s="3" t="str">
        <f>"Service, installation, repair of Water Wells and pumping systems, Sewage Lift Stations and pumping systems, Pumps for Retention ponds, Farm ponds, Commercial &amp; Residential ponds"</f>
        <v>Service, installation, repair of Water Wells and pumping systems, Sewage Lift Stations and pumping systems, Pumps for Retention ponds, Farm ponds, Commercial &amp; Residential ponds</v>
      </c>
      <c r="D4628" s="3" t="s">
        <v>13838</v>
      </c>
      <c r="E4628" s="3" t="s">
        <v>13839</v>
      </c>
      <c r="F4628" s="3" t="str">
        <f>"317-834-4730"</f>
        <v>317-834-4730</v>
      </c>
      <c r="G4628" s="3">
        <v>238220</v>
      </c>
      <c r="H4628" s="3" t="s">
        <v>348</v>
      </c>
    </row>
    <row r="4629" spans="1:8" ht="51.75" x14ac:dyDescent="0.25">
      <c r="A4629" s="3" t="s">
        <v>13840</v>
      </c>
      <c r="B4629" s="3"/>
      <c r="C4629" s="3" t="str">
        <f>"We sell embroidery and silk screen services and clothing and advertising items, We can digitize logos. We will work with any size order."</f>
        <v>We sell embroidery and silk screen services and clothing and advertising items, We can digitize logos. We will work with any size order.</v>
      </c>
      <c r="D4629" s="3" t="s">
        <v>9</v>
      </c>
      <c r="E4629" s="3" t="s">
        <v>13841</v>
      </c>
      <c r="F4629" s="3" t="str">
        <f>"317-634-4906"</f>
        <v>317-634-4906</v>
      </c>
      <c r="G4629" s="3">
        <v>424990</v>
      </c>
      <c r="H4629" s="3" t="s">
        <v>1019</v>
      </c>
    </row>
    <row r="4630" spans="1:8" ht="77.25" x14ac:dyDescent="0.25">
      <c r="A4630" s="3" t="s">
        <v>13842</v>
      </c>
      <c r="B4630" s="3"/>
      <c r="C4630" s="3" t="str">
        <f>"Computer Sales &amp; Service Computer Repair &amp; Optimization Computer Hardware &amp; Software Installation &amp; Upgrades Home &amp; Office Networking Virus &amp; Spyware Removal System Maintenance Website Design &amp; Web Hosting"</f>
        <v>Computer Sales &amp; Service Computer Repair &amp; Optimization Computer Hardware &amp; Software Installation &amp; Upgrades Home &amp; Office Networking Virus &amp; Spyware Removal System Maintenance Website Design &amp; Web Hosting</v>
      </c>
      <c r="D4630" s="3" t="s">
        <v>13843</v>
      </c>
      <c r="E4630" s="3" t="s">
        <v>13844</v>
      </c>
      <c r="F4630" s="3" t="str">
        <f>"317-474-9867"</f>
        <v>317-474-9867</v>
      </c>
      <c r="G4630" s="3">
        <v>811212</v>
      </c>
      <c r="H4630" s="3" t="s">
        <v>1632</v>
      </c>
    </row>
    <row r="4631" spans="1:8" ht="26.25" x14ac:dyDescent="0.25">
      <c r="A4631" s="3" t="s">
        <v>13845</v>
      </c>
      <c r="B4631" s="3"/>
      <c r="C4631" s="3" t="str">
        <f>" "</f>
        <v xml:space="preserve"> </v>
      </c>
      <c r="D4631" s="3" t="s">
        <v>13846</v>
      </c>
      <c r="E4631" s="3" t="s">
        <v>13847</v>
      </c>
      <c r="F4631" s="3" t="str">
        <f>"317-815-4450"</f>
        <v>317-815-4450</v>
      </c>
      <c r="G4631" s="3">
        <v>531210</v>
      </c>
      <c r="H4631" s="3" t="s">
        <v>1101</v>
      </c>
    </row>
    <row r="4632" spans="1:8" ht="90" x14ac:dyDescent="0.25">
      <c r="A4632" s="3" t="s">
        <v>13848</v>
      </c>
      <c r="B4632" s="3"/>
      <c r="C4632" s="3" t="s">
        <v>13849</v>
      </c>
      <c r="D4632" s="3" t="s">
        <v>13850</v>
      </c>
      <c r="E4632" s="3" t="s">
        <v>13851</v>
      </c>
      <c r="F4632" s="3" t="str">
        <f>"317-545-6631"</f>
        <v>317-545-6631</v>
      </c>
      <c r="G4632" s="3">
        <v>423830</v>
      </c>
      <c r="H4632" s="3" t="s">
        <v>172</v>
      </c>
    </row>
    <row r="4633" spans="1:8" ht="26.25" x14ac:dyDescent="0.25">
      <c r="A4633" s="3" t="s">
        <v>13852</v>
      </c>
      <c r="B4633" s="3"/>
      <c r="C4633" s="3" t="str">
        <f>"Computer networks, both LAN and WAN Wireless computer equipment"</f>
        <v>Computer networks, both LAN and WAN Wireless computer equipment</v>
      </c>
      <c r="D4633" s="3" t="s">
        <v>13853</v>
      </c>
      <c r="E4633" s="3" t="s">
        <v>13854</v>
      </c>
      <c r="F4633" s="3" t="str">
        <f>"317-822-3430"</f>
        <v>317-822-3430</v>
      </c>
      <c r="G4633" s="3">
        <v>517410</v>
      </c>
      <c r="H4633" s="3" t="s">
        <v>13855</v>
      </c>
    </row>
    <row r="4634" spans="1:8" ht="102.75" x14ac:dyDescent="0.25">
      <c r="A4634" s="3" t="s">
        <v>13856</v>
      </c>
      <c r="B4634" s="3"/>
      <c r="C4634" s="3" t="s">
        <v>13857</v>
      </c>
      <c r="D4634" s="3" t="s">
        <v>13858</v>
      </c>
      <c r="E4634" s="3" t="s">
        <v>13859</v>
      </c>
      <c r="F4634" s="3" t="str">
        <f>"317-578-2975"</f>
        <v>317-578-2975</v>
      </c>
      <c r="G4634" s="3">
        <v>541613</v>
      </c>
      <c r="H4634" s="3" t="s">
        <v>558</v>
      </c>
    </row>
    <row r="4635" spans="1:8" ht="204.75" x14ac:dyDescent="0.25">
      <c r="A4635" s="3" t="s">
        <v>13860</v>
      </c>
      <c r="B4635" s="3"/>
      <c r="C4635" s="3" t="s">
        <v>13861</v>
      </c>
      <c r="D4635" s="3" t="s">
        <v>13862</v>
      </c>
      <c r="E4635" s="3" t="s">
        <v>13863</v>
      </c>
      <c r="F4635" s="3" t="str">
        <f>"812-948-0838"</f>
        <v>812-948-0838</v>
      </c>
      <c r="G4635" s="3">
        <v>423430</v>
      </c>
      <c r="H4635" s="3" t="s">
        <v>127</v>
      </c>
    </row>
    <row r="4636" spans="1:8" ht="319.5" x14ac:dyDescent="0.25">
      <c r="A4636" s="3" t="s">
        <v>13864</v>
      </c>
      <c r="B4636" s="3"/>
      <c r="C4636" s="3" t="s">
        <v>13865</v>
      </c>
      <c r="D4636" s="3" t="s">
        <v>13866</v>
      </c>
      <c r="E4636" s="3" t="s">
        <v>13867</v>
      </c>
      <c r="F4636" s="3" t="str">
        <f>"317-210-0169"</f>
        <v>317-210-0169</v>
      </c>
      <c r="G4636" s="3">
        <v>5133</v>
      </c>
      <c r="H4636" s="3" t="s">
        <v>682</v>
      </c>
    </row>
    <row r="4637" spans="1:8" ht="77.25" x14ac:dyDescent="0.25">
      <c r="A4637" s="3" t="s">
        <v>13868</v>
      </c>
      <c r="B4637" s="3"/>
      <c r="C4637" s="3" t="str">
        <f>"Specialize in real estate ventures geared toward serving low-income, elderly and disadvantaged clients with focus on housing, home improvements, first time homebuyers and home shell energy efficiency &amp; measures."</f>
        <v>Specialize in real estate ventures geared toward serving low-income, elderly and disadvantaged clients with focus on housing, home improvements, first time homebuyers and home shell energy efficiency &amp; measures.</v>
      </c>
      <c r="D4637" s="3" t="s">
        <v>9</v>
      </c>
      <c r="E4637" s="3" t="s">
        <v>13869</v>
      </c>
      <c r="F4637" s="3" t="str">
        <f>"260-416-2500"</f>
        <v>260-416-2500</v>
      </c>
      <c r="G4637" s="3">
        <v>531110</v>
      </c>
      <c r="H4637" s="3" t="s">
        <v>1311</v>
      </c>
    </row>
    <row r="4638" spans="1:8" ht="64.5" x14ac:dyDescent="0.25">
      <c r="A4638" s="3" t="s">
        <v>13870</v>
      </c>
      <c r="B4638" s="3"/>
      <c r="C4638" s="3" t="str">
        <f>"Custom injection molder of close tolerance high precision injection molded parts. We do insert molding and have two shot molding capability. We are certified to TS16949."</f>
        <v>Custom injection molder of close tolerance high precision injection molded parts. We do insert molding and have two shot molding capability. We are certified to TS16949.</v>
      </c>
      <c r="D4638" s="3" t="s">
        <v>13871</v>
      </c>
      <c r="E4638" s="3" t="s">
        <v>13872</v>
      </c>
      <c r="F4638" s="3" t="str">
        <f>"812-838-0370"</f>
        <v>812-838-0370</v>
      </c>
      <c r="G4638" s="3">
        <v>3261</v>
      </c>
      <c r="H4638" s="3" t="s">
        <v>2127</v>
      </c>
    </row>
    <row r="4639" spans="1:8" ht="204.75" x14ac:dyDescent="0.25">
      <c r="A4639" s="3" t="s">
        <v>13873</v>
      </c>
      <c r="B4639" s="3"/>
      <c r="C4639" s="3" t="s">
        <v>13874</v>
      </c>
      <c r="D4639" s="3" t="s">
        <v>13875</v>
      </c>
      <c r="E4639" s="3" t="s">
        <v>13876</v>
      </c>
      <c r="F4639" s="3" t="str">
        <f>"317-272-3435"</f>
        <v>317-272-3435</v>
      </c>
      <c r="G4639" s="3">
        <v>31529</v>
      </c>
      <c r="H4639" s="3" t="s">
        <v>13877</v>
      </c>
    </row>
    <row r="4640" spans="1:8" ht="204.75" x14ac:dyDescent="0.25">
      <c r="A4640" s="3" t="s">
        <v>13878</v>
      </c>
      <c r="B4640" s="3"/>
      <c r="C4640" s="3" t="s">
        <v>13879</v>
      </c>
      <c r="D4640" s="3" t="s">
        <v>9</v>
      </c>
      <c r="E4640" s="3" t="s">
        <v>13880</v>
      </c>
      <c r="F4640" s="3" t="str">
        <f>"773-9083"</f>
        <v>773-9083</v>
      </c>
      <c r="G4640" s="3">
        <v>541611</v>
      </c>
      <c r="H4640" s="3" t="s">
        <v>278</v>
      </c>
    </row>
    <row r="4641" spans="1:8" x14ac:dyDescent="0.25">
      <c r="A4641" s="3" t="s">
        <v>13881</v>
      </c>
      <c r="B4641" s="3"/>
      <c r="C4641" s="3" t="str">
        <f>"architecture, interior design"</f>
        <v>architecture, interior design</v>
      </c>
      <c r="D4641" s="3" t="s">
        <v>9</v>
      </c>
      <c r="E4641" s="3" t="s">
        <v>13882</v>
      </c>
      <c r="F4641" s="2"/>
      <c r="G4641" s="3">
        <v>541310</v>
      </c>
      <c r="H4641" s="3" t="s">
        <v>446</v>
      </c>
    </row>
    <row r="4642" spans="1:8" ht="128.25" x14ac:dyDescent="0.25">
      <c r="A4642" s="3" t="s">
        <v>13883</v>
      </c>
      <c r="B4642" s="3"/>
      <c r="C4642" s="3" t="s">
        <v>13884</v>
      </c>
      <c r="D4642" s="3" t="s">
        <v>13885</v>
      </c>
      <c r="E4642" s="3" t="s">
        <v>13886</v>
      </c>
      <c r="F4642" s="3" t="str">
        <f>"765-497-3090"</f>
        <v>765-497-3090</v>
      </c>
      <c r="G4642" s="3">
        <v>541512</v>
      </c>
      <c r="H4642" s="3" t="s">
        <v>19</v>
      </c>
    </row>
    <row r="4643" spans="1:8" ht="128.25" x14ac:dyDescent="0.25">
      <c r="A4643" s="3" t="s">
        <v>13887</v>
      </c>
      <c r="B4643" s="3"/>
      <c r="C4643" s="3" t="s">
        <v>13888</v>
      </c>
      <c r="D4643" s="3" t="s">
        <v>13889</v>
      </c>
      <c r="E4643" s="3" t="s">
        <v>13890</v>
      </c>
      <c r="F4643" s="3" t="str">
        <f>"(317)815-3700"</f>
        <v>(317)815-3700</v>
      </c>
      <c r="G4643" s="3">
        <v>611420</v>
      </c>
      <c r="H4643" s="3" t="s">
        <v>39</v>
      </c>
    </row>
    <row r="4644" spans="1:8" ht="179.25" x14ac:dyDescent="0.25">
      <c r="A4644" s="3" t="s">
        <v>13891</v>
      </c>
      <c r="B4644" s="3"/>
      <c r="C4644" s="3" t="s">
        <v>13892</v>
      </c>
      <c r="D4644" s="3" t="s">
        <v>13893</v>
      </c>
      <c r="E4644" s="3" t="s">
        <v>13894</v>
      </c>
      <c r="F4644" s="3" t="str">
        <f>"574-289-3361"</f>
        <v>574-289-3361</v>
      </c>
      <c r="G4644" s="3">
        <v>541611</v>
      </c>
      <c r="H4644" s="3" t="s">
        <v>278</v>
      </c>
    </row>
    <row r="4645" spans="1:8" ht="115.5" x14ac:dyDescent="0.25">
      <c r="A4645" s="3" t="s">
        <v>13895</v>
      </c>
      <c r="B4645" s="3"/>
      <c r="C4645" s="3" t="s">
        <v>13896</v>
      </c>
      <c r="D4645" s="3" t="s">
        <v>13897</v>
      </c>
      <c r="E4645" s="3" t="s">
        <v>13898</v>
      </c>
      <c r="F4645" s="3" t="str">
        <f>"606-549-9200"</f>
        <v>606-549-9200</v>
      </c>
      <c r="G4645" s="3">
        <v>518210</v>
      </c>
      <c r="H4645" s="3" t="s">
        <v>3133</v>
      </c>
    </row>
    <row r="4646" spans="1:8" ht="166.5" x14ac:dyDescent="0.25">
      <c r="A4646" s="3" t="s">
        <v>13899</v>
      </c>
      <c r="B4646" s="3"/>
      <c r="C4646" s="3" t="s">
        <v>13900</v>
      </c>
      <c r="D4646" s="3" t="s">
        <v>13901</v>
      </c>
      <c r="E4646" s="3" t="s">
        <v>13902</v>
      </c>
      <c r="F4646" s="3" t="str">
        <f>"812.421.0045"</f>
        <v>812.421.0045</v>
      </c>
      <c r="G4646" s="3">
        <v>541511</v>
      </c>
      <c r="H4646" s="3" t="s">
        <v>122</v>
      </c>
    </row>
    <row r="4647" spans="1:8" ht="64.5" x14ac:dyDescent="0.25">
      <c r="A4647" s="3" t="s">
        <v>13903</v>
      </c>
      <c r="B4647" s="3"/>
      <c r="C4647" s="3" t="str">
        <f>"Providing IT Business Solutions by recruiting and providing Indiana resident IT Professionals for all positions first. Project Management, Asset Management, Staffing and various IT solutions."</f>
        <v>Providing IT Business Solutions by recruiting and providing Indiana resident IT Professionals for all positions first. Project Management, Asset Management, Staffing and various IT solutions.</v>
      </c>
      <c r="D4647" s="3" t="s">
        <v>13904</v>
      </c>
      <c r="E4647" s="3" t="s">
        <v>13905</v>
      </c>
      <c r="F4647" s="3" t="str">
        <f>"866-611-3768"</f>
        <v>866-611-3768</v>
      </c>
      <c r="G4647" s="3">
        <v>5416</v>
      </c>
      <c r="H4647" s="3" t="s">
        <v>194</v>
      </c>
    </row>
    <row r="4648" spans="1:8" ht="153.75" x14ac:dyDescent="0.25">
      <c r="A4648" s="3" t="s">
        <v>13903</v>
      </c>
      <c r="B4648" s="3"/>
      <c r="C4648" s="3" t="s">
        <v>13906</v>
      </c>
      <c r="D4648" s="3" t="s">
        <v>13907</v>
      </c>
      <c r="E4648" s="3" t="s">
        <v>13908</v>
      </c>
      <c r="F4648" s="3" t="str">
        <f>"765-374-3832"</f>
        <v>765-374-3832</v>
      </c>
      <c r="G4648" s="3">
        <v>5415</v>
      </c>
      <c r="H4648" s="3" t="s">
        <v>188</v>
      </c>
    </row>
    <row r="4649" spans="1:8" ht="90" x14ac:dyDescent="0.25">
      <c r="A4649" s="3" t="s">
        <v>13909</v>
      </c>
      <c r="B4649" s="3"/>
      <c r="C4649" s="3" t="s">
        <v>13910</v>
      </c>
      <c r="D4649" s="3" t="s">
        <v>13911</v>
      </c>
      <c r="E4649" s="3" t="s">
        <v>13912</v>
      </c>
      <c r="F4649" s="3" t="str">
        <f>"2604240476"</f>
        <v>2604240476</v>
      </c>
      <c r="G4649" s="3">
        <v>442110</v>
      </c>
      <c r="H4649" s="3" t="s">
        <v>117</v>
      </c>
    </row>
    <row r="4650" spans="1:8" ht="102.75" x14ac:dyDescent="0.25">
      <c r="A4650" s="3" t="s">
        <v>13913</v>
      </c>
      <c r="B4650" s="3"/>
      <c r="C4650" s="3" t="s">
        <v>13914</v>
      </c>
      <c r="D4650" s="3" t="s">
        <v>13915</v>
      </c>
      <c r="E4650" s="3" t="s">
        <v>13916</v>
      </c>
      <c r="F4650" s="3" t="str">
        <f>"317-810-3300"</f>
        <v>317-810-3300</v>
      </c>
      <c r="G4650" s="3">
        <v>561621</v>
      </c>
      <c r="H4650" s="3" t="s">
        <v>827</v>
      </c>
    </row>
    <row r="4651" spans="1:8" ht="115.5" x14ac:dyDescent="0.25">
      <c r="A4651" s="3" t="s">
        <v>13917</v>
      </c>
      <c r="B4651" s="3"/>
      <c r="C4651" s="3" t="s">
        <v>13918</v>
      </c>
      <c r="D4651" s="3" t="s">
        <v>13919</v>
      </c>
      <c r="E4651" s="3" t="s">
        <v>13920</v>
      </c>
      <c r="F4651" s="3" t="str">
        <f>"317-875-7014"</f>
        <v>317-875-7014</v>
      </c>
      <c r="G4651" s="3">
        <v>23331</v>
      </c>
      <c r="H4651" s="3" t="s">
        <v>5828</v>
      </c>
    </row>
    <row r="4652" spans="1:8" ht="39" x14ac:dyDescent="0.25">
      <c r="A4652" s="3" t="s">
        <v>13921</v>
      </c>
      <c r="B4652" s="3"/>
      <c r="C4652" s="3" t="str">
        <f>"Soil Sales Topsoil, Pulverized, Fill-Dirt Providing soil to Government Projects, Contractors, and Landscapers"</f>
        <v>Soil Sales Topsoil, Pulverized, Fill-Dirt Providing soil to Government Projects, Contractors, and Landscapers</v>
      </c>
      <c r="D4652" s="3" t="s">
        <v>9</v>
      </c>
      <c r="E4652" s="3" t="s">
        <v>46</v>
      </c>
      <c r="F4652" s="3" t="str">
        <f>"(812)824-2980"</f>
        <v>(812)824-2980</v>
      </c>
      <c r="G4652" s="3">
        <v>238910</v>
      </c>
      <c r="H4652" s="3" t="s">
        <v>886</v>
      </c>
    </row>
    <row r="4653" spans="1:8" ht="51.75" x14ac:dyDescent="0.25">
      <c r="A4653" s="3" t="s">
        <v>13922</v>
      </c>
      <c r="B4653" s="3"/>
      <c r="C4653" s="3" t="str">
        <f>"We sell remaunfactured inkjet and toner cartridges. We buy empty inkjet cartridges for recycle. We sell OEM inkjet and toner cartridges."</f>
        <v>We sell remaunfactured inkjet and toner cartridges. We buy empty inkjet cartridges for recycle. We sell OEM inkjet and toner cartridges.</v>
      </c>
      <c r="D4653" s="3" t="s">
        <v>13923</v>
      </c>
      <c r="E4653" s="3" t="s">
        <v>13924</v>
      </c>
      <c r="F4653" s="3" t="str">
        <f>"317-841-8302"</f>
        <v>317-841-8302</v>
      </c>
      <c r="G4653" s="3">
        <v>325910</v>
      </c>
      <c r="H4653" s="3" t="s">
        <v>13925</v>
      </c>
    </row>
    <row r="4654" spans="1:8" ht="102.75" x14ac:dyDescent="0.25">
      <c r="A4654" s="3" t="s">
        <v>13926</v>
      </c>
      <c r="B4654" s="3"/>
      <c r="C4654" s="3" t="s">
        <v>13927</v>
      </c>
      <c r="D4654" s="3" t="s">
        <v>9</v>
      </c>
      <c r="E4654" s="3" t="s">
        <v>13928</v>
      </c>
      <c r="F4654" s="3" t="str">
        <f>"812-679-8903"</f>
        <v>812-679-8903</v>
      </c>
      <c r="G4654" s="3">
        <v>541850</v>
      </c>
      <c r="H4654" s="3" t="s">
        <v>9509</v>
      </c>
    </row>
    <row r="4655" spans="1:8" ht="115.5" x14ac:dyDescent="0.25">
      <c r="A4655" s="3" t="s">
        <v>13929</v>
      </c>
      <c r="B4655" s="3"/>
      <c r="C4655" s="3" t="s">
        <v>13930</v>
      </c>
      <c r="D4655" s="3" t="s">
        <v>13931</v>
      </c>
      <c r="E4655" s="3" t="s">
        <v>13932</v>
      </c>
      <c r="F4655" s="3" t="str">
        <f>"(317) 374-9389"</f>
        <v>(317) 374-9389</v>
      </c>
      <c r="G4655" s="3">
        <v>541410</v>
      </c>
      <c r="H4655" s="3" t="s">
        <v>687</v>
      </c>
    </row>
    <row r="4656" spans="1:8" ht="51.75" x14ac:dyDescent="0.25">
      <c r="A4656" s="3" t="s">
        <v>13933</v>
      </c>
      <c r="B4656" s="3"/>
      <c r="C4656" s="3" t="str">
        <f>"InnerCity Transit is an urban transportation company that offers corporate and personal travel solutions as well as fixed route operations."</f>
        <v>InnerCity Transit is an urban transportation company that offers corporate and personal travel solutions as well as fixed route operations.</v>
      </c>
      <c r="D4656" s="3" t="s">
        <v>13934</v>
      </c>
      <c r="E4656" s="3" t="s">
        <v>13935</v>
      </c>
      <c r="F4656" s="3" t="str">
        <f>"3177520993"</f>
        <v>3177520993</v>
      </c>
      <c r="G4656" s="3">
        <v>485111</v>
      </c>
      <c r="H4656" s="3" t="s">
        <v>13936</v>
      </c>
    </row>
    <row r="4657" spans="1:8" ht="306.75" x14ac:dyDescent="0.25">
      <c r="A4657" s="3" t="s">
        <v>13937</v>
      </c>
      <c r="B4657" s="3"/>
      <c r="C4657" s="3" t="s">
        <v>13938</v>
      </c>
      <c r="D4657" s="3" t="s">
        <v>6674</v>
      </c>
      <c r="E4657" s="3" t="s">
        <v>13939</v>
      </c>
      <c r="F4657" s="3" t="str">
        <f>"812-422-3000"</f>
        <v>812-422-3000</v>
      </c>
      <c r="G4657" s="3">
        <v>541410</v>
      </c>
      <c r="H4657" s="3" t="s">
        <v>687</v>
      </c>
    </row>
    <row r="4658" spans="1:8" ht="141" x14ac:dyDescent="0.25">
      <c r="A4658" s="3" t="s">
        <v>13940</v>
      </c>
      <c r="B4658" s="3"/>
      <c r="C4658" s="3" t="s">
        <v>13941</v>
      </c>
      <c r="D4658" s="3" t="s">
        <v>13942</v>
      </c>
      <c r="E4658" s="3" t="s">
        <v>13943</v>
      </c>
      <c r="F4658" s="3" t="str">
        <f>"317 724 3824"</f>
        <v>317 724 3824</v>
      </c>
      <c r="G4658" s="3">
        <v>541</v>
      </c>
      <c r="H4658" s="3" t="s">
        <v>179</v>
      </c>
    </row>
    <row r="4659" spans="1:8" x14ac:dyDescent="0.25">
      <c r="A4659" s="3" t="s">
        <v>13944</v>
      </c>
      <c r="B4659" s="3"/>
      <c r="C4659" s="3" t="str">
        <f>"We are a dance studio for all ages."</f>
        <v>We are a dance studio for all ages.</v>
      </c>
      <c r="D4659" s="3" t="s">
        <v>13945</v>
      </c>
      <c r="E4659" s="3" t="s">
        <v>46</v>
      </c>
      <c r="F4659" s="2"/>
      <c r="G4659" s="3">
        <v>611</v>
      </c>
      <c r="H4659" s="3" t="s">
        <v>140</v>
      </c>
    </row>
    <row r="4660" spans="1:8" ht="51.75" x14ac:dyDescent="0.25">
      <c r="A4660" s="3" t="s">
        <v>13946</v>
      </c>
      <c r="B4660" s="3"/>
      <c r="C4660" s="3" t="str">
        <f>"We Sell and Fully Service Flat Plate Lead Acid Batteries, along with 100% Ferro-Resonant chargers www.innovativebatterypower.com"</f>
        <v>We Sell and Fully Service Flat Plate Lead Acid Batteries, along with 100% Ferro-Resonant chargers www.innovativebatterypower.com</v>
      </c>
      <c r="D4660" s="3" t="s">
        <v>13947</v>
      </c>
      <c r="E4660" s="3" t="s">
        <v>13948</v>
      </c>
      <c r="F4660" s="3" t="str">
        <f>"260-267-6582"</f>
        <v>260-267-6582</v>
      </c>
      <c r="G4660" s="3">
        <v>33591</v>
      </c>
      <c r="H4660" s="3" t="s">
        <v>13949</v>
      </c>
    </row>
    <row r="4661" spans="1:8" ht="294" x14ac:dyDescent="0.25">
      <c r="A4661" s="3" t="s">
        <v>13950</v>
      </c>
      <c r="B4661" s="3"/>
      <c r="C4661" s="3" t="s">
        <v>13951</v>
      </c>
      <c r="D4661" s="3" t="s">
        <v>13952</v>
      </c>
      <c r="E4661" s="3" t="s">
        <v>13953</v>
      </c>
      <c r="F4661" s="3" t="str">
        <f>"765-451-9108"</f>
        <v>765-451-9108</v>
      </c>
      <c r="G4661" s="3">
        <v>4246</v>
      </c>
      <c r="H4661" s="3" t="s">
        <v>3234</v>
      </c>
    </row>
    <row r="4662" spans="1:8" ht="90" x14ac:dyDescent="0.25">
      <c r="A4662" s="3" t="s">
        <v>13954</v>
      </c>
      <c r="B4662" s="3"/>
      <c r="C4662" s="3" t="str">
        <f>"We are a commerical building control contractor specializing in the design, installation, commissioning and service of HVAC control systems. We work with pneumatic, electric and direct digital controls as well as energy management systems."</f>
        <v>We are a commerical building control contractor specializing in the design, installation, commissioning and service of HVAC control systems. We work with pneumatic, electric and direct digital controls as well as energy management systems.</v>
      </c>
      <c r="D4662" s="3" t="s">
        <v>13955</v>
      </c>
      <c r="E4662" s="3" t="s">
        <v>13956</v>
      </c>
      <c r="F4662" s="3" t="str">
        <f>"260-484-2604"</f>
        <v>260-484-2604</v>
      </c>
      <c r="G4662" s="3">
        <v>238220</v>
      </c>
      <c r="H4662" s="3" t="s">
        <v>348</v>
      </c>
    </row>
    <row r="4663" spans="1:8" ht="319.5" x14ac:dyDescent="0.25">
      <c r="A4663" s="3" t="s">
        <v>13957</v>
      </c>
      <c r="B4663" s="3"/>
      <c r="C4663" s="3" t="s">
        <v>13958</v>
      </c>
      <c r="D4663" s="3" t="s">
        <v>13959</v>
      </c>
      <c r="E4663" s="3" t="s">
        <v>13960</v>
      </c>
      <c r="F4663" s="3" t="str">
        <f>"317-205-0008"</f>
        <v>317-205-0008</v>
      </c>
      <c r="G4663" s="3">
        <v>323110</v>
      </c>
      <c r="H4663" s="3" t="s">
        <v>1900</v>
      </c>
    </row>
    <row r="4664" spans="1:8" ht="26.25" x14ac:dyDescent="0.25">
      <c r="A4664" s="3" t="s">
        <v>13961</v>
      </c>
      <c r="B4664" s="3"/>
      <c r="C4664" s="3" t="str">
        <f>"Mental Health service provider for medicaid clients"</f>
        <v>Mental Health service provider for medicaid clients</v>
      </c>
      <c r="D4664" s="3" t="s">
        <v>9</v>
      </c>
      <c r="E4664" s="3" t="s">
        <v>13962</v>
      </c>
      <c r="F4664" s="3" t="str">
        <f>"317-890-5722"</f>
        <v>317-890-5722</v>
      </c>
      <c r="G4664" s="3">
        <v>52512</v>
      </c>
      <c r="H4664" s="3" t="s">
        <v>2106</v>
      </c>
    </row>
    <row r="4665" spans="1:8" ht="64.5" x14ac:dyDescent="0.25">
      <c r="A4665" s="3" t="s">
        <v>13963</v>
      </c>
      <c r="B4665" s="3"/>
      <c r="C4665" s="3" t="str">
        <f>"Innovative Mapping Solutions, LLC is a full-service consulting firm delivering customized geospatial technology solutions to government, energy utilities, and the private sector."</f>
        <v>Innovative Mapping Solutions, LLC is a full-service consulting firm delivering customized geospatial technology solutions to government, energy utilities, and the private sector.</v>
      </c>
      <c r="D4665" s="3" t="s">
        <v>13964</v>
      </c>
      <c r="E4665" s="3" t="s">
        <v>13965</v>
      </c>
      <c r="F4665" s="3" t="str">
        <f>"(317) 631-0208"</f>
        <v>(317) 631-0208</v>
      </c>
      <c r="G4665" s="3">
        <v>541519</v>
      </c>
      <c r="H4665" s="3" t="s">
        <v>898</v>
      </c>
    </row>
    <row r="4666" spans="1:8" ht="51.75" x14ac:dyDescent="0.25">
      <c r="A4666" s="3" t="s">
        <v>13966</v>
      </c>
      <c r="B4666" s="3"/>
      <c r="C4666" s="3" t="str">
        <f>"We supply autoclaved aerated concrete blocks and panels, and related coating and accessory products, for interior and exterior walls and floors and roofs."</f>
        <v>We supply autoclaved aerated concrete blocks and panels, and related coating and accessory products, for interior and exterior walls and floors and roofs.</v>
      </c>
      <c r="D4666" s="3" t="s">
        <v>13967</v>
      </c>
      <c r="E4666" s="3" t="s">
        <v>13968</v>
      </c>
      <c r="F4666" s="3" t="str">
        <f>"812-868-0100"</f>
        <v>812-868-0100</v>
      </c>
      <c r="G4666" s="3">
        <v>444190</v>
      </c>
      <c r="H4666" s="3" t="s">
        <v>1188</v>
      </c>
    </row>
    <row r="4667" spans="1:8" ht="51.75" x14ac:dyDescent="0.25">
      <c r="A4667" s="3" t="s">
        <v>13969</v>
      </c>
      <c r="B4667" s="3"/>
      <c r="C4667" s="3" t="str">
        <f>"An experienced consulting and educational firm which has a primary focus of working with educatrional organizations related to public and state schools."</f>
        <v>An experienced consulting and educational firm which has a primary focus of working with educatrional organizations related to public and state schools.</v>
      </c>
      <c r="D4667" s="3" t="s">
        <v>9</v>
      </c>
      <c r="E4667" s="3" t="s">
        <v>13970</v>
      </c>
      <c r="F4667" s="3" t="str">
        <f>"816-801-8450"</f>
        <v>816-801-8450</v>
      </c>
      <c r="G4667" s="3">
        <v>61</v>
      </c>
      <c r="H4667" s="3" t="s">
        <v>140</v>
      </c>
    </row>
    <row r="4668" spans="1:8" ht="39" x14ac:dyDescent="0.25">
      <c r="A4668" s="3" t="s">
        <v>13971</v>
      </c>
      <c r="B4668" s="3"/>
      <c r="C4668" s="3" t="str">
        <f>"We are a corrugated packaging manufacturer with our facility in Huntington, IN"</f>
        <v>We are a corrugated packaging manufacturer with our facility in Huntington, IN</v>
      </c>
      <c r="D4668" s="3" t="s">
        <v>13972</v>
      </c>
      <c r="E4668" s="3" t="s">
        <v>13973</v>
      </c>
      <c r="F4668" s="3" t="str">
        <f>"2603566577"</f>
        <v>2603566577</v>
      </c>
      <c r="G4668" s="3">
        <v>322211</v>
      </c>
      <c r="H4668" s="3" t="s">
        <v>2605</v>
      </c>
    </row>
    <row r="4669" spans="1:8" ht="64.5" x14ac:dyDescent="0.25">
      <c r="A4669" s="3" t="s">
        <v>13974</v>
      </c>
      <c r="B4669" s="3"/>
      <c r="C4669" s="3" t="str">
        <f>"Commercial &amp; Industrial Roofing company that specializes in the Duro-Last Roofing System. We are in the top 3 of companies in Indiana with the highest quality and workmanship with Duro-Last Roofing, Inc."</f>
        <v>Commercial &amp; Industrial Roofing company that specializes in the Duro-Last Roofing System. We are in the top 3 of companies in Indiana with the highest quality and workmanship with Duro-Last Roofing, Inc.</v>
      </c>
      <c r="D4669" s="3" t="s">
        <v>9</v>
      </c>
      <c r="E4669" s="3" t="s">
        <v>13975</v>
      </c>
      <c r="F4669" s="3" t="str">
        <f>"812-932-2332"</f>
        <v>812-932-2332</v>
      </c>
      <c r="G4669" s="3">
        <v>23561</v>
      </c>
      <c r="H4669" s="3" t="s">
        <v>365</v>
      </c>
    </row>
    <row r="4670" spans="1:8" x14ac:dyDescent="0.25">
      <c r="A4670" s="3" t="s">
        <v>13976</v>
      </c>
      <c r="B4670" s="3"/>
      <c r="C4670" s="3" t="str">
        <f>" "</f>
        <v xml:space="preserve"> </v>
      </c>
      <c r="D4670" s="3" t="s">
        <v>9</v>
      </c>
      <c r="E4670" s="3" t="s">
        <v>13977</v>
      </c>
      <c r="F4670" s="2"/>
      <c r="G4670" s="3">
        <v>237310</v>
      </c>
      <c r="H4670" s="3" t="s">
        <v>768</v>
      </c>
    </row>
    <row r="4671" spans="1:8" ht="26.25" x14ac:dyDescent="0.25">
      <c r="A4671" s="3" t="s">
        <v>13978</v>
      </c>
      <c r="B4671" s="3"/>
      <c r="C4671" s="3" t="str">
        <f>"Information and multi-media publishing company"</f>
        <v>Information and multi-media publishing company</v>
      </c>
      <c r="D4671" s="3" t="s">
        <v>13979</v>
      </c>
      <c r="E4671" s="3" t="s">
        <v>46</v>
      </c>
      <c r="F4671" s="3" t="str">
        <f>"317-579-9922"</f>
        <v>317-579-9922</v>
      </c>
      <c r="G4671" s="3">
        <v>511</v>
      </c>
      <c r="H4671" s="3" t="s">
        <v>13595</v>
      </c>
    </row>
    <row r="4672" spans="1:8" ht="64.5" x14ac:dyDescent="0.25">
      <c r="A4672" s="3" t="s">
        <v>13980</v>
      </c>
      <c r="B4672" s="3"/>
      <c r="C4672" s="3" t="str">
        <f>"Innovo Partners provides management consulting services to help companies and organizations identify market opportunities, develop new ventures and commercialize intellectual property."</f>
        <v>Innovo Partners provides management consulting services to help companies and organizations identify market opportunities, develop new ventures and commercialize intellectual property.</v>
      </c>
      <c r="D4672" s="3" t="s">
        <v>13981</v>
      </c>
      <c r="E4672" s="3" t="s">
        <v>13982</v>
      </c>
      <c r="F4672" s="2"/>
      <c r="G4672" s="3">
        <v>54161</v>
      </c>
      <c r="H4672" s="3" t="s">
        <v>1221</v>
      </c>
    </row>
    <row r="4673" spans="1:8" ht="51.75" x14ac:dyDescent="0.25">
      <c r="A4673" s="3" t="s">
        <v>13983</v>
      </c>
      <c r="B4673" s="3"/>
      <c r="C4673" s="3" t="str">
        <f>"We provide computer systems analysis, design, develop, implementation and testing services to public and private organizations."</f>
        <v>We provide computer systems analysis, design, develop, implementation and testing services to public and private organizations.</v>
      </c>
      <c r="D4673" s="3" t="s">
        <v>13984</v>
      </c>
      <c r="E4673" s="3" t="s">
        <v>13985</v>
      </c>
      <c r="F4673" s="3" t="str">
        <f>"317-721-4669"</f>
        <v>317-721-4669</v>
      </c>
      <c r="G4673" s="3">
        <v>541512</v>
      </c>
      <c r="H4673" s="3" t="s">
        <v>19</v>
      </c>
    </row>
    <row r="4674" spans="1:8" ht="39" x14ac:dyDescent="0.25">
      <c r="A4674" s="3" t="s">
        <v>13986</v>
      </c>
      <c r="B4674" s="3"/>
      <c r="C4674" s="3" t="str">
        <f>"Data Recovery. Computer Forensics Services (Evidence Recovery and Expert Witness Testamony)"</f>
        <v>Data Recovery. Computer Forensics Services (Evidence Recovery and Expert Witness Testamony)</v>
      </c>
      <c r="D4674" s="3" t="s">
        <v>13987</v>
      </c>
      <c r="E4674" s="3" t="s">
        <v>13988</v>
      </c>
      <c r="F4674" s="3" t="str">
        <f>"317.403.0294"</f>
        <v>317.403.0294</v>
      </c>
      <c r="G4674" s="3">
        <v>811212</v>
      </c>
      <c r="H4674" s="3" t="s">
        <v>1632</v>
      </c>
    </row>
    <row r="4675" spans="1:8" ht="102.75" x14ac:dyDescent="0.25">
      <c r="A4675" s="3" t="s">
        <v>13989</v>
      </c>
      <c r="B4675" s="3"/>
      <c r="C4675" s="3" t="s">
        <v>13990</v>
      </c>
      <c r="D4675" s="3" t="s">
        <v>13991</v>
      </c>
      <c r="E4675" s="3" t="s">
        <v>13992</v>
      </c>
      <c r="F4675" s="3" t="str">
        <f>"317-824-5757"</f>
        <v>317-824-5757</v>
      </c>
      <c r="G4675" s="3">
        <v>561910</v>
      </c>
      <c r="H4675" s="3" t="s">
        <v>7461</v>
      </c>
    </row>
    <row r="4676" spans="1:8" ht="179.25" x14ac:dyDescent="0.25">
      <c r="A4676" s="3" t="s">
        <v>13993</v>
      </c>
      <c r="B4676" s="3"/>
      <c r="C4676" s="3" t="s">
        <v>13994</v>
      </c>
      <c r="D4676" s="3" t="s">
        <v>13995</v>
      </c>
      <c r="E4676" s="3" t="s">
        <v>13996</v>
      </c>
      <c r="F4676" s="3" t="str">
        <f>"(574) 936-6267"</f>
        <v>(574) 936-6267</v>
      </c>
      <c r="G4676" s="3">
        <v>541612</v>
      </c>
      <c r="H4676" s="3" t="s">
        <v>1923</v>
      </c>
    </row>
    <row r="4677" spans="1:8" ht="90" x14ac:dyDescent="0.25">
      <c r="A4677" s="3" t="s">
        <v>13997</v>
      </c>
      <c r="B4677" s="3"/>
      <c r="C4677" s="3" t="str">
        <f>"Insight2 is a consumer insight company. We utilize qualitative research (primarily observational) to unearth unmet needs of target consumers. We then work with our clients to develop new products and services targeted toward satisfying those needs."</f>
        <v>Insight2 is a consumer insight company. We utilize qualitative research (primarily observational) to unearth unmet needs of target consumers. We then work with our clients to develop new products and services targeted toward satisfying those needs.</v>
      </c>
      <c r="D4677" s="3" t="s">
        <v>13998</v>
      </c>
      <c r="E4677" s="3" t="s">
        <v>13999</v>
      </c>
      <c r="F4677" s="3" t="str">
        <f>"317 814-8247"</f>
        <v>317 814-8247</v>
      </c>
      <c r="G4677" s="3">
        <v>541613</v>
      </c>
      <c r="H4677" s="3" t="s">
        <v>558</v>
      </c>
    </row>
    <row r="4678" spans="1:8" ht="51.75" x14ac:dyDescent="0.25">
      <c r="A4678" s="3" t="s">
        <v>14000</v>
      </c>
      <c r="B4678" s="3"/>
      <c r="C4678" s="3" t="str">
        <f>"Residental and behavioral supports for communty based services for the developmentally disabled; including but not limited to clinical consultation"</f>
        <v>Residental and behavioral supports for communty based services for the developmentally disabled; including but not limited to clinical consultation</v>
      </c>
      <c r="D4678" s="3" t="s">
        <v>14001</v>
      </c>
      <c r="E4678" s="3" t="s">
        <v>14002</v>
      </c>
      <c r="F4678" s="3" t="str">
        <f>"3173960683"</f>
        <v>3173960683</v>
      </c>
      <c r="G4678" s="3">
        <v>624120</v>
      </c>
      <c r="H4678" s="3" t="s">
        <v>22</v>
      </c>
    </row>
    <row r="4679" spans="1:8" ht="51.75" x14ac:dyDescent="0.25">
      <c r="A4679" s="3" t="s">
        <v>14003</v>
      </c>
      <c r="B4679" s="3"/>
      <c r="C4679" s="3" t="str">
        <f>"We provide living room, bedroom, dining room, and office furniture. Other products include lighting, mirrors, rugs, decorative arts, silk plants and accessories."</f>
        <v>We provide living room, bedroom, dining room, and office furniture. Other products include lighting, mirrors, rugs, decorative arts, silk plants and accessories.</v>
      </c>
      <c r="D4679" s="3" t="s">
        <v>14004</v>
      </c>
      <c r="E4679" s="3" t="s">
        <v>14005</v>
      </c>
      <c r="F4679" s="3" t="str">
        <f>"317-577-1200"</f>
        <v>317-577-1200</v>
      </c>
      <c r="G4679" s="3">
        <v>4421</v>
      </c>
      <c r="H4679" s="3" t="s">
        <v>117</v>
      </c>
    </row>
    <row r="4680" spans="1:8" ht="26.25" x14ac:dyDescent="0.25">
      <c r="A4680" s="3" t="s">
        <v>14006</v>
      </c>
      <c r="B4680" s="3"/>
      <c r="C4680" s="3" t="str">
        <f>" "</f>
        <v xml:space="preserve"> </v>
      </c>
      <c r="D4680" s="3" t="s">
        <v>14007</v>
      </c>
      <c r="E4680" s="3" t="s">
        <v>14008</v>
      </c>
      <c r="F4680" s="3" t="str">
        <f>"812-454-0990"</f>
        <v>812-454-0990</v>
      </c>
      <c r="G4680" s="3">
        <v>5416</v>
      </c>
      <c r="H4680" s="3" t="s">
        <v>194</v>
      </c>
    </row>
    <row r="4681" spans="1:8" ht="64.5" x14ac:dyDescent="0.25">
      <c r="A4681" s="3" t="s">
        <v>14009</v>
      </c>
      <c r="B4681" s="3"/>
      <c r="C4681" s="3" t="str">
        <f>"We are a metals service center, handling -- stainless, aluminum, carbon flat roll, carbon bars, tubing, pipe, expanded metal, and general line products -- delivered on our company trucks."</f>
        <v>We are a metals service center, handling -- stainless, aluminum, carbon flat roll, carbon bars, tubing, pipe, expanded metal, and general line products -- delivered on our company trucks.</v>
      </c>
      <c r="D4681" s="3" t="s">
        <v>14010</v>
      </c>
      <c r="E4681" s="3" t="s">
        <v>14011</v>
      </c>
      <c r="F4681" s="3" t="str">
        <f>"317-770-0556"</f>
        <v>317-770-0556</v>
      </c>
      <c r="G4681" s="3">
        <v>423510</v>
      </c>
      <c r="H4681" s="3" t="s">
        <v>10869</v>
      </c>
    </row>
    <row r="4682" spans="1:8" ht="90" x14ac:dyDescent="0.25">
      <c r="A4682" s="3" t="s">
        <v>14012</v>
      </c>
      <c r="B4682" s="3"/>
      <c r="C4682" s="3" t="s">
        <v>14013</v>
      </c>
      <c r="D4682" s="3" t="s">
        <v>14014</v>
      </c>
      <c r="E4682" s="3" t="s">
        <v>14015</v>
      </c>
      <c r="F4682" s="3" t="str">
        <f>"317-523-8094"</f>
        <v>317-523-8094</v>
      </c>
      <c r="G4682" s="3">
        <v>61</v>
      </c>
      <c r="H4682" s="3" t="s">
        <v>140</v>
      </c>
    </row>
    <row r="4683" spans="1:8" ht="77.25" x14ac:dyDescent="0.25">
      <c r="A4683" s="3" t="s">
        <v>14016</v>
      </c>
      <c r="B4683" s="3"/>
      <c r="C4683" s="3" t="str">
        <f>"Noise control products for off-highway vehicles and general applied equipment included silencers, engine compartment treatments, interior headlinings and side wall moldings; sound absorbers, barriers and dampers; factory noise treatments.."</f>
        <v>Noise control products for off-highway vehicles and general applied equipment included silencers, engine compartment treatments, interior headlinings and side wall moldings; sound absorbers, barriers and dampers; factory noise treatments..</v>
      </c>
      <c r="D4683" s="3" t="s">
        <v>9</v>
      </c>
      <c r="E4683" s="3" t="s">
        <v>46</v>
      </c>
      <c r="F4683" s="3" t="str">
        <f>"260-420-1480"</f>
        <v>260-420-1480</v>
      </c>
      <c r="G4683" s="3">
        <v>327993</v>
      </c>
      <c r="H4683" s="3" t="s">
        <v>14017</v>
      </c>
    </row>
    <row r="4684" spans="1:8" ht="26.25" x14ac:dyDescent="0.25">
      <c r="A4684" s="3" t="s">
        <v>14018</v>
      </c>
      <c r="B4684" s="3"/>
      <c r="C4684" s="3" t="str">
        <f>"Auto, home, life, health, and commercia/business insurance"</f>
        <v>Auto, home, life, health, and commercia/business insurance</v>
      </c>
      <c r="D4684" s="3" t="s">
        <v>14019</v>
      </c>
      <c r="E4684" s="3" t="s">
        <v>14020</v>
      </c>
      <c r="F4684" s="3" t="str">
        <f>"765-282-8108"</f>
        <v>765-282-8108</v>
      </c>
      <c r="G4684" s="3">
        <v>524126</v>
      </c>
      <c r="H4684" s="3" t="s">
        <v>14021</v>
      </c>
    </row>
    <row r="4685" spans="1:8" ht="90" x14ac:dyDescent="0.25">
      <c r="A4685" s="3" t="s">
        <v>14022</v>
      </c>
      <c r="B4685" s="3"/>
      <c r="C4685" s="3" t="s">
        <v>14023</v>
      </c>
      <c r="D4685" s="3" t="s">
        <v>14024</v>
      </c>
      <c r="E4685" s="3" t="s">
        <v>14025</v>
      </c>
      <c r="F4685" s="3" t="str">
        <f>"877-858-4100"</f>
        <v>877-858-4100</v>
      </c>
      <c r="G4685" s="3">
        <v>524126</v>
      </c>
      <c r="H4685" s="3" t="s">
        <v>14021</v>
      </c>
    </row>
    <row r="4686" spans="1:8" ht="51.75" x14ac:dyDescent="0.25">
      <c r="A4686" s="3" t="s">
        <v>14026</v>
      </c>
      <c r="B4686" s="3"/>
      <c r="C4686" s="3" t="str">
        <f>"InteCare is a 501 (c) non-profit provider established behavioral health administration services corporation based in Indianapolis, Indiana."</f>
        <v>InteCare is a 501 (c) non-profit provider established behavioral health administration services corporation based in Indianapolis, Indiana.</v>
      </c>
      <c r="D4686" s="3" t="s">
        <v>14027</v>
      </c>
      <c r="E4686" s="3" t="s">
        <v>14028</v>
      </c>
      <c r="F4686" s="3" t="str">
        <f>"317-237-5770"</f>
        <v>317-237-5770</v>
      </c>
      <c r="G4686" s="3">
        <v>62</v>
      </c>
      <c r="H4686" s="3" t="s">
        <v>1168</v>
      </c>
    </row>
    <row r="4687" spans="1:8" ht="64.5" x14ac:dyDescent="0.25">
      <c r="A4687" s="3" t="s">
        <v>14029</v>
      </c>
      <c r="B4687" s="3"/>
      <c r="C4687" s="3" t="str">
        <f>"Injection and Die Cast Mold building, fixture design and building, CNC Production Runs, Sinker EDM capabilities, specialty tooling, gage building, one of a kind piece part production."</f>
        <v>Injection and Die Cast Mold building, fixture design and building, CNC Production Runs, Sinker EDM capabilities, specialty tooling, gage building, one of a kind piece part production.</v>
      </c>
      <c r="D4687" s="3" t="s">
        <v>14030</v>
      </c>
      <c r="E4687" s="3" t="s">
        <v>14031</v>
      </c>
      <c r="F4687" s="3" t="str">
        <f>"812-524-2243"</f>
        <v>812-524-2243</v>
      </c>
      <c r="G4687" s="3">
        <v>333514</v>
      </c>
      <c r="H4687" s="3" t="s">
        <v>2115</v>
      </c>
    </row>
    <row r="4688" spans="1:8" ht="39" x14ac:dyDescent="0.25">
      <c r="A4688" s="3" t="s">
        <v>14032</v>
      </c>
      <c r="B4688" s="3"/>
      <c r="C4688" s="3" t="str">
        <f>"Audio and video transcription service including medical and legal. In business since 1991."</f>
        <v>Audio and video transcription service including medical and legal. In business since 1991.</v>
      </c>
      <c r="D4688" s="3" t="s">
        <v>9</v>
      </c>
      <c r="E4688" s="3" t="s">
        <v>14033</v>
      </c>
      <c r="F4688" s="3" t="str">
        <f>"317-634-1545"</f>
        <v>317-634-1545</v>
      </c>
      <c r="G4688" s="3">
        <v>561410</v>
      </c>
      <c r="H4688" s="3" t="s">
        <v>4164</v>
      </c>
    </row>
    <row r="4689" spans="1:8" ht="26.25" x14ac:dyDescent="0.25">
      <c r="A4689" s="3" t="s">
        <v>14034</v>
      </c>
      <c r="B4689" s="3"/>
      <c r="C4689" s="3" t="str">
        <f>"Building Controls consulting and service.(Fire, security and HVAC)"</f>
        <v>Building Controls consulting and service.(Fire, security and HVAC)</v>
      </c>
      <c r="D4689" s="3" t="s">
        <v>9</v>
      </c>
      <c r="E4689" s="3" t="s">
        <v>46</v>
      </c>
      <c r="F4689" s="2"/>
      <c r="G4689" s="3">
        <v>238290</v>
      </c>
      <c r="H4689" s="3" t="s">
        <v>237</v>
      </c>
    </row>
    <row r="4690" spans="1:8" ht="26.25" x14ac:dyDescent="0.25">
      <c r="A4690" s="3" t="s">
        <v>14035</v>
      </c>
      <c r="B4690" s="3"/>
      <c r="C4690" s="3" t="str">
        <f>" "</f>
        <v xml:space="preserve"> </v>
      </c>
      <c r="D4690" s="3" t="s">
        <v>9</v>
      </c>
      <c r="E4690" s="3" t="s">
        <v>46</v>
      </c>
      <c r="F4690" s="3" t="str">
        <f>"317-290-4967"</f>
        <v>317-290-4967</v>
      </c>
      <c r="G4690" s="3">
        <v>236115</v>
      </c>
      <c r="H4690" s="3" t="s">
        <v>1822</v>
      </c>
    </row>
    <row r="4691" spans="1:8" ht="90" x14ac:dyDescent="0.25">
      <c r="A4691" s="3" t="s">
        <v>14036</v>
      </c>
      <c r="B4691" s="3"/>
      <c r="C4691" s="3" t="str">
        <f>"IBMS provides National Commercial Janitorial Services throughout the U.S. and Canada. IBMS also owns a product manufacturing company and manufacture sustainable water soluble packaged cleaning chemicals. We are a Minority Native American company."</f>
        <v>IBMS provides National Commercial Janitorial Services throughout the U.S. and Canada. IBMS also owns a product manufacturing company and manufacture sustainable water soluble packaged cleaning chemicals. We are a Minority Native American company.</v>
      </c>
      <c r="D4691" s="3" t="s">
        <v>14037</v>
      </c>
      <c r="E4691" s="3" t="s">
        <v>14038</v>
      </c>
      <c r="F4691" s="3" t="str">
        <f>"727-345-4567"</f>
        <v>727-345-4567</v>
      </c>
      <c r="G4691" s="3">
        <v>561720</v>
      </c>
      <c r="H4691" s="3" t="s">
        <v>222</v>
      </c>
    </row>
    <row r="4692" spans="1:8" ht="26.25" x14ac:dyDescent="0.25">
      <c r="A4692" s="3" t="s">
        <v>14039</v>
      </c>
      <c r="B4692" s="3"/>
      <c r="C4692" s="3" t="str">
        <f>"Distributor for architectural and/or structural precast and masonry CMU."</f>
        <v>Distributor for architectural and/or structural precast and masonry CMU.</v>
      </c>
      <c r="D4692" s="3" t="s">
        <v>9</v>
      </c>
      <c r="E4692" s="3" t="s">
        <v>14040</v>
      </c>
      <c r="F4692" s="3" t="str">
        <f>"260-484-1322"</f>
        <v>260-484-1322</v>
      </c>
      <c r="G4692" s="3">
        <v>327331</v>
      </c>
      <c r="H4692" s="3" t="s">
        <v>5357</v>
      </c>
    </row>
    <row r="4693" spans="1:8" ht="26.25" x14ac:dyDescent="0.25">
      <c r="A4693" s="3" t="s">
        <v>14041</v>
      </c>
      <c r="B4693" s="3"/>
      <c r="C4693" s="3" t="str">
        <f>"IES is a full service design engineering firm."</f>
        <v>IES is a full service design engineering firm.</v>
      </c>
      <c r="D4693" s="3" t="s">
        <v>9</v>
      </c>
      <c r="E4693" s="3" t="s">
        <v>14042</v>
      </c>
      <c r="F4693" s="3" t="str">
        <f>"(317) 371-5565"</f>
        <v>(317) 371-5565</v>
      </c>
      <c r="G4693" s="3">
        <v>54133</v>
      </c>
      <c r="H4693" s="3" t="s">
        <v>82</v>
      </c>
    </row>
    <row r="4694" spans="1:8" ht="115.5" x14ac:dyDescent="0.25">
      <c r="A4694" s="3" t="s">
        <v>14043</v>
      </c>
      <c r="B4694" s="3"/>
      <c r="C4694" s="3" t="s">
        <v>14044</v>
      </c>
      <c r="D4694" s="3" t="s">
        <v>14045</v>
      </c>
      <c r="E4694" s="3" t="s">
        <v>14046</v>
      </c>
      <c r="F4694" s="3" t="str">
        <f>"317-292-2809"</f>
        <v>317-292-2809</v>
      </c>
      <c r="G4694" s="3">
        <v>541690</v>
      </c>
      <c r="H4694" s="3" t="s">
        <v>652</v>
      </c>
    </row>
    <row r="4695" spans="1:8" ht="102.75" x14ac:dyDescent="0.25">
      <c r="A4695" s="3" t="s">
        <v>14047</v>
      </c>
      <c r="B4695" s="3"/>
      <c r="C4695" s="3" t="s">
        <v>14048</v>
      </c>
      <c r="D4695" s="3" t="s">
        <v>14049</v>
      </c>
      <c r="E4695" s="3" t="s">
        <v>14050</v>
      </c>
      <c r="F4695" s="3" t="str">
        <f>"317-841-7777"</f>
        <v>317-841-7777</v>
      </c>
      <c r="G4695" s="3">
        <v>561720</v>
      </c>
      <c r="H4695" s="3" t="s">
        <v>222</v>
      </c>
    </row>
    <row r="4696" spans="1:8" ht="179.25" x14ac:dyDescent="0.25">
      <c r="A4696" s="3" t="s">
        <v>14051</v>
      </c>
      <c r="B4696" s="3"/>
      <c r="C4696" s="3" t="s">
        <v>14052</v>
      </c>
      <c r="D4696" s="3" t="s">
        <v>14053</v>
      </c>
      <c r="E4696" s="3" t="s">
        <v>14054</v>
      </c>
      <c r="F4696" s="3" t="str">
        <f>"317-454-0454"</f>
        <v>317-454-0454</v>
      </c>
      <c r="G4696" s="3">
        <v>541690</v>
      </c>
      <c r="H4696" s="3" t="s">
        <v>652</v>
      </c>
    </row>
    <row r="4697" spans="1:8" ht="26.25" x14ac:dyDescent="0.25">
      <c r="A4697" s="3" t="s">
        <v>14055</v>
      </c>
      <c r="B4697" s="3"/>
      <c r="C4697" s="3" t="str">
        <f>"coaching, mentoring, sales training, team training, leadership development"</f>
        <v>coaching, mentoring, sales training, team training, leadership development</v>
      </c>
      <c r="D4697" s="3" t="s">
        <v>14056</v>
      </c>
      <c r="E4697" s="3" t="s">
        <v>14057</v>
      </c>
      <c r="F4697" s="3" t="str">
        <f>"317-730-0682"</f>
        <v>317-730-0682</v>
      </c>
      <c r="G4697" s="3">
        <v>54161</v>
      </c>
      <c r="H4697" s="3" t="s">
        <v>1221</v>
      </c>
    </row>
    <row r="4698" spans="1:8" ht="77.25" x14ac:dyDescent="0.25">
      <c r="A4698" s="3" t="s">
        <v>14058</v>
      </c>
      <c r="B4698" s="3"/>
      <c r="C4698" s="3" t="str">
        <f>"INTEGRIN SOLUTIONS is a professional staffing company. The company's staffing services include placement in various industries such as Medical staffing, IT (Information Technology) staffing, and other firms."</f>
        <v>INTEGRIN SOLUTIONS is a professional staffing company. The company's staffing services include placement in various industries such as Medical staffing, IT (Information Technology) staffing, and other firms.</v>
      </c>
      <c r="D4698" s="3" t="s">
        <v>14059</v>
      </c>
      <c r="E4698" s="3" t="s">
        <v>14060</v>
      </c>
      <c r="F4698" s="3" t="str">
        <f>"3178867597"</f>
        <v>3178867597</v>
      </c>
      <c r="G4698" s="3">
        <v>541612</v>
      </c>
      <c r="H4698" s="3" t="s">
        <v>1923</v>
      </c>
    </row>
    <row r="4699" spans="1:8" ht="39" x14ac:dyDescent="0.25">
      <c r="A4699" s="3" t="s">
        <v>14061</v>
      </c>
      <c r="B4699" s="3"/>
      <c r="C4699" s="3" t="str">
        <f>"A KMC Controls Authorized Installation Contractor Temperature Controls, Building Automation, Energy Management"</f>
        <v>A KMC Controls Authorized Installation Contractor Temperature Controls, Building Automation, Energy Management</v>
      </c>
      <c r="D4699" s="3" t="s">
        <v>9</v>
      </c>
      <c r="E4699" s="3" t="s">
        <v>14062</v>
      </c>
      <c r="F4699" s="3" t="str">
        <f>"574 532 3794"</f>
        <v>574 532 3794</v>
      </c>
      <c r="G4699" s="3">
        <v>238210</v>
      </c>
      <c r="H4699" s="3" t="s">
        <v>306</v>
      </c>
    </row>
    <row r="4700" spans="1:8" ht="39" x14ac:dyDescent="0.25">
      <c r="A4700" s="3" t="s">
        <v>14063</v>
      </c>
      <c r="B4700" s="3"/>
      <c r="C4700" s="3" t="str">
        <f>"commercial and industrial construction, general contracting, electrical, plumbing, general labor"</f>
        <v>commercial and industrial construction, general contracting, electrical, plumbing, general labor</v>
      </c>
      <c r="D4700" s="3" t="s">
        <v>9</v>
      </c>
      <c r="E4700" s="3" t="s">
        <v>14064</v>
      </c>
      <c r="F4700" s="3" t="str">
        <f>"317-446-2520"</f>
        <v>317-446-2520</v>
      </c>
      <c r="G4700" s="3">
        <v>236220</v>
      </c>
      <c r="H4700" s="3" t="s">
        <v>598</v>
      </c>
    </row>
    <row r="4701" spans="1:8" ht="115.5" x14ac:dyDescent="0.25">
      <c r="A4701" s="3" t="s">
        <v>14065</v>
      </c>
      <c r="B4701" s="3"/>
      <c r="C4701" s="3" t="s">
        <v>14066</v>
      </c>
      <c r="D4701" s="3" t="s">
        <v>14067</v>
      </c>
      <c r="E4701" s="3" t="s">
        <v>14068</v>
      </c>
      <c r="F4701" s="3" t="str">
        <f>"3176023690"</f>
        <v>3176023690</v>
      </c>
      <c r="G4701" s="3">
        <v>621610</v>
      </c>
      <c r="H4701" s="3" t="s">
        <v>328</v>
      </c>
    </row>
    <row r="4702" spans="1:8" ht="243" x14ac:dyDescent="0.25">
      <c r="A4702" s="3" t="s">
        <v>14069</v>
      </c>
      <c r="B4702" s="3"/>
      <c r="C4702" s="3" t="s">
        <v>14070</v>
      </c>
      <c r="D4702" s="3" t="s">
        <v>14071</v>
      </c>
      <c r="E4702" s="3" t="s">
        <v>14072</v>
      </c>
      <c r="F4702" s="3" t="str">
        <f>"317-514-7284"</f>
        <v>317-514-7284</v>
      </c>
      <c r="G4702" s="3">
        <v>611430</v>
      </c>
      <c r="H4702" s="3" t="s">
        <v>1224</v>
      </c>
    </row>
    <row r="4703" spans="1:8" ht="39" x14ac:dyDescent="0.25">
      <c r="A4703" s="3" t="s">
        <v>14073</v>
      </c>
      <c r="B4703" s="3"/>
      <c r="C4703" s="3" t="str">
        <f>"Limousine and ground transportation service provider for Indianapolis and surrounding areas."</f>
        <v>Limousine and ground transportation service provider for Indianapolis and surrounding areas.</v>
      </c>
      <c r="D4703" s="3" t="s">
        <v>14074</v>
      </c>
      <c r="E4703" s="3" t="s">
        <v>14075</v>
      </c>
      <c r="F4703" s="3" t="str">
        <f>"317-337-9400"</f>
        <v>317-337-9400</v>
      </c>
      <c r="G4703" s="3">
        <v>485320</v>
      </c>
      <c r="H4703" s="3" t="s">
        <v>3750</v>
      </c>
    </row>
    <row r="4704" spans="1:8" ht="77.25" x14ac:dyDescent="0.25">
      <c r="A4704" s="3" t="s">
        <v>14076</v>
      </c>
      <c r="B4704" s="3"/>
      <c r="C4704" s="3" t="str">
        <f>"Information Technology and Project Management Consulting, specializing in Project Management, Systems Analysis and Integration, Government Accounting and Compliance, and Business Process Reengineering"</f>
        <v>Information Technology and Project Management Consulting, specializing in Project Management, Systems Analysis and Integration, Government Accounting and Compliance, and Business Process Reengineering</v>
      </c>
      <c r="D4704" s="3" t="s">
        <v>14077</v>
      </c>
      <c r="E4704" s="3" t="s">
        <v>14078</v>
      </c>
      <c r="F4704" s="3" t="str">
        <f>"3174399900"</f>
        <v>3174399900</v>
      </c>
      <c r="G4704" s="3">
        <v>5415</v>
      </c>
      <c r="H4704" s="3" t="s">
        <v>188</v>
      </c>
    </row>
    <row r="4705" spans="1:8" ht="64.5" x14ac:dyDescent="0.25">
      <c r="A4705" s="3" t="s">
        <v>14079</v>
      </c>
      <c r="B4705" s="3"/>
      <c r="C4705" s="3" t="str">
        <f>"Marketing consultation, design services, printed products, promotional items, apparel and new media. Consolidate all of your marketing efforts to one source with infinite resources."</f>
        <v>Marketing consultation, design services, printed products, promotional items, apparel and new media. Consolidate all of your marketing efforts to one source with infinite resources.</v>
      </c>
      <c r="D4705" s="3" t="s">
        <v>14080</v>
      </c>
      <c r="E4705" s="3" t="s">
        <v>14081</v>
      </c>
      <c r="F4705" s="3" t="str">
        <f>"3172221407"</f>
        <v>3172221407</v>
      </c>
      <c r="G4705" s="3">
        <v>561990</v>
      </c>
      <c r="H4705" s="3" t="s">
        <v>219</v>
      </c>
    </row>
    <row r="4706" spans="1:8" ht="26.25" x14ac:dyDescent="0.25">
      <c r="A4706" s="3" t="s">
        <v>14082</v>
      </c>
      <c r="B4706" s="3"/>
      <c r="C4706" s="3" t="str">
        <f>"Medicaid Waiver Case Management Services"</f>
        <v>Medicaid Waiver Case Management Services</v>
      </c>
      <c r="D4706" s="3" t="s">
        <v>9</v>
      </c>
      <c r="E4706" s="3" t="s">
        <v>46</v>
      </c>
      <c r="F4706" s="2"/>
      <c r="G4706" s="3">
        <v>6241</v>
      </c>
      <c r="H4706" s="3" t="s">
        <v>2210</v>
      </c>
    </row>
    <row r="4707" spans="1:8" ht="77.25" x14ac:dyDescent="0.25">
      <c r="A4707" s="3" t="s">
        <v>14083</v>
      </c>
      <c r="B4707" s="3"/>
      <c r="C4707" s="3" t="str">
        <f>"Security and Safety Training and Consulting for individuals, schools, hospitals, nursing homes, and other business, big and small, including expert witness consulting services, threat assessments, and emergency planning."</f>
        <v>Security and Safety Training and Consulting for individuals, schools, hospitals, nursing homes, and other business, big and small, including expert witness consulting services, threat assessments, and emergency planning.</v>
      </c>
      <c r="D4707" s="3" t="s">
        <v>9</v>
      </c>
      <c r="E4707" s="3" t="s">
        <v>14084</v>
      </c>
      <c r="F4707" s="3" t="str">
        <f>"812.477.8296 / 480-2694"</f>
        <v>812.477.8296 / 480-2694</v>
      </c>
      <c r="G4707" s="3">
        <v>541690</v>
      </c>
      <c r="H4707" s="3" t="s">
        <v>652</v>
      </c>
    </row>
    <row r="4708" spans="1:8" ht="281.25" x14ac:dyDescent="0.25">
      <c r="A4708" s="3" t="s">
        <v>14085</v>
      </c>
      <c r="B4708" s="3"/>
      <c r="C4708" s="3" t="s">
        <v>14086</v>
      </c>
      <c r="D4708" s="3" t="s">
        <v>14087</v>
      </c>
      <c r="E4708" s="3" t="s">
        <v>14088</v>
      </c>
      <c r="F4708" s="3" t="str">
        <f>"317-867-5424"</f>
        <v>317-867-5424</v>
      </c>
      <c r="G4708" s="3">
        <v>32</v>
      </c>
      <c r="H4708" s="3" t="s">
        <v>999</v>
      </c>
    </row>
    <row r="4709" spans="1:8" ht="102.75" x14ac:dyDescent="0.25">
      <c r="A4709" s="3" t="s">
        <v>14089</v>
      </c>
      <c r="B4709" s="3"/>
      <c r="C4709" s="3" t="s">
        <v>14090</v>
      </c>
      <c r="D4709" s="3" t="s">
        <v>14091</v>
      </c>
      <c r="E4709" s="3" t="s">
        <v>14092</v>
      </c>
      <c r="F4709" s="3" t="str">
        <f>"3177480486"</f>
        <v>3177480486</v>
      </c>
      <c r="G4709" s="3">
        <v>541511</v>
      </c>
      <c r="H4709" s="3" t="s">
        <v>122</v>
      </c>
    </row>
    <row r="4710" spans="1:8" ht="319.5" x14ac:dyDescent="0.25">
      <c r="A4710" s="3" t="s">
        <v>14093</v>
      </c>
      <c r="B4710" s="3"/>
      <c r="C4710" s="3" t="s">
        <v>14094</v>
      </c>
      <c r="D4710" s="3" t="s">
        <v>14095</v>
      </c>
      <c r="E4710" s="3" t="s">
        <v>14096</v>
      </c>
      <c r="F4710" s="3" t="str">
        <f>"5742718085"</f>
        <v>5742718085</v>
      </c>
      <c r="G4710" s="3">
        <v>334310</v>
      </c>
      <c r="H4710" s="3" t="s">
        <v>2776</v>
      </c>
    </row>
    <row r="4711" spans="1:8" ht="51.75" x14ac:dyDescent="0.25">
      <c r="A4711" s="3" t="s">
        <v>14097</v>
      </c>
      <c r="B4711" s="3"/>
      <c r="C4711" s="3" t="str">
        <f>"Provide Interpretation and Translation Services for a variety of language in particular Spanish and Burmese. Provide interpretation training."</f>
        <v>Provide Interpretation and Translation Services for a variety of language in particular Spanish and Burmese. Provide interpretation training.</v>
      </c>
      <c r="D4711" s="3" t="s">
        <v>9</v>
      </c>
      <c r="E4711" s="3" t="s">
        <v>14098</v>
      </c>
      <c r="F4711" s="3" t="str">
        <f>"260-413-0690"</f>
        <v>260-413-0690</v>
      </c>
      <c r="G4711" s="3">
        <v>541930</v>
      </c>
      <c r="H4711" s="3" t="s">
        <v>971</v>
      </c>
    </row>
    <row r="4712" spans="1:8" ht="39" x14ac:dyDescent="0.25">
      <c r="A4712" s="3" t="s">
        <v>14099</v>
      </c>
      <c r="B4712" s="3"/>
      <c r="C4712" s="3" t="str">
        <f>"Inner packaging for shipping products Partitions, layering pads, pallet sheets Chipboard Converted"</f>
        <v>Inner packaging for shipping products Partitions, layering pads, pallet sheets Chipboard Converted</v>
      </c>
      <c r="D4712" s="3" t="s">
        <v>9</v>
      </c>
      <c r="E4712" s="3" t="s">
        <v>14100</v>
      </c>
      <c r="F4712" s="3" t="str">
        <f>"765-482-9179"</f>
        <v>765-482-9179</v>
      </c>
      <c r="G4712" s="3">
        <v>561910</v>
      </c>
      <c r="H4712" s="3" t="s">
        <v>7461</v>
      </c>
    </row>
    <row r="4713" spans="1:8" ht="141" x14ac:dyDescent="0.25">
      <c r="A4713" s="3" t="s">
        <v>14101</v>
      </c>
      <c r="B4713" s="3"/>
      <c r="C4713" s="3" t="s">
        <v>14102</v>
      </c>
      <c r="D4713" s="3" t="s">
        <v>14103</v>
      </c>
      <c r="E4713" s="3" t="s">
        <v>14104</v>
      </c>
      <c r="F4713" s="3" t="str">
        <f>"574-232-3400"</f>
        <v>574-232-3400</v>
      </c>
      <c r="G4713" s="3">
        <v>541511</v>
      </c>
      <c r="H4713" s="3" t="s">
        <v>122</v>
      </c>
    </row>
    <row r="4714" spans="1:8" ht="204.75" x14ac:dyDescent="0.25">
      <c r="A4714" s="3" t="s">
        <v>14105</v>
      </c>
      <c r="B4714" s="3"/>
      <c r="C4714" s="3" t="s">
        <v>14106</v>
      </c>
      <c r="D4714" s="3" t="s">
        <v>14107</v>
      </c>
      <c r="E4714" s="3" t="s">
        <v>14108</v>
      </c>
      <c r="F4714" s="3" t="str">
        <f>"317-810-2800"</f>
        <v>317-810-2800</v>
      </c>
      <c r="G4714" s="3">
        <v>518210</v>
      </c>
      <c r="H4714" s="3" t="s">
        <v>3133</v>
      </c>
    </row>
    <row r="4715" spans="1:8" ht="204.75" x14ac:dyDescent="0.25">
      <c r="A4715" s="3" t="s">
        <v>14109</v>
      </c>
      <c r="B4715" s="3"/>
      <c r="C4715" s="3" t="s">
        <v>14110</v>
      </c>
      <c r="D4715" s="3" t="s">
        <v>14111</v>
      </c>
      <c r="E4715" s="3" t="s">
        <v>14112</v>
      </c>
      <c r="F4715" s="3" t="str">
        <f>"3177090003"</f>
        <v>3177090003</v>
      </c>
      <c r="G4715" s="3">
        <v>561499</v>
      </c>
      <c r="H4715" s="3" t="s">
        <v>3092</v>
      </c>
    </row>
    <row r="4716" spans="1:8" ht="39" x14ac:dyDescent="0.25">
      <c r="A4716" s="3" t="s">
        <v>14109</v>
      </c>
      <c r="B4716" s="3"/>
      <c r="C4716" s="3" t="str">
        <f>"High definition multimedia integration, video distribution, video streaming &amp; video conferencing."</f>
        <v>High definition multimedia integration, video distribution, video streaming &amp; video conferencing.</v>
      </c>
      <c r="D4716" s="3" t="s">
        <v>14111</v>
      </c>
      <c r="E4716" s="3" t="s">
        <v>14113</v>
      </c>
      <c r="F4716" s="3" t="str">
        <f>"317-770-3564"</f>
        <v>317-770-3564</v>
      </c>
      <c r="G4716" s="3">
        <v>561499</v>
      </c>
      <c r="H4716" s="3" t="s">
        <v>3092</v>
      </c>
    </row>
    <row r="4717" spans="1:8" ht="64.5" x14ac:dyDescent="0.25">
      <c r="A4717" s="3" t="s">
        <v>14114</v>
      </c>
      <c r="B4717" s="3"/>
      <c r="C4717" s="3" t="str">
        <f>"General management consulting firm. Services: Strategic planning, Group facilitation, retreats, training, MBTI - Myers-Briggs Type Indicator, effective communication, etc."</f>
        <v>General management consulting firm. Services: Strategic planning, Group facilitation, retreats, training, MBTI - Myers-Briggs Type Indicator, effective communication, etc.</v>
      </c>
      <c r="D4717" s="3" t="s">
        <v>14115</v>
      </c>
      <c r="E4717" s="3" t="s">
        <v>14116</v>
      </c>
      <c r="F4717" s="3" t="str">
        <f>"574-299-0660"</f>
        <v>574-299-0660</v>
      </c>
      <c r="G4717" s="3">
        <v>54161</v>
      </c>
      <c r="H4717" s="3" t="s">
        <v>1221</v>
      </c>
    </row>
    <row r="4718" spans="1:8" ht="90" x14ac:dyDescent="0.25">
      <c r="A4718" s="3" t="s">
        <v>14117</v>
      </c>
      <c r="B4718" s="3"/>
      <c r="C4718" s="3" t="str">
        <f>"Locally established in 1993, we provide health care professionals to meet the fluctuating human resource needs for a variety of organizations including: health care facilities, companies, schools, correctional facilities, and insurance companies."</f>
        <v>Locally established in 1993, we provide health care professionals to meet the fluctuating human resource needs for a variety of organizations including: health care facilities, companies, schools, correctional facilities, and insurance companies.</v>
      </c>
      <c r="D4718" s="3" t="s">
        <v>14118</v>
      </c>
      <c r="E4718" s="3" t="s">
        <v>14119</v>
      </c>
      <c r="F4718" s="3" t="str">
        <f>"866-635-5397"</f>
        <v>866-635-5397</v>
      </c>
      <c r="G4718" s="3">
        <v>561320</v>
      </c>
      <c r="H4718" s="3" t="s">
        <v>15</v>
      </c>
    </row>
    <row r="4719" spans="1:8" ht="26.25" x14ac:dyDescent="0.25">
      <c r="A4719" s="3" t="s">
        <v>14120</v>
      </c>
      <c r="B4719" s="3"/>
      <c r="C4719" s="3" t="str">
        <f>" "</f>
        <v xml:space="preserve"> </v>
      </c>
      <c r="D4719" s="3" t="s">
        <v>14121</v>
      </c>
      <c r="E4719" s="3" t="s">
        <v>14122</v>
      </c>
      <c r="F4719" s="3" t="str">
        <f>"317/882-1161"</f>
        <v>317/882-1161</v>
      </c>
      <c r="G4719" s="3">
        <v>235</v>
      </c>
      <c r="H4719" s="3" t="s">
        <v>259</v>
      </c>
    </row>
    <row r="4720" spans="1:8" ht="39" x14ac:dyDescent="0.25">
      <c r="A4720" s="3" t="s">
        <v>14123</v>
      </c>
      <c r="B4720" s="3"/>
      <c r="C4720" s="3" t="str">
        <f>"We create prefabricated drywall pieces. These ready to install assemblies reduce installation and finishing time."</f>
        <v>We create prefabricated drywall pieces. These ready to install assemblies reduce installation and finishing time.</v>
      </c>
      <c r="D4720" s="3" t="s">
        <v>9</v>
      </c>
      <c r="E4720" s="3" t="s">
        <v>14124</v>
      </c>
      <c r="F4720" s="3" t="str">
        <f>"3174098372"</f>
        <v>3174098372</v>
      </c>
      <c r="G4720" s="3">
        <v>238310</v>
      </c>
      <c r="H4720" s="3" t="s">
        <v>2526</v>
      </c>
    </row>
    <row r="4721" spans="1:8" ht="128.25" x14ac:dyDescent="0.25">
      <c r="A4721" s="3" t="s">
        <v>14125</v>
      </c>
      <c r="B4721" s="3"/>
      <c r="C4721" s="3" t="s">
        <v>14126</v>
      </c>
      <c r="D4721" s="3" t="s">
        <v>9</v>
      </c>
      <c r="E4721" s="3" t="s">
        <v>46</v>
      </c>
      <c r="F4721" s="2"/>
      <c r="G4721" s="3">
        <v>54141</v>
      </c>
      <c r="H4721" s="3" t="s">
        <v>687</v>
      </c>
    </row>
    <row r="4722" spans="1:8" ht="77.25" x14ac:dyDescent="0.25">
      <c r="A4722" s="3" t="s">
        <v>14127</v>
      </c>
      <c r="B4722" s="3"/>
      <c r="C4722" s="3" t="str">
        <f>"Interior Products Supply is a building materials distributor specializing in metal studs, drywall, acoustical ceilings, insulation, tools, hollow metal doors, wood doors, door frames, and bathroom partition &amp; accessories."</f>
        <v>Interior Products Supply is a building materials distributor specializing in metal studs, drywall, acoustical ceilings, insulation, tools, hollow metal doors, wood doors, door frames, and bathroom partition &amp; accessories.</v>
      </c>
      <c r="D4722" s="3" t="s">
        <v>9</v>
      </c>
      <c r="E4722" s="3" t="s">
        <v>14128</v>
      </c>
      <c r="F4722" s="3" t="str">
        <f>"260-471-8210"</f>
        <v>260-471-8210</v>
      </c>
      <c r="G4722" s="3">
        <v>238990</v>
      </c>
      <c r="H4722" s="3" t="s">
        <v>481</v>
      </c>
    </row>
    <row r="4723" spans="1:8" ht="90" x14ac:dyDescent="0.25">
      <c r="A4723" s="3" t="s">
        <v>14129</v>
      </c>
      <c r="B4723" s="3"/>
      <c r="C4723" s="3" t="s">
        <v>14130</v>
      </c>
      <c r="D4723" s="3" t="s">
        <v>9</v>
      </c>
      <c r="E4723" s="3" t="s">
        <v>46</v>
      </c>
      <c r="F4723" s="3" t="str">
        <f>"317-467-0248"</f>
        <v>317-467-0248</v>
      </c>
      <c r="G4723" s="3">
        <v>561310</v>
      </c>
      <c r="H4723" s="3" t="s">
        <v>1720</v>
      </c>
    </row>
    <row r="4724" spans="1:8" ht="26.25" x14ac:dyDescent="0.25">
      <c r="A4724" s="3" t="s">
        <v>14131</v>
      </c>
      <c r="B4724" s="3"/>
      <c r="C4724" s="3" t="str">
        <f>"Provder of social and human services"</f>
        <v>Provder of social and human services</v>
      </c>
      <c r="D4724" s="3" t="s">
        <v>14132</v>
      </c>
      <c r="E4724" s="3" t="s">
        <v>14133</v>
      </c>
      <c r="F4724" s="3" t="str">
        <f>"765 529-4403"</f>
        <v>765 529-4403</v>
      </c>
      <c r="G4724" s="3">
        <v>525120</v>
      </c>
      <c r="H4724" s="3" t="s">
        <v>2106</v>
      </c>
    </row>
    <row r="4725" spans="1:8" ht="26.25" x14ac:dyDescent="0.25">
      <c r="A4725" s="3" t="s">
        <v>14134</v>
      </c>
      <c r="B4725" s="3"/>
      <c r="C4725" s="3" t="str">
        <f>" "</f>
        <v xml:space="preserve"> </v>
      </c>
      <c r="D4725" s="3" t="s">
        <v>14135</v>
      </c>
      <c r="E4725" s="3" t="s">
        <v>46</v>
      </c>
      <c r="F4725" s="3" t="str">
        <f>"317-388-1540"</f>
        <v>317-388-1540</v>
      </c>
      <c r="G4725" s="3">
        <v>237130</v>
      </c>
      <c r="H4725" s="3" t="s">
        <v>3432</v>
      </c>
    </row>
    <row r="4726" spans="1:8" ht="115.5" x14ac:dyDescent="0.25">
      <c r="A4726" s="3" t="s">
        <v>14136</v>
      </c>
      <c r="B4726" s="3"/>
      <c r="C4726" s="3" t="s">
        <v>14137</v>
      </c>
      <c r="D4726" s="3" t="s">
        <v>14135</v>
      </c>
      <c r="E4726" s="3" t="s">
        <v>14138</v>
      </c>
      <c r="F4726" s="3" t="str">
        <f>"317.388.1540"</f>
        <v>317.388.1540</v>
      </c>
      <c r="G4726" s="3">
        <v>335311</v>
      </c>
      <c r="H4726" s="3" t="s">
        <v>14139</v>
      </c>
    </row>
    <row r="4727" spans="1:8" ht="192" x14ac:dyDescent="0.25">
      <c r="A4727" s="3" t="s">
        <v>14140</v>
      </c>
      <c r="B4727" s="3"/>
      <c r="C4727" s="3" t="s">
        <v>14141</v>
      </c>
      <c r="D4727" s="3" t="s">
        <v>14142</v>
      </c>
      <c r="E4727" s="3" t="s">
        <v>14143</v>
      </c>
      <c r="F4727" s="3" t="str">
        <f>"800.525.8469"</f>
        <v>800.525.8469</v>
      </c>
      <c r="G4727" s="3">
        <v>322222</v>
      </c>
      <c r="H4727" s="3" t="s">
        <v>14144</v>
      </c>
    </row>
    <row r="4728" spans="1:8" ht="90" x14ac:dyDescent="0.25">
      <c r="A4728" s="3" t="s">
        <v>14145</v>
      </c>
      <c r="B4728" s="3"/>
      <c r="C4728" s="3" t="str">
        <f>"TLS by Design produces upholstery made of 100% Indiana-sourced components with 100% Indiana labor. TLS also designs and distributes wooden furniture warehoused in Anderson, IN. We do projects for schools, libraries, hotels, office and residential markets."</f>
        <v>TLS by Design produces upholstery made of 100% Indiana-sourced components with 100% Indiana labor. TLS also designs and distributes wooden furniture warehoused in Anderson, IN. We do projects for schools, libraries, hotels, office and residential markets.</v>
      </c>
      <c r="D4728" s="3" t="s">
        <v>14146</v>
      </c>
      <c r="E4728" s="3" t="s">
        <v>14147</v>
      </c>
      <c r="F4728" s="2"/>
      <c r="G4728" s="3">
        <v>423210</v>
      </c>
      <c r="H4728" s="3" t="s">
        <v>3508</v>
      </c>
    </row>
    <row r="4729" spans="1:8" ht="77.25" x14ac:dyDescent="0.25">
      <c r="A4729" s="3" t="s">
        <v>14148</v>
      </c>
      <c r="B4729" s="3"/>
      <c r="C4729" s="3" t="str">
        <f>"International Pipe specializes in manufacturing a polyethylene pipe product primarily used in slip-line applications, as well as consulting and assisting state and federal entities in composing job and product specifications for slip-line projects."</f>
        <v>International Pipe specializes in manufacturing a polyethylene pipe product primarily used in slip-line applications, as well as consulting and assisting state and federal entities in composing job and product specifications for slip-line projects.</v>
      </c>
      <c r="D4729" s="3" t="s">
        <v>14149</v>
      </c>
      <c r="E4729" s="3" t="s">
        <v>14150</v>
      </c>
      <c r="F4729" s="3" t="str">
        <f>"888-653-1657"</f>
        <v>888-653-1657</v>
      </c>
      <c r="G4729" s="3">
        <v>326199</v>
      </c>
      <c r="H4729" s="3" t="s">
        <v>2129</v>
      </c>
    </row>
    <row r="4730" spans="1:8" ht="306.75" x14ac:dyDescent="0.25">
      <c r="A4730" s="3" t="s">
        <v>14151</v>
      </c>
      <c r="B4730" s="3"/>
      <c r="C4730" s="3" t="s">
        <v>14152</v>
      </c>
      <c r="D4730" s="3" t="s">
        <v>14153</v>
      </c>
      <c r="E4730" s="3" t="s">
        <v>14154</v>
      </c>
      <c r="F4730" s="3" t="str">
        <f>"317-899-6787"</f>
        <v>317-899-6787</v>
      </c>
      <c r="G4730" s="3">
        <v>541611</v>
      </c>
      <c r="H4730" s="3" t="s">
        <v>278</v>
      </c>
    </row>
    <row r="4731" spans="1:8" ht="77.25" x14ac:dyDescent="0.25">
      <c r="A4731" s="3" t="s">
        <v>14155</v>
      </c>
      <c r="B4731" s="3"/>
      <c r="C4731" s="3" t="str">
        <f>"WSI Internet Marketing works with businesses and organizations to enhance their web presence through Search Engine Optimization, Pay-Per-Click advertising, Social Media, Mobile Optimization and Web Design."</f>
        <v>WSI Internet Marketing works with businesses and organizations to enhance their web presence through Search Engine Optimization, Pay-Per-Click advertising, Social Media, Mobile Optimization and Web Design.</v>
      </c>
      <c r="D4731" s="3" t="s">
        <v>14156</v>
      </c>
      <c r="E4731" s="3" t="s">
        <v>14157</v>
      </c>
      <c r="F4731" s="3" t="str">
        <f>"317-245-7545"</f>
        <v>317-245-7545</v>
      </c>
      <c r="G4731" s="3">
        <v>5418</v>
      </c>
      <c r="H4731" s="3" t="s">
        <v>1337</v>
      </c>
    </row>
    <row r="4732" spans="1:8" ht="26.25" x14ac:dyDescent="0.25">
      <c r="A4732" s="3" t="s">
        <v>14158</v>
      </c>
      <c r="B4732" s="3"/>
      <c r="C4732" s="3" t="str">
        <f>"An American Sign Language Interpreter Referral Agency."</f>
        <v>An American Sign Language Interpreter Referral Agency.</v>
      </c>
      <c r="D4732" s="3" t="s">
        <v>9</v>
      </c>
      <c r="E4732" s="3" t="s">
        <v>14159</v>
      </c>
      <c r="F4732" s="3" t="str">
        <f>"765-948-4679"</f>
        <v>765-948-4679</v>
      </c>
      <c r="G4732" s="3">
        <v>541930</v>
      </c>
      <c r="H4732" s="3" t="s">
        <v>971</v>
      </c>
    </row>
    <row r="4733" spans="1:8" ht="64.5" x14ac:dyDescent="0.25">
      <c r="A4733" s="3" t="s">
        <v>14160</v>
      </c>
      <c r="B4733" s="3"/>
      <c r="C4733" s="3" t="str">
        <f>"We focus on, but are not limited to, Parking Management, Parking Construction, Parking Leasing, Parking Rental, Parking Acquisitions and Parking Consulting. We are here to assist with your parking needs."</f>
        <v>We focus on, but are not limited to, Parking Management, Parking Construction, Parking Leasing, Parking Rental, Parking Acquisitions and Parking Consulting. We are here to assist with your parking needs.</v>
      </c>
      <c r="D4733" s="3" t="s">
        <v>14161</v>
      </c>
      <c r="E4733" s="3" t="s">
        <v>14162</v>
      </c>
      <c r="F4733" s="3" t="str">
        <f>"317-637-2650"</f>
        <v>317-637-2650</v>
      </c>
      <c r="G4733" s="3">
        <v>812930</v>
      </c>
      <c r="H4733" s="3" t="s">
        <v>7920</v>
      </c>
    </row>
    <row r="4734" spans="1:8" ht="128.25" x14ac:dyDescent="0.25">
      <c r="A4734" s="3" t="s">
        <v>14163</v>
      </c>
      <c r="B4734" s="3"/>
      <c r="C4734" s="3" t="s">
        <v>14164</v>
      </c>
      <c r="D4734" s="3" t="s">
        <v>14165</v>
      </c>
      <c r="E4734" s="3" t="s">
        <v>14166</v>
      </c>
      <c r="F4734" s="3" t="str">
        <f>"219-763-6670"</f>
        <v>219-763-6670</v>
      </c>
      <c r="G4734" s="3">
        <v>532412</v>
      </c>
      <c r="H4734" s="3" t="s">
        <v>777</v>
      </c>
    </row>
    <row r="4735" spans="1:8" ht="115.5" x14ac:dyDescent="0.25">
      <c r="A4735" s="3" t="s">
        <v>14167</v>
      </c>
      <c r="B4735" s="3"/>
      <c r="C4735" s="3" t="s">
        <v>14168</v>
      </c>
      <c r="D4735" s="3" t="s">
        <v>14169</v>
      </c>
      <c r="E4735" s="3" t="s">
        <v>14170</v>
      </c>
      <c r="F4735" s="3" t="str">
        <f>"574-288-3211"</f>
        <v>574-288-3211</v>
      </c>
      <c r="G4735" s="3">
        <v>453210</v>
      </c>
      <c r="H4735" s="3" t="s">
        <v>431</v>
      </c>
    </row>
    <row r="4736" spans="1:8" ht="90" x14ac:dyDescent="0.25">
      <c r="A4736" s="3" t="s">
        <v>14171</v>
      </c>
      <c r="B4736" s="3"/>
      <c r="C4736" s="3" t="str">
        <f>"IntraScape, Inc. is an Office Furniture Dealership specializing in office space planning and contract interior design. IntraScape is a Preferred Dealer for Haworth Office Furnishings and represents many other office furniture and related manufacturers."</f>
        <v>IntraScape, Inc. is an Office Furniture Dealership specializing in office space planning and contract interior design. IntraScape is a Preferred Dealer for Haworth Office Furnishings and represents many other office furniture and related manufacturers.</v>
      </c>
      <c r="D4736" s="3" t="s">
        <v>14172</v>
      </c>
      <c r="E4736" s="3" t="s">
        <v>14173</v>
      </c>
      <c r="F4736" s="3" t="str">
        <f>"260-420-5387"</f>
        <v>260-420-5387</v>
      </c>
      <c r="G4736" s="3">
        <v>442299</v>
      </c>
      <c r="H4736" s="3" t="s">
        <v>951</v>
      </c>
    </row>
    <row r="4737" spans="1:8" ht="115.5" x14ac:dyDescent="0.25">
      <c r="A4737" s="3" t="s">
        <v>14174</v>
      </c>
      <c r="B4737" s="3"/>
      <c r="C4737" s="3" t="s">
        <v>14175</v>
      </c>
      <c r="D4737" s="3" t="s">
        <v>14176</v>
      </c>
      <c r="E4737" s="3" t="s">
        <v>14177</v>
      </c>
      <c r="F4737" s="3" t="str">
        <f>"(317) 250-0207"</f>
        <v>(317) 250-0207</v>
      </c>
      <c r="G4737" s="3">
        <v>621330</v>
      </c>
      <c r="H4737" s="3" t="s">
        <v>2643</v>
      </c>
    </row>
    <row r="4738" spans="1:8" ht="26.25" x14ac:dyDescent="0.25">
      <c r="A4738" s="3" t="s">
        <v>14178</v>
      </c>
      <c r="B4738" s="3"/>
      <c r="C4738" s="3" t="str">
        <f>" "</f>
        <v xml:space="preserve"> </v>
      </c>
      <c r="D4738" s="3" t="s">
        <v>14179</v>
      </c>
      <c r="E4738" s="3" t="s">
        <v>14180</v>
      </c>
      <c r="F4738" s="3" t="str">
        <f>"317 2882267"</f>
        <v>317 2882267</v>
      </c>
      <c r="G4738" s="3">
        <v>541611</v>
      </c>
      <c r="H4738" s="3" t="s">
        <v>278</v>
      </c>
    </row>
    <row r="4739" spans="1:8" ht="332.25" x14ac:dyDescent="0.25">
      <c r="A4739" s="3" t="s">
        <v>14181</v>
      </c>
      <c r="B4739" s="3"/>
      <c r="C4739" s="3" t="s">
        <v>14182</v>
      </c>
      <c r="D4739" s="3" t="s">
        <v>14183</v>
      </c>
      <c r="E4739" s="3" t="s">
        <v>14184</v>
      </c>
      <c r="F4739" s="3" t="str">
        <f>"800.515.1093"</f>
        <v>800.515.1093</v>
      </c>
      <c r="G4739" s="3">
        <v>54161</v>
      </c>
      <c r="H4739" s="3" t="s">
        <v>1221</v>
      </c>
    </row>
    <row r="4740" spans="1:8" ht="306.75" x14ac:dyDescent="0.25">
      <c r="A4740" s="3" t="s">
        <v>14185</v>
      </c>
      <c r="B4740" s="3"/>
      <c r="C4740" s="3" t="s">
        <v>14186</v>
      </c>
      <c r="D4740" s="3" t="s">
        <v>14187</v>
      </c>
      <c r="E4740" s="3" t="s">
        <v>14188</v>
      </c>
      <c r="F4740" s="3" t="str">
        <f>"1-877-403-0380"</f>
        <v>1-877-403-0380</v>
      </c>
      <c r="G4740" s="3">
        <v>621330</v>
      </c>
      <c r="H4740" s="3" t="s">
        <v>2643</v>
      </c>
    </row>
    <row r="4741" spans="1:8" ht="39" x14ac:dyDescent="0.25">
      <c r="A4741" s="3" t="s">
        <v>14189</v>
      </c>
      <c r="B4741" s="3"/>
      <c r="C4741" s="3" t="str">
        <f>"Administrative services--office management, database assistance, project manager-general."</f>
        <v>Administrative services--office management, database assistance, project manager-general.</v>
      </c>
      <c r="D4741" s="3" t="s">
        <v>9</v>
      </c>
      <c r="E4741" s="3" t="s">
        <v>14190</v>
      </c>
      <c r="F4741" s="3" t="str">
        <f>"317-753-8416"</f>
        <v>317-753-8416</v>
      </c>
      <c r="G4741" s="3">
        <v>561110</v>
      </c>
      <c r="H4741" s="3" t="s">
        <v>4383</v>
      </c>
    </row>
    <row r="4742" spans="1:8" ht="306.75" x14ac:dyDescent="0.25">
      <c r="A4742" s="3" t="s">
        <v>14191</v>
      </c>
      <c r="B4742" s="3"/>
      <c r="C4742" s="3" t="s">
        <v>14192</v>
      </c>
      <c r="D4742" s="3" t="s">
        <v>14193</v>
      </c>
      <c r="E4742" s="3" t="s">
        <v>14194</v>
      </c>
      <c r="F4742" s="3" t="str">
        <f>"(317) 294-9875"</f>
        <v>(317) 294-9875</v>
      </c>
      <c r="G4742" s="3">
        <v>238220</v>
      </c>
      <c r="H4742" s="3" t="s">
        <v>348</v>
      </c>
    </row>
    <row r="4743" spans="1:8" ht="319.5" x14ac:dyDescent="0.25">
      <c r="A4743" s="3" t="s">
        <v>14195</v>
      </c>
      <c r="B4743" s="3"/>
      <c r="C4743" s="3" t="s">
        <v>14196</v>
      </c>
      <c r="D4743" s="3" t="s">
        <v>14197</v>
      </c>
      <c r="E4743" s="3" t="s">
        <v>14198</v>
      </c>
      <c r="F4743" s="3" t="str">
        <f>"317-679-3039"</f>
        <v>317-679-3039</v>
      </c>
      <c r="G4743" s="3">
        <v>541820</v>
      </c>
      <c r="H4743" s="3" t="s">
        <v>795</v>
      </c>
    </row>
    <row r="4744" spans="1:8" ht="77.25" x14ac:dyDescent="0.25">
      <c r="A4744" s="3" t="s">
        <v>14199</v>
      </c>
      <c r="B4744" s="3"/>
      <c r="C4744" s="3" t="str">
        <f>"Our company sells processed Ferrous(cold roll, coated) and non-ferrous(stainless, aluminum)products to companies all over the United States of America. With capabilities of Slitting, Blanking, Cut to length, etc."</f>
        <v>Our company sells processed Ferrous(cold roll, coated) and non-ferrous(stainless, aluminum)products to companies all over the United States of America. With capabilities of Slitting, Blanking, Cut to length, etc.</v>
      </c>
      <c r="D4744" s="3" t="s">
        <v>14200</v>
      </c>
      <c r="E4744" s="3" t="s">
        <v>46</v>
      </c>
      <c r="F4744" s="3" t="str">
        <f>"219-764-9999"</f>
        <v>219-764-9999</v>
      </c>
      <c r="G4744" s="3">
        <v>42351</v>
      </c>
      <c r="H4744" s="3" t="s">
        <v>10869</v>
      </c>
    </row>
    <row r="4745" spans="1:8" ht="26.25" x14ac:dyDescent="0.25">
      <c r="A4745" s="3" t="s">
        <v>14201</v>
      </c>
      <c r="B4745" s="3"/>
      <c r="C4745" s="3" t="str">
        <f>"Manufacturer of sand, gravel, stone, and concrete."</f>
        <v>Manufacturer of sand, gravel, stone, and concrete.</v>
      </c>
      <c r="D4745" s="3" t="s">
        <v>14202</v>
      </c>
      <c r="E4745" s="3" t="s">
        <v>46</v>
      </c>
      <c r="F4745" s="3" t="str">
        <f>"(317) 326-3101"</f>
        <v>(317) 326-3101</v>
      </c>
      <c r="G4745" s="3">
        <v>212312</v>
      </c>
      <c r="H4745" s="3" t="s">
        <v>3264</v>
      </c>
    </row>
    <row r="4746" spans="1:8" ht="115.5" x14ac:dyDescent="0.25">
      <c r="A4746" s="3" t="s">
        <v>14203</v>
      </c>
      <c r="B4746" s="3"/>
      <c r="C4746" s="3" t="s">
        <v>14204</v>
      </c>
      <c r="D4746" s="3" t="s">
        <v>14205</v>
      </c>
      <c r="E4746" s="3" t="s">
        <v>46</v>
      </c>
      <c r="F4746" s="3" t="str">
        <f>"888-637-4518"</f>
        <v>888-637-4518</v>
      </c>
      <c r="G4746" s="3">
        <v>212321</v>
      </c>
      <c r="H4746" s="3" t="s">
        <v>4979</v>
      </c>
    </row>
    <row r="4747" spans="1:8" ht="90" x14ac:dyDescent="0.25">
      <c r="A4747" s="3" t="s">
        <v>14206</v>
      </c>
      <c r="B4747" s="3"/>
      <c r="C4747" s="3" t="str">
        <f>"Isaac Paul &amp; Associates specializes in strategic planning, facilitation, project management, business ethics, conflict resolution, third party intervention, evaluation, diversity training, interpersonal skills training, teamwork, and lean manufacturing."</f>
        <v>Isaac Paul &amp; Associates specializes in strategic planning, facilitation, project management, business ethics, conflict resolution, third party intervention, evaluation, diversity training, interpersonal skills training, teamwork, and lean manufacturing.</v>
      </c>
      <c r="D4747" s="3" t="s">
        <v>9</v>
      </c>
      <c r="E4747" s="3" t="s">
        <v>14207</v>
      </c>
      <c r="F4747" s="3" t="str">
        <f>"(812)426-2401"</f>
        <v>(812)426-2401</v>
      </c>
      <c r="G4747" s="3">
        <v>541611</v>
      </c>
      <c r="H4747" s="3" t="s">
        <v>278</v>
      </c>
    </row>
    <row r="4748" spans="1:8" ht="294" x14ac:dyDescent="0.25">
      <c r="A4748" s="3" t="s">
        <v>14208</v>
      </c>
      <c r="B4748" s="3"/>
      <c r="C4748" s="3" t="s">
        <v>14209</v>
      </c>
      <c r="D4748" s="3" t="s">
        <v>14210</v>
      </c>
      <c r="E4748" s="3" t="s">
        <v>14211</v>
      </c>
      <c r="F4748" s="3" t="str">
        <f>"317-767-7630"</f>
        <v>317-767-7630</v>
      </c>
      <c r="G4748" s="3">
        <v>541990</v>
      </c>
      <c r="H4748" s="3" t="s">
        <v>378</v>
      </c>
    </row>
    <row r="4749" spans="1:8" ht="51.75" x14ac:dyDescent="0.25">
      <c r="A4749" s="3" t="s">
        <v>14212</v>
      </c>
      <c r="B4749" s="3"/>
      <c r="C4749" s="3" t="str">
        <f>"Ivy Advising parters with schools, corporations and organizations to create products that empower students and young professionals."</f>
        <v>Ivy Advising parters with schools, corporations and organizations to create products that empower students and young professionals.</v>
      </c>
      <c r="D4749" s="3" t="s">
        <v>14213</v>
      </c>
      <c r="E4749" s="3" t="s">
        <v>14214</v>
      </c>
      <c r="F4749" s="3" t="str">
        <f>"317-209-4949"</f>
        <v>317-209-4949</v>
      </c>
      <c r="G4749" s="3">
        <v>611710</v>
      </c>
      <c r="H4749" s="3" t="s">
        <v>508</v>
      </c>
    </row>
    <row r="4750" spans="1:8" ht="77.25" x14ac:dyDescent="0.25">
      <c r="A4750" s="3" t="s">
        <v>14215</v>
      </c>
      <c r="B4750" s="3"/>
      <c r="C4750" s="3" t="str">
        <f>"Community College providing credit, non credit and continuing education that will result in achieving an Associate's Degree, Technical Certificate and Certifications in specfic areas related to Business and Industries in Indiana."</f>
        <v>Community College providing credit, non credit and continuing education that will result in achieving an Associate's Degree, Technical Certificate and Certifications in specfic areas related to Business and Industries in Indiana.</v>
      </c>
      <c r="D4750" s="3" t="s">
        <v>14216</v>
      </c>
      <c r="E4750" s="3" t="s">
        <v>14217</v>
      </c>
      <c r="F4750" s="3" t="str">
        <f>"317-968-1529"</f>
        <v>317-968-1529</v>
      </c>
      <c r="G4750" s="3">
        <v>611</v>
      </c>
      <c r="H4750" s="3" t="s">
        <v>140</v>
      </c>
    </row>
    <row r="4751" spans="1:8" ht="102.75" x14ac:dyDescent="0.25">
      <c r="A4751" s="3" t="s">
        <v>14218</v>
      </c>
      <c r="B4751" s="3"/>
      <c r="C4751" s="3" t="s">
        <v>14219</v>
      </c>
      <c r="D4751" s="3" t="s">
        <v>14220</v>
      </c>
      <c r="E4751" s="3" t="s">
        <v>14221</v>
      </c>
      <c r="F4751" s="3" t="str">
        <f>"(630)372-3900"</f>
        <v>(630)372-3900</v>
      </c>
      <c r="G4751" s="3">
        <v>541512</v>
      </c>
      <c r="H4751" s="3" t="s">
        <v>19</v>
      </c>
    </row>
    <row r="4752" spans="1:8" ht="26.25" x14ac:dyDescent="0.25">
      <c r="A4752" s="3" t="s">
        <v>14222</v>
      </c>
      <c r="B4752" s="3"/>
      <c r="C4752" s="3" t="str">
        <f>"Commercial and Residential development and construction as well as leasing."</f>
        <v>Commercial and Residential development and construction as well as leasing.</v>
      </c>
      <c r="D4752" s="3" t="s">
        <v>9</v>
      </c>
      <c r="E4752" s="3" t="s">
        <v>14223</v>
      </c>
      <c r="F4752" s="3" t="str">
        <f>"219-712-6090"</f>
        <v>219-712-6090</v>
      </c>
      <c r="G4752" s="3">
        <v>531390</v>
      </c>
      <c r="H4752" s="3" t="s">
        <v>623</v>
      </c>
    </row>
    <row r="4753" spans="1:8" ht="64.5" x14ac:dyDescent="0.25">
      <c r="A4753" s="3" t="s">
        <v>14224</v>
      </c>
      <c r="B4753" s="3"/>
      <c r="C4753" s="3" t="str">
        <f>"Distributor of electrical components - Circuit Breakers, transformers, light bulbs, fuses, wire, conduit, etc. Such manufacturer's as: Cutler-Hammer, GE, Cooper, and Pass &amp; Seymour ect."</f>
        <v>Distributor of electrical components - Circuit Breakers, transformers, light bulbs, fuses, wire, conduit, etc. Such manufacturer's as: Cutler-Hammer, GE, Cooper, and Pass &amp; Seymour ect.</v>
      </c>
      <c r="D4753" s="3" t="s">
        <v>14225</v>
      </c>
      <c r="E4753" s="3" t="s">
        <v>14226</v>
      </c>
      <c r="F4753" s="3" t="str">
        <f>"574-256-0599"</f>
        <v>574-256-0599</v>
      </c>
      <c r="G4753" s="3">
        <v>42161</v>
      </c>
      <c r="H4753" s="3" t="s">
        <v>6468</v>
      </c>
    </row>
    <row r="4754" spans="1:8" ht="51.75" x14ac:dyDescent="0.25">
      <c r="A4754" s="3" t="s">
        <v>14227</v>
      </c>
      <c r="B4754" s="3"/>
      <c r="C4754" s="3" t="str">
        <f>"Wholesale distribution of waterworks, sewer, septic and drainage materials. We offer large stock inventory and excellent product knowledge."</f>
        <v>Wholesale distribution of waterworks, sewer, septic and drainage materials. We offer large stock inventory and excellent product knowledge.</v>
      </c>
      <c r="D4754" s="3" t="s">
        <v>9</v>
      </c>
      <c r="E4754" s="3" t="s">
        <v>14228</v>
      </c>
      <c r="F4754" s="3" t="str">
        <f>"812-897-8888"</f>
        <v>812-897-8888</v>
      </c>
      <c r="G4754" s="3">
        <v>423720</v>
      </c>
      <c r="H4754" s="3" t="s">
        <v>2695</v>
      </c>
    </row>
    <row r="4755" spans="1:8" ht="77.25" x14ac:dyDescent="0.25">
      <c r="A4755" s="3" t="s">
        <v>14229</v>
      </c>
      <c r="B4755" s="3"/>
      <c r="C4755" s="3" t="str">
        <f>"J &amp; J Service Vending LLC, is a family start-up business that specializes in Vending machines and commercial food &amp; beverage. We will penetrate the vending industry with innovative, first to market, high quality vending service."</f>
        <v>J &amp; J Service Vending LLC, is a family start-up business that specializes in Vending machines and commercial food &amp; beverage. We will penetrate the vending industry with innovative, first to market, high quality vending service.</v>
      </c>
      <c r="D4755" s="3" t="s">
        <v>9</v>
      </c>
      <c r="E4755" s="3" t="s">
        <v>14230</v>
      </c>
      <c r="F4755" s="3" t="str">
        <f>"260-479-8363"</f>
        <v>260-479-8363</v>
      </c>
      <c r="G4755" s="3">
        <v>23599</v>
      </c>
      <c r="H4755" s="3" t="s">
        <v>248</v>
      </c>
    </row>
    <row r="4756" spans="1:8" ht="141" x14ac:dyDescent="0.25">
      <c r="A4756" s="3" t="s">
        <v>14231</v>
      </c>
      <c r="B4756" s="3"/>
      <c r="C4756" s="3" t="s">
        <v>14232</v>
      </c>
      <c r="D4756" s="3" t="s">
        <v>14233</v>
      </c>
      <c r="E4756" s="3" t="s">
        <v>14234</v>
      </c>
      <c r="F4756" s="3" t="str">
        <f>"7654579626"</f>
        <v>7654579626</v>
      </c>
      <c r="G4756" s="3">
        <v>339950</v>
      </c>
      <c r="H4756" s="3" t="s">
        <v>68</v>
      </c>
    </row>
    <row r="4757" spans="1:8" ht="179.25" x14ac:dyDescent="0.25">
      <c r="A4757" s="3" t="s">
        <v>14235</v>
      </c>
      <c r="B4757" s="3"/>
      <c r="C4757" s="3" t="s">
        <v>14236</v>
      </c>
      <c r="D4757" s="3" t="s">
        <v>14237</v>
      </c>
      <c r="E4757" s="3" t="s">
        <v>14238</v>
      </c>
      <c r="F4757" s="3" t="str">
        <f>"317-377-9878"</f>
        <v>317-377-9878</v>
      </c>
      <c r="G4757" s="3">
        <v>314912</v>
      </c>
      <c r="H4757" s="3" t="s">
        <v>2875</v>
      </c>
    </row>
    <row r="4758" spans="1:8" ht="102.75" x14ac:dyDescent="0.25">
      <c r="A4758" s="3" t="s">
        <v>14239</v>
      </c>
      <c r="B4758" s="3"/>
      <c r="C4758" s="3" t="s">
        <v>14240</v>
      </c>
      <c r="D4758" s="3" t="s">
        <v>14241</v>
      </c>
      <c r="E4758" s="3" t="s">
        <v>14242</v>
      </c>
      <c r="F4758" s="3" t="str">
        <f>"317-536-2011"</f>
        <v>317-536-2011</v>
      </c>
      <c r="G4758" s="3">
        <v>334413</v>
      </c>
      <c r="H4758" s="3" t="s">
        <v>14243</v>
      </c>
    </row>
    <row r="4759" spans="1:8" ht="51.75" x14ac:dyDescent="0.25">
      <c r="A4759" s="3" t="s">
        <v>14244</v>
      </c>
      <c r="B4759" s="3"/>
      <c r="C4759" s="3" t="str">
        <f>"We provide cellular service and satellite service to the Midwest for businesses and consumers. We also offer a wide range of wireless accessories for you cell phones"</f>
        <v>We provide cellular service and satellite service to the Midwest for businesses and consumers. We also offer a wide range of wireless accessories for you cell phones</v>
      </c>
      <c r="D4759" s="3" t="s">
        <v>14245</v>
      </c>
      <c r="E4759" s="3" t="s">
        <v>14246</v>
      </c>
      <c r="F4759" s="3" t="str">
        <f>"2606099000"</f>
        <v>2606099000</v>
      </c>
      <c r="G4759" s="3">
        <v>513322</v>
      </c>
      <c r="H4759" s="3" t="s">
        <v>6947</v>
      </c>
    </row>
    <row r="4760" spans="1:8" ht="90" x14ac:dyDescent="0.25">
      <c r="A4760" s="3" t="s">
        <v>14247</v>
      </c>
      <c r="B4760" s="3"/>
      <c r="C4760" s="3" t="s">
        <v>14248</v>
      </c>
      <c r="D4760" s="3" t="s">
        <v>14249</v>
      </c>
      <c r="E4760" s="3" t="s">
        <v>14250</v>
      </c>
      <c r="F4760" s="3" t="str">
        <f>"219-922-9300"</f>
        <v>219-922-9300</v>
      </c>
      <c r="G4760" s="3">
        <v>5617</v>
      </c>
      <c r="H4760" s="3" t="s">
        <v>812</v>
      </c>
    </row>
    <row r="4761" spans="1:8" x14ac:dyDescent="0.25">
      <c r="A4761" s="3" t="s">
        <v>14251</v>
      </c>
      <c r="B4761" s="3"/>
      <c r="C4761" s="2"/>
      <c r="D4761" s="3" t="s">
        <v>9</v>
      </c>
      <c r="E4761" s="3" t="s">
        <v>14252</v>
      </c>
      <c r="F4761" s="2"/>
      <c r="G4761" s="3">
        <v>561730</v>
      </c>
      <c r="H4761" s="3" t="s">
        <v>65</v>
      </c>
    </row>
    <row r="4762" spans="1:8" ht="39" x14ac:dyDescent="0.25">
      <c r="A4762" s="3" t="s">
        <v>14253</v>
      </c>
      <c r="B4762" s="3"/>
      <c r="C4762" s="3" t="str">
        <f>"Triaxel Dump Trucking. Hauling, sand, gravel, dirt, asphalt, concrete. If it goes in and comes out we haul it."</f>
        <v>Triaxel Dump Trucking. Hauling, sand, gravel, dirt, asphalt, concrete. If it goes in and comes out we haul it.</v>
      </c>
      <c r="D4762" s="3" t="s">
        <v>9</v>
      </c>
      <c r="E4762" s="3" t="s">
        <v>14254</v>
      </c>
      <c r="F4762" s="3" t="str">
        <f>"317-861-0621"</f>
        <v>317-861-0621</v>
      </c>
      <c r="G4762" s="3">
        <v>484220</v>
      </c>
      <c r="H4762" s="3" t="s">
        <v>11</v>
      </c>
    </row>
    <row r="4763" spans="1:8" ht="77.25" x14ac:dyDescent="0.25">
      <c r="A4763" s="3" t="s">
        <v>14255</v>
      </c>
      <c r="B4763" s="3"/>
      <c r="C4763" s="3" t="str">
        <f>"J And N Enterprises has been manufacturing quality gas detection products since 1980. Our easy use state-of-the-art instruments help you protect life, property, and the environment from combustible, toxic, and refrigerant gases."</f>
        <v>J And N Enterprises has been manufacturing quality gas detection products since 1980. Our easy use state-of-the-art instruments help you protect life, property, and the environment from combustible, toxic, and refrigerant gases.</v>
      </c>
      <c r="D4763" s="3" t="s">
        <v>14256</v>
      </c>
      <c r="E4763" s="3" t="s">
        <v>14257</v>
      </c>
      <c r="F4763" s="3" t="str">
        <f>"219-465-2700"</f>
        <v>219-465-2700</v>
      </c>
      <c r="G4763" s="3">
        <v>334519</v>
      </c>
      <c r="H4763" s="3" t="s">
        <v>702</v>
      </c>
    </row>
    <row r="4764" spans="1:8" ht="39" x14ac:dyDescent="0.25">
      <c r="A4764" s="3" t="s">
        <v>14258</v>
      </c>
      <c r="B4764" s="3"/>
      <c r="C4764" s="3" t="str">
        <f>"LAWN CARE, LAWN MAINTENANCE , LANDSCAPING, SEEDING , SODDING, IRRIGATION, SNOW REMOVAL, MOWING"</f>
        <v>LAWN CARE, LAWN MAINTENANCE , LANDSCAPING, SEEDING , SODDING, IRRIGATION, SNOW REMOVAL, MOWING</v>
      </c>
      <c r="D4764" s="3" t="s">
        <v>9</v>
      </c>
      <c r="E4764" s="3" t="s">
        <v>14259</v>
      </c>
      <c r="F4764" s="3" t="str">
        <f>"812-366-3994"</f>
        <v>812-366-3994</v>
      </c>
      <c r="G4764" s="3">
        <v>561730</v>
      </c>
      <c r="H4764" s="3" t="s">
        <v>65</v>
      </c>
    </row>
    <row r="4765" spans="1:8" ht="39" x14ac:dyDescent="0.25">
      <c r="A4765" s="3" t="s">
        <v>14260</v>
      </c>
      <c r="B4765" s="3"/>
      <c r="C4765" s="3" t="str">
        <f>"Graphic Painting: School Mascots and Emblems, Cartoons Decorative Arts and Faux Finishes, Logo Design"</f>
        <v>Graphic Painting: School Mascots and Emblems, Cartoons Decorative Arts and Faux Finishes, Logo Design</v>
      </c>
      <c r="D4765" s="3" t="s">
        <v>9</v>
      </c>
      <c r="E4765" s="3" t="s">
        <v>14261</v>
      </c>
      <c r="F4765" s="3" t="str">
        <f>"(513) 623-3061"</f>
        <v>(513) 623-3061</v>
      </c>
      <c r="G4765" s="3">
        <v>2352</v>
      </c>
      <c r="H4765" s="3" t="s">
        <v>462</v>
      </c>
    </row>
    <row r="4766" spans="1:8" ht="102.75" x14ac:dyDescent="0.25">
      <c r="A4766" s="3" t="s">
        <v>14262</v>
      </c>
      <c r="B4766" s="3"/>
      <c r="C4766" s="3" t="s">
        <v>14263</v>
      </c>
      <c r="D4766" s="3" t="s">
        <v>14264</v>
      </c>
      <c r="E4766" s="3" t="s">
        <v>14265</v>
      </c>
      <c r="F4766" s="3" t="str">
        <f>"317/501 8090"</f>
        <v>317/501 8090</v>
      </c>
      <c r="G4766" s="3">
        <v>812990</v>
      </c>
      <c r="H4766" s="3" t="s">
        <v>294</v>
      </c>
    </row>
    <row r="4767" spans="1:8" ht="26.25" x14ac:dyDescent="0.25">
      <c r="A4767" s="3" t="s">
        <v>14266</v>
      </c>
      <c r="B4767" s="3"/>
      <c r="C4767" s="3" t="str">
        <f>"Paint supplier for industry, commercial and residential."</f>
        <v>Paint supplier for industry, commercial and residential.</v>
      </c>
      <c r="D4767" s="3" t="s">
        <v>9</v>
      </c>
      <c r="E4767" s="3" t="s">
        <v>46</v>
      </c>
      <c r="F4767" s="3" t="str">
        <f>"765-345-5088"</f>
        <v>765-345-5088</v>
      </c>
      <c r="G4767" s="3">
        <v>421</v>
      </c>
      <c r="H4767" s="3" t="s">
        <v>3013</v>
      </c>
    </row>
    <row r="4768" spans="1:8" ht="39" x14ac:dyDescent="0.25">
      <c r="A4768" s="3" t="s">
        <v>14267</v>
      </c>
      <c r="B4768" s="3"/>
      <c r="C4768" s="3" t="str">
        <f>"We are a mechanical and electrical contractor. We provide new installation as well as service of existing systems."</f>
        <v>We are a mechanical and electrical contractor. We provide new installation as well as service of existing systems.</v>
      </c>
      <c r="D4768" s="3" t="s">
        <v>14268</v>
      </c>
      <c r="E4768" s="3" t="s">
        <v>14269</v>
      </c>
      <c r="F4768" s="3" t="str">
        <f>"(317) 351-1890"</f>
        <v>(317) 351-1890</v>
      </c>
      <c r="G4768" s="3">
        <v>238220</v>
      </c>
      <c r="H4768" s="3" t="s">
        <v>348</v>
      </c>
    </row>
    <row r="4769" spans="1:8" ht="26.25" x14ac:dyDescent="0.25">
      <c r="A4769" s="3" t="s">
        <v>14270</v>
      </c>
      <c r="B4769" s="3"/>
      <c r="C4769" s="3" t="str">
        <f>"Automotive upholstery."</f>
        <v>Automotive upholstery.</v>
      </c>
      <c r="D4769" s="3" t="s">
        <v>9</v>
      </c>
      <c r="E4769" s="3" t="s">
        <v>46</v>
      </c>
      <c r="F4769" s="3" t="str">
        <f>"317-783-3943"</f>
        <v>317-783-3943</v>
      </c>
      <c r="G4769" s="3">
        <v>811121</v>
      </c>
      <c r="H4769" s="3" t="s">
        <v>1432</v>
      </c>
    </row>
    <row r="4770" spans="1:8" ht="39" x14ac:dyDescent="0.25">
      <c r="A4770" s="3" t="s">
        <v>14271</v>
      </c>
      <c r="B4770" s="3"/>
      <c r="C4770" s="3" t="str">
        <f>"Tri-Axle local Hauling Evansville, IN and surrounding areas and Henderson, KY (Dirt, Sand, Rock)"</f>
        <v>Tri-Axle local Hauling Evansville, IN and surrounding areas and Henderson, KY (Dirt, Sand, Rock)</v>
      </c>
      <c r="D4770" s="3" t="s">
        <v>9</v>
      </c>
      <c r="E4770" s="3" t="s">
        <v>14272</v>
      </c>
      <c r="F4770" s="3" t="str">
        <f>"812-963-3151"</f>
        <v>812-963-3151</v>
      </c>
      <c r="G4770" s="3">
        <v>484110</v>
      </c>
      <c r="H4770" s="3" t="s">
        <v>644</v>
      </c>
    </row>
    <row r="4771" spans="1:8" ht="26.25" x14ac:dyDescent="0.25">
      <c r="A4771" s="3" t="s">
        <v>14273</v>
      </c>
      <c r="B4771" s="3"/>
      <c r="C4771" s="3" t="str">
        <f>"Heavy Highway Contractors, Asphalt and Concrete Pavers"</f>
        <v>Heavy Highway Contractors, Asphalt and Concrete Pavers</v>
      </c>
      <c r="D4771" s="3" t="s">
        <v>14274</v>
      </c>
      <c r="E4771" s="3" t="s">
        <v>14275</v>
      </c>
      <c r="F4771" s="3" t="str">
        <f>"812-476-4921"</f>
        <v>812-476-4921</v>
      </c>
      <c r="G4771" s="3">
        <v>237310</v>
      </c>
      <c r="H4771" s="3" t="s">
        <v>768</v>
      </c>
    </row>
    <row r="4772" spans="1:8" ht="26.25" x14ac:dyDescent="0.25">
      <c r="A4772" s="3" t="s">
        <v>14276</v>
      </c>
      <c r="B4772" s="3"/>
      <c r="C4772" s="3" t="str">
        <f>"Professional office and clerical staffing. On-line testing and training"</f>
        <v>Professional office and clerical staffing. On-line testing and training</v>
      </c>
      <c r="D4772" s="3" t="s">
        <v>9</v>
      </c>
      <c r="E4772" s="3" t="s">
        <v>14277</v>
      </c>
      <c r="F4772" s="3" t="str">
        <f>"260-432-3800"</f>
        <v>260-432-3800</v>
      </c>
      <c r="G4772" s="3">
        <v>5613</v>
      </c>
      <c r="H4772" s="3" t="s">
        <v>1882</v>
      </c>
    </row>
    <row r="4773" spans="1:8" ht="192" x14ac:dyDescent="0.25">
      <c r="A4773" s="3" t="s">
        <v>14278</v>
      </c>
      <c r="B4773" s="3"/>
      <c r="C4773" s="3" t="s">
        <v>14279</v>
      </c>
      <c r="D4773" s="3" t="s">
        <v>14280</v>
      </c>
      <c r="E4773" s="3" t="s">
        <v>14281</v>
      </c>
      <c r="F4773" s="3" t="str">
        <f>"(317) 560-4246"</f>
        <v>(317) 560-4246</v>
      </c>
      <c r="G4773" s="3">
        <v>54132</v>
      </c>
      <c r="H4773" s="3" t="s">
        <v>2241</v>
      </c>
    </row>
    <row r="4774" spans="1:8" ht="64.5" x14ac:dyDescent="0.25">
      <c r="A4774" s="3" t="s">
        <v>14282</v>
      </c>
      <c r="B4774" s="3"/>
      <c r="C4774" s="3" t="str">
        <f>"Training and consulting on human resources critical skills: diversity, customer service, life, employability, computer and supervisory skills, communication, conflict resolution skills."</f>
        <v>Training and consulting on human resources critical skills: diversity, customer service, life, employability, computer and supervisory skills, communication, conflict resolution skills.</v>
      </c>
      <c r="D4774" s="3" t="s">
        <v>14283</v>
      </c>
      <c r="E4774" s="3" t="s">
        <v>14284</v>
      </c>
      <c r="F4774" s="3" t="str">
        <f>"706.340.0169"</f>
        <v>706.340.0169</v>
      </c>
      <c r="G4774" s="3">
        <v>54161</v>
      </c>
      <c r="H4774" s="3" t="s">
        <v>1221</v>
      </c>
    </row>
    <row r="4775" spans="1:8" ht="39" x14ac:dyDescent="0.25">
      <c r="A4775" s="3" t="s">
        <v>14285</v>
      </c>
      <c r="B4775" s="3"/>
      <c r="C4775" s="3" t="str">
        <f>"our services include but not limited to:office janitorial; residential; construction clean up; rental/ apartment cleaning."</f>
        <v>our services include but not limited to:office janitorial; residential; construction clean up; rental/ apartment cleaning.</v>
      </c>
      <c r="D4775" s="3" t="s">
        <v>9</v>
      </c>
      <c r="E4775" s="3" t="s">
        <v>14286</v>
      </c>
      <c r="F4775" s="3" t="str">
        <f>"(317) 435-1979"</f>
        <v>(317) 435-1979</v>
      </c>
      <c r="G4775" s="3">
        <v>11</v>
      </c>
      <c r="H4775" s="3" t="s">
        <v>175</v>
      </c>
    </row>
    <row r="4776" spans="1:8" ht="141" x14ac:dyDescent="0.25">
      <c r="A4776" s="3" t="s">
        <v>14287</v>
      </c>
      <c r="B4776" s="3"/>
      <c r="C4776" s="3" t="s">
        <v>14288</v>
      </c>
      <c r="D4776" s="3" t="s">
        <v>14289</v>
      </c>
      <c r="E4776" s="3" t="s">
        <v>14290</v>
      </c>
      <c r="F4776" s="3" t="str">
        <f>"(260) 824-1600"</f>
        <v>(260) 824-1600</v>
      </c>
      <c r="G4776" s="3">
        <v>4461</v>
      </c>
      <c r="H4776" s="3" t="s">
        <v>1202</v>
      </c>
    </row>
    <row r="4777" spans="1:8" ht="217.5" x14ac:dyDescent="0.25">
      <c r="A4777" s="3" t="s">
        <v>14291</v>
      </c>
      <c r="B4777" s="3"/>
      <c r="C4777" s="3" t="s">
        <v>14292</v>
      </c>
      <c r="D4777" s="3" t="s">
        <v>14293</v>
      </c>
      <c r="E4777" s="3" t="s">
        <v>14294</v>
      </c>
      <c r="F4777" s="3" t="str">
        <f>"800-423-5638"</f>
        <v>800-423-5638</v>
      </c>
      <c r="G4777" s="3">
        <v>337</v>
      </c>
      <c r="H4777" s="3" t="s">
        <v>6695</v>
      </c>
    </row>
    <row r="4778" spans="1:8" x14ac:dyDescent="0.25">
      <c r="A4778" s="3" t="s">
        <v>14295</v>
      </c>
      <c r="B4778" s="3"/>
      <c r="C4778" s="2"/>
      <c r="D4778" s="3" t="s">
        <v>9</v>
      </c>
      <c r="E4778" s="3" t="s">
        <v>46</v>
      </c>
      <c r="F4778" s="2"/>
      <c r="G4778" s="3">
        <v>722310</v>
      </c>
      <c r="H4778" s="3" t="s">
        <v>3051</v>
      </c>
    </row>
    <row r="4779" spans="1:8" ht="26.25" x14ac:dyDescent="0.25">
      <c r="A4779" s="3" t="s">
        <v>14296</v>
      </c>
      <c r="B4779" s="3"/>
      <c r="C4779" s="3" t="str">
        <f>" "</f>
        <v xml:space="preserve"> </v>
      </c>
      <c r="D4779" s="3" t="s">
        <v>14297</v>
      </c>
      <c r="E4779" s="3" t="s">
        <v>14298</v>
      </c>
      <c r="F4779" s="3" t="str">
        <f>"317-414-5304"</f>
        <v>317-414-5304</v>
      </c>
      <c r="G4779" s="3">
        <v>53132</v>
      </c>
      <c r="H4779" s="3" t="s">
        <v>34</v>
      </c>
    </row>
    <row r="4780" spans="1:8" ht="26.25" x14ac:dyDescent="0.25">
      <c r="A4780" s="3" t="s">
        <v>14299</v>
      </c>
      <c r="B4780" s="3"/>
      <c r="C4780" s="3" t="str">
        <f>"Commercial communications sales and service of two-way radio and related items"</f>
        <v>Commercial communications sales and service of two-way radio and related items</v>
      </c>
      <c r="D4780" s="3" t="s">
        <v>9</v>
      </c>
      <c r="E4780" s="3" t="s">
        <v>14300</v>
      </c>
      <c r="F4780" s="3" t="str">
        <f>"317-696-8746"</f>
        <v>317-696-8746</v>
      </c>
      <c r="G4780" s="3">
        <v>811213</v>
      </c>
      <c r="H4780" s="3" t="s">
        <v>1077</v>
      </c>
    </row>
    <row r="4781" spans="1:8" ht="26.25" x14ac:dyDescent="0.25">
      <c r="A4781" s="3" t="s">
        <v>14299</v>
      </c>
      <c r="B4781" s="3"/>
      <c r="C4781" s="3" t="str">
        <f>"Sales and service of two-way radios, mobile video, satellite phones, and vehicle lighting"</f>
        <v>Sales and service of two-way radios, mobile video, satellite phones, and vehicle lighting</v>
      </c>
      <c r="D4781" s="3" t="s">
        <v>9</v>
      </c>
      <c r="E4781" s="3" t="s">
        <v>14300</v>
      </c>
      <c r="F4781" s="3" t="str">
        <f>"317-696-8746"</f>
        <v>317-696-8746</v>
      </c>
      <c r="G4781" s="3">
        <v>811213</v>
      </c>
      <c r="H4781" s="3" t="s">
        <v>1077</v>
      </c>
    </row>
    <row r="4782" spans="1:8" ht="26.25" x14ac:dyDescent="0.25">
      <c r="A4782" s="3" t="s">
        <v>14301</v>
      </c>
      <c r="B4782" s="3"/>
      <c r="C4782" s="3" t="str">
        <f>" "</f>
        <v xml:space="preserve"> </v>
      </c>
      <c r="D4782" s="3" t="s">
        <v>9</v>
      </c>
      <c r="E4782" s="3" t="s">
        <v>46</v>
      </c>
      <c r="F4782" s="3" t="str">
        <f>"812-988-8000"</f>
        <v>812-988-8000</v>
      </c>
      <c r="G4782" s="3">
        <v>562</v>
      </c>
      <c r="H4782" s="3" t="s">
        <v>2798</v>
      </c>
    </row>
    <row r="4783" spans="1:8" ht="90" x14ac:dyDescent="0.25">
      <c r="A4783" s="3" t="s">
        <v>14302</v>
      </c>
      <c r="B4783" s="3"/>
      <c r="C4783" s="3" t="s">
        <v>14303</v>
      </c>
      <c r="D4783" s="3" t="s">
        <v>14304</v>
      </c>
      <c r="E4783" s="3" t="s">
        <v>14305</v>
      </c>
      <c r="F4783" s="3" t="str">
        <f>"812-897-8888"</f>
        <v>812-897-8888</v>
      </c>
      <c r="G4783" s="3">
        <v>423990</v>
      </c>
      <c r="H4783" s="3" t="s">
        <v>983</v>
      </c>
    </row>
    <row r="4784" spans="1:8" ht="26.25" x14ac:dyDescent="0.25">
      <c r="A4784" s="3" t="s">
        <v>14306</v>
      </c>
      <c r="B4784" s="3"/>
      <c r="C4784" s="3" t="str">
        <f>"Manufacturer of Safety Bollards and General Pipe Bollards."</f>
        <v>Manufacturer of Safety Bollards and General Pipe Bollards.</v>
      </c>
      <c r="D4784" s="3" t="s">
        <v>14307</v>
      </c>
      <c r="E4784" s="3" t="s">
        <v>14308</v>
      </c>
      <c r="F4784" s="3" t="str">
        <f>"206.276.6621"</f>
        <v>206.276.6621</v>
      </c>
      <c r="G4784" s="3">
        <v>3312</v>
      </c>
      <c r="H4784" s="3" t="s">
        <v>1251</v>
      </c>
    </row>
    <row r="4785" spans="1:8" x14ac:dyDescent="0.25">
      <c r="A4785" s="3" t="s">
        <v>14309</v>
      </c>
      <c r="B4785" s="3"/>
      <c r="C4785" s="3" t="str">
        <f>"Haul aggregate,sand,gravel and trucking"</f>
        <v>Haul aggregate,sand,gravel and trucking</v>
      </c>
      <c r="D4785" s="3" t="s">
        <v>9</v>
      </c>
      <c r="E4785" s="3" t="s">
        <v>46</v>
      </c>
      <c r="F4785" s="2"/>
      <c r="G4785" s="3">
        <v>23411</v>
      </c>
      <c r="H4785" s="3" t="s">
        <v>2406</v>
      </c>
    </row>
    <row r="4786" spans="1:8" x14ac:dyDescent="0.25">
      <c r="A4786" s="3" t="s">
        <v>14310</v>
      </c>
      <c r="B4786" s="3"/>
      <c r="C4786" s="3" t="str">
        <f>" "</f>
        <v xml:space="preserve"> </v>
      </c>
      <c r="D4786" s="3" t="s">
        <v>9</v>
      </c>
      <c r="E4786" s="3" t="s">
        <v>46</v>
      </c>
      <c r="F4786" s="2"/>
      <c r="G4786" s="3">
        <v>48</v>
      </c>
      <c r="H4786" s="3" t="s">
        <v>104</v>
      </c>
    </row>
    <row r="4787" spans="1:8" ht="141" x14ac:dyDescent="0.25">
      <c r="A4787" s="3" t="s">
        <v>14311</v>
      </c>
      <c r="B4787" s="3"/>
      <c r="C4787" s="3" t="s">
        <v>14312</v>
      </c>
      <c r="D4787" s="3" t="s">
        <v>14313</v>
      </c>
      <c r="E4787" s="3" t="s">
        <v>14314</v>
      </c>
      <c r="F4787" s="3" t="str">
        <f>"317-271-2050"</f>
        <v>317-271-2050</v>
      </c>
      <c r="G4787" s="3">
        <v>443112</v>
      </c>
      <c r="H4787" s="3" t="s">
        <v>3890</v>
      </c>
    </row>
    <row r="4788" spans="1:8" x14ac:dyDescent="0.25">
      <c r="A4788" s="3" t="s">
        <v>14315</v>
      </c>
      <c r="B4788" s="3"/>
      <c r="C4788" s="3" t="str">
        <f>" "</f>
        <v xml:space="preserve"> </v>
      </c>
      <c r="D4788" s="3" t="s">
        <v>9</v>
      </c>
      <c r="E4788" s="3" t="s">
        <v>46</v>
      </c>
      <c r="F4788" s="2"/>
      <c r="G4788" s="3">
        <v>561720</v>
      </c>
      <c r="H4788" s="3" t="s">
        <v>222</v>
      </c>
    </row>
    <row r="4789" spans="1:8" ht="39" x14ac:dyDescent="0.25">
      <c r="A4789" s="3" t="s">
        <v>14316</v>
      </c>
      <c r="B4789" s="3"/>
      <c r="C4789" s="3" t="str">
        <f>"Residential and commercial sealcoating, crack filling, and striping lawn maintenance and snowplowing."</f>
        <v>Residential and commercial sealcoating, crack filling, and striping lawn maintenance and snowplowing.</v>
      </c>
      <c r="D4789" s="3" t="s">
        <v>9</v>
      </c>
      <c r="E4789" s="3" t="s">
        <v>14317</v>
      </c>
      <c r="F4789" s="3" t="str">
        <f>"219-575-8353"</f>
        <v>219-575-8353</v>
      </c>
      <c r="G4789" s="3">
        <v>454390</v>
      </c>
      <c r="H4789" s="3" t="s">
        <v>1348</v>
      </c>
    </row>
    <row r="4790" spans="1:8" ht="77.25" x14ac:dyDescent="0.25">
      <c r="A4790" s="3" t="s">
        <v>14318</v>
      </c>
      <c r="B4790" s="3"/>
      <c r="C4790" s="3" t="str">
        <f>"Metal Contract Mfg. for the Orthopedic &amp; Aerospace Industries, CNC Swiss and Vertical Machining, Polish-Debur, Finishing to Blueprint Dimensions, Gate-Removal, Weld, FPI-X-Ray, Layout Inspection, Blueprint Copying Services"</f>
        <v>Metal Contract Mfg. for the Orthopedic &amp; Aerospace Industries, CNC Swiss and Vertical Machining, Polish-Debur, Finishing to Blueprint Dimensions, Gate-Removal, Weld, FPI-X-Ray, Layout Inspection, Blueprint Copying Services</v>
      </c>
      <c r="D4790" s="3" t="s">
        <v>14319</v>
      </c>
      <c r="E4790" s="3" t="s">
        <v>14320</v>
      </c>
      <c r="F4790" s="3" t="str">
        <f>"(219) 325-3588"</f>
        <v>(219) 325-3588</v>
      </c>
      <c r="G4790" s="3">
        <v>332813</v>
      </c>
      <c r="H4790" s="3" t="s">
        <v>12139</v>
      </c>
    </row>
    <row r="4791" spans="1:8" ht="26.25" x14ac:dyDescent="0.25">
      <c r="A4791" s="3" t="s">
        <v>14321</v>
      </c>
      <c r="B4791" s="3"/>
      <c r="C4791" s="3" t="str">
        <f>"right-of-way and large area mowing"</f>
        <v>right-of-way and large area mowing</v>
      </c>
      <c r="D4791" s="3" t="s">
        <v>9</v>
      </c>
      <c r="E4791" s="3" t="s">
        <v>14322</v>
      </c>
      <c r="F4791" s="3" t="str">
        <f>"317-979-7805"</f>
        <v>317-979-7805</v>
      </c>
      <c r="G4791" s="3">
        <v>561730</v>
      </c>
      <c r="H4791" s="3" t="s">
        <v>65</v>
      </c>
    </row>
    <row r="4792" spans="1:8" ht="26.25" x14ac:dyDescent="0.25">
      <c r="A4792" s="3" t="s">
        <v>14323</v>
      </c>
      <c r="B4792" s="3"/>
      <c r="C4792" s="3" t="str">
        <f>"paint contractor, residential and commercial"</f>
        <v>paint contractor, residential and commercial</v>
      </c>
      <c r="D4792" s="3" t="s">
        <v>9</v>
      </c>
      <c r="E4792" s="3" t="s">
        <v>14324</v>
      </c>
      <c r="F4792" s="3" t="str">
        <f>"812-277-1305"</f>
        <v>812-277-1305</v>
      </c>
      <c r="G4792" s="3">
        <v>2352</v>
      </c>
      <c r="H4792" s="3" t="s">
        <v>462</v>
      </c>
    </row>
    <row r="4793" spans="1:8" ht="77.25" x14ac:dyDescent="0.25">
      <c r="A4793" s="3" t="s">
        <v>14325</v>
      </c>
      <c r="B4793" s="3"/>
      <c r="C4793" s="3" t="str">
        <f>"J-N-S Electrical Service Co. will provide fire/water restoration &amp; repairs supported by insurance referrals, solutions for inspection reports, residential &amp; light commercial service work, new home electric, and remodel electric."</f>
        <v>J-N-S Electrical Service Co. will provide fire/water restoration &amp; repairs supported by insurance referrals, solutions for inspection reports, residential &amp; light commercial service work, new home electric, and remodel electric.</v>
      </c>
      <c r="D4793" s="3" t="s">
        <v>14326</v>
      </c>
      <c r="E4793" s="3" t="s">
        <v>14327</v>
      </c>
      <c r="F4793" s="3" t="str">
        <f>"317-945-2488"</f>
        <v>317-945-2488</v>
      </c>
      <c r="G4793" s="3">
        <v>238210</v>
      </c>
      <c r="H4793" s="3" t="s">
        <v>306</v>
      </c>
    </row>
    <row r="4794" spans="1:8" ht="90" x14ac:dyDescent="0.25">
      <c r="A4794" s="3" t="s">
        <v>14328</v>
      </c>
      <c r="B4794" s="3"/>
      <c r="C4794" s="3" t="str">
        <f>"Web Canopy Studio is a website development, print media marketing, and internet marketing business located in Richmond, IN. We offer advertising and web services for local businesses, large corporations, non-profits, and academic institutions."</f>
        <v>Web Canopy Studio is a website development, print media marketing, and internet marketing business located in Richmond, IN. We offer advertising and web services for local businesses, large corporations, non-profits, and academic institutions.</v>
      </c>
      <c r="D4794" s="3" t="s">
        <v>14329</v>
      </c>
      <c r="E4794" s="3" t="s">
        <v>14330</v>
      </c>
      <c r="F4794" s="3" t="str">
        <f>"765-821-2108"</f>
        <v>765-821-2108</v>
      </c>
      <c r="G4794" s="3">
        <v>54143</v>
      </c>
      <c r="H4794" s="3" t="s">
        <v>78</v>
      </c>
    </row>
    <row r="4795" spans="1:8" ht="64.5" x14ac:dyDescent="0.25">
      <c r="A4795" s="3" t="s">
        <v>14331</v>
      </c>
      <c r="B4795" s="3"/>
      <c r="C4795" s="3" t="str">
        <f>"J. Burks Painting provides exterior and interior painting services for Indianapolis and surrounding areas. We specialize in home construction, commercial and residential re-paints."</f>
        <v>J. Burks Painting provides exterior and interior painting services for Indianapolis and surrounding areas. We specialize in home construction, commercial and residential re-paints.</v>
      </c>
      <c r="D4795" s="3" t="s">
        <v>14332</v>
      </c>
      <c r="E4795" s="3" t="s">
        <v>14333</v>
      </c>
      <c r="F4795" s="3" t="str">
        <f>"317-872-3739"</f>
        <v>317-872-3739</v>
      </c>
      <c r="G4795" s="3">
        <v>2352</v>
      </c>
      <c r="H4795" s="3" t="s">
        <v>462</v>
      </c>
    </row>
    <row r="4796" spans="1:8" ht="230.25" x14ac:dyDescent="0.25">
      <c r="A4796" s="3" t="s">
        <v>14334</v>
      </c>
      <c r="B4796" s="3"/>
      <c r="C4796" s="3" t="s">
        <v>14335</v>
      </c>
      <c r="D4796" s="3" t="s">
        <v>14336</v>
      </c>
      <c r="E4796" s="3" t="s">
        <v>14337</v>
      </c>
      <c r="F4796" s="3" t="str">
        <f>"3172541508"</f>
        <v>3172541508</v>
      </c>
      <c r="G4796" s="3">
        <v>454390</v>
      </c>
      <c r="H4796" s="3" t="s">
        <v>1348</v>
      </c>
    </row>
    <row r="4797" spans="1:8" ht="77.25" x14ac:dyDescent="0.25">
      <c r="A4797" s="3" t="s">
        <v>14338</v>
      </c>
      <c r="B4797" s="3"/>
      <c r="C4797" s="3" t="str">
        <f>"Our company installs utility poles, street lighting as well as aboveground and underground electrical lines; we also install underground piping for water lines and we install fiber optic cables and lines for the telecommunication industry."</f>
        <v>Our company installs utility poles, street lighting as well as aboveground and underground electrical lines; we also install underground piping for water lines and we install fiber optic cables and lines for the telecommunication industry.</v>
      </c>
      <c r="D4797" s="3" t="s">
        <v>9</v>
      </c>
      <c r="E4797" s="3" t="s">
        <v>14339</v>
      </c>
      <c r="F4797" s="3" t="str">
        <f>"812-497-3380"</f>
        <v>812-497-3380</v>
      </c>
      <c r="G4797" s="3">
        <v>2353</v>
      </c>
      <c r="H4797" s="3" t="s">
        <v>306</v>
      </c>
    </row>
    <row r="4798" spans="1:8" ht="51.75" x14ac:dyDescent="0.25">
      <c r="A4798" s="3" t="s">
        <v>14340</v>
      </c>
      <c r="B4798" s="3"/>
      <c r="C4798" s="3" t="str">
        <f>"Mechanical Contractor and Service company providing 24 hour/7 day a week services to customers in the Tri-State area of souther Indiana."</f>
        <v>Mechanical Contractor and Service company providing 24 hour/7 day a week services to customers in the Tri-State area of souther Indiana.</v>
      </c>
      <c r="D4798" s="3" t="s">
        <v>14341</v>
      </c>
      <c r="E4798" s="3" t="s">
        <v>14342</v>
      </c>
      <c r="F4798" s="3" t="str">
        <f>"812-425-9131"</f>
        <v>812-425-9131</v>
      </c>
      <c r="G4798" s="3">
        <v>23822</v>
      </c>
      <c r="H4798" s="3" t="s">
        <v>348</v>
      </c>
    </row>
    <row r="4799" spans="1:8" ht="77.25" x14ac:dyDescent="0.25">
      <c r="A4799" s="3" t="s">
        <v>14343</v>
      </c>
      <c r="B4799" s="3"/>
      <c r="C4799" s="3" t="str">
        <f>"Publishing and printing including workplace safety (OSHA) signs, labels, forms, training videos/DVDs, software, and safety supplies. Safety forms, signs, labels, publications for all manner of truch and bus operations. Consulting in both areas."</f>
        <v>Publishing and printing including workplace safety (OSHA) signs, labels, forms, training videos/DVDs, software, and safety supplies. Safety forms, signs, labels, publications for all manner of truch and bus operations. Consulting in both areas.</v>
      </c>
      <c r="D4799" s="3" t="s">
        <v>14344</v>
      </c>
      <c r="E4799" s="3" t="s">
        <v>14345</v>
      </c>
      <c r="F4799" s="3" t="str">
        <f>"800-327-6868"</f>
        <v>800-327-6868</v>
      </c>
      <c r="G4799" s="3">
        <v>32311</v>
      </c>
      <c r="H4799" s="3" t="s">
        <v>531</v>
      </c>
    </row>
    <row r="4800" spans="1:8" x14ac:dyDescent="0.25">
      <c r="A4800" s="3" t="s">
        <v>14346</v>
      </c>
      <c r="B4800" s="3"/>
      <c r="C4800" s="3" t="str">
        <f>"General Contractor / Construction Manager"</f>
        <v>General Contractor / Construction Manager</v>
      </c>
      <c r="D4800" s="3" t="s">
        <v>9</v>
      </c>
      <c r="E4800" s="3" t="s">
        <v>46</v>
      </c>
      <c r="F4800" s="2"/>
      <c r="G4800" s="3">
        <v>23</v>
      </c>
      <c r="H4800" s="3" t="s">
        <v>133</v>
      </c>
    </row>
    <row r="4801" spans="1:8" ht="51.75" x14ac:dyDescent="0.25">
      <c r="A4801" s="3" t="s">
        <v>14347</v>
      </c>
      <c r="B4801" s="3"/>
      <c r="C4801" s="3" t="str">
        <f>"Supplier/Distribution Strategic chain manager. I help businesses in Indiana get contracts working as an independent Sales Consultant."</f>
        <v>Supplier/Distribution Strategic chain manager. I help businesses in Indiana get contracts working as an independent Sales Consultant.</v>
      </c>
      <c r="D4801" s="3" t="s">
        <v>14348</v>
      </c>
      <c r="E4801" s="3" t="s">
        <v>14349</v>
      </c>
      <c r="F4801" s="3" t="str">
        <f>"8127468142"</f>
        <v>8127468142</v>
      </c>
      <c r="G4801" s="3">
        <v>332116</v>
      </c>
      <c r="H4801" s="3" t="s">
        <v>2954</v>
      </c>
    </row>
    <row r="4802" spans="1:8" ht="39" x14ac:dyDescent="0.25">
      <c r="A4802" s="3" t="s">
        <v>14350</v>
      </c>
      <c r="B4802" s="3"/>
      <c r="C4802" s="3" t="str">
        <f>"Engineering consulting firm specializing in historic restoration of bridges and structures"</f>
        <v>Engineering consulting firm specializing in historic restoration of bridges and structures</v>
      </c>
      <c r="D4802" s="3" t="s">
        <v>14351</v>
      </c>
      <c r="E4802" s="3" t="s">
        <v>14352</v>
      </c>
      <c r="F4802" s="3" t="str">
        <f>"812-332-5944"</f>
        <v>812-332-5944</v>
      </c>
      <c r="G4802" s="3">
        <v>54133</v>
      </c>
      <c r="H4802" s="3" t="s">
        <v>82</v>
      </c>
    </row>
    <row r="4803" spans="1:8" ht="51.75" x14ac:dyDescent="0.25">
      <c r="A4803" s="3" t="s">
        <v>14353</v>
      </c>
      <c r="B4803" s="3"/>
      <c r="C4803" s="3" t="str">
        <f>"We specialize in heat press, silk screen, embroidery and custom vinyl lettering for individuals or businesses. We also do sublimation work for retail or wholesale."</f>
        <v>We specialize in heat press, silk screen, embroidery and custom vinyl lettering for individuals or businesses. We also do sublimation work for retail or wholesale.</v>
      </c>
      <c r="D4803" s="3" t="s">
        <v>14354</v>
      </c>
      <c r="E4803" s="3" t="s">
        <v>14355</v>
      </c>
      <c r="F4803" s="3" t="str">
        <f>"765-349-0484"</f>
        <v>765-349-0484</v>
      </c>
      <c r="G4803" s="3">
        <v>323113</v>
      </c>
      <c r="H4803" s="3" t="s">
        <v>1606</v>
      </c>
    </row>
    <row r="4804" spans="1:8" ht="192" x14ac:dyDescent="0.25">
      <c r="A4804" s="3" t="s">
        <v>14356</v>
      </c>
      <c r="B4804" s="3"/>
      <c r="C4804" s="3" t="s">
        <v>14357</v>
      </c>
      <c r="D4804" s="3" t="s">
        <v>9</v>
      </c>
      <c r="E4804" s="3" t="s">
        <v>14358</v>
      </c>
      <c r="F4804" s="3" t="str">
        <f>"317/873-3383"</f>
        <v>317/873-3383</v>
      </c>
      <c r="G4804" s="3">
        <v>236220</v>
      </c>
      <c r="H4804" s="3" t="s">
        <v>598</v>
      </c>
    </row>
    <row r="4805" spans="1:8" ht="102.75" x14ac:dyDescent="0.25">
      <c r="A4805" s="3" t="s">
        <v>14359</v>
      </c>
      <c r="B4805" s="3"/>
      <c r="C4805" s="3" t="s">
        <v>14360</v>
      </c>
      <c r="D4805" s="3" t="s">
        <v>14361</v>
      </c>
      <c r="E4805" s="3" t="s">
        <v>14362</v>
      </c>
      <c r="F4805" s="3" t="str">
        <f>"765-742-1117"</f>
        <v>765-742-1117</v>
      </c>
      <c r="G4805" s="3">
        <v>812210</v>
      </c>
      <c r="H4805" s="3" t="s">
        <v>11582</v>
      </c>
    </row>
    <row r="4806" spans="1:8" ht="51.75" x14ac:dyDescent="0.25">
      <c r="A4806" s="3" t="s">
        <v>14363</v>
      </c>
      <c r="B4806" s="3"/>
      <c r="C4806" s="3" t="str">
        <f>"My company will provide services and communication on behalf of the buyer or seller in the wholesale distribution of Durable and Nondurable goods."</f>
        <v>My company will provide services and communication on behalf of the buyer or seller in the wholesale distribution of Durable and Nondurable goods.</v>
      </c>
      <c r="D4806" s="3" t="s">
        <v>9</v>
      </c>
      <c r="E4806" s="3" t="s">
        <v>14364</v>
      </c>
      <c r="F4806" s="3" t="str">
        <f>"812-385-3747"</f>
        <v>812-385-3747</v>
      </c>
      <c r="G4806" s="3">
        <v>425120</v>
      </c>
      <c r="H4806" s="3" t="s">
        <v>58</v>
      </c>
    </row>
    <row r="4807" spans="1:8" ht="115.5" x14ac:dyDescent="0.25">
      <c r="A4807" s="3" t="s">
        <v>14365</v>
      </c>
      <c r="B4807" s="3"/>
      <c r="C4807" s="3" t="s">
        <v>14366</v>
      </c>
      <c r="D4807" s="3" t="s">
        <v>14367</v>
      </c>
      <c r="E4807" s="3" t="s">
        <v>14368</v>
      </c>
      <c r="F4807" s="3" t="str">
        <f>"(317) 897-4277"</f>
        <v>(317) 897-4277</v>
      </c>
      <c r="G4807" s="3">
        <v>453998</v>
      </c>
      <c r="H4807" s="3" t="s">
        <v>112</v>
      </c>
    </row>
    <row r="4808" spans="1:8" ht="77.25" x14ac:dyDescent="0.25">
      <c r="A4808" s="3" t="s">
        <v>14369</v>
      </c>
      <c r="B4808" s="3"/>
      <c r="C4808" s="3" t="str">
        <f>"Commercial two-way radio sales and service, tower maintenance, GPS vehicle tracking systems, Hoosier SAFE-T compatible radios, complete vehicle installations, on-site service and inhouse repairs"</f>
        <v>Commercial two-way radio sales and service, tower maintenance, GPS vehicle tracking systems, Hoosier SAFE-T compatible radios, complete vehicle installations, on-site service and inhouse repairs</v>
      </c>
      <c r="D4808" s="3" t="s">
        <v>9</v>
      </c>
      <c r="E4808" s="3" t="s">
        <v>14370</v>
      </c>
      <c r="F4808" s="3" t="str">
        <f>"317-788-4594"</f>
        <v>317-788-4594</v>
      </c>
      <c r="G4808" s="3">
        <v>443112</v>
      </c>
      <c r="H4808" s="3" t="s">
        <v>3890</v>
      </c>
    </row>
    <row r="4809" spans="1:8" ht="306.75" x14ac:dyDescent="0.25">
      <c r="A4809" s="3" t="s">
        <v>14371</v>
      </c>
      <c r="B4809" s="3"/>
      <c r="C4809" s="3" t="s">
        <v>14372</v>
      </c>
      <c r="D4809" s="3" t="s">
        <v>14373</v>
      </c>
      <c r="E4809" s="3" t="s">
        <v>14374</v>
      </c>
      <c r="F4809" s="3" t="str">
        <f>"574-586-3400"</f>
        <v>574-586-3400</v>
      </c>
      <c r="G4809" s="3">
        <v>541620</v>
      </c>
      <c r="H4809" s="3" t="s">
        <v>216</v>
      </c>
    </row>
    <row r="4810" spans="1:8" ht="243" x14ac:dyDescent="0.25">
      <c r="A4810" s="3" t="s">
        <v>14375</v>
      </c>
      <c r="B4810" s="3"/>
      <c r="C4810" s="3" t="s">
        <v>14376</v>
      </c>
      <c r="D4810" s="3" t="s">
        <v>14367</v>
      </c>
      <c r="E4810" s="3" t="s">
        <v>14368</v>
      </c>
      <c r="F4810" s="3" t="str">
        <f>"317-897-4277"</f>
        <v>317-897-4277</v>
      </c>
      <c r="G4810" s="3">
        <v>453998</v>
      </c>
      <c r="H4810" s="3" t="s">
        <v>112</v>
      </c>
    </row>
    <row r="4811" spans="1:8" ht="77.25" x14ac:dyDescent="0.25">
      <c r="A4811" s="3" t="s">
        <v>14377</v>
      </c>
      <c r="B4811" s="3"/>
      <c r="C4811" s="3" t="str">
        <f>"Organization and systems development &amp; training. Change management, strategic planniing, leadership development, executive training/coaching. Training and development program design and implementation."</f>
        <v>Organization and systems development &amp; training. Change management, strategic planniing, leadership development, executive training/coaching. Training and development program design and implementation.</v>
      </c>
      <c r="D4811" s="3" t="s">
        <v>9</v>
      </c>
      <c r="E4811" s="3" t="s">
        <v>14378</v>
      </c>
      <c r="F4811" s="3" t="str">
        <f>"317-259-9437"</f>
        <v>317-259-9437</v>
      </c>
      <c r="G4811" s="3">
        <v>541990</v>
      </c>
      <c r="H4811" s="3" t="s">
        <v>378</v>
      </c>
    </row>
    <row r="4812" spans="1:8" ht="26.25" x14ac:dyDescent="0.25">
      <c r="A4812" s="3" t="s">
        <v>14379</v>
      </c>
      <c r="B4812" s="3"/>
      <c r="C4812" s="3" t="str">
        <f>"excavation and farm drainage"</f>
        <v>excavation and farm drainage</v>
      </c>
      <c r="D4812" s="3" t="s">
        <v>9</v>
      </c>
      <c r="E4812" s="3" t="s">
        <v>14380</v>
      </c>
      <c r="F4812" s="3" t="str">
        <f>"8122952068"</f>
        <v>8122952068</v>
      </c>
      <c r="G4812" s="3">
        <v>238910</v>
      </c>
      <c r="H4812" s="3" t="s">
        <v>886</v>
      </c>
    </row>
    <row r="4813" spans="1:8" ht="153.75" x14ac:dyDescent="0.25">
      <c r="A4813" s="3" t="s">
        <v>14381</v>
      </c>
      <c r="B4813" s="3"/>
      <c r="C4813" s="3" t="s">
        <v>14382</v>
      </c>
      <c r="D4813" s="3" t="s">
        <v>9</v>
      </c>
      <c r="E4813" s="3" t="s">
        <v>14383</v>
      </c>
      <c r="F4813" s="3" t="str">
        <f>"317-354-1513"</f>
        <v>317-354-1513</v>
      </c>
      <c r="G4813" s="3">
        <v>332</v>
      </c>
      <c r="H4813" s="3" t="s">
        <v>2580</v>
      </c>
    </row>
    <row r="4814" spans="1:8" ht="26.25" x14ac:dyDescent="0.25">
      <c r="A4814" s="3" t="s">
        <v>14384</v>
      </c>
      <c r="B4814" s="3"/>
      <c r="C4814" s="3" t="str">
        <f>"Components for Furniture and Cabinetry Cut-To-Size Edgebanding Machining"</f>
        <v>Components for Furniture and Cabinetry Cut-To-Size Edgebanding Machining</v>
      </c>
      <c r="D4814" s="3" t="s">
        <v>14385</v>
      </c>
      <c r="E4814" s="3" t="s">
        <v>14386</v>
      </c>
      <c r="F4814" s="3" t="str">
        <f>"812-246-5439"</f>
        <v>812-246-5439</v>
      </c>
      <c r="G4814" s="3">
        <v>337</v>
      </c>
      <c r="H4814" s="3" t="s">
        <v>6695</v>
      </c>
    </row>
    <row r="4815" spans="1:8" ht="64.5" x14ac:dyDescent="0.25">
      <c r="A4815" s="3" t="s">
        <v>14387</v>
      </c>
      <c r="B4815" s="3"/>
      <c r="C4815" s="3" t="str">
        <f>"Supplier of apparel, awards,gifts,trade show products, toys and several thousands of items for marketing and promoting of a company with the use of their trademark logo."</f>
        <v>Supplier of apparel, awards,gifts,trade show products, toys and several thousands of items for marketing and promoting of a company with the use of their trademark logo.</v>
      </c>
      <c r="D4815" s="3" t="s">
        <v>9</v>
      </c>
      <c r="E4815" s="3" t="s">
        <v>14388</v>
      </c>
      <c r="F4815" s="2"/>
      <c r="G4815" s="3">
        <v>813910</v>
      </c>
      <c r="H4815" s="3" t="s">
        <v>1906</v>
      </c>
    </row>
    <row r="4816" spans="1:8" ht="26.25" x14ac:dyDescent="0.25">
      <c r="A4816" s="3" t="s">
        <v>14389</v>
      </c>
      <c r="B4816" s="3"/>
      <c r="C4816" s="3" t="str">
        <f>"General and industrial hardware, plumbing, electricial, fastners, ect."</f>
        <v>General and industrial hardware, plumbing, electricial, fastners, ect.</v>
      </c>
      <c r="D4816" s="3" t="s">
        <v>9</v>
      </c>
      <c r="E4816" s="3" t="s">
        <v>46</v>
      </c>
      <c r="F4816" s="2"/>
      <c r="G4816" s="3">
        <v>444130</v>
      </c>
      <c r="H4816" s="3" t="s">
        <v>2597</v>
      </c>
    </row>
    <row r="4817" spans="1:8" ht="51.75" x14ac:dyDescent="0.25">
      <c r="A4817" s="3" t="s">
        <v>14390</v>
      </c>
      <c r="B4817" s="3"/>
      <c r="C4817" s="3" t="str">
        <f>"J.R. Rentals rents event and party equipment. We also do planning and setup and almost everything related to events of any size."</f>
        <v>J.R. Rentals rents event and party equipment. We also do planning and setup and almost everything related to events of any size.</v>
      </c>
      <c r="D4817" s="3" t="s">
        <v>14391</v>
      </c>
      <c r="E4817" s="3" t="s">
        <v>14392</v>
      </c>
      <c r="F4817" s="3" t="str">
        <f>"(317) 839-0938"</f>
        <v>(317) 839-0938</v>
      </c>
      <c r="G4817" s="3">
        <v>532299</v>
      </c>
      <c r="H4817" s="3" t="s">
        <v>1379</v>
      </c>
    </row>
    <row r="4818" spans="1:8" ht="51.75" x14ac:dyDescent="0.25">
      <c r="A4818" s="3" t="s">
        <v>14393</v>
      </c>
      <c r="B4818" s="3"/>
      <c r="C4818" s="3" t="str">
        <f>"Insured, heavy equip oper, excavating, grading, drainage, dump truck, install septic systems, break concrete - haul away, site clearing, bull dozing, landscaping,"</f>
        <v>Insured, heavy equip oper, excavating, grading, drainage, dump truck, install septic systems, break concrete - haul away, site clearing, bull dozing, landscaping,</v>
      </c>
      <c r="D4818" s="3" t="s">
        <v>9</v>
      </c>
      <c r="E4818" s="3" t="s">
        <v>14394</v>
      </c>
      <c r="F4818" s="3" t="str">
        <f>"317-539-5256"</f>
        <v>317-539-5256</v>
      </c>
      <c r="G4818" s="3">
        <v>238990</v>
      </c>
      <c r="H4818" s="3" t="s">
        <v>481</v>
      </c>
    </row>
    <row r="4819" spans="1:8" ht="51.75" x14ac:dyDescent="0.25">
      <c r="A4819" s="3" t="s">
        <v>14395</v>
      </c>
      <c r="B4819" s="3"/>
      <c r="C4819" s="3" t="str">
        <f>"J.T.L. Services is a full service electrical contractor. Specializing in electrical maintenance, new construction and repair contracts."</f>
        <v>J.T.L. Services is a full service electrical contractor. Specializing in electrical maintenance, new construction and repair contracts.</v>
      </c>
      <c r="D4819" s="3" t="s">
        <v>9</v>
      </c>
      <c r="E4819" s="3" t="s">
        <v>46</v>
      </c>
      <c r="F4819" s="2"/>
      <c r="G4819" s="3">
        <v>2353</v>
      </c>
      <c r="H4819" s="3" t="s">
        <v>306</v>
      </c>
    </row>
    <row r="4820" spans="1:8" x14ac:dyDescent="0.25">
      <c r="A4820" s="3" t="s">
        <v>14396</v>
      </c>
      <c r="B4820" s="3"/>
      <c r="C4820" s="3" t="str">
        <f>" "</f>
        <v xml:space="preserve"> </v>
      </c>
      <c r="D4820" s="3" t="s">
        <v>9</v>
      </c>
      <c r="E4820" s="3" t="s">
        <v>46</v>
      </c>
      <c r="F4820" s="2"/>
      <c r="G4820" s="3">
        <v>922160</v>
      </c>
      <c r="H4820" s="3" t="s">
        <v>2246</v>
      </c>
    </row>
    <row r="4821" spans="1:8" ht="141" x14ac:dyDescent="0.25">
      <c r="A4821" s="3" t="s">
        <v>14397</v>
      </c>
      <c r="B4821" s="3"/>
      <c r="C4821" s="3" t="s">
        <v>14398</v>
      </c>
      <c r="D4821" s="3" t="s">
        <v>14399</v>
      </c>
      <c r="E4821" s="3" t="s">
        <v>14400</v>
      </c>
      <c r="F4821" s="3" t="str">
        <f>"317-602-3940"</f>
        <v>317-602-3940</v>
      </c>
      <c r="G4821" s="3">
        <v>424720</v>
      </c>
      <c r="H4821" s="3" t="s">
        <v>6992</v>
      </c>
    </row>
    <row r="4822" spans="1:8" ht="77.25" x14ac:dyDescent="0.25">
      <c r="A4822" s="3" t="s">
        <v>14401</v>
      </c>
      <c r="B4822" s="3"/>
      <c r="C4822" s="3" t="str">
        <f>"J3 Concepts is a planning and development consulting firm. As social entrepreneurs, we work with public and private sector organizations to plan and implement projects and programs that enhance quality of life and vitality of communities."</f>
        <v>J3 Concepts is a planning and development consulting firm. As social entrepreneurs, we work with public and private sector organizations to plan and implement projects and programs that enhance quality of life and vitality of communities.</v>
      </c>
      <c r="D4822" s="3" t="s">
        <v>14402</v>
      </c>
      <c r="E4822" s="3" t="s">
        <v>14403</v>
      </c>
      <c r="F4822" s="3" t="str">
        <f>"812-993-0039"</f>
        <v>812-993-0039</v>
      </c>
      <c r="G4822" s="3">
        <v>541320</v>
      </c>
      <c r="H4822" s="3" t="s">
        <v>2241</v>
      </c>
    </row>
    <row r="4823" spans="1:8" ht="179.25" x14ac:dyDescent="0.25">
      <c r="A4823" s="3" t="s">
        <v>14404</v>
      </c>
      <c r="B4823" s="3"/>
      <c r="C4823" s="3" t="s">
        <v>14405</v>
      </c>
      <c r="D4823" s="3" t="s">
        <v>14406</v>
      </c>
      <c r="E4823" s="3" t="s">
        <v>14407</v>
      </c>
      <c r="F4823" s="3" t="str">
        <f>"317-979-0772"</f>
        <v>317-979-0772</v>
      </c>
      <c r="G4823" s="3">
        <v>812990</v>
      </c>
      <c r="H4823" s="3" t="s">
        <v>294</v>
      </c>
    </row>
    <row r="4824" spans="1:8" ht="26.25" x14ac:dyDescent="0.25">
      <c r="A4824" s="3" t="s">
        <v>14408</v>
      </c>
      <c r="B4824" s="3"/>
      <c r="C4824" s="3" t="str">
        <f>"Insurance sales."</f>
        <v>Insurance sales.</v>
      </c>
      <c r="D4824" s="3" t="s">
        <v>9</v>
      </c>
      <c r="E4824" s="3" t="s">
        <v>46</v>
      </c>
      <c r="F4824" s="3" t="str">
        <f>"317-865-7764"</f>
        <v>317-865-7764</v>
      </c>
      <c r="G4824" s="3">
        <v>52421</v>
      </c>
      <c r="H4824" s="3" t="s">
        <v>1183</v>
      </c>
    </row>
    <row r="4825" spans="1:8" ht="153.75" x14ac:dyDescent="0.25">
      <c r="A4825" s="3" t="s">
        <v>14409</v>
      </c>
      <c r="B4825" s="3"/>
      <c r="C4825" s="3" t="s">
        <v>14410</v>
      </c>
      <c r="D4825" s="3" t="s">
        <v>14411</v>
      </c>
      <c r="E4825" s="3" t="s">
        <v>14412</v>
      </c>
      <c r="F4825" s="3" t="str">
        <f>"765-282-0204"</f>
        <v>765-282-0204</v>
      </c>
      <c r="G4825" s="3">
        <v>443130</v>
      </c>
      <c r="H4825" s="3" t="s">
        <v>10630</v>
      </c>
    </row>
    <row r="4826" spans="1:8" ht="90" x14ac:dyDescent="0.25">
      <c r="A4826" s="3" t="s">
        <v>14413</v>
      </c>
      <c r="B4826" s="3"/>
      <c r="C4826" s="3" t="str">
        <f>"Jackson Jennings Coop is a farmer owned cooperative supplying agricultural inputs and petroleum products throughout Southern Indiana. In addition, to transport &amp; tankwagon delivery, we offer 5 convenient store locations and operate on farm &amp; home store."</f>
        <v>Jackson Jennings Coop is a farmer owned cooperative supplying agricultural inputs and petroleum products throughout Southern Indiana. In addition, to transport &amp; tankwagon delivery, we offer 5 convenient store locations and operate on farm &amp; home store.</v>
      </c>
      <c r="D4826" s="3" t="s">
        <v>14414</v>
      </c>
      <c r="E4826" s="3" t="s">
        <v>14415</v>
      </c>
      <c r="F4826" s="3" t="str">
        <f>"812-522-4911"</f>
        <v>812-522-4911</v>
      </c>
      <c r="G4826" s="3">
        <v>11511</v>
      </c>
      <c r="H4826" s="3" t="s">
        <v>10602</v>
      </c>
    </row>
    <row r="4827" spans="1:8" ht="26.25" x14ac:dyDescent="0.25">
      <c r="A4827" s="3" t="s">
        <v>14416</v>
      </c>
      <c r="B4827" s="3"/>
      <c r="C4827" s="3" t="str">
        <f>"Indiana based fuel and lubricant distributor."</f>
        <v>Indiana based fuel and lubricant distributor.</v>
      </c>
      <c r="D4827" s="3" t="s">
        <v>14417</v>
      </c>
      <c r="E4827" s="3" t="s">
        <v>14418</v>
      </c>
      <c r="F4827" s="3" t="str">
        <f>"317-636-4421"</f>
        <v>317-636-4421</v>
      </c>
      <c r="G4827" s="3">
        <v>45431</v>
      </c>
      <c r="H4827" s="3" t="s">
        <v>13772</v>
      </c>
    </row>
    <row r="4828" spans="1:8" ht="64.5" x14ac:dyDescent="0.25">
      <c r="A4828" s="3" t="s">
        <v>14419</v>
      </c>
      <c r="B4828" s="3"/>
      <c r="C4828" s="3" t="str">
        <f>"Jaden Transport is a women owned dump truck and bulk cement transportation business. The main objective is the delivery of dry bulk materials. We provide great customer service and competive rates"</f>
        <v>Jaden Transport is a women owned dump truck and bulk cement transportation business. The main objective is the delivery of dry bulk materials. We provide great customer service and competive rates</v>
      </c>
      <c r="D4828" s="3" t="s">
        <v>9</v>
      </c>
      <c r="E4828" s="3" t="s">
        <v>14420</v>
      </c>
      <c r="F4828" s="3" t="str">
        <f>"317-780-6161"</f>
        <v>317-780-6161</v>
      </c>
      <c r="G4828" s="3">
        <v>484110</v>
      </c>
      <c r="H4828" s="3" t="s">
        <v>644</v>
      </c>
    </row>
    <row r="4829" spans="1:8" ht="128.25" x14ac:dyDescent="0.25">
      <c r="A4829" s="3" t="s">
        <v>14421</v>
      </c>
      <c r="B4829" s="3"/>
      <c r="C4829" s="3" t="s">
        <v>14422</v>
      </c>
      <c r="D4829" s="3" t="s">
        <v>14423</v>
      </c>
      <c r="E4829" s="3" t="s">
        <v>14424</v>
      </c>
      <c r="F4829" s="3" t="str">
        <f>"(260)443-6010"</f>
        <v>(260)443-6010</v>
      </c>
      <c r="G4829" s="3">
        <v>541611</v>
      </c>
      <c r="H4829" s="3" t="s">
        <v>278</v>
      </c>
    </row>
    <row r="4830" spans="1:8" ht="115.5" x14ac:dyDescent="0.25">
      <c r="A4830" s="3" t="s">
        <v>14425</v>
      </c>
      <c r="B4830" s="3"/>
      <c r="C4830" s="3" t="s">
        <v>14426</v>
      </c>
      <c r="D4830" s="3" t="s">
        <v>14427</v>
      </c>
      <c r="E4830" s="3" t="s">
        <v>14428</v>
      </c>
      <c r="F4830" s="3" t="str">
        <f>"260.627.0400"</f>
        <v>260.627.0400</v>
      </c>
      <c r="G4830" s="3">
        <v>541890</v>
      </c>
      <c r="H4830" s="3" t="s">
        <v>401</v>
      </c>
    </row>
    <row r="4831" spans="1:8" ht="26.25" x14ac:dyDescent="0.25">
      <c r="A4831" s="3" t="s">
        <v>14429</v>
      </c>
      <c r="B4831" s="3"/>
      <c r="C4831" s="3" t="str">
        <f>"Supply construction labor for commercial general construction projects"</f>
        <v>Supply construction labor for commercial general construction projects</v>
      </c>
      <c r="D4831" s="3" t="s">
        <v>9</v>
      </c>
      <c r="E4831" s="3" t="s">
        <v>46</v>
      </c>
      <c r="F4831" s="3" t="str">
        <f>"317-697-3641"</f>
        <v>317-697-3641</v>
      </c>
      <c r="G4831" s="3">
        <v>236220</v>
      </c>
      <c r="H4831" s="3" t="s">
        <v>598</v>
      </c>
    </row>
    <row r="4832" spans="1:8" ht="51.75" x14ac:dyDescent="0.25">
      <c r="A4832" s="3" t="s">
        <v>14430</v>
      </c>
      <c r="B4832" s="3"/>
      <c r="C4832" s="3" t="str">
        <f>"Design/Fabrication of signs, structures, exhibits, themed environments. Interpretive/environmental graphics and print communications."</f>
        <v>Design/Fabrication of signs, structures, exhibits, themed environments. Interpretive/environmental graphics and print communications.</v>
      </c>
      <c r="D4832" s="3" t="s">
        <v>9</v>
      </c>
      <c r="E4832" s="3" t="s">
        <v>14431</v>
      </c>
      <c r="F4832" s="3" t="str">
        <f>"3175090423"</f>
        <v>3175090423</v>
      </c>
      <c r="G4832" s="3">
        <v>81</v>
      </c>
      <c r="H4832" s="3" t="s">
        <v>751</v>
      </c>
    </row>
    <row r="4833" spans="1:8" ht="306.75" x14ac:dyDescent="0.25">
      <c r="A4833" s="3" t="s">
        <v>14432</v>
      </c>
      <c r="B4833" s="3"/>
      <c r="C4833" s="3" t="s">
        <v>14433</v>
      </c>
      <c r="D4833" s="3" t="s">
        <v>14434</v>
      </c>
      <c r="E4833" s="3" t="s">
        <v>14435</v>
      </c>
      <c r="F4833" s="3" t="str">
        <f>"317-773-8781"</f>
        <v>317-773-8781</v>
      </c>
      <c r="G4833" s="3">
        <v>624310</v>
      </c>
      <c r="H4833" s="3" t="s">
        <v>488</v>
      </c>
    </row>
    <row r="4834" spans="1:8" ht="64.5" x14ac:dyDescent="0.25">
      <c r="A4834" s="3" t="s">
        <v>14436</v>
      </c>
      <c r="B4834" s="3"/>
      <c r="C4834" s="3" t="str">
        <f>"JAS sells new and used post-press equipment as well as parts, supplies and service. We are a full service turn-key dealer and offer roller recovery and complete rebuilds for Stahl &amp; Baum folders."</f>
        <v>JAS sells new and used post-press equipment as well as parts, supplies and service. We are a full service turn-key dealer and offer roller recovery and complete rebuilds for Stahl &amp; Baum folders.</v>
      </c>
      <c r="D4834" s="3" t="s">
        <v>14437</v>
      </c>
      <c r="E4834" s="3" t="s">
        <v>14438</v>
      </c>
      <c r="F4834" s="3" t="str">
        <f>"317-782-0517"</f>
        <v>317-782-0517</v>
      </c>
      <c r="G4834" s="3">
        <v>32312</v>
      </c>
      <c r="H4834" s="3" t="s">
        <v>7526</v>
      </c>
    </row>
    <row r="4835" spans="1:8" ht="26.25" x14ac:dyDescent="0.25">
      <c r="A4835" s="3" t="s">
        <v>14439</v>
      </c>
      <c r="B4835" s="3"/>
      <c r="C4835" s="3" t="str">
        <f>"Sales ,service, and supplies of vacuum cleaners and sewing machines"</f>
        <v>Sales ,service, and supplies of vacuum cleaners and sewing machines</v>
      </c>
      <c r="D4835" s="3" t="s">
        <v>9</v>
      </c>
      <c r="E4835" s="3" t="s">
        <v>14440</v>
      </c>
      <c r="F4835" s="3" t="str">
        <f>"812-482-6366"</f>
        <v>812-482-6366</v>
      </c>
      <c r="G4835" s="3">
        <v>443111</v>
      </c>
      <c r="H4835" s="3" t="s">
        <v>11614</v>
      </c>
    </row>
    <row r="4836" spans="1:8" ht="39" x14ac:dyDescent="0.25">
      <c r="A4836" s="3" t="s">
        <v>14441</v>
      </c>
      <c r="B4836" s="3"/>
      <c r="C4836" s="3" t="str">
        <f>"Wholesale Distributor, Electrical and Plumbing Products, Trade"</f>
        <v>Wholesale Distributor, Electrical and Plumbing Products, Trade</v>
      </c>
      <c r="D4836" s="3" t="s">
        <v>9</v>
      </c>
      <c r="E4836" s="3" t="s">
        <v>46</v>
      </c>
      <c r="F4836" s="3" t="str">
        <f>"812-634-2656"</f>
        <v>812-634-2656</v>
      </c>
      <c r="G4836" s="3">
        <v>42161</v>
      </c>
      <c r="H4836" s="3" t="s">
        <v>6468</v>
      </c>
    </row>
    <row r="4837" spans="1:8" ht="115.5" x14ac:dyDescent="0.25">
      <c r="A4837" s="3" t="s">
        <v>14442</v>
      </c>
      <c r="B4837" s="3"/>
      <c r="C4837" s="3" t="s">
        <v>14443</v>
      </c>
      <c r="D4837" s="3" t="s">
        <v>9</v>
      </c>
      <c r="E4837" s="3" t="s">
        <v>14444</v>
      </c>
      <c r="F4837" s="3" t="str">
        <f>"317-513-6044"</f>
        <v>317-513-6044</v>
      </c>
      <c r="G4837" s="3">
        <v>23599</v>
      </c>
      <c r="H4837" s="3" t="s">
        <v>248</v>
      </c>
    </row>
    <row r="4838" spans="1:8" ht="26.25" x14ac:dyDescent="0.25">
      <c r="A4838" s="3" t="s">
        <v>14445</v>
      </c>
      <c r="B4838" s="3"/>
      <c r="C4838" s="3" t="str">
        <f>"AUTOBODY COLLISION CENTER, CAR AUDIO, AND MOTORSPORTS DIVISION"</f>
        <v>AUTOBODY COLLISION CENTER, CAR AUDIO, AND MOTORSPORTS DIVISION</v>
      </c>
      <c r="D4838" s="3" t="s">
        <v>9</v>
      </c>
      <c r="E4838" s="3" t="s">
        <v>14446</v>
      </c>
      <c r="F4838" s="3" t="str">
        <f>"812-268-3803"</f>
        <v>812-268-3803</v>
      </c>
      <c r="G4838" s="3">
        <v>81112</v>
      </c>
      <c r="H4838" s="3" t="s">
        <v>3041</v>
      </c>
    </row>
    <row r="4839" spans="1:8" ht="39" x14ac:dyDescent="0.25">
      <c r="A4839" s="3" t="s">
        <v>14447</v>
      </c>
      <c r="B4839" s="3"/>
      <c r="C4839" s="3" t="str">
        <f>"We sell and install window treatments of every type including shutters. We also have rugs and pillows to match."</f>
        <v>We sell and install window treatments of every type including shutters. We also have rugs and pillows to match.</v>
      </c>
      <c r="D4839" s="3" t="s">
        <v>14448</v>
      </c>
      <c r="E4839" s="3" t="s">
        <v>14449</v>
      </c>
      <c r="F4839" s="3" t="str">
        <f>"317-483-3221"</f>
        <v>317-483-3221</v>
      </c>
      <c r="G4839" s="3">
        <v>442291</v>
      </c>
      <c r="H4839" s="3" t="s">
        <v>3812</v>
      </c>
    </row>
    <row r="4840" spans="1:8" ht="90" x14ac:dyDescent="0.25">
      <c r="A4840" s="3" t="s">
        <v>14450</v>
      </c>
      <c r="B4840" s="3"/>
      <c r="C4840" s="3" t="s">
        <v>14451</v>
      </c>
      <c r="D4840" s="3" t="s">
        <v>14452</v>
      </c>
      <c r="E4840" s="3" t="s">
        <v>14453</v>
      </c>
      <c r="F4840" s="3" t="str">
        <f>"812-332-0606"</f>
        <v>812-332-0606</v>
      </c>
      <c r="G4840" s="3">
        <v>484</v>
      </c>
      <c r="H4840" s="3" t="s">
        <v>3647</v>
      </c>
    </row>
    <row r="4841" spans="1:8" ht="319.5" x14ac:dyDescent="0.25">
      <c r="A4841" s="3" t="s">
        <v>14454</v>
      </c>
      <c r="B4841" s="3"/>
      <c r="C4841" s="3" t="s">
        <v>14455</v>
      </c>
      <c r="D4841" s="3" t="s">
        <v>14456</v>
      </c>
      <c r="E4841" s="3" t="s">
        <v>14457</v>
      </c>
      <c r="F4841" s="3" t="str">
        <f>"317-576-1100"</f>
        <v>317-576-1100</v>
      </c>
      <c r="G4841" s="3">
        <v>423490</v>
      </c>
      <c r="H4841" s="3" t="s">
        <v>1510</v>
      </c>
    </row>
    <row r="4842" spans="1:8" ht="26.25" x14ac:dyDescent="0.25">
      <c r="A4842" s="3" t="s">
        <v>14458</v>
      </c>
      <c r="B4842" s="3"/>
      <c r="C4842" s="3" t="str">
        <f>"Janitor to the planet."</f>
        <v>Janitor to the planet.</v>
      </c>
      <c r="D4842" s="3" t="s">
        <v>9</v>
      </c>
      <c r="E4842" s="3" t="s">
        <v>46</v>
      </c>
      <c r="F4842" s="3" t="str">
        <f>"317-894-0454"</f>
        <v>317-894-0454</v>
      </c>
      <c r="G4842" s="3">
        <v>541620</v>
      </c>
      <c r="H4842" s="3" t="s">
        <v>216</v>
      </c>
    </row>
    <row r="4843" spans="1:8" ht="26.25" x14ac:dyDescent="0.25">
      <c r="A4843" s="3" t="s">
        <v>14459</v>
      </c>
      <c r="B4843" s="3"/>
      <c r="C4843" s="3" t="str">
        <f>"General Construction Services of multi-family projects"</f>
        <v>General Construction Services of multi-family projects</v>
      </c>
      <c r="D4843" s="3" t="s">
        <v>9</v>
      </c>
      <c r="E4843" s="3" t="s">
        <v>14460</v>
      </c>
      <c r="F4843" s="2"/>
      <c r="G4843" s="3">
        <v>236116</v>
      </c>
      <c r="H4843" s="3" t="s">
        <v>438</v>
      </c>
    </row>
    <row r="4844" spans="1:8" ht="141" x14ac:dyDescent="0.25">
      <c r="A4844" s="3" t="s">
        <v>14461</v>
      </c>
      <c r="B4844" s="3"/>
      <c r="C4844" s="3" t="s">
        <v>14462</v>
      </c>
      <c r="D4844" s="3" t="s">
        <v>14463</v>
      </c>
      <c r="E4844" s="3" t="s">
        <v>14464</v>
      </c>
      <c r="F4844" s="3" t="str">
        <f>"317-879-9049"</f>
        <v>317-879-9049</v>
      </c>
      <c r="G4844" s="3">
        <v>423430</v>
      </c>
      <c r="H4844" s="3" t="s">
        <v>127</v>
      </c>
    </row>
    <row r="4845" spans="1:8" ht="39" x14ac:dyDescent="0.25">
      <c r="A4845" s="3" t="s">
        <v>14465</v>
      </c>
      <c r="B4845" s="3"/>
      <c r="C4845" s="3" t="str">
        <f>"Manufacturing, repackaging, and distributor of water and waste water treatment chemicals."</f>
        <v>Manufacturing, repackaging, and distributor of water and waste water treatment chemicals.</v>
      </c>
      <c r="D4845" s="3" t="s">
        <v>14466</v>
      </c>
      <c r="E4845" s="3" t="s">
        <v>14467</v>
      </c>
      <c r="F4845" s="3" t="str">
        <f>"317.787.8382"</f>
        <v>317.787.8382</v>
      </c>
      <c r="G4845" s="3">
        <v>424690</v>
      </c>
      <c r="H4845" s="3" t="s">
        <v>2494</v>
      </c>
    </row>
    <row r="4846" spans="1:8" ht="26.25" x14ac:dyDescent="0.25">
      <c r="A4846" s="3" t="s">
        <v>14468</v>
      </c>
      <c r="B4846" s="3"/>
      <c r="C4846" s="3" t="str">
        <f>" "</f>
        <v xml:space="preserve"> </v>
      </c>
      <c r="D4846" s="3" t="s">
        <v>14469</v>
      </c>
      <c r="E4846" s="3" t="s">
        <v>14470</v>
      </c>
      <c r="F4846" s="3" t="str">
        <f>"317-632-7659"</f>
        <v>317-632-7659</v>
      </c>
      <c r="G4846" s="3">
        <v>561720</v>
      </c>
      <c r="H4846" s="3" t="s">
        <v>222</v>
      </c>
    </row>
    <row r="4847" spans="1:8" ht="90" x14ac:dyDescent="0.25">
      <c r="A4847" s="3" t="s">
        <v>14471</v>
      </c>
      <c r="B4847" s="3"/>
      <c r="C4847" s="3" t="s">
        <v>14472</v>
      </c>
      <c r="D4847" s="3" t="s">
        <v>14473</v>
      </c>
      <c r="E4847" s="3" t="s">
        <v>14474</v>
      </c>
      <c r="F4847" s="3" t="str">
        <f>"219-252-7303"</f>
        <v>219-252-7303</v>
      </c>
      <c r="G4847" s="3">
        <v>541211</v>
      </c>
      <c r="H4847" s="3" t="s">
        <v>337</v>
      </c>
    </row>
    <row r="4848" spans="1:8" ht="39" x14ac:dyDescent="0.25">
      <c r="A4848" s="3" t="s">
        <v>14475</v>
      </c>
      <c r="B4848" s="3"/>
      <c r="C4848" s="3" t="str">
        <f>"My business handles Septic &amp; Sewer Lines, Water Lines, Basements, Ponds, Landscaping."</f>
        <v>My business handles Septic &amp; Sewer Lines, Water Lines, Basements, Ponds, Landscaping.</v>
      </c>
      <c r="D4848" s="3" t="s">
        <v>9</v>
      </c>
      <c r="E4848" s="3" t="s">
        <v>14476</v>
      </c>
      <c r="F4848" s="3" t="str">
        <f>"765-793-4049"</f>
        <v>765-793-4049</v>
      </c>
      <c r="G4848" s="3">
        <v>23</v>
      </c>
      <c r="H4848" s="3" t="s">
        <v>133</v>
      </c>
    </row>
    <row r="4849" spans="1:8" ht="77.25" x14ac:dyDescent="0.25">
      <c r="A4849" s="3" t="s">
        <v>14477</v>
      </c>
      <c r="B4849" s="3"/>
      <c r="C4849" s="3" t="str">
        <f>"S&amp;G Enterprises also known as S&amp;G Erosion Control Materials is a supplier of erosion control materials such as silt fence, erosion control blankets, bio degradable staples, and all other items that have to do with erosion control."</f>
        <v>S&amp;G Enterprises also known as S&amp;G Erosion Control Materials is a supplier of erosion control materials such as silt fence, erosion control blankets, bio degradable staples, and all other items that have to do with erosion control.</v>
      </c>
      <c r="D4849" s="3" t="s">
        <v>14478</v>
      </c>
      <c r="E4849" s="3" t="s">
        <v>14479</v>
      </c>
      <c r="F4849" s="3" t="str">
        <f>"812-589-0692"</f>
        <v>812-589-0692</v>
      </c>
      <c r="G4849" s="3">
        <v>561730</v>
      </c>
      <c r="H4849" s="3" t="s">
        <v>65</v>
      </c>
    </row>
    <row r="4850" spans="1:8" ht="204.75" x14ac:dyDescent="0.25">
      <c r="A4850" s="3" t="s">
        <v>14480</v>
      </c>
      <c r="B4850" s="3"/>
      <c r="C4850" s="3" t="s">
        <v>14481</v>
      </c>
      <c r="D4850" s="3" t="s">
        <v>14482</v>
      </c>
      <c r="E4850" s="3" t="s">
        <v>14483</v>
      </c>
      <c r="F4850" s="3" t="str">
        <f>"317-422-8000"</f>
        <v>317-422-8000</v>
      </c>
      <c r="G4850" s="3">
        <v>332311</v>
      </c>
      <c r="H4850" s="3" t="s">
        <v>199</v>
      </c>
    </row>
    <row r="4851" spans="1:8" ht="90" x14ac:dyDescent="0.25">
      <c r="A4851" s="3" t="s">
        <v>14484</v>
      </c>
      <c r="B4851" s="3"/>
      <c r="C4851" s="3" t="s">
        <v>14485</v>
      </c>
      <c r="D4851" s="3" t="s">
        <v>9</v>
      </c>
      <c r="E4851" s="3" t="s">
        <v>14486</v>
      </c>
      <c r="F4851" s="3" t="str">
        <f>"317-908-7668"</f>
        <v>317-908-7668</v>
      </c>
      <c r="G4851" s="3">
        <v>4232</v>
      </c>
      <c r="H4851" s="3" t="s">
        <v>14487</v>
      </c>
    </row>
    <row r="4852" spans="1:8" ht="90" x14ac:dyDescent="0.25">
      <c r="A4852" s="3" t="s">
        <v>14488</v>
      </c>
      <c r="B4852" s="3"/>
      <c r="C4852" s="3" t="s">
        <v>14489</v>
      </c>
      <c r="D4852" s="3" t="s">
        <v>14490</v>
      </c>
      <c r="E4852" s="3" t="s">
        <v>14491</v>
      </c>
      <c r="F4852" s="3" t="str">
        <f>"317-251-5352"</f>
        <v>317-251-5352</v>
      </c>
      <c r="G4852" s="3">
        <v>541611</v>
      </c>
      <c r="H4852" s="3" t="s">
        <v>278</v>
      </c>
    </row>
    <row r="4853" spans="1:8" ht="39" x14ac:dyDescent="0.25">
      <c r="A4853" s="3" t="s">
        <v>14492</v>
      </c>
      <c r="B4853" s="3"/>
      <c r="C4853" s="3" t="str">
        <f>"The main focus of JDREAMS LLC will be Civil Engineering, Construction and Program Management, and Architectural Services."</f>
        <v>The main focus of JDREAMS LLC will be Civil Engineering, Construction and Program Management, and Architectural Services.</v>
      </c>
      <c r="D4853" s="3" t="s">
        <v>9</v>
      </c>
      <c r="E4853" s="3" t="s">
        <v>14493</v>
      </c>
      <c r="F4853" s="3" t="str">
        <f>"2197753618"</f>
        <v>2197753618</v>
      </c>
      <c r="G4853" s="3">
        <v>541330</v>
      </c>
      <c r="H4853" s="3" t="s">
        <v>82</v>
      </c>
    </row>
    <row r="4854" spans="1:8" ht="64.5" x14ac:dyDescent="0.25">
      <c r="A4854" s="3" t="s">
        <v>14494</v>
      </c>
      <c r="B4854" s="3"/>
      <c r="C4854" s="3" t="str">
        <f>"JDS Consulting INC provides IT support in the following areas: Desktop/Server hardware and software support, wireless infranstructures, LAN and WAN technologies, and mobile device support."</f>
        <v>JDS Consulting INC provides IT support in the following areas: Desktop/Server hardware and software support, wireless infranstructures, LAN and WAN technologies, and mobile device support.</v>
      </c>
      <c r="D4854" s="3" t="s">
        <v>14495</v>
      </c>
      <c r="E4854" s="3" t="s">
        <v>14496</v>
      </c>
      <c r="F4854" s="3" t="str">
        <f>"574-274-6671"</f>
        <v>574-274-6671</v>
      </c>
      <c r="G4854" s="3">
        <v>5141</v>
      </c>
      <c r="H4854" s="3" t="s">
        <v>1097</v>
      </c>
    </row>
    <row r="4855" spans="1:8" x14ac:dyDescent="0.25">
      <c r="A4855" s="3" t="s">
        <v>14497</v>
      </c>
      <c r="B4855" s="3"/>
      <c r="C4855" s="3" t="str">
        <f>" "</f>
        <v xml:space="preserve"> </v>
      </c>
      <c r="D4855" s="3" t="s">
        <v>9</v>
      </c>
      <c r="E4855" s="3" t="s">
        <v>46</v>
      </c>
      <c r="F4855" s="2"/>
      <c r="G4855" s="3">
        <v>81211</v>
      </c>
      <c r="H4855" s="3" t="s">
        <v>14498</v>
      </c>
    </row>
    <row r="4856" spans="1:8" ht="281.25" x14ac:dyDescent="0.25">
      <c r="A4856" s="3" t="s">
        <v>14499</v>
      </c>
      <c r="B4856" s="3"/>
      <c r="C4856" s="3" t="s">
        <v>14500</v>
      </c>
      <c r="D4856" s="3" t="s">
        <v>14501</v>
      </c>
      <c r="E4856" s="3" t="s">
        <v>14502</v>
      </c>
      <c r="F4856" s="3" t="str">
        <f>"219-464-4668"</f>
        <v>219-464-4668</v>
      </c>
      <c r="G4856" s="3">
        <v>541910</v>
      </c>
      <c r="H4856" s="3" t="s">
        <v>510</v>
      </c>
    </row>
    <row r="4857" spans="1:8" ht="26.25" x14ac:dyDescent="0.25">
      <c r="A4857" s="3" t="s">
        <v>14503</v>
      </c>
      <c r="B4857" s="3"/>
      <c r="C4857" s="3" t="str">
        <f>"DRIVER EDUCATION AND DRIVER SAFETY COURSES"</f>
        <v>DRIVER EDUCATION AND DRIVER SAFETY COURSES</v>
      </c>
      <c r="D4857" s="3" t="s">
        <v>14504</v>
      </c>
      <c r="E4857" s="3" t="s">
        <v>14505</v>
      </c>
      <c r="F4857" s="3" t="str">
        <f>"3175340016"</f>
        <v>3175340016</v>
      </c>
      <c r="G4857" s="3">
        <v>611692</v>
      </c>
      <c r="H4857" s="3" t="s">
        <v>7109</v>
      </c>
    </row>
    <row r="4858" spans="1:8" ht="26.25" x14ac:dyDescent="0.25">
      <c r="A4858" s="3" t="s">
        <v>14506</v>
      </c>
      <c r="B4858" s="3"/>
      <c r="C4858" s="3" t="str">
        <f>"Legal Services"</f>
        <v>Legal Services</v>
      </c>
      <c r="D4858" s="3" t="s">
        <v>9</v>
      </c>
      <c r="E4858" s="3" t="s">
        <v>14507</v>
      </c>
      <c r="F4858" s="3" t="str">
        <f>"317-263-3580"</f>
        <v>317-263-3580</v>
      </c>
      <c r="G4858" s="3">
        <v>5411</v>
      </c>
      <c r="H4858" s="3" t="s">
        <v>87</v>
      </c>
    </row>
    <row r="4859" spans="1:8" ht="26.25" x14ac:dyDescent="0.25">
      <c r="A4859" s="3" t="s">
        <v>14508</v>
      </c>
      <c r="B4859" s="3"/>
      <c r="C4859" s="3" t="str">
        <f>"Commercial, Industrial, Residential properties for sale and for lease."</f>
        <v>Commercial, Industrial, Residential properties for sale and for lease.</v>
      </c>
      <c r="D4859" s="3" t="s">
        <v>14509</v>
      </c>
      <c r="E4859" s="3" t="s">
        <v>14510</v>
      </c>
      <c r="F4859" s="3" t="str">
        <f>"(812) 285-1475"</f>
        <v>(812) 285-1475</v>
      </c>
      <c r="G4859" s="3">
        <v>531390</v>
      </c>
      <c r="H4859" s="3" t="s">
        <v>623</v>
      </c>
    </row>
    <row r="4860" spans="1:8" ht="39" x14ac:dyDescent="0.25">
      <c r="A4860" s="3" t="s">
        <v>14511</v>
      </c>
      <c r="B4860" s="3"/>
      <c r="C4860" s="3" t="str">
        <f>"Mechanical Consulting, Mechanical Contracting, Government Sales, General Sales, and Printing."</f>
        <v>Mechanical Consulting, Mechanical Contracting, Government Sales, General Sales, and Printing.</v>
      </c>
      <c r="D4860" s="3" t="s">
        <v>14512</v>
      </c>
      <c r="E4860" s="3" t="s">
        <v>14513</v>
      </c>
      <c r="F4860" s="3" t="str">
        <f>"765-661-9328"</f>
        <v>765-661-9328</v>
      </c>
      <c r="G4860" s="3">
        <v>23822</v>
      </c>
      <c r="H4860" s="3" t="s">
        <v>348</v>
      </c>
    </row>
    <row r="4861" spans="1:8" ht="115.5" x14ac:dyDescent="0.25">
      <c r="A4861" s="3" t="s">
        <v>14514</v>
      </c>
      <c r="B4861" s="3"/>
      <c r="C4861" s="3" t="s">
        <v>14515</v>
      </c>
      <c r="D4861" s="3" t="s">
        <v>14516</v>
      </c>
      <c r="E4861" s="3" t="s">
        <v>14517</v>
      </c>
      <c r="F4861" s="3" t="str">
        <f>"260-740-8886"</f>
        <v>260-740-8886</v>
      </c>
      <c r="G4861" s="3">
        <v>488510</v>
      </c>
      <c r="H4861" s="3" t="s">
        <v>562</v>
      </c>
    </row>
    <row r="4862" spans="1:8" ht="51.75" x14ac:dyDescent="0.25">
      <c r="A4862" s="3" t="s">
        <v>14518</v>
      </c>
      <c r="B4862" s="3"/>
      <c r="C4862" s="3" t="str">
        <f>"Municipal and industrial process control equipment; systems and service. Includes water &amp; wastewater instrumentation and control systems."</f>
        <v>Municipal and industrial process control equipment; systems and service. Includes water &amp; wastewater instrumentation and control systems.</v>
      </c>
      <c r="D4862" s="3" t="s">
        <v>9</v>
      </c>
      <c r="E4862" s="3" t="s">
        <v>14519</v>
      </c>
      <c r="F4862" s="3" t="str">
        <f>"219-759-1463"</f>
        <v>219-759-1463</v>
      </c>
      <c r="G4862" s="3">
        <v>541990</v>
      </c>
      <c r="H4862" s="3" t="s">
        <v>378</v>
      </c>
    </row>
    <row r="4863" spans="1:8" ht="179.25" x14ac:dyDescent="0.25">
      <c r="A4863" s="3" t="s">
        <v>14520</v>
      </c>
      <c r="B4863" s="3"/>
      <c r="C4863" s="3" t="s">
        <v>14521</v>
      </c>
      <c r="D4863" s="3" t="s">
        <v>14522</v>
      </c>
      <c r="E4863" s="3" t="s">
        <v>14523</v>
      </c>
      <c r="F4863" s="3" t="str">
        <f>"877-971-7799"</f>
        <v>877-971-7799</v>
      </c>
      <c r="G4863" s="3">
        <v>238</v>
      </c>
      <c r="H4863" s="3" t="s">
        <v>397</v>
      </c>
    </row>
    <row r="4864" spans="1:8" ht="39" x14ac:dyDescent="0.25">
      <c r="A4864" s="3" t="s">
        <v>14524</v>
      </c>
      <c r="B4864" s="3"/>
      <c r="C4864" s="3" t="str">
        <f>"Electrical contractor providing full service in construction, installation and repair of equipment and material."</f>
        <v>Electrical contractor providing full service in construction, installation and repair of equipment and material.</v>
      </c>
      <c r="D4864" s="3" t="s">
        <v>2449</v>
      </c>
      <c r="E4864" s="3" t="s">
        <v>14525</v>
      </c>
      <c r="F4864" s="3" t="str">
        <f>"765-491-5531"</f>
        <v>765-491-5531</v>
      </c>
      <c r="G4864" s="3">
        <v>23531</v>
      </c>
      <c r="H4864" s="3" t="s">
        <v>306</v>
      </c>
    </row>
    <row r="4865" spans="1:8" ht="115.5" x14ac:dyDescent="0.25">
      <c r="A4865" s="3" t="s">
        <v>14526</v>
      </c>
      <c r="B4865" s="3"/>
      <c r="C4865" s="3" t="s">
        <v>14527</v>
      </c>
      <c r="D4865" s="3" t="s">
        <v>14528</v>
      </c>
      <c r="E4865" s="3" t="s">
        <v>14529</v>
      </c>
      <c r="F4865" s="3" t="str">
        <f>"765-677-1000"</f>
        <v>765-677-1000</v>
      </c>
      <c r="G4865" s="3">
        <v>236220</v>
      </c>
      <c r="H4865" s="3" t="s">
        <v>598</v>
      </c>
    </row>
    <row r="4866" spans="1:8" ht="230.25" x14ac:dyDescent="0.25">
      <c r="A4866" s="3" t="s">
        <v>14530</v>
      </c>
      <c r="B4866" s="3"/>
      <c r="C4866" s="3" t="s">
        <v>14531</v>
      </c>
      <c r="D4866" s="3" t="s">
        <v>9</v>
      </c>
      <c r="E4866" s="3" t="s">
        <v>46</v>
      </c>
      <c r="F4866" s="2"/>
      <c r="G4866" s="3">
        <v>541620</v>
      </c>
      <c r="H4866" s="3" t="s">
        <v>216</v>
      </c>
    </row>
    <row r="4867" spans="1:8" ht="26.25" x14ac:dyDescent="0.25">
      <c r="A4867" s="3" t="s">
        <v>14532</v>
      </c>
      <c r="B4867" s="3"/>
      <c r="C4867" s="3" t="str">
        <f>"Custom store fixtures and cabinetry."</f>
        <v>Custom store fixtures and cabinetry.</v>
      </c>
      <c r="D4867" s="3" t="s">
        <v>9</v>
      </c>
      <c r="E4867" s="3" t="s">
        <v>46</v>
      </c>
      <c r="F4867" s="3" t="str">
        <f>"317-888-0631"</f>
        <v>317-888-0631</v>
      </c>
      <c r="G4867" s="3">
        <v>42</v>
      </c>
      <c r="H4867" s="3" t="s">
        <v>674</v>
      </c>
    </row>
    <row r="4868" spans="1:8" ht="26.25" x14ac:dyDescent="0.25">
      <c r="A4868" s="3" t="s">
        <v>14533</v>
      </c>
      <c r="B4868" s="3"/>
      <c r="C4868" s="3" t="str">
        <f>"First Aid Supplies, OSHA compliance training, CPR &amp; First Aid Training"</f>
        <v>First Aid Supplies, OSHA compliance training, CPR &amp; First Aid Training</v>
      </c>
      <c r="D4868" s="3" t="s">
        <v>14534</v>
      </c>
      <c r="E4868" s="3" t="s">
        <v>14535</v>
      </c>
      <c r="F4868" s="3" t="str">
        <f>"5746513660"</f>
        <v>5746513660</v>
      </c>
      <c r="G4868" s="3">
        <v>454</v>
      </c>
      <c r="H4868" s="3" t="s">
        <v>2419</v>
      </c>
    </row>
    <row r="4869" spans="1:8" ht="26.25" x14ac:dyDescent="0.25">
      <c r="A4869" s="3" t="s">
        <v>14536</v>
      </c>
      <c r="B4869" s="3"/>
      <c r="C4869" s="2"/>
      <c r="D4869" s="3" t="s">
        <v>9</v>
      </c>
      <c r="E4869" s="3" t="s">
        <v>46</v>
      </c>
      <c r="F4869" s="3" t="str">
        <f>"574-753-6294"</f>
        <v>574-753-6294</v>
      </c>
      <c r="G4869" s="3">
        <v>441</v>
      </c>
      <c r="H4869" s="3" t="s">
        <v>1556</v>
      </c>
    </row>
    <row r="4870" spans="1:8" ht="141" x14ac:dyDescent="0.25">
      <c r="A4870" s="3" t="s">
        <v>14537</v>
      </c>
      <c r="B4870" s="3"/>
      <c r="C4870" s="3" t="s">
        <v>14538</v>
      </c>
      <c r="D4870" s="3" t="s">
        <v>14539</v>
      </c>
      <c r="E4870" s="3" t="s">
        <v>14540</v>
      </c>
      <c r="F4870" s="3" t="str">
        <f>"800-648-5478"</f>
        <v>800-648-5478</v>
      </c>
      <c r="G4870" s="3">
        <v>511130</v>
      </c>
      <c r="H4870" s="3" t="s">
        <v>3146</v>
      </c>
    </row>
    <row r="4871" spans="1:8" ht="64.5" x14ac:dyDescent="0.25">
      <c r="A4871" s="3" t="s">
        <v>14541</v>
      </c>
      <c r="B4871" s="3"/>
      <c r="C4871" s="3" t="str">
        <f>"Retailer of residential and light commercial interior millwork, doors and stair parts, including special order products such as flexible moulding and arched asing. We have all species and profiles available."</f>
        <v>Retailer of residential and light commercial interior millwork, doors and stair parts, including special order products such as flexible moulding and arched asing. We have all species and profiles available.</v>
      </c>
      <c r="D4871" s="3" t="s">
        <v>14542</v>
      </c>
      <c r="E4871" s="3" t="s">
        <v>14543</v>
      </c>
      <c r="F4871" s="3" t="str">
        <f>"877-929-5583"</f>
        <v>877-929-5583</v>
      </c>
      <c r="G4871" s="3">
        <v>444190</v>
      </c>
      <c r="H4871" s="3" t="s">
        <v>1188</v>
      </c>
    </row>
    <row r="4872" spans="1:8" ht="39" x14ac:dyDescent="0.25">
      <c r="A4872" s="3" t="s">
        <v>14544</v>
      </c>
      <c r="B4872" s="3"/>
      <c r="C4872" s="3" t="str">
        <f>"JJ's offers Concrete Ready Mix, Fill Dirt, Sand, Rock, Mortar Mix, Colored Concrete, Concrete Blocks &amp; Precast Concrete."</f>
        <v>JJ's offers Concrete Ready Mix, Fill Dirt, Sand, Rock, Mortar Mix, Colored Concrete, Concrete Blocks &amp; Precast Concrete.</v>
      </c>
      <c r="D4872" s="3" t="s">
        <v>14545</v>
      </c>
      <c r="E4872" s="3" t="s">
        <v>46</v>
      </c>
      <c r="F4872" s="3" t="str">
        <f>"812-636-0173"</f>
        <v>812-636-0173</v>
      </c>
      <c r="G4872" s="3">
        <v>327320</v>
      </c>
      <c r="H4872" s="3" t="s">
        <v>5501</v>
      </c>
    </row>
    <row r="4873" spans="1:8" ht="26.25" x14ac:dyDescent="0.25">
      <c r="A4873" s="3" t="s">
        <v>14546</v>
      </c>
      <c r="B4873" s="3"/>
      <c r="C4873" s="3" t="str">
        <f>"Distributor of Traffic Signal Equipment"</f>
        <v>Distributor of Traffic Signal Equipment</v>
      </c>
      <c r="D4873" s="3" t="s">
        <v>9</v>
      </c>
      <c r="E4873" s="3" t="s">
        <v>14547</v>
      </c>
      <c r="F4873" s="3" t="str">
        <f>"574-277-0181"</f>
        <v>574-277-0181</v>
      </c>
      <c r="G4873" s="3">
        <v>334290</v>
      </c>
      <c r="H4873" s="3" t="s">
        <v>3119</v>
      </c>
    </row>
    <row r="4874" spans="1:8" ht="51.75" x14ac:dyDescent="0.25">
      <c r="A4874" s="3" t="s">
        <v>14548</v>
      </c>
      <c r="B4874" s="3"/>
      <c r="C4874" s="3" t="str">
        <f>"Metal and structeral steel fabrication specializing in the repair, modification and fabrication of automotive shipping containers. Mobile services available"</f>
        <v>Metal and structeral steel fabrication specializing in the repair, modification and fabrication of automotive shipping containers. Mobile services available</v>
      </c>
      <c r="D4874" s="3" t="s">
        <v>14549</v>
      </c>
      <c r="E4874" s="3" t="s">
        <v>14550</v>
      </c>
      <c r="F4874" s="3" t="str">
        <f>"765-763-6600"</f>
        <v>765-763-6600</v>
      </c>
      <c r="G4874" s="3">
        <v>33299</v>
      </c>
      <c r="H4874" s="3" t="s">
        <v>8211</v>
      </c>
    </row>
    <row r="4875" spans="1:8" ht="26.25" x14ac:dyDescent="0.25">
      <c r="A4875" s="3" t="s">
        <v>14551</v>
      </c>
      <c r="B4875" s="3"/>
      <c r="C4875" s="3" t="str">
        <f>"Natural stone cladding systems engineering design and stone drafting services"</f>
        <v>Natural stone cladding systems engineering design and stone drafting services</v>
      </c>
      <c r="D4875" s="3" t="s">
        <v>14552</v>
      </c>
      <c r="E4875" s="3" t="s">
        <v>14553</v>
      </c>
      <c r="F4875" s="3" t="str">
        <f>"812/275-0026"</f>
        <v>812/275-0026</v>
      </c>
      <c r="G4875" s="3">
        <v>541330</v>
      </c>
      <c r="H4875" s="3" t="s">
        <v>82</v>
      </c>
    </row>
    <row r="4876" spans="1:8" ht="64.5" x14ac:dyDescent="0.25">
      <c r="A4876" s="3" t="s">
        <v>14554</v>
      </c>
      <c r="B4876" s="3"/>
      <c r="C4876" s="3" t="str">
        <f>"An interior trim company. Installation of items such as cabinets, counter tops, s chair, crown, and base molding, installation of doors, window sills. Installation of staircases."</f>
        <v>An interior trim company. Installation of items such as cabinets, counter tops, s chair, crown, and base molding, installation of doors, window sills. Installation of staircases.</v>
      </c>
      <c r="D4876" s="3" t="s">
        <v>9</v>
      </c>
      <c r="E4876" s="3" t="s">
        <v>46</v>
      </c>
      <c r="F4876" s="3" t="str">
        <f>"317-272-0552"</f>
        <v>317-272-0552</v>
      </c>
      <c r="G4876" s="3">
        <v>23551</v>
      </c>
      <c r="H4876" s="3" t="s">
        <v>3583</v>
      </c>
    </row>
    <row r="4877" spans="1:8" ht="306.75" x14ac:dyDescent="0.25">
      <c r="A4877" s="3" t="s">
        <v>14555</v>
      </c>
      <c r="B4877" s="3"/>
      <c r="C4877" s="3" t="s">
        <v>14556</v>
      </c>
      <c r="D4877" s="3" t="s">
        <v>9</v>
      </c>
      <c r="E4877" s="3" t="s">
        <v>14557</v>
      </c>
      <c r="F4877" s="3" t="str">
        <f>"260-747-7504"</f>
        <v>260-747-7504</v>
      </c>
      <c r="G4877" s="3">
        <v>2359</v>
      </c>
      <c r="H4877" s="3" t="s">
        <v>631</v>
      </c>
    </row>
    <row r="4878" spans="1:8" ht="102.75" x14ac:dyDescent="0.25">
      <c r="A4878" s="3" t="s">
        <v>14558</v>
      </c>
      <c r="B4878" s="3"/>
      <c r="C4878" s="3" t="s">
        <v>14559</v>
      </c>
      <c r="D4878" s="3" t="s">
        <v>9</v>
      </c>
      <c r="E4878" s="3" t="s">
        <v>14560</v>
      </c>
      <c r="F4878" s="3" t="str">
        <f>"219-201-2315"</f>
        <v>219-201-2315</v>
      </c>
      <c r="G4878" s="3">
        <v>561720</v>
      </c>
      <c r="H4878" s="3" t="s">
        <v>222</v>
      </c>
    </row>
    <row r="4879" spans="1:8" ht="26.25" x14ac:dyDescent="0.25">
      <c r="A4879" s="3" t="s">
        <v>14561</v>
      </c>
      <c r="B4879" s="3"/>
      <c r="C4879" s="3" t="str">
        <f>"Dump Trucks-Road Construction"</f>
        <v>Dump Trucks-Road Construction</v>
      </c>
      <c r="D4879" s="3" t="s">
        <v>9</v>
      </c>
      <c r="E4879" s="3" t="s">
        <v>14562</v>
      </c>
      <c r="F4879" s="3" t="str">
        <f>"260-489-0186"</f>
        <v>260-489-0186</v>
      </c>
      <c r="G4879" s="3">
        <v>484110</v>
      </c>
      <c r="H4879" s="3" t="s">
        <v>644</v>
      </c>
    </row>
    <row r="4880" spans="1:8" ht="39" x14ac:dyDescent="0.25">
      <c r="A4880" s="3" t="s">
        <v>14563</v>
      </c>
      <c r="B4880" s="3"/>
      <c r="C4880" s="3" t="str">
        <f>"Repair and installation of televisions and home electronics. Sales and installation of UHF/VHF antenna systems and towers."</f>
        <v>Repair and installation of televisions and home electronics. Sales and installation of UHF/VHF antenna systems and towers.</v>
      </c>
      <c r="D4880" s="3" t="s">
        <v>9</v>
      </c>
      <c r="E4880" s="3" t="s">
        <v>14564</v>
      </c>
      <c r="F4880" s="3" t="str">
        <f>"812-825-4482"</f>
        <v>812-825-4482</v>
      </c>
      <c r="G4880" s="3">
        <v>811211</v>
      </c>
      <c r="H4880" s="3" t="s">
        <v>2396</v>
      </c>
    </row>
    <row r="4881" spans="1:8" ht="26.25" x14ac:dyDescent="0.25">
      <c r="A4881" s="3" t="s">
        <v>14565</v>
      </c>
      <c r="B4881" s="3"/>
      <c r="C4881" s="3" t="str">
        <f>"Provide many aspects of the construction residential and commercial building,"</f>
        <v>Provide many aspects of the construction residential and commercial building,</v>
      </c>
      <c r="D4881" s="3" t="s">
        <v>9</v>
      </c>
      <c r="E4881" s="3" t="s">
        <v>14566</v>
      </c>
      <c r="F4881" s="3" t="str">
        <f>"812-204-2272"</f>
        <v>812-204-2272</v>
      </c>
      <c r="G4881" s="3">
        <v>23</v>
      </c>
      <c r="H4881" s="3" t="s">
        <v>133</v>
      </c>
    </row>
    <row r="4882" spans="1:8" ht="204.75" x14ac:dyDescent="0.25">
      <c r="A4882" s="3" t="s">
        <v>14567</v>
      </c>
      <c r="B4882" s="3"/>
      <c r="C4882" s="3" t="s">
        <v>14568</v>
      </c>
      <c r="D4882" s="3" t="s">
        <v>14569</v>
      </c>
      <c r="E4882" s="3" t="s">
        <v>14570</v>
      </c>
      <c r="F4882" s="3" t="str">
        <f>"2192291633"</f>
        <v>2192291633</v>
      </c>
      <c r="G4882" s="3">
        <v>518</v>
      </c>
      <c r="H4882" s="3" t="s">
        <v>1003</v>
      </c>
    </row>
    <row r="4883" spans="1:8" ht="51.75" x14ac:dyDescent="0.25">
      <c r="A4883" s="3" t="s">
        <v>14571</v>
      </c>
      <c r="B4883" s="3"/>
      <c r="C4883" s="3" t="str">
        <f>"Wholesale supplyer od dry, wet, rechargablebatteriesa and related products. Car, truck, equipment, boat, deep cycle, high proformance batteries."</f>
        <v>Wholesale supplyer od dry, wet, rechargablebatteriesa and related products. Car, truck, equipment, boat, deep cycle, high proformance batteries.</v>
      </c>
      <c r="D4883" s="3" t="s">
        <v>7509</v>
      </c>
      <c r="E4883" s="3" t="s">
        <v>14572</v>
      </c>
      <c r="F4883" s="3" t="str">
        <f>"317-322-1818"</f>
        <v>317-322-1818</v>
      </c>
      <c r="G4883" s="3">
        <v>335911</v>
      </c>
      <c r="H4883" s="3" t="s">
        <v>14573</v>
      </c>
    </row>
    <row r="4884" spans="1:8" x14ac:dyDescent="0.25">
      <c r="A4884" s="3" t="s">
        <v>14574</v>
      </c>
      <c r="B4884" s="3"/>
      <c r="C4884" s="3" t="str">
        <f>" "</f>
        <v xml:space="preserve"> </v>
      </c>
      <c r="D4884" s="3" t="s">
        <v>9</v>
      </c>
      <c r="E4884" s="3" t="s">
        <v>46</v>
      </c>
      <c r="F4884" s="2"/>
      <c r="G4884" s="3">
        <v>23611</v>
      </c>
      <c r="H4884" s="3" t="s">
        <v>3466</v>
      </c>
    </row>
    <row r="4885" spans="1:8" ht="26.25" x14ac:dyDescent="0.25">
      <c r="A4885" s="3" t="s">
        <v>14575</v>
      </c>
      <c r="B4885" s="3"/>
      <c r="C4885" s="3" t="str">
        <f>"Commercial roofing and sheet metal"</f>
        <v>Commercial roofing and sheet metal</v>
      </c>
      <c r="D4885" s="3" t="s">
        <v>14576</v>
      </c>
      <c r="E4885" s="3" t="s">
        <v>14577</v>
      </c>
      <c r="F4885" s="3" t="str">
        <f>"317-605-2789"</f>
        <v>317-605-2789</v>
      </c>
      <c r="G4885" s="3">
        <v>23561</v>
      </c>
      <c r="H4885" s="3" t="s">
        <v>365</v>
      </c>
    </row>
    <row r="4886" spans="1:8" ht="26.25" x14ac:dyDescent="0.25">
      <c r="A4886" s="3" t="s">
        <v>14578</v>
      </c>
      <c r="B4886" s="3"/>
      <c r="C4886" s="3" t="str">
        <f>"We are a local concrete contractor in the Indianapolis IN area."</f>
        <v>We are a local concrete contractor in the Indianapolis IN area.</v>
      </c>
      <c r="D4886" s="3" t="s">
        <v>14579</v>
      </c>
      <c r="E4886" s="3" t="s">
        <v>14580</v>
      </c>
      <c r="F4886" s="3" t="str">
        <f>"317-500-3164"</f>
        <v>317-500-3164</v>
      </c>
      <c r="G4886" s="3">
        <v>23571</v>
      </c>
      <c r="H4886" s="3" t="s">
        <v>576</v>
      </c>
    </row>
    <row r="4887" spans="1:8" ht="39" x14ac:dyDescent="0.25">
      <c r="A4887" s="3" t="s">
        <v>14581</v>
      </c>
      <c r="B4887" s="3"/>
      <c r="C4887" s="3" t="str">
        <f>"Installation, Service and maintenance for HVAC, Refrigeration, controls and Plumbing for 25 years"</f>
        <v>Installation, Service and maintenance for HVAC, Refrigeration, controls and Plumbing for 25 years</v>
      </c>
      <c r="D4887" s="3" t="s">
        <v>9</v>
      </c>
      <c r="E4887" s="3" t="s">
        <v>14582</v>
      </c>
      <c r="F4887" s="3" t="str">
        <f>"317-243-7180"</f>
        <v>317-243-7180</v>
      </c>
      <c r="G4887" s="3">
        <v>23822</v>
      </c>
      <c r="H4887" s="3" t="s">
        <v>348</v>
      </c>
    </row>
    <row r="4888" spans="1:8" ht="26.25" x14ac:dyDescent="0.25">
      <c r="A4888" s="3" t="s">
        <v>14583</v>
      </c>
      <c r="B4888" s="3"/>
      <c r="C4888" s="3" t="str">
        <f>"Indiana Development Company"</f>
        <v>Indiana Development Company</v>
      </c>
      <c r="D4888" s="3" t="s">
        <v>14584</v>
      </c>
      <c r="E4888" s="3" t="s">
        <v>14585</v>
      </c>
      <c r="F4888" s="3" t="str">
        <f>"317-339-9099"</f>
        <v>317-339-9099</v>
      </c>
      <c r="G4888" s="3">
        <v>23611</v>
      </c>
      <c r="H4888" s="3" t="s">
        <v>3466</v>
      </c>
    </row>
    <row r="4889" spans="1:8" ht="26.25" x14ac:dyDescent="0.25">
      <c r="A4889" s="3" t="s">
        <v>14586</v>
      </c>
      <c r="B4889" s="3"/>
      <c r="C4889" s="3" t="str">
        <f>" "</f>
        <v xml:space="preserve"> </v>
      </c>
      <c r="D4889" s="3" t="s">
        <v>14587</v>
      </c>
      <c r="E4889" s="3" t="s">
        <v>14588</v>
      </c>
      <c r="F4889" s="3" t="str">
        <f>"765-453-1976"</f>
        <v>765-453-1976</v>
      </c>
      <c r="G4889" s="3">
        <v>238210</v>
      </c>
      <c r="H4889" s="3" t="s">
        <v>306</v>
      </c>
    </row>
    <row r="4890" spans="1:8" ht="26.25" x14ac:dyDescent="0.25">
      <c r="A4890" s="3" t="s">
        <v>14589</v>
      </c>
      <c r="B4890" s="3"/>
      <c r="C4890" s="3" t="str">
        <f>"General contractor-Commercial Remodeling-DesignBuild"</f>
        <v>General contractor-Commercial Remodeling-DesignBuild</v>
      </c>
      <c r="D4890" s="3" t="s">
        <v>9</v>
      </c>
      <c r="E4890" s="3" t="s">
        <v>14590</v>
      </c>
      <c r="F4890" s="3" t="str">
        <f>"317-223-3238"</f>
        <v>317-223-3238</v>
      </c>
      <c r="G4890" s="3">
        <v>23622</v>
      </c>
      <c r="H4890" s="3" t="s">
        <v>598</v>
      </c>
    </row>
    <row r="4891" spans="1:8" ht="306.75" x14ac:dyDescent="0.25">
      <c r="A4891" s="3" t="s">
        <v>14591</v>
      </c>
      <c r="B4891" s="3"/>
      <c r="C4891" s="3" t="s">
        <v>14592</v>
      </c>
      <c r="D4891" s="3" t="s">
        <v>14593</v>
      </c>
      <c r="E4891" s="3" t="s">
        <v>14594</v>
      </c>
      <c r="F4891" s="3" t="str">
        <f>"812.482.5154"</f>
        <v>812.482.5154</v>
      </c>
      <c r="G4891" s="3">
        <v>337211</v>
      </c>
      <c r="H4891" s="3" t="s">
        <v>12624</v>
      </c>
    </row>
    <row r="4892" spans="1:8" ht="26.25" x14ac:dyDescent="0.25">
      <c r="A4892" s="3" t="s">
        <v>14595</v>
      </c>
      <c r="B4892" s="3"/>
      <c r="C4892" s="3" t="str">
        <f>"New and used Automobile Dealership, sales and service, and parts."</f>
        <v>New and used Automobile Dealership, sales and service, and parts.</v>
      </c>
      <c r="D4892" s="3" t="s">
        <v>14596</v>
      </c>
      <c r="E4892" s="3" t="s">
        <v>14597</v>
      </c>
      <c r="F4892" s="3" t="str">
        <f>"8127387283"</f>
        <v>8127387283</v>
      </c>
      <c r="G4892" s="3">
        <v>441110</v>
      </c>
      <c r="H4892" s="3" t="s">
        <v>2588</v>
      </c>
    </row>
    <row r="4893" spans="1:8" ht="26.25" x14ac:dyDescent="0.25">
      <c r="A4893" s="3" t="s">
        <v>14598</v>
      </c>
      <c r="B4893" s="3"/>
      <c r="C4893" s="3" t="str">
        <f>"BUILDING MATERIAL, HARDWARE, LUMBER,HOME CENTER"</f>
        <v>BUILDING MATERIAL, HARDWARE, LUMBER,HOME CENTER</v>
      </c>
      <c r="D4893" s="3" t="s">
        <v>9</v>
      </c>
      <c r="E4893" s="3" t="s">
        <v>14599</v>
      </c>
      <c r="F4893" s="3" t="str">
        <f>"574 772 2726"</f>
        <v>574 772 2726</v>
      </c>
      <c r="G4893" s="3">
        <v>444190</v>
      </c>
      <c r="H4893" s="3" t="s">
        <v>1188</v>
      </c>
    </row>
    <row r="4894" spans="1:8" ht="77.25" x14ac:dyDescent="0.25">
      <c r="A4894" s="3" t="s">
        <v>14600</v>
      </c>
      <c r="B4894" s="3"/>
      <c r="C4894" s="3" t="str">
        <f>"We are a full service mechanical contractor with over 30 years experience in a wide range of market segments-schools and universities, government, hospital, industrial, commercial, restaurant, and biomedical just to name a few."</f>
        <v>We are a full service mechanical contractor with over 30 years experience in a wide range of market segments-schools and universities, government, hospital, industrial, commercial, restaurant, and biomedical just to name a few.</v>
      </c>
      <c r="D4894" s="3" t="s">
        <v>14601</v>
      </c>
      <c r="E4894" s="3" t="s">
        <v>14602</v>
      </c>
      <c r="F4894" s="3" t="str">
        <f>"317-244-5993"</f>
        <v>317-244-5993</v>
      </c>
      <c r="G4894" s="3">
        <v>2351</v>
      </c>
      <c r="H4894" s="3" t="s">
        <v>892</v>
      </c>
    </row>
    <row r="4895" spans="1:8" ht="141" x14ac:dyDescent="0.25">
      <c r="A4895" s="3" t="s">
        <v>14603</v>
      </c>
      <c r="B4895" s="3"/>
      <c r="C4895" s="3" t="s">
        <v>14604</v>
      </c>
      <c r="D4895" s="3" t="s">
        <v>14605</v>
      </c>
      <c r="E4895" s="3" t="s">
        <v>14606</v>
      </c>
      <c r="F4895" s="3" t="str">
        <f>"7084013710"</f>
        <v>7084013710</v>
      </c>
      <c r="G4895" s="3">
        <v>811212</v>
      </c>
      <c r="H4895" s="3" t="s">
        <v>1632</v>
      </c>
    </row>
    <row r="4896" spans="1:8" ht="77.25" x14ac:dyDescent="0.25">
      <c r="A4896" s="3" t="s">
        <v>14607</v>
      </c>
      <c r="B4896" s="3"/>
      <c r="C4896" s="3" t="str">
        <f>"A people transport service providing transportation in Indianapolis and Region 13 Indiana for employees, corporations, senior programs, youth programs for business, social, recreational and medical purposes."</f>
        <v>A people transport service providing transportation in Indianapolis and Region 13 Indiana for employees, corporations, senior programs, youth programs for business, social, recreational and medical purposes.</v>
      </c>
      <c r="D4896" s="3" t="s">
        <v>14608</v>
      </c>
      <c r="E4896" s="3" t="s">
        <v>14609</v>
      </c>
      <c r="F4896" s="3" t="str">
        <f>"317-966-4209"</f>
        <v>317-966-4209</v>
      </c>
      <c r="G4896" s="3">
        <v>485991</v>
      </c>
      <c r="H4896" s="3" t="s">
        <v>6936</v>
      </c>
    </row>
    <row r="4897" spans="1:8" ht="77.25" x14ac:dyDescent="0.25">
      <c r="A4897" s="3" t="s">
        <v>14610</v>
      </c>
      <c r="B4897" s="3"/>
      <c r="C4897" s="3" t="str">
        <f>"Precision Machining of various steels - aluminum - plastics - and exotic alloys. We are AS-9100 and ISO 9001 certified. We offer both turning and milling up to 5-axis, plus on-site induction heat treating and flame hardening."</f>
        <v>Precision Machining of various steels - aluminum - plastics - and exotic alloys. We are AS-9100 and ISO 9001 certified. We offer both turning and milling up to 5-axis, plus on-site induction heat treating and flame hardening.</v>
      </c>
      <c r="D4897" s="3" t="s">
        <v>14611</v>
      </c>
      <c r="E4897" s="3" t="s">
        <v>14612</v>
      </c>
      <c r="F4897" s="3" t="str">
        <f>"317-783-1000"</f>
        <v>317-783-1000</v>
      </c>
      <c r="G4897" s="3">
        <v>332710</v>
      </c>
      <c r="H4897" s="3" t="s">
        <v>387</v>
      </c>
    </row>
    <row r="4898" spans="1:8" ht="26.25" x14ac:dyDescent="0.25">
      <c r="A4898" s="3" t="s">
        <v>14613</v>
      </c>
      <c r="B4898" s="3"/>
      <c r="C4898" s="3" t="str">
        <f>"Residential &amp; Commercial builder."</f>
        <v>Residential &amp; Commercial builder.</v>
      </c>
      <c r="D4898" s="3" t="s">
        <v>9</v>
      </c>
      <c r="E4898" s="3" t="s">
        <v>14614</v>
      </c>
      <c r="F4898" s="3" t="str">
        <f>"812-346-7232"</f>
        <v>812-346-7232</v>
      </c>
      <c r="G4898" s="3">
        <v>236</v>
      </c>
      <c r="H4898" s="3" t="s">
        <v>291</v>
      </c>
    </row>
    <row r="4899" spans="1:8" ht="26.25" x14ac:dyDescent="0.25">
      <c r="A4899" s="3" t="s">
        <v>14615</v>
      </c>
      <c r="B4899" s="3"/>
      <c r="C4899" s="3" t="str">
        <f>"Industrial Laundry &amp; Dry Cleaning Equipment"</f>
        <v>Industrial Laundry &amp; Dry Cleaning Equipment</v>
      </c>
      <c r="D4899" s="3" t="s">
        <v>14616</v>
      </c>
      <c r="E4899" s="3" t="s">
        <v>14617</v>
      </c>
      <c r="F4899" s="3" t="str">
        <f>"(317) 546-7158"</f>
        <v>(317) 546-7158</v>
      </c>
      <c r="G4899" s="3">
        <v>4214</v>
      </c>
      <c r="H4899" s="3" t="s">
        <v>13134</v>
      </c>
    </row>
    <row r="4900" spans="1:8" ht="90" x14ac:dyDescent="0.25">
      <c r="A4900" s="3" t="s">
        <v>14618</v>
      </c>
      <c r="B4900" s="3"/>
      <c r="C4900" s="3" t="s">
        <v>14619</v>
      </c>
      <c r="D4900" s="3" t="s">
        <v>12982</v>
      </c>
      <c r="E4900" s="3" t="s">
        <v>12983</v>
      </c>
      <c r="F4900" s="3" t="str">
        <f>"317-557-1945"</f>
        <v>317-557-1945</v>
      </c>
      <c r="G4900" s="3">
        <v>425120</v>
      </c>
      <c r="H4900" s="3" t="s">
        <v>58</v>
      </c>
    </row>
    <row r="4901" spans="1:8" ht="102.75" x14ac:dyDescent="0.25">
      <c r="A4901" s="3" t="s">
        <v>14620</v>
      </c>
      <c r="B4901" s="3"/>
      <c r="C4901" s="3" t="s">
        <v>14621</v>
      </c>
      <c r="D4901" s="3" t="s">
        <v>12982</v>
      </c>
      <c r="E4901" s="3" t="s">
        <v>12983</v>
      </c>
      <c r="F4901" s="3" t="str">
        <f>"317-557-1945"</f>
        <v>317-557-1945</v>
      </c>
      <c r="G4901" s="3">
        <v>541890</v>
      </c>
      <c r="H4901" s="3" t="s">
        <v>401</v>
      </c>
    </row>
    <row r="4902" spans="1:8" ht="39" x14ac:dyDescent="0.25">
      <c r="A4902" s="3" t="s">
        <v>14622</v>
      </c>
      <c r="B4902" s="3"/>
      <c r="C4902" s="3" t="str">
        <f>"JPMorgan Chase Bank is a nationally chartered commercial bank with a significant presence in the State of Indiana."</f>
        <v>JPMorgan Chase Bank is a nationally chartered commercial bank with a significant presence in the State of Indiana.</v>
      </c>
      <c r="D4902" s="3" t="s">
        <v>14623</v>
      </c>
      <c r="E4902" s="3" t="s">
        <v>14624</v>
      </c>
      <c r="F4902" s="3" t="str">
        <f>"317-767-8344"</f>
        <v>317-767-8344</v>
      </c>
      <c r="G4902" s="3">
        <v>522110</v>
      </c>
      <c r="H4902" s="3" t="s">
        <v>61</v>
      </c>
    </row>
    <row r="4903" spans="1:8" ht="26.25" x14ac:dyDescent="0.25">
      <c r="A4903" s="3" t="s">
        <v>14625</v>
      </c>
      <c r="B4903" s="3"/>
      <c r="C4903" s="3" t="str">
        <f>"Provides consulting services with respect to structural engineering projects."</f>
        <v>Provides consulting services with respect to structural engineering projects.</v>
      </c>
      <c r="D4903" s="3" t="s">
        <v>14626</v>
      </c>
      <c r="E4903" s="3" t="s">
        <v>14627</v>
      </c>
      <c r="F4903" s="3" t="str">
        <f>"3176174270"</f>
        <v>3176174270</v>
      </c>
      <c r="G4903" s="3">
        <v>541330</v>
      </c>
      <c r="H4903" s="3" t="s">
        <v>82</v>
      </c>
    </row>
    <row r="4904" spans="1:8" ht="90" x14ac:dyDescent="0.25">
      <c r="A4904" s="3" t="s">
        <v>14628</v>
      </c>
      <c r="B4904" s="3"/>
      <c r="C4904" s="3" t="s">
        <v>14629</v>
      </c>
      <c r="D4904" s="3" t="s">
        <v>14630</v>
      </c>
      <c r="E4904" s="3" t="s">
        <v>14631</v>
      </c>
      <c r="F4904" s="3" t="str">
        <f>"260-424-1113"</f>
        <v>260-424-1113</v>
      </c>
      <c r="G4904" s="3">
        <v>442110</v>
      </c>
      <c r="H4904" s="3" t="s">
        <v>117</v>
      </c>
    </row>
    <row r="4905" spans="1:8" ht="26.25" x14ac:dyDescent="0.25">
      <c r="A4905" s="3" t="s">
        <v>14632</v>
      </c>
      <c r="B4905" s="3"/>
      <c r="C4905" s="2"/>
      <c r="D4905" s="3" t="s">
        <v>9</v>
      </c>
      <c r="E4905" s="3" t="s">
        <v>14633</v>
      </c>
      <c r="F4905" s="3" t="str">
        <f>"812-323-2776"</f>
        <v>812-323-2776</v>
      </c>
      <c r="G4905" s="3">
        <v>541930</v>
      </c>
      <c r="H4905" s="3" t="s">
        <v>971</v>
      </c>
    </row>
    <row r="4906" spans="1:8" ht="128.25" x14ac:dyDescent="0.25">
      <c r="A4906" s="3" t="s">
        <v>14634</v>
      </c>
      <c r="B4906" s="3"/>
      <c r="C4906" s="3" t="s">
        <v>14635</v>
      </c>
      <c r="D4906" s="3" t="s">
        <v>9</v>
      </c>
      <c r="E4906" s="3" t="s">
        <v>14636</v>
      </c>
      <c r="F4906" s="3" t="str">
        <f>"812-769-5321"</f>
        <v>812-769-5321</v>
      </c>
      <c r="G4906" s="3">
        <v>234</v>
      </c>
      <c r="H4906" s="3" t="s">
        <v>1414</v>
      </c>
    </row>
    <row r="4907" spans="1:8" ht="26.25" x14ac:dyDescent="0.25">
      <c r="A4907" s="3" t="s">
        <v>14637</v>
      </c>
      <c r="B4907" s="3"/>
      <c r="C4907" s="3" t="str">
        <f>"SAP software consulting"</f>
        <v>SAP software consulting</v>
      </c>
      <c r="D4907" s="3" t="s">
        <v>14638</v>
      </c>
      <c r="E4907" s="3" t="s">
        <v>14639</v>
      </c>
      <c r="F4907" s="3" t="str">
        <f>"317-727-5333"</f>
        <v>317-727-5333</v>
      </c>
      <c r="G4907" s="3">
        <v>541511</v>
      </c>
      <c r="H4907" s="3" t="s">
        <v>122</v>
      </c>
    </row>
    <row r="4908" spans="1:8" ht="39" x14ac:dyDescent="0.25">
      <c r="A4908" s="3" t="s">
        <v>14640</v>
      </c>
      <c r="B4908" s="3"/>
      <c r="C4908" s="3" t="str">
        <f>"JRM Environmental provides sampling/testing, environmental consulting and permitting services."</f>
        <v>JRM Environmental provides sampling/testing, environmental consulting and permitting services.</v>
      </c>
      <c r="D4908" s="3" t="s">
        <v>9</v>
      </c>
      <c r="E4908" s="3" t="s">
        <v>14641</v>
      </c>
      <c r="F4908" s="3" t="str">
        <f>"317-971-6500"</f>
        <v>317-971-6500</v>
      </c>
      <c r="G4908" s="3">
        <v>541620</v>
      </c>
      <c r="H4908" s="3" t="s">
        <v>216</v>
      </c>
    </row>
    <row r="4909" spans="1:8" ht="39" x14ac:dyDescent="0.25">
      <c r="A4909" s="3" t="s">
        <v>14642</v>
      </c>
      <c r="B4909" s="3"/>
      <c r="C4909" s="3" t="str">
        <f>"JRM Environmental provides sampling/testing, environmental consulting and permitting services."</f>
        <v>JRM Environmental provides sampling/testing, environmental consulting and permitting services.</v>
      </c>
      <c r="D4909" s="3" t="s">
        <v>9</v>
      </c>
      <c r="E4909" s="3" t="s">
        <v>14643</v>
      </c>
      <c r="F4909" s="3" t="str">
        <f>"317-286-3751"</f>
        <v>317-286-3751</v>
      </c>
      <c r="G4909" s="3">
        <v>541620</v>
      </c>
      <c r="H4909" s="3" t="s">
        <v>216</v>
      </c>
    </row>
    <row r="4910" spans="1:8" ht="153.75" x14ac:dyDescent="0.25">
      <c r="A4910" s="3" t="s">
        <v>14644</v>
      </c>
      <c r="B4910" s="3"/>
      <c r="C4910" s="3" t="s">
        <v>14645</v>
      </c>
      <c r="D4910" s="3" t="s">
        <v>14646</v>
      </c>
      <c r="E4910" s="3" t="s">
        <v>14647</v>
      </c>
      <c r="F4910" s="3" t="str">
        <f>"3179551905"</f>
        <v>3179551905</v>
      </c>
      <c r="G4910" s="3">
        <v>332721</v>
      </c>
      <c r="H4910" s="3" t="s">
        <v>5626</v>
      </c>
    </row>
    <row r="4911" spans="1:8" ht="51.75" x14ac:dyDescent="0.25">
      <c r="A4911" s="3" t="s">
        <v>14648</v>
      </c>
      <c r="B4911" s="3"/>
      <c r="C4911" s="3" t="str">
        <f>"JPRD is a commercial, general construction company, including all facets of building and constructing. Residential construction on a commercial scale."</f>
        <v>JPRD is a commercial, general construction company, including all facets of building and constructing. Residential construction on a commercial scale.</v>
      </c>
      <c r="D4911" s="3" t="s">
        <v>9</v>
      </c>
      <c r="E4911" s="3" t="s">
        <v>46</v>
      </c>
      <c r="F4911" s="3" t="str">
        <f>"812-492-4323"</f>
        <v>812-492-4323</v>
      </c>
      <c r="G4911" s="3">
        <v>23</v>
      </c>
      <c r="H4911" s="3" t="s">
        <v>133</v>
      </c>
    </row>
    <row r="4912" spans="1:8" ht="217.5" x14ac:dyDescent="0.25">
      <c r="A4912" s="3" t="s">
        <v>14649</v>
      </c>
      <c r="B4912" s="3"/>
      <c r="C4912" s="3" t="s">
        <v>14650</v>
      </c>
      <c r="D4912" s="3" t="s">
        <v>9</v>
      </c>
      <c r="E4912" s="3" t="s">
        <v>14651</v>
      </c>
      <c r="F4912" s="3" t="str">
        <f>"260-444-6610"</f>
        <v>260-444-6610</v>
      </c>
      <c r="G4912" s="3">
        <v>541620</v>
      </c>
      <c r="H4912" s="3" t="s">
        <v>216</v>
      </c>
    </row>
    <row r="4913" spans="1:8" x14ac:dyDescent="0.25">
      <c r="A4913" s="3" t="s">
        <v>14652</v>
      </c>
      <c r="B4913" s="3"/>
      <c r="C4913" s="3" t="str">
        <f>" "</f>
        <v xml:space="preserve"> </v>
      </c>
      <c r="D4913" s="3" t="s">
        <v>9</v>
      </c>
      <c r="E4913" s="3" t="s">
        <v>46</v>
      </c>
      <c r="F4913" s="2"/>
      <c r="G4913" s="3">
        <v>541511</v>
      </c>
      <c r="H4913" s="3" t="s">
        <v>122</v>
      </c>
    </row>
    <row r="4914" spans="1:8" ht="115.5" x14ac:dyDescent="0.25">
      <c r="A4914" s="3" t="s">
        <v>14653</v>
      </c>
      <c r="B4914" s="3"/>
      <c r="C4914" s="3" t="s">
        <v>14654</v>
      </c>
      <c r="D4914" s="3" t="s">
        <v>14655</v>
      </c>
      <c r="E4914" s="3" t="s">
        <v>14656</v>
      </c>
      <c r="F4914" s="3" t="str">
        <f>"260-492-5680"</f>
        <v>260-492-5680</v>
      </c>
      <c r="G4914" s="3">
        <v>453998</v>
      </c>
      <c r="H4914" s="3" t="s">
        <v>112</v>
      </c>
    </row>
    <row r="4915" spans="1:8" ht="26.25" x14ac:dyDescent="0.25">
      <c r="A4915" s="3" t="s">
        <v>14657</v>
      </c>
      <c r="B4915" s="3"/>
      <c r="C4915" s="3" t="str">
        <f>"We are an indiana based business. Providing IT Consulting services."</f>
        <v>We are an indiana based business. Providing IT Consulting services.</v>
      </c>
      <c r="D4915" s="3" t="s">
        <v>9</v>
      </c>
      <c r="E4915" s="3" t="s">
        <v>46</v>
      </c>
      <c r="F4915" s="2"/>
      <c r="G4915" s="3">
        <v>541519</v>
      </c>
      <c r="H4915" s="3" t="s">
        <v>898</v>
      </c>
    </row>
    <row r="4916" spans="1:8" ht="26.25" x14ac:dyDescent="0.25">
      <c r="A4916" s="3" t="s">
        <v>14658</v>
      </c>
      <c r="B4916" s="3"/>
      <c r="C4916" s="3" t="str">
        <f>"Lawn Care Services and Snow Removal Services"</f>
        <v>Lawn Care Services and Snow Removal Services</v>
      </c>
      <c r="D4916" s="3" t="s">
        <v>14659</v>
      </c>
      <c r="E4916" s="3" t="s">
        <v>14660</v>
      </c>
      <c r="F4916" s="3" t="str">
        <f>"317-917-0018"</f>
        <v>317-917-0018</v>
      </c>
      <c r="G4916" s="3">
        <v>56173</v>
      </c>
      <c r="H4916" s="3" t="s">
        <v>65</v>
      </c>
    </row>
    <row r="4917" spans="1:8" ht="39" x14ac:dyDescent="0.25">
      <c r="A4917" s="3" t="s">
        <v>14661</v>
      </c>
      <c r="B4917" s="3"/>
      <c r="C4917" s="3" t="str">
        <f>"SALE OF VARIOUS UNIFORMS WITH EMBLEMS, SILK SCREENED OR DIRECTLY EMBROIDERED COMPANY LOGOS"</f>
        <v>SALE OF VARIOUS UNIFORMS WITH EMBLEMS, SILK SCREENED OR DIRECTLY EMBROIDERED COMPANY LOGOS</v>
      </c>
      <c r="D4917" s="3" t="s">
        <v>9</v>
      </c>
      <c r="E4917" s="3" t="s">
        <v>14662</v>
      </c>
      <c r="F4917" s="3" t="str">
        <f>"7738584908"</f>
        <v>7738584908</v>
      </c>
      <c r="G4917" s="3">
        <v>448190</v>
      </c>
      <c r="H4917" s="3" t="s">
        <v>12557</v>
      </c>
    </row>
    <row r="4918" spans="1:8" ht="102.75" x14ac:dyDescent="0.25">
      <c r="A4918" s="3" t="s">
        <v>14663</v>
      </c>
      <c r="B4918" s="3"/>
      <c r="C4918" s="3" t="s">
        <v>14664</v>
      </c>
      <c r="D4918" s="3" t="s">
        <v>9</v>
      </c>
      <c r="E4918" s="3" t="s">
        <v>14665</v>
      </c>
      <c r="F4918" s="3" t="str">
        <f>"317-545-0702"</f>
        <v>317-545-0702</v>
      </c>
      <c r="G4918" s="3">
        <v>238</v>
      </c>
      <c r="H4918" s="3" t="s">
        <v>397</v>
      </c>
    </row>
    <row r="4919" spans="1:8" ht="26.25" x14ac:dyDescent="0.25">
      <c r="A4919" s="3" t="s">
        <v>14666</v>
      </c>
      <c r="B4919" s="3"/>
      <c r="C4919" s="3" t="str">
        <f>"distributor of restaurant equipment and supplies, smallwares"</f>
        <v>distributor of restaurant equipment and supplies, smallwares</v>
      </c>
      <c r="D4919" s="3" t="s">
        <v>14667</v>
      </c>
      <c r="E4919" s="3" t="s">
        <v>14668</v>
      </c>
      <c r="F4919" s="3" t="str">
        <f>"317-876-1010"</f>
        <v>317-876-1010</v>
      </c>
      <c r="G4919" s="3">
        <v>423440</v>
      </c>
      <c r="H4919" s="3" t="s">
        <v>12364</v>
      </c>
    </row>
    <row r="4920" spans="1:8" x14ac:dyDescent="0.25">
      <c r="A4920" s="3" t="s">
        <v>14669</v>
      </c>
      <c r="B4920" s="3"/>
      <c r="C4920" s="3" t="str">
        <f>"DEMOLITION AND ASBESTOS REMOVAL"</f>
        <v>DEMOLITION AND ASBESTOS REMOVAL</v>
      </c>
      <c r="D4920" s="3" t="s">
        <v>9</v>
      </c>
      <c r="E4920" s="3" t="s">
        <v>46</v>
      </c>
      <c r="F4920" s="2"/>
      <c r="G4920" s="3">
        <v>23829</v>
      </c>
      <c r="H4920" s="3" t="s">
        <v>237</v>
      </c>
    </row>
    <row r="4921" spans="1:8" ht="39" x14ac:dyDescent="0.25">
      <c r="A4921" s="3" t="s">
        <v>14670</v>
      </c>
      <c r="B4921" s="3"/>
      <c r="C4921" s="3" t="str">
        <f>"Services provided: Janitorial, Safety/Environmental Consulting, Recycling, Security"</f>
        <v>Services provided: Janitorial, Safety/Environmental Consulting, Recycling, Security</v>
      </c>
      <c r="D4921" s="3" t="s">
        <v>9</v>
      </c>
      <c r="E4921" s="3" t="s">
        <v>14671</v>
      </c>
      <c r="F4921" s="2"/>
      <c r="G4921" s="3">
        <v>561720</v>
      </c>
      <c r="H4921" s="3" t="s">
        <v>222</v>
      </c>
    </row>
    <row r="4922" spans="1:8" ht="102.75" x14ac:dyDescent="0.25">
      <c r="A4922" s="3" t="s">
        <v>14672</v>
      </c>
      <c r="B4922" s="3"/>
      <c r="C4922" s="3" t="s">
        <v>14673</v>
      </c>
      <c r="D4922" s="3" t="s">
        <v>9</v>
      </c>
      <c r="E4922" s="3" t="s">
        <v>14674</v>
      </c>
      <c r="F4922" s="3" t="str">
        <f>"(219)613-1751"</f>
        <v>(219)613-1751</v>
      </c>
      <c r="G4922" s="3">
        <v>238210</v>
      </c>
      <c r="H4922" s="3" t="s">
        <v>306</v>
      </c>
    </row>
    <row r="4923" spans="1:8" ht="26.25" x14ac:dyDescent="0.25">
      <c r="A4923" s="3" t="s">
        <v>14675</v>
      </c>
      <c r="B4923" s="3"/>
      <c r="C4923" s="2"/>
      <c r="D4923" s="3" t="s">
        <v>14676</v>
      </c>
      <c r="E4923" s="3" t="s">
        <v>14677</v>
      </c>
      <c r="F4923" s="3" t="str">
        <f>"(317) 271-4070"</f>
        <v>(317) 271-4070</v>
      </c>
      <c r="G4923" s="3">
        <v>541990</v>
      </c>
      <c r="H4923" s="3" t="s">
        <v>378</v>
      </c>
    </row>
    <row r="4924" spans="1:8" ht="294" x14ac:dyDescent="0.25">
      <c r="A4924" s="3" t="s">
        <v>14678</v>
      </c>
      <c r="B4924" s="3"/>
      <c r="C4924" s="3" t="s">
        <v>14679</v>
      </c>
      <c r="D4924" s="3" t="s">
        <v>14680</v>
      </c>
      <c r="E4924" s="3" t="s">
        <v>14681</v>
      </c>
      <c r="F4924" s="3" t="str">
        <f>"812-442-0900"</f>
        <v>812-442-0900</v>
      </c>
      <c r="G4924" s="3">
        <v>332721</v>
      </c>
      <c r="H4924" s="3" t="s">
        <v>5626</v>
      </c>
    </row>
    <row r="4925" spans="1:8" ht="77.25" x14ac:dyDescent="0.25">
      <c r="A4925" s="3" t="s">
        <v>14682</v>
      </c>
      <c r="B4925" s="3"/>
      <c r="C4925" s="3" t="str">
        <f>"Commercial cleaning service, office buildings and building locations utilized for work. Services include total interior cleaning, buffing, waxing floors and carpet cleaning, windows and exterior windows up to two floors."</f>
        <v>Commercial cleaning service, office buildings and building locations utilized for work. Services include total interior cleaning, buffing, waxing floors and carpet cleaning, windows and exterior windows up to two floors.</v>
      </c>
      <c r="D4925" s="3" t="s">
        <v>14683</v>
      </c>
      <c r="E4925" s="3" t="s">
        <v>14684</v>
      </c>
      <c r="F4925" s="3" t="str">
        <f>"3175631432"</f>
        <v>3175631432</v>
      </c>
      <c r="G4925" s="3">
        <v>561720</v>
      </c>
      <c r="H4925" s="3" t="s">
        <v>222</v>
      </c>
    </row>
    <row r="4926" spans="1:8" x14ac:dyDescent="0.25">
      <c r="A4926" s="3" t="s">
        <v>14685</v>
      </c>
      <c r="B4926" s="3"/>
      <c r="C4926" s="3" t="str">
        <f>" "</f>
        <v xml:space="preserve"> </v>
      </c>
      <c r="D4926" s="3" t="s">
        <v>9</v>
      </c>
      <c r="E4926" s="3" t="s">
        <v>46</v>
      </c>
      <c r="F4926" s="2"/>
      <c r="G4926" s="3">
        <v>611110</v>
      </c>
      <c r="H4926" s="3" t="s">
        <v>3876</v>
      </c>
    </row>
    <row r="4927" spans="1:8" ht="51.75" x14ac:dyDescent="0.25">
      <c r="A4927" s="3" t="s">
        <v>14686</v>
      </c>
      <c r="B4927" s="3"/>
      <c r="C4927" s="3" t="str">
        <f>"General Motors dealer selling new Pontiacs, Buicks, pre-driven GM vehicles. Also, servicing GM vehicles and parts for all GM vehicles including GM trucks."</f>
        <v>General Motors dealer selling new Pontiacs, Buicks, pre-driven GM vehicles. Also, servicing GM vehicles and parts for all GM vehicles including GM trucks.</v>
      </c>
      <c r="D4927" s="3" t="s">
        <v>14687</v>
      </c>
      <c r="E4927" s="3" t="s">
        <v>14688</v>
      </c>
      <c r="F4927" s="3" t="str">
        <f>"2199267100"</f>
        <v>2199267100</v>
      </c>
      <c r="G4927" s="3">
        <v>44111</v>
      </c>
      <c r="H4927" s="3" t="s">
        <v>2588</v>
      </c>
    </row>
    <row r="4928" spans="1:8" ht="51.75" x14ac:dyDescent="0.25">
      <c r="A4928" s="3" t="s">
        <v>14689</v>
      </c>
      <c r="B4928" s="3"/>
      <c r="C4928" s="3" t="str">
        <f>"Law firm representing small businesses in the areas of real estate and business including business and real estate purchase and sale transactions."</f>
        <v>Law firm representing small businesses in the areas of real estate and business including business and real estate purchase and sale transactions.</v>
      </c>
      <c r="D4928" s="3" t="s">
        <v>14690</v>
      </c>
      <c r="E4928" s="3" t="s">
        <v>14691</v>
      </c>
      <c r="F4928" s="3" t="str">
        <f>"317-580-9305"</f>
        <v>317-580-9305</v>
      </c>
      <c r="G4928" s="3">
        <v>541110</v>
      </c>
      <c r="H4928" s="3" t="s">
        <v>2978</v>
      </c>
    </row>
    <row r="4929" spans="1:8" ht="77.25" x14ac:dyDescent="0.25">
      <c r="A4929" s="3" t="s">
        <v>14689</v>
      </c>
      <c r="B4929" s="3"/>
      <c r="C4929" s="3" t="str">
        <f>"Experienced attorney with practice concentrating in small business and real estate transactions for both residential and commercial properties from purchase to sale, including land developemnt and new construction."</f>
        <v>Experienced attorney with practice concentrating in small business and real estate transactions for both residential and commercial properties from purchase to sale, including land developemnt and new construction.</v>
      </c>
      <c r="D4929" s="3" t="s">
        <v>14690</v>
      </c>
      <c r="E4929" s="3" t="s">
        <v>14691</v>
      </c>
      <c r="F4929" s="3" t="str">
        <f>"317.580.9305"</f>
        <v>317.580.9305</v>
      </c>
      <c r="G4929" s="3">
        <v>541110</v>
      </c>
      <c r="H4929" s="3" t="s">
        <v>2978</v>
      </c>
    </row>
    <row r="4930" spans="1:8" ht="39" x14ac:dyDescent="0.25">
      <c r="A4930" s="3" t="s">
        <v>14692</v>
      </c>
      <c r="B4930" s="3"/>
      <c r="C4930" s="3" t="str">
        <f>"real estate abstracting, title insurance, closing and real estate searches in most southern Indiana counties."</f>
        <v>real estate abstracting, title insurance, closing and real estate searches in most southern Indiana counties.</v>
      </c>
      <c r="D4930" s="3" t="s">
        <v>14693</v>
      </c>
      <c r="E4930" s="3" t="s">
        <v>14694</v>
      </c>
      <c r="F4930" s="3" t="str">
        <f>"8123583918"</f>
        <v>8123583918</v>
      </c>
      <c r="G4930" s="3">
        <v>541191</v>
      </c>
      <c r="H4930" s="3" t="s">
        <v>1146</v>
      </c>
    </row>
    <row r="4931" spans="1:8" ht="26.25" x14ac:dyDescent="0.25">
      <c r="A4931" s="3" t="s">
        <v>14695</v>
      </c>
      <c r="B4931" s="3"/>
      <c r="C4931" s="3" t="str">
        <f>"Poured concrete crawlspace. Concrete flatwork."</f>
        <v>Poured concrete crawlspace. Concrete flatwork.</v>
      </c>
      <c r="D4931" s="3" t="s">
        <v>9</v>
      </c>
      <c r="E4931" s="3" t="s">
        <v>14696</v>
      </c>
      <c r="F4931" s="3" t="str">
        <f>"219-608-5154"</f>
        <v>219-608-5154</v>
      </c>
      <c r="G4931" s="3">
        <v>238110</v>
      </c>
      <c r="H4931" s="3" t="s">
        <v>156</v>
      </c>
    </row>
    <row r="4932" spans="1:8" ht="77.25" x14ac:dyDescent="0.25">
      <c r="A4932" s="3" t="s">
        <v>14697</v>
      </c>
      <c r="B4932" s="3"/>
      <c r="C4932" s="3" t="str">
        <f>"African-American owned insurance agency that provides insurance products and services to Indiana consumers including life, health and accident insurance as well as property and casualty insurance coverage."</f>
        <v>African-American owned insurance agency that provides insurance products and services to Indiana consumers including life, health and accident insurance as well as property and casualty insurance coverage.</v>
      </c>
      <c r="D4932" s="3" t="s">
        <v>9</v>
      </c>
      <c r="E4932" s="3" t="s">
        <v>14698</v>
      </c>
      <c r="F4932" s="3" t="str">
        <f>"317-672-9229"</f>
        <v>317-672-9229</v>
      </c>
      <c r="G4932" s="3">
        <v>524210</v>
      </c>
      <c r="H4932" s="3" t="s">
        <v>1183</v>
      </c>
    </row>
    <row r="4933" spans="1:8" ht="26.25" x14ac:dyDescent="0.25">
      <c r="A4933" s="3" t="s">
        <v>14699</v>
      </c>
      <c r="B4933" s="3"/>
      <c r="C4933" s="3" t="str">
        <f>"Full service insurance and financial services brokerage firm."</f>
        <v>Full service insurance and financial services brokerage firm.</v>
      </c>
      <c r="D4933" s="3" t="s">
        <v>14700</v>
      </c>
      <c r="E4933" s="3" t="s">
        <v>14701</v>
      </c>
      <c r="F4933" s="3" t="str">
        <f>"3179734757"</f>
        <v>3179734757</v>
      </c>
      <c r="G4933" s="3">
        <v>524210</v>
      </c>
      <c r="H4933" s="3" t="s">
        <v>1183</v>
      </c>
    </row>
    <row r="4934" spans="1:8" ht="39" x14ac:dyDescent="0.25">
      <c r="A4934" s="3" t="s">
        <v>14702</v>
      </c>
      <c r="B4934" s="3"/>
      <c r="C4934" s="3" t="str">
        <f>"John Deere dealership selling new and used agricultural and lawn &amp; garden equipment. Also parts and service for that equipment."</f>
        <v>John Deere dealership selling new and used agricultural and lawn &amp; garden equipment. Also parts and service for that equipment.</v>
      </c>
      <c r="D4934" s="3" t="s">
        <v>14703</v>
      </c>
      <c r="E4934" s="3" t="s">
        <v>14704</v>
      </c>
      <c r="F4934" s="3" t="str">
        <f>"574-967-4164"</f>
        <v>574-967-4164</v>
      </c>
      <c r="G4934" s="3">
        <v>453998</v>
      </c>
      <c r="H4934" s="3" t="s">
        <v>112</v>
      </c>
    </row>
    <row r="4935" spans="1:8" ht="64.5" x14ac:dyDescent="0.25">
      <c r="A4935" s="3" t="s">
        <v>14705</v>
      </c>
      <c r="B4935" s="3"/>
      <c r="C4935" s="3" t="str">
        <f>"Design, sales, installation and service of fire protection systems and fire extinguishers. Fire protection systems including Halon, CO2, FM200, and Dry Chemical."</f>
        <v>Design, sales, installation and service of fire protection systems and fire extinguishers. Fire protection systems including Halon, CO2, FM200, and Dry Chemical.</v>
      </c>
      <c r="D4935" s="3" t="s">
        <v>9</v>
      </c>
      <c r="E4935" s="3" t="s">
        <v>14706</v>
      </c>
      <c r="F4935" s="3" t="str">
        <f>"317-631-2304"</f>
        <v>317-631-2304</v>
      </c>
      <c r="G4935" s="3">
        <v>424990</v>
      </c>
      <c r="H4935" s="3" t="s">
        <v>1019</v>
      </c>
    </row>
    <row r="4936" spans="1:8" ht="141" x14ac:dyDescent="0.25">
      <c r="A4936" s="3" t="s">
        <v>14707</v>
      </c>
      <c r="B4936" s="3"/>
      <c r="C4936" s="3" t="s">
        <v>14708</v>
      </c>
      <c r="D4936" s="3" t="s">
        <v>14709</v>
      </c>
      <c r="E4936" s="3" t="s">
        <v>14710</v>
      </c>
      <c r="F4936" s="3" t="str">
        <f>"812-923-5174"</f>
        <v>812-923-5174</v>
      </c>
      <c r="G4936" s="3">
        <v>424720</v>
      </c>
      <c r="H4936" s="3" t="s">
        <v>6992</v>
      </c>
    </row>
    <row r="4937" spans="1:8" ht="179.25" x14ac:dyDescent="0.25">
      <c r="A4937" s="3" t="s">
        <v>14711</v>
      </c>
      <c r="B4937" s="3"/>
      <c r="C4937" s="3" t="s">
        <v>14712</v>
      </c>
      <c r="D4937" s="3" t="s">
        <v>14713</v>
      </c>
      <c r="E4937" s="3" t="s">
        <v>14714</v>
      </c>
      <c r="F4937" s="3" t="str">
        <f>"800-738-7120"</f>
        <v>800-738-7120</v>
      </c>
      <c r="G4937" s="3">
        <v>423430</v>
      </c>
      <c r="H4937" s="3" t="s">
        <v>127</v>
      </c>
    </row>
    <row r="4938" spans="1:8" ht="26.25" x14ac:dyDescent="0.25">
      <c r="A4938" s="3" t="s">
        <v>14715</v>
      </c>
      <c r="B4938" s="3"/>
      <c r="C4938" s="3" t="str">
        <f>"Urine drug screen collection and reporting service"</f>
        <v>Urine drug screen collection and reporting service</v>
      </c>
      <c r="D4938" s="3" t="s">
        <v>9</v>
      </c>
      <c r="E4938" s="3" t="s">
        <v>14716</v>
      </c>
      <c r="F4938" s="3" t="str">
        <f>"317-376-0235"</f>
        <v>317-376-0235</v>
      </c>
      <c r="G4938" s="3">
        <v>8133</v>
      </c>
      <c r="H4938" s="3" t="s">
        <v>5487</v>
      </c>
    </row>
    <row r="4939" spans="1:8" ht="102.75" x14ac:dyDescent="0.25">
      <c r="A4939" s="3" t="s">
        <v>14717</v>
      </c>
      <c r="B4939" s="3"/>
      <c r="C4939" s="3" t="s">
        <v>14718</v>
      </c>
      <c r="D4939" s="3" t="s">
        <v>14719</v>
      </c>
      <c r="E4939" s="3" t="s">
        <v>14720</v>
      </c>
      <c r="F4939" s="3" t="str">
        <f>"812-234-2724"</f>
        <v>812-234-2724</v>
      </c>
      <c r="G4939" s="3">
        <v>326111</v>
      </c>
      <c r="H4939" s="3" t="s">
        <v>4202</v>
      </c>
    </row>
    <row r="4940" spans="1:8" ht="77.25" x14ac:dyDescent="0.25">
      <c r="A4940" s="3" t="s">
        <v>14721</v>
      </c>
      <c r="B4940" s="3"/>
      <c r="C4940" s="3" t="str">
        <f>"We are an Emmy Award(2006) winning video production company. We have been producing high quality video for over 20 years. A few of our clients include Eli Lilly, Indianapolis Motor Speedway and ABC News."</f>
        <v>We are an Emmy Award(2006) winning video production company. We have been producing high quality video for over 20 years. A few of our clients include Eli Lilly, Indianapolis Motor Speedway and ABC News.</v>
      </c>
      <c r="D4940" s="3" t="s">
        <v>14722</v>
      </c>
      <c r="E4940" s="3" t="s">
        <v>14723</v>
      </c>
      <c r="F4940" s="3" t="str">
        <f>"317-867-4511"</f>
        <v>317-867-4511</v>
      </c>
      <c r="G4940" s="3">
        <v>512110</v>
      </c>
      <c r="H4940" s="3" t="s">
        <v>406</v>
      </c>
    </row>
    <row r="4941" spans="1:8" ht="230.25" x14ac:dyDescent="0.25">
      <c r="A4941" s="3" t="s">
        <v>14724</v>
      </c>
      <c r="B4941" s="3"/>
      <c r="C4941" s="3" t="s">
        <v>14725</v>
      </c>
      <c r="D4941" s="3" t="s">
        <v>14726</v>
      </c>
      <c r="E4941" s="3" t="s">
        <v>14727</v>
      </c>
      <c r="F4941" s="3" t="str">
        <f>"317-432-0394"</f>
        <v>317-432-0394</v>
      </c>
      <c r="G4941" s="3">
        <v>99999</v>
      </c>
      <c r="H4941" s="3" t="s">
        <v>8262</v>
      </c>
    </row>
    <row r="4942" spans="1:8" ht="243" x14ac:dyDescent="0.25">
      <c r="A4942" s="3" t="s">
        <v>14728</v>
      </c>
      <c r="B4942" s="3"/>
      <c r="C4942" s="3" t="s">
        <v>14729</v>
      </c>
      <c r="D4942" s="3" t="s">
        <v>14730</v>
      </c>
      <c r="E4942" s="3" t="s">
        <v>14731</v>
      </c>
      <c r="F4942" s="3" t="str">
        <f>"3178150900"</f>
        <v>3178150900</v>
      </c>
      <c r="G4942" s="3">
        <v>3391</v>
      </c>
      <c r="H4942" s="3" t="s">
        <v>2119</v>
      </c>
    </row>
    <row r="4943" spans="1:8" ht="39" x14ac:dyDescent="0.25">
      <c r="A4943" s="3" t="s">
        <v>14732</v>
      </c>
      <c r="B4943" s="3"/>
      <c r="C4943" s="3" t="str">
        <f>"Concrete contractor specializing in poured foundations, including basements, crawlspaces, and retaining walls."</f>
        <v>Concrete contractor specializing in poured foundations, including basements, crawlspaces, and retaining walls.</v>
      </c>
      <c r="D4943" s="3" t="s">
        <v>9</v>
      </c>
      <c r="E4943" s="3" t="s">
        <v>14733</v>
      </c>
      <c r="F4943" s="3" t="str">
        <f>"7652942964"</f>
        <v>7652942964</v>
      </c>
      <c r="G4943" s="3">
        <v>238110</v>
      </c>
      <c r="H4943" s="3" t="s">
        <v>156</v>
      </c>
    </row>
    <row r="4944" spans="1:8" ht="319.5" x14ac:dyDescent="0.25">
      <c r="A4944" s="3" t="s">
        <v>14734</v>
      </c>
      <c r="B4944" s="3"/>
      <c r="C4944" s="3" t="s">
        <v>14735</v>
      </c>
      <c r="D4944" s="3" t="s">
        <v>14736</v>
      </c>
      <c r="E4944" s="3" t="s">
        <v>14737</v>
      </c>
      <c r="F4944" s="3" t="str">
        <f>"317-409-2724"</f>
        <v>317-409-2724</v>
      </c>
      <c r="G4944" s="3">
        <v>561612</v>
      </c>
      <c r="H4944" s="3" t="s">
        <v>362</v>
      </c>
    </row>
    <row r="4945" spans="1:8" ht="64.5" x14ac:dyDescent="0.25">
      <c r="A4945" s="3" t="s">
        <v>14738</v>
      </c>
      <c r="B4945" s="3"/>
      <c r="C4945" s="3" t="str">
        <f>"Architectural, Engineering, Planning and Interior Design Services for Commercial/Institutional, Public Housing and Multi-Family Housing. In business since 1972."</f>
        <v>Architectural, Engineering, Planning and Interior Design Services for Commercial/Institutional, Public Housing and Multi-Family Housing. In business since 1972.</v>
      </c>
      <c r="D4945" s="3" t="s">
        <v>14739</v>
      </c>
      <c r="E4945" s="3" t="s">
        <v>14740</v>
      </c>
      <c r="F4945" s="3" t="str">
        <f>"574-288-2052"</f>
        <v>574-288-2052</v>
      </c>
      <c r="G4945" s="3">
        <v>541310</v>
      </c>
      <c r="H4945" s="3" t="s">
        <v>446</v>
      </c>
    </row>
    <row r="4946" spans="1:8" ht="90" x14ac:dyDescent="0.25">
      <c r="A4946" s="3" t="s">
        <v>14741</v>
      </c>
      <c r="B4946" s="3"/>
      <c r="C4946" s="3" t="s">
        <v>14742</v>
      </c>
      <c r="D4946" s="3" t="s">
        <v>14743</v>
      </c>
      <c r="E4946" s="3" t="s">
        <v>14744</v>
      </c>
      <c r="F4946" s="3" t="str">
        <f>"317-635-2800"</f>
        <v>317-635-2800</v>
      </c>
      <c r="G4946" s="3">
        <v>236118</v>
      </c>
      <c r="H4946" s="3" t="s">
        <v>465</v>
      </c>
    </row>
    <row r="4947" spans="1:8" ht="51.75" x14ac:dyDescent="0.25">
      <c r="A4947" s="3" t="s">
        <v>14745</v>
      </c>
      <c r="B4947" s="3"/>
      <c r="C4947" s="3" t="str">
        <f>"Information security consulting including business continuity planning and disaster recovery, risk analysis, process review, project management and training."</f>
        <v>Information security consulting including business continuity planning and disaster recovery, risk analysis, process review, project management and training.</v>
      </c>
      <c r="D4947" s="3" t="s">
        <v>14746</v>
      </c>
      <c r="E4947" s="3" t="s">
        <v>14747</v>
      </c>
      <c r="F4947" s="3" t="str">
        <f>"317-467-4424"</f>
        <v>317-467-4424</v>
      </c>
      <c r="G4947" s="3">
        <v>541519</v>
      </c>
      <c r="H4947" s="3" t="s">
        <v>898</v>
      </c>
    </row>
    <row r="4948" spans="1:8" ht="217.5" x14ac:dyDescent="0.25">
      <c r="A4948" s="3" t="s">
        <v>14748</v>
      </c>
      <c r="B4948" s="3"/>
      <c r="C4948" s="3" t="s">
        <v>14749</v>
      </c>
      <c r="D4948" s="3" t="s">
        <v>14750</v>
      </c>
      <c r="E4948" s="3" t="s">
        <v>14751</v>
      </c>
      <c r="F4948" s="3" t="str">
        <f>"812-738-8291"</f>
        <v>812-738-8291</v>
      </c>
      <c r="G4948" s="3">
        <v>236220</v>
      </c>
      <c r="H4948" s="3" t="s">
        <v>598</v>
      </c>
    </row>
    <row r="4949" spans="1:8" ht="306.75" x14ac:dyDescent="0.25">
      <c r="A4949" s="3" t="s">
        <v>14752</v>
      </c>
      <c r="B4949" s="3"/>
      <c r="C4949" s="3" t="s">
        <v>14753</v>
      </c>
      <c r="D4949" s="3" t="s">
        <v>14754</v>
      </c>
      <c r="E4949" s="3" t="s">
        <v>14755</v>
      </c>
      <c r="F4949" s="3" t="str">
        <f>"866-944-8883"</f>
        <v>866-944-8883</v>
      </c>
      <c r="G4949" s="3">
        <v>561720</v>
      </c>
      <c r="H4949" s="3" t="s">
        <v>222</v>
      </c>
    </row>
    <row r="4950" spans="1:8" ht="166.5" x14ac:dyDescent="0.25">
      <c r="A4950" s="3" t="s">
        <v>14756</v>
      </c>
      <c r="B4950" s="3"/>
      <c r="C4950" s="3" t="s">
        <v>14757</v>
      </c>
      <c r="D4950" s="3" t="s">
        <v>14758</v>
      </c>
      <c r="E4950" s="3" t="s">
        <v>14759</v>
      </c>
      <c r="F4950" s="3" t="str">
        <f>"219-879-3584"</f>
        <v>219-879-3584</v>
      </c>
      <c r="G4950" s="3">
        <v>54151</v>
      </c>
      <c r="H4950" s="3" t="s">
        <v>188</v>
      </c>
    </row>
    <row r="4951" spans="1:8" ht="64.5" x14ac:dyDescent="0.25">
      <c r="A4951" s="3" t="s">
        <v>14760</v>
      </c>
      <c r="B4951" s="3"/>
      <c r="C4951" s="3" t="str">
        <f>"We preform preventative maintenance and repair for on automobiles, light trucks, heavy trucks and equipment, for the consumer, business, farmer, fleets and governmental agencies."</f>
        <v>We preform preventative maintenance and repair for on automobiles, light trucks, heavy trucks and equipment, for the consumer, business, farmer, fleets and governmental agencies.</v>
      </c>
      <c r="D4951" s="3" t="s">
        <v>9</v>
      </c>
      <c r="E4951" s="3" t="s">
        <v>14761</v>
      </c>
      <c r="F4951" s="3" t="str">
        <f>"260-248-8053"</f>
        <v>260-248-8053</v>
      </c>
      <c r="G4951" s="3">
        <v>81111</v>
      </c>
      <c r="H4951" s="3" t="s">
        <v>96</v>
      </c>
    </row>
    <row r="4952" spans="1:8" ht="51.75" x14ac:dyDescent="0.25">
      <c r="A4952" s="3" t="s">
        <v>14760</v>
      </c>
      <c r="B4952" s="3"/>
      <c r="C4952" s="3" t="str">
        <f>"We supply parts and service for automotive, truck and equipment. We can provide full menu of services excluding chassis alignment and body and refinishing repairs."</f>
        <v>We supply parts and service for automotive, truck and equipment. We can provide full menu of services excluding chassis alignment and body and refinishing repairs.</v>
      </c>
      <c r="D4952" s="3" t="s">
        <v>9</v>
      </c>
      <c r="E4952" s="3" t="s">
        <v>14762</v>
      </c>
      <c r="F4952" s="3" t="str">
        <f>"260-693-9448"</f>
        <v>260-693-9448</v>
      </c>
      <c r="G4952" s="3">
        <v>811111</v>
      </c>
      <c r="H4952" s="3" t="s">
        <v>2383</v>
      </c>
    </row>
    <row r="4953" spans="1:8" ht="26.25" x14ac:dyDescent="0.25">
      <c r="A4953" s="3" t="s">
        <v>14763</v>
      </c>
      <c r="B4953" s="3"/>
      <c r="C4953" s="3" t="str">
        <f>" "</f>
        <v xml:space="preserve"> </v>
      </c>
      <c r="D4953" s="3" t="s">
        <v>14764</v>
      </c>
      <c r="E4953" s="3" t="s">
        <v>14765</v>
      </c>
      <c r="F4953" s="3" t="str">
        <f>"219-791-9705"</f>
        <v>219-791-9705</v>
      </c>
      <c r="G4953" s="3">
        <v>113110</v>
      </c>
      <c r="H4953" s="3" t="s">
        <v>14766</v>
      </c>
    </row>
    <row r="4954" spans="1:8" ht="26.25" x14ac:dyDescent="0.25">
      <c r="A4954" s="3" t="s">
        <v>14767</v>
      </c>
      <c r="B4954" s="3"/>
      <c r="C4954" s="3" t="str">
        <f>"Construction dirt import/export, legal dump sites, topsoil and clay sources"</f>
        <v>Construction dirt import/export, legal dump sites, topsoil and clay sources</v>
      </c>
      <c r="D4954" s="3" t="s">
        <v>14768</v>
      </c>
      <c r="E4954" s="3" t="s">
        <v>14769</v>
      </c>
      <c r="F4954" s="3" t="str">
        <f>"812-350-8874"</f>
        <v>812-350-8874</v>
      </c>
      <c r="G4954" s="3">
        <v>238910</v>
      </c>
      <c r="H4954" s="3" t="s">
        <v>886</v>
      </c>
    </row>
    <row r="4955" spans="1:8" ht="128.25" x14ac:dyDescent="0.25">
      <c r="A4955" s="3" t="s">
        <v>14770</v>
      </c>
      <c r="B4955" s="3"/>
      <c r="C4955" s="3" t="s">
        <v>14771</v>
      </c>
      <c r="D4955" s="3" t="s">
        <v>14772</v>
      </c>
      <c r="E4955" s="3" t="s">
        <v>14773</v>
      </c>
      <c r="F4955" s="3" t="str">
        <f>"317-363-1639"</f>
        <v>317-363-1639</v>
      </c>
      <c r="G4955" s="3">
        <v>238</v>
      </c>
      <c r="H4955" s="3" t="s">
        <v>397</v>
      </c>
    </row>
    <row r="4956" spans="1:8" ht="39" x14ac:dyDescent="0.25">
      <c r="A4956" s="3" t="s">
        <v>14774</v>
      </c>
      <c r="B4956" s="3"/>
      <c r="C4956" s="3" t="str">
        <f>"We provide sign language interpreting for individuals who are Deaf, Hard of Hearing, and Deaf Blind."</f>
        <v>We provide sign language interpreting for individuals who are Deaf, Hard of Hearing, and Deaf Blind.</v>
      </c>
      <c r="D4956" s="3" t="s">
        <v>9</v>
      </c>
      <c r="E4956" s="3" t="s">
        <v>14775</v>
      </c>
      <c r="F4956" s="3" t="str">
        <f>"812-375-1806"</f>
        <v>812-375-1806</v>
      </c>
      <c r="G4956" s="3">
        <v>541930</v>
      </c>
      <c r="H4956" s="3" t="s">
        <v>971</v>
      </c>
    </row>
    <row r="4957" spans="1:8" ht="115.5" x14ac:dyDescent="0.25">
      <c r="A4957" s="3" t="s">
        <v>14776</v>
      </c>
      <c r="B4957" s="3"/>
      <c r="C4957" s="3" t="s">
        <v>14777</v>
      </c>
      <c r="D4957" s="3" t="s">
        <v>14778</v>
      </c>
      <c r="E4957" s="3" t="s">
        <v>14779</v>
      </c>
      <c r="F4957" s="3" t="str">
        <f>"3177104617"</f>
        <v>3177104617</v>
      </c>
      <c r="G4957" s="3">
        <v>711510</v>
      </c>
      <c r="H4957" s="3" t="s">
        <v>1980</v>
      </c>
    </row>
    <row r="4958" spans="1:8" ht="26.25" x14ac:dyDescent="0.25">
      <c r="A4958" s="3" t="s">
        <v>14780</v>
      </c>
      <c r="B4958" s="3"/>
      <c r="C4958" s="3" t="str">
        <f>"Commercial cleaning svc - floor care carpet cleaning detailed cleaning general cleaning"</f>
        <v>Commercial cleaning svc - floor care carpet cleaning detailed cleaning general cleaning</v>
      </c>
      <c r="D4958" s="3" t="s">
        <v>9</v>
      </c>
      <c r="E4958" s="3" t="s">
        <v>46</v>
      </c>
      <c r="F4958" s="2"/>
      <c r="G4958" s="3">
        <v>561720</v>
      </c>
      <c r="H4958" s="3" t="s">
        <v>222</v>
      </c>
    </row>
    <row r="4959" spans="1:8" ht="90" x14ac:dyDescent="0.25">
      <c r="A4959" s="3" t="s">
        <v>14781</v>
      </c>
      <c r="B4959" s="3"/>
      <c r="C4959" s="3" t="s">
        <v>14782</v>
      </c>
      <c r="D4959" s="3" t="s">
        <v>14783</v>
      </c>
      <c r="E4959" s="3" t="s">
        <v>14784</v>
      </c>
      <c r="F4959" s="3" t="str">
        <f>"3172549686"</f>
        <v>3172549686</v>
      </c>
      <c r="G4959" s="3">
        <v>54133</v>
      </c>
      <c r="H4959" s="3" t="s">
        <v>82</v>
      </c>
    </row>
    <row r="4960" spans="1:8" ht="294" x14ac:dyDescent="0.25">
      <c r="A4960" s="3" t="s">
        <v>14785</v>
      </c>
      <c r="B4960" s="3"/>
      <c r="C4960" s="3" t="s">
        <v>14786</v>
      </c>
      <c r="D4960" s="3" t="s">
        <v>9</v>
      </c>
      <c r="E4960" s="3" t="s">
        <v>5387</v>
      </c>
      <c r="F4960" s="3" t="str">
        <f>"317-706-6770"</f>
        <v>317-706-6770</v>
      </c>
      <c r="G4960" s="3">
        <v>236220</v>
      </c>
      <c r="H4960" s="3" t="s">
        <v>598</v>
      </c>
    </row>
    <row r="4961" spans="1:8" ht="39" x14ac:dyDescent="0.25">
      <c r="A4961" s="3" t="s">
        <v>14787</v>
      </c>
      <c r="B4961" s="3"/>
      <c r="C4961" s="3" t="str">
        <f>"General contractor for rehabilitation and construction projects. Home owner remodeling services."</f>
        <v>General contractor for rehabilitation and construction projects. Home owner remodeling services.</v>
      </c>
      <c r="D4961" s="3" t="s">
        <v>9</v>
      </c>
      <c r="E4961" s="3" t="s">
        <v>14788</v>
      </c>
      <c r="F4961" s="3" t="str">
        <f>"317-620-0589"</f>
        <v>317-620-0589</v>
      </c>
      <c r="G4961" s="3">
        <v>235</v>
      </c>
      <c r="H4961" s="3" t="s">
        <v>259</v>
      </c>
    </row>
    <row r="4962" spans="1:8" ht="141" x14ac:dyDescent="0.25">
      <c r="A4962" s="3" t="s">
        <v>14789</v>
      </c>
      <c r="B4962" s="3"/>
      <c r="C4962" s="3" t="s">
        <v>14790</v>
      </c>
      <c r="D4962" s="3" t="s">
        <v>9</v>
      </c>
      <c r="E4962" s="3" t="s">
        <v>14791</v>
      </c>
      <c r="F4962" s="3" t="str">
        <f>"317 844 7938"</f>
        <v>317 844 7938</v>
      </c>
      <c r="G4962" s="3">
        <v>517110</v>
      </c>
      <c r="H4962" s="3" t="s">
        <v>8574</v>
      </c>
    </row>
    <row r="4963" spans="1:8" ht="51.75" x14ac:dyDescent="0.25">
      <c r="A4963" s="3" t="s">
        <v>14792</v>
      </c>
      <c r="B4963" s="3"/>
      <c r="C4963" s="3" t="str">
        <f>"Central-Indiana provider of brand development, graphic design, web development and marketing communications services."</f>
        <v>Central-Indiana provider of brand development, graphic design, web development and marketing communications services.</v>
      </c>
      <c r="D4963" s="3" t="s">
        <v>14793</v>
      </c>
      <c r="E4963" s="3" t="s">
        <v>14794</v>
      </c>
      <c r="F4963" s="3" t="str">
        <f>"317-834-6560"</f>
        <v>317-834-6560</v>
      </c>
      <c r="G4963" s="3">
        <v>425110</v>
      </c>
      <c r="H4963" s="3" t="s">
        <v>5014</v>
      </c>
    </row>
    <row r="4964" spans="1:8" ht="26.25" x14ac:dyDescent="0.25">
      <c r="A4964" s="3" t="s">
        <v>14795</v>
      </c>
      <c r="B4964" s="3"/>
      <c r="C4964" s="3" t="str">
        <f>"Repair of automobiles &amp; trucks"</f>
        <v>Repair of automobiles &amp; trucks</v>
      </c>
      <c r="D4964" s="3" t="s">
        <v>9</v>
      </c>
      <c r="E4964" s="3" t="s">
        <v>14796</v>
      </c>
      <c r="F4964" s="3" t="str">
        <f>"765-455-1264"</f>
        <v>765-455-1264</v>
      </c>
      <c r="G4964" s="3">
        <v>811111</v>
      </c>
      <c r="H4964" s="3" t="s">
        <v>2383</v>
      </c>
    </row>
    <row r="4965" spans="1:8" ht="243" x14ac:dyDescent="0.25">
      <c r="A4965" s="3" t="s">
        <v>14797</v>
      </c>
      <c r="B4965" s="3"/>
      <c r="C4965" s="3" t="s">
        <v>14798</v>
      </c>
      <c r="D4965" s="3" t="s">
        <v>14799</v>
      </c>
      <c r="E4965" s="3" t="s">
        <v>14800</v>
      </c>
      <c r="F4965" s="3" t="str">
        <f>"(812) 229-4097"</f>
        <v>(812) 229-4097</v>
      </c>
      <c r="G4965" s="3">
        <v>541380</v>
      </c>
      <c r="H4965" s="3" t="s">
        <v>226</v>
      </c>
    </row>
    <row r="4966" spans="1:8" ht="26.25" x14ac:dyDescent="0.25">
      <c r="A4966" s="3" t="s">
        <v>14801</v>
      </c>
      <c r="B4966" s="3"/>
      <c r="C4966" s="3" t="str">
        <f>"Jasper County Government located @ 115 W Washington St, Rensselaer, IN 47978"</f>
        <v>Jasper County Government located @ 115 W Washington St, Rensselaer, IN 47978</v>
      </c>
      <c r="D4966" s="3" t="s">
        <v>14802</v>
      </c>
      <c r="E4966" s="3" t="s">
        <v>14803</v>
      </c>
      <c r="F4966" s="3" t="str">
        <f>"(219) 866-4930"</f>
        <v>(219) 866-4930</v>
      </c>
      <c r="G4966" s="3">
        <v>921190</v>
      </c>
      <c r="H4966" s="3" t="s">
        <v>4809</v>
      </c>
    </row>
    <row r="4967" spans="1:8" ht="26.25" x14ac:dyDescent="0.25">
      <c r="A4967" s="3" t="s">
        <v>14804</v>
      </c>
      <c r="B4967" s="3"/>
      <c r="C4967" s="2"/>
      <c r="D4967" s="3" t="s">
        <v>14805</v>
      </c>
      <c r="E4967" s="3" t="s">
        <v>46</v>
      </c>
      <c r="F4967" s="3" t="str">
        <f>"219-866-5141"</f>
        <v>219-866-5141</v>
      </c>
      <c r="G4967" s="3">
        <v>622110</v>
      </c>
      <c r="H4967" s="3" t="s">
        <v>3335</v>
      </c>
    </row>
    <row r="4968" spans="1:8" ht="51.75" x14ac:dyDescent="0.25">
      <c r="A4968" s="3" t="s">
        <v>14806</v>
      </c>
      <c r="B4968" s="3"/>
      <c r="C4968" s="3" t="str">
        <f>"Remanufacturer of gas, diesel, import engines; light and heavy duty transmissions; differentials; marine engines and stern drives; performance engines"</f>
        <v>Remanufacturer of gas, diesel, import engines; light and heavy duty transmissions; differentials; marine engines and stern drives; performance engines</v>
      </c>
      <c r="D4968" s="3" t="s">
        <v>14807</v>
      </c>
      <c r="E4968" s="3" t="s">
        <v>14808</v>
      </c>
      <c r="F4968" s="3" t="str">
        <f>"812-482-1041"</f>
        <v>812-482-1041</v>
      </c>
      <c r="G4968" s="3">
        <v>336350</v>
      </c>
      <c r="H4968" s="3" t="s">
        <v>1692</v>
      </c>
    </row>
    <row r="4969" spans="1:8" ht="64.5" x14ac:dyDescent="0.25">
      <c r="A4969" s="3" t="s">
        <v>14809</v>
      </c>
      <c r="B4969" s="3"/>
      <c r="C4969" s="3" t="str">
        <f>"Jasper Engineering Technology, Inc. offers environmental management systems (ISO 14001) and quality management systems (ISO 9001) consulting, auditing and training services."</f>
        <v>Jasper Engineering Technology, Inc. offers environmental management systems (ISO 14001) and quality management systems (ISO 9001) consulting, auditing and training services.</v>
      </c>
      <c r="D4969" s="3" t="s">
        <v>9</v>
      </c>
      <c r="E4969" s="3" t="s">
        <v>14810</v>
      </c>
      <c r="F4969" s="3" t="str">
        <f>"219-866-0391"</f>
        <v>219-866-0391</v>
      </c>
      <c r="G4969" s="3">
        <v>541620</v>
      </c>
      <c r="H4969" s="3" t="s">
        <v>216</v>
      </c>
    </row>
    <row r="4970" spans="1:8" ht="64.5" x14ac:dyDescent="0.25">
      <c r="A4970" s="3" t="s">
        <v>14811</v>
      </c>
      <c r="B4970" s="3"/>
      <c r="C4970" s="3" t="str">
        <f>"A 200 room full service hotel. Indoor pool, sauna, whirlpool, game room, and excercise room. Extra Innings sports lounge and Maxwell's fine dining restaurant located in hotel."</f>
        <v>A 200 room full service hotel. Indoor pool, sauna, whirlpool, game room, and excercise room. Extra Innings sports lounge and Maxwell's fine dining restaurant located in hotel.</v>
      </c>
      <c r="D4970" s="3" t="s">
        <v>9</v>
      </c>
      <c r="E4970" s="3" t="s">
        <v>14812</v>
      </c>
      <c r="F4970" s="3" t="str">
        <f>"812-482-5555"</f>
        <v>812-482-5555</v>
      </c>
      <c r="G4970" s="3">
        <v>1133</v>
      </c>
      <c r="H4970" s="3" t="s">
        <v>14813</v>
      </c>
    </row>
    <row r="4971" spans="1:8" ht="115.5" x14ac:dyDescent="0.25">
      <c r="A4971" s="3" t="s">
        <v>14814</v>
      </c>
      <c r="B4971" s="3"/>
      <c r="C4971" s="3" t="s">
        <v>14815</v>
      </c>
      <c r="D4971" s="3" t="s">
        <v>9</v>
      </c>
      <c r="E4971" s="3" t="s">
        <v>46</v>
      </c>
      <c r="F4971" s="2"/>
      <c r="G4971" s="3">
        <v>561310</v>
      </c>
      <c r="H4971" s="3" t="s">
        <v>1720</v>
      </c>
    </row>
    <row r="4972" spans="1:8" ht="128.25" x14ac:dyDescent="0.25">
      <c r="A4972" s="3" t="s">
        <v>14816</v>
      </c>
      <c r="B4972" s="3"/>
      <c r="C4972" s="3" t="s">
        <v>14817</v>
      </c>
      <c r="D4972" s="3" t="s">
        <v>9</v>
      </c>
      <c r="E4972" s="3" t="s">
        <v>46</v>
      </c>
      <c r="F4972" s="2"/>
      <c r="G4972" s="3">
        <v>561320</v>
      </c>
      <c r="H4972" s="3" t="s">
        <v>15</v>
      </c>
    </row>
    <row r="4973" spans="1:8" ht="51.75" x14ac:dyDescent="0.25">
      <c r="A4973" s="3" t="s">
        <v>14816</v>
      </c>
      <c r="B4973" s="3"/>
      <c r="C4973" s="3" t="str">
        <f>"Jave Staffing, Inc provides staffing support to businesses within the Indiana and area. We provide Temporary, Temp to Perm, Direct Hire, Payrolling support."</f>
        <v>Jave Staffing, Inc provides staffing support to businesses within the Indiana and area. We provide Temporary, Temp to Perm, Direct Hire, Payrolling support.</v>
      </c>
      <c r="D4973" s="3" t="s">
        <v>9</v>
      </c>
      <c r="E4973" s="3" t="s">
        <v>14818</v>
      </c>
      <c r="F4973" s="3" t="str">
        <f>"219-886-2802"</f>
        <v>219-886-2802</v>
      </c>
      <c r="G4973" s="3">
        <v>541612</v>
      </c>
      <c r="H4973" s="3" t="s">
        <v>1923</v>
      </c>
    </row>
    <row r="4974" spans="1:8" ht="51.75" x14ac:dyDescent="0.25">
      <c r="A4974" s="3" t="s">
        <v>14819</v>
      </c>
      <c r="B4974" s="3"/>
      <c r="C4974" s="3" t="str">
        <f>"Jay Randolph Developmental Services, Inc. provides residential, vocational, and training opportunities to the elderly and to the developmentally disabled."</f>
        <v>Jay Randolph Developmental Services, Inc. provides residential, vocational, and training opportunities to the elderly and to the developmentally disabled.</v>
      </c>
      <c r="D4974" s="3" t="s">
        <v>9</v>
      </c>
      <c r="E4974" s="3" t="s">
        <v>46</v>
      </c>
      <c r="F4974" s="3" t="str">
        <f>"260-726-7931"</f>
        <v>260-726-7931</v>
      </c>
      <c r="G4974" s="3">
        <v>624120</v>
      </c>
      <c r="H4974" s="3" t="s">
        <v>22</v>
      </c>
    </row>
    <row r="4975" spans="1:8" ht="255.75" x14ac:dyDescent="0.25">
      <c r="A4975" s="3" t="s">
        <v>14820</v>
      </c>
      <c r="B4975" s="3"/>
      <c r="C4975" s="3" t="s">
        <v>14821</v>
      </c>
      <c r="D4975" s="3" t="s">
        <v>14822</v>
      </c>
      <c r="E4975" s="3" t="s">
        <v>14823</v>
      </c>
      <c r="F4975" s="3" t="str">
        <f>"317-216-7900"</f>
        <v>317-216-7900</v>
      </c>
      <c r="G4975" s="3">
        <v>423610</v>
      </c>
      <c r="H4975" s="3" t="s">
        <v>2414</v>
      </c>
    </row>
    <row r="4976" spans="1:8" ht="39" x14ac:dyDescent="0.25">
      <c r="A4976" s="3" t="s">
        <v>14824</v>
      </c>
      <c r="B4976" s="3"/>
      <c r="C4976" s="3" t="str">
        <f>"Sell cleaning products and equipment. We have a warehouse and office with computers and delivery capabilities."</f>
        <v>Sell cleaning products and equipment. We have a warehouse and office with computers and delivery capabilities.</v>
      </c>
      <c r="D4976" s="3" t="s">
        <v>9</v>
      </c>
      <c r="E4976" s="3" t="s">
        <v>14825</v>
      </c>
      <c r="F4976" s="3" t="str">
        <f>"812-482-3292"</f>
        <v>812-482-3292</v>
      </c>
      <c r="G4976" s="3">
        <v>423850</v>
      </c>
      <c r="H4976" s="3" t="s">
        <v>419</v>
      </c>
    </row>
    <row r="4977" spans="1:8" ht="64.5" x14ac:dyDescent="0.25">
      <c r="A4977" s="3" t="s">
        <v>14826</v>
      </c>
      <c r="B4977" s="3"/>
      <c r="C4977" s="3" t="str">
        <f>"Jealous Design is proud to provide graphic design services and custom stationery design. We also create one of a kind art prints, photo albums and products, and can provide photo retouching services."</f>
        <v>Jealous Design is proud to provide graphic design services and custom stationery design. We also create one of a kind art prints, photo albums and products, and can provide photo retouching services.</v>
      </c>
      <c r="D4977" s="3" t="s">
        <v>14827</v>
      </c>
      <c r="E4977" s="3" t="s">
        <v>14828</v>
      </c>
      <c r="F4977" s="3" t="str">
        <f>"317-581-0681"</f>
        <v>317-581-0681</v>
      </c>
      <c r="G4977" s="3">
        <v>54143</v>
      </c>
      <c r="H4977" s="3" t="s">
        <v>78</v>
      </c>
    </row>
    <row r="4978" spans="1:8" ht="51.75" x14ac:dyDescent="0.25">
      <c r="A4978" s="3" t="s">
        <v>14829</v>
      </c>
      <c r="B4978" s="3"/>
      <c r="C4978" s="3" t="str">
        <f>"I am a Project Control Specialist. I create, maintain and update project schedules for engineering firms utilizing Primavera P6 scheduling software."</f>
        <v>I am a Project Control Specialist. I create, maintain and update project schedules for engineering firms utilizing Primavera P6 scheduling software.</v>
      </c>
      <c r="D4978" s="3" t="s">
        <v>9</v>
      </c>
      <c r="E4978" s="3" t="s">
        <v>14830</v>
      </c>
      <c r="F4978" s="3" t="str">
        <f>"317-450-3865"</f>
        <v>317-450-3865</v>
      </c>
      <c r="G4978" s="3">
        <v>518210</v>
      </c>
      <c r="H4978" s="3" t="s">
        <v>3133</v>
      </c>
    </row>
    <row r="4979" spans="1:8" ht="77.25" x14ac:dyDescent="0.25">
      <c r="A4979" s="3" t="s">
        <v>14831</v>
      </c>
      <c r="B4979" s="3"/>
      <c r="C4979" s="3" t="str">
        <f>"Jeanne Lewer Consulting, LLC provides consulting in proposal development (strategy, theme identification, gap analysis, writing, editing, planning), strategic planning, and business process improvement/quality management."</f>
        <v>Jeanne Lewer Consulting, LLC provides consulting in proposal development (strategy, theme identification, gap analysis, writing, editing, planning), strategic planning, and business process improvement/quality management.</v>
      </c>
      <c r="D4979" s="3" t="s">
        <v>9</v>
      </c>
      <c r="E4979" s="3" t="s">
        <v>14832</v>
      </c>
      <c r="F4979" s="3" t="str">
        <f>"1-317-413-1520"</f>
        <v>1-317-413-1520</v>
      </c>
      <c r="G4979" s="3">
        <v>541611</v>
      </c>
      <c r="H4979" s="3" t="s">
        <v>278</v>
      </c>
    </row>
    <row r="4980" spans="1:8" ht="166.5" x14ac:dyDescent="0.25">
      <c r="A4980" s="3" t="s">
        <v>14833</v>
      </c>
      <c r="B4980" s="3"/>
      <c r="C4980" s="3" t="s">
        <v>14834</v>
      </c>
      <c r="D4980" s="3" t="s">
        <v>14835</v>
      </c>
      <c r="E4980" s="3" t="s">
        <v>14836</v>
      </c>
      <c r="F4980" s="3" t="str">
        <f>"812-331-8951"</f>
        <v>812-331-8951</v>
      </c>
      <c r="G4980" s="3">
        <v>531</v>
      </c>
      <c r="H4980" s="3" t="s">
        <v>74</v>
      </c>
    </row>
    <row r="4981" spans="1:8" ht="51.75" x14ac:dyDescent="0.25">
      <c r="A4981" s="3" t="s">
        <v>14837</v>
      </c>
      <c r="B4981" s="3"/>
      <c r="C4981" s="3" t="str">
        <f>"Comprehensive governmental and non-profit management, fiscal planning and program evaluation and economic development consulting services."</f>
        <v>Comprehensive governmental and non-profit management, fiscal planning and program evaluation and economic development consulting services.</v>
      </c>
      <c r="D4981" s="3" t="s">
        <v>9</v>
      </c>
      <c r="E4981" s="3" t="s">
        <v>14838</v>
      </c>
      <c r="F4981" s="3" t="str">
        <f>"317.213.6151"</f>
        <v>317.213.6151</v>
      </c>
      <c r="G4981" s="3">
        <v>54</v>
      </c>
      <c r="H4981" s="3" t="s">
        <v>179</v>
      </c>
    </row>
    <row r="4982" spans="1:8" ht="115.5" x14ac:dyDescent="0.25">
      <c r="A4982" s="3" t="s">
        <v>14839</v>
      </c>
      <c r="B4982" s="3"/>
      <c r="C4982" s="3" t="s">
        <v>14840</v>
      </c>
      <c r="D4982" s="3" t="s">
        <v>14841</v>
      </c>
      <c r="E4982" s="3" t="s">
        <v>14842</v>
      </c>
      <c r="F4982" s="3" t="str">
        <f>"317-357-0155"</f>
        <v>317-357-0155</v>
      </c>
      <c r="G4982" s="3">
        <v>541410</v>
      </c>
      <c r="H4982" s="3" t="s">
        <v>687</v>
      </c>
    </row>
    <row r="4983" spans="1:8" ht="26.25" x14ac:dyDescent="0.25">
      <c r="A4983" s="3" t="s">
        <v>14843</v>
      </c>
      <c r="B4983" s="3"/>
      <c r="C4983" s="3" t="str">
        <f>"Lawn Care Maintenance Landscaping Snow Plowing"</f>
        <v>Lawn Care Maintenance Landscaping Snow Plowing</v>
      </c>
      <c r="D4983" s="3" t="s">
        <v>9</v>
      </c>
      <c r="E4983" s="3" t="s">
        <v>14844</v>
      </c>
      <c r="F4983" s="3" t="str">
        <f>"574-264-1462"</f>
        <v>574-264-1462</v>
      </c>
      <c r="G4983" s="3">
        <v>561730</v>
      </c>
      <c r="H4983" s="3" t="s">
        <v>65</v>
      </c>
    </row>
    <row r="4984" spans="1:8" ht="39" x14ac:dyDescent="0.25">
      <c r="A4984" s="3" t="s">
        <v>14845</v>
      </c>
      <c r="B4984" s="3"/>
      <c r="C4984" s="3" t="str">
        <f>"Emergency shelter and community based services for children and families in southeastern Indiana."</f>
        <v>Emergency shelter and community based services for children and families in southeastern Indiana.</v>
      </c>
      <c r="D4984" s="3" t="s">
        <v>14846</v>
      </c>
      <c r="E4984" s="3" t="s">
        <v>14847</v>
      </c>
      <c r="F4984" s="3" t="str">
        <f>"812-273-1917"</f>
        <v>812-273-1917</v>
      </c>
      <c r="G4984" s="3">
        <v>624221</v>
      </c>
      <c r="H4984" s="3" t="s">
        <v>14848</v>
      </c>
    </row>
    <row r="4985" spans="1:8" ht="294" x14ac:dyDescent="0.25">
      <c r="A4985" s="3" t="s">
        <v>14849</v>
      </c>
      <c r="B4985" s="3"/>
      <c r="C4985" s="3" t="s">
        <v>14850</v>
      </c>
      <c r="D4985" s="3" t="s">
        <v>14851</v>
      </c>
      <c r="E4985" s="3" t="s">
        <v>14852</v>
      </c>
      <c r="F4985" s="3" t="str">
        <f>"812-282-8111"</f>
        <v>812-282-8111</v>
      </c>
      <c r="G4985" s="3">
        <v>33661</v>
      </c>
      <c r="H4985" s="3" t="s">
        <v>14853</v>
      </c>
    </row>
    <row r="4986" spans="1:8" ht="39" x14ac:dyDescent="0.25">
      <c r="A4986" s="3" t="s">
        <v>14854</v>
      </c>
      <c r="B4986" s="3"/>
      <c r="C4986" s="3" t="str">
        <f>"WWTP-Sludge Removal, Toilet Vaults, Septic Tanks, Lift Stations, Holding Tanks, Grease Traps, Contracts"</f>
        <v>WWTP-Sludge Removal, Toilet Vaults, Septic Tanks, Lift Stations, Holding Tanks, Grease Traps, Contracts</v>
      </c>
      <c r="D4986" s="3" t="s">
        <v>14855</v>
      </c>
      <c r="E4986" s="3" t="s">
        <v>14856</v>
      </c>
      <c r="F4986" s="3" t="str">
        <f>"812-332-7663"</f>
        <v>812-332-7663</v>
      </c>
      <c r="G4986" s="3">
        <v>561790</v>
      </c>
      <c r="H4986" s="3" t="s">
        <v>2113</v>
      </c>
    </row>
    <row r="4987" spans="1:8" ht="26.25" x14ac:dyDescent="0.25">
      <c r="A4987" s="3" t="s">
        <v>14857</v>
      </c>
      <c r="B4987" s="3"/>
      <c r="C4987" s="3" t="str">
        <f>"Personal Tax Return Preparation, Small Business Accounting and Taxes."</f>
        <v>Personal Tax Return Preparation, Small Business Accounting and Taxes.</v>
      </c>
      <c r="D4987" s="3" t="s">
        <v>9</v>
      </c>
      <c r="E4987" s="3" t="s">
        <v>14858</v>
      </c>
      <c r="F4987" s="3" t="str">
        <f>"812-332-0577"</f>
        <v>812-332-0577</v>
      </c>
      <c r="G4987" s="3">
        <v>54121</v>
      </c>
      <c r="H4987" s="3" t="s">
        <v>311</v>
      </c>
    </row>
    <row r="4988" spans="1:8" ht="77.25" x14ac:dyDescent="0.25">
      <c r="A4988" s="3" t="s">
        <v>14859</v>
      </c>
      <c r="B4988" s="3"/>
      <c r="C4988" s="3" t="str">
        <f>"Jembah Distributing Company provides an array of paper products to both large and small businesses. Products provided include but are not limited to toilet tissue, paper towels, facial tissue,etc. Our products are safe for use in septic systems."</f>
        <v>Jembah Distributing Company provides an array of paper products to both large and small businesses. Products provided include but are not limited to toilet tissue, paper towels, facial tissue,etc. Our products are safe for use in septic systems.</v>
      </c>
      <c r="D4988" s="3" t="s">
        <v>9</v>
      </c>
      <c r="E4988" s="3" t="s">
        <v>46</v>
      </c>
      <c r="F4988" s="2"/>
      <c r="G4988" s="3">
        <v>424130</v>
      </c>
      <c r="H4988" s="3" t="s">
        <v>602</v>
      </c>
    </row>
    <row r="4989" spans="1:8" ht="64.5" x14ac:dyDescent="0.25">
      <c r="A4989" s="3" t="s">
        <v>14860</v>
      </c>
      <c r="B4989" s="3"/>
      <c r="C4989" s="3" t="str">
        <f>"We are a distributor of staples and staplers. We carry virtually every staple on the market for any application from office supplies to home/commercial construction to automobile manufacturing."</f>
        <v>We are a distributor of staples and staplers. We carry virtually every staple on the market for any application from office supplies to home/commercial construction to automobile manufacturing.</v>
      </c>
      <c r="D4989" s="3" t="s">
        <v>9</v>
      </c>
      <c r="E4989" s="3" t="s">
        <v>14861</v>
      </c>
      <c r="F4989" s="3" t="str">
        <f>"317-876-3434"</f>
        <v>317-876-3434</v>
      </c>
      <c r="G4989" s="3">
        <v>423990</v>
      </c>
      <c r="H4989" s="3" t="s">
        <v>983</v>
      </c>
    </row>
    <row r="4990" spans="1:8" ht="319.5" x14ac:dyDescent="0.25">
      <c r="A4990" s="3" t="s">
        <v>14862</v>
      </c>
      <c r="B4990" s="3"/>
      <c r="C4990" s="3" t="s">
        <v>14863</v>
      </c>
      <c r="D4990" s="3" t="s">
        <v>14864</v>
      </c>
      <c r="E4990" s="3" t="s">
        <v>14865</v>
      </c>
      <c r="F4990" s="3" t="str">
        <f>"317-441-2487"</f>
        <v>317-441-2487</v>
      </c>
      <c r="G4990" s="3">
        <v>541820</v>
      </c>
      <c r="H4990" s="3" t="s">
        <v>795</v>
      </c>
    </row>
    <row r="4991" spans="1:8" ht="51.75" x14ac:dyDescent="0.25">
      <c r="A4991" s="3" t="s">
        <v>14866</v>
      </c>
      <c r="B4991" s="3"/>
      <c r="C4991" s="3" t="str">
        <f>"Jenga Services, Inc. is a minority-owned, Indiana business that offers demolition services, site clean-up, and finishing and light construction services."</f>
        <v>Jenga Services, Inc. is a minority-owned, Indiana business that offers demolition services, site clean-up, and finishing and light construction services.</v>
      </c>
      <c r="D4991" s="3" t="s">
        <v>9</v>
      </c>
      <c r="E4991" s="3" t="s">
        <v>14867</v>
      </c>
      <c r="F4991" s="3" t="str">
        <f>"574-514-8954"</f>
        <v>574-514-8954</v>
      </c>
      <c r="G4991" s="3">
        <v>238910</v>
      </c>
      <c r="H4991" s="3" t="s">
        <v>886</v>
      </c>
    </row>
    <row r="4992" spans="1:8" ht="115.5" x14ac:dyDescent="0.25">
      <c r="A4992" s="3" t="s">
        <v>14868</v>
      </c>
      <c r="B4992" s="3"/>
      <c r="C4992" s="3" t="s">
        <v>14869</v>
      </c>
      <c r="D4992" s="3" t="s">
        <v>14870</v>
      </c>
      <c r="E4992" s="3" t="s">
        <v>14871</v>
      </c>
      <c r="F4992" s="3" t="str">
        <f>"317.281.4984"</f>
        <v>317.281.4984</v>
      </c>
      <c r="G4992" s="3">
        <v>541990</v>
      </c>
      <c r="H4992" s="3" t="s">
        <v>378</v>
      </c>
    </row>
    <row r="4993" spans="1:8" ht="51.75" x14ac:dyDescent="0.25">
      <c r="A4993" s="3" t="s">
        <v>14872</v>
      </c>
      <c r="B4993" s="3"/>
      <c r="C4993" s="3" t="str">
        <f>"Dirt Restoration work, finish grading, seeding and putting down straw/concrete work consisting of driveways, sidewalks and curbs."</f>
        <v>Dirt Restoration work, finish grading, seeding and putting down straw/concrete work consisting of driveways, sidewalks and curbs.</v>
      </c>
      <c r="D4993" s="3" t="s">
        <v>9</v>
      </c>
      <c r="E4993" s="3" t="s">
        <v>46</v>
      </c>
      <c r="F4993" s="2"/>
      <c r="G4993" s="3">
        <v>23</v>
      </c>
      <c r="H4993" s="3" t="s">
        <v>133</v>
      </c>
    </row>
    <row r="4994" spans="1:8" ht="26.25" x14ac:dyDescent="0.25">
      <c r="A4994" s="3" t="s">
        <v>14873</v>
      </c>
      <c r="B4994" s="3"/>
      <c r="C4994" s="3" t="str">
        <f>"Outpatient mental health services"</f>
        <v>Outpatient mental health services</v>
      </c>
      <c r="D4994" s="3" t="s">
        <v>14874</v>
      </c>
      <c r="E4994" s="3" t="s">
        <v>14875</v>
      </c>
      <c r="F4994" s="3" t="str">
        <f>"812-333-8474"</f>
        <v>812-333-8474</v>
      </c>
      <c r="G4994" s="3">
        <v>62</v>
      </c>
      <c r="H4994" s="3" t="s">
        <v>1168</v>
      </c>
    </row>
    <row r="4995" spans="1:8" ht="26.25" x14ac:dyDescent="0.25">
      <c r="A4995" s="3" t="s">
        <v>14876</v>
      </c>
      <c r="B4995" s="3"/>
      <c r="C4995" s="2"/>
      <c r="D4995" s="3" t="s">
        <v>9</v>
      </c>
      <c r="E4995" s="3" t="s">
        <v>14877</v>
      </c>
      <c r="F4995" s="3" t="str">
        <f>"765-461-7073"</f>
        <v>765-461-7073</v>
      </c>
      <c r="G4995" s="3">
        <v>8111</v>
      </c>
      <c r="H4995" s="3" t="s">
        <v>3587</v>
      </c>
    </row>
    <row r="4996" spans="1:8" ht="102.75" x14ac:dyDescent="0.25">
      <c r="A4996" s="3" t="s">
        <v>14878</v>
      </c>
      <c r="B4996" s="3"/>
      <c r="C4996" s="3" t="s">
        <v>14879</v>
      </c>
      <c r="D4996" s="3" t="s">
        <v>14880</v>
      </c>
      <c r="E4996" s="3" t="s">
        <v>14881</v>
      </c>
      <c r="F4996" s="3" t="str">
        <f>"317-849-7500"</f>
        <v>317-849-7500</v>
      </c>
      <c r="G4996" s="3">
        <v>812990</v>
      </c>
      <c r="H4996" s="3" t="s">
        <v>294</v>
      </c>
    </row>
    <row r="4997" spans="1:8" ht="115.5" x14ac:dyDescent="0.25">
      <c r="A4997" s="3" t="s">
        <v>14882</v>
      </c>
      <c r="B4997" s="3"/>
      <c r="C4997" s="3" t="s">
        <v>14883</v>
      </c>
      <c r="D4997" s="3" t="s">
        <v>9</v>
      </c>
      <c r="E4997" s="3" t="s">
        <v>14884</v>
      </c>
      <c r="F4997" s="3" t="str">
        <f>"317-748-4784"</f>
        <v>317-748-4784</v>
      </c>
      <c r="G4997" s="3">
        <v>5614</v>
      </c>
      <c r="H4997" s="3" t="s">
        <v>847</v>
      </c>
    </row>
    <row r="4998" spans="1:8" ht="26.25" x14ac:dyDescent="0.25">
      <c r="A4998" s="3" t="s">
        <v>14885</v>
      </c>
      <c r="B4998" s="3"/>
      <c r="C4998" s="2"/>
      <c r="D4998" s="3" t="s">
        <v>9</v>
      </c>
      <c r="E4998" s="3" t="s">
        <v>14886</v>
      </c>
      <c r="F4998" s="3" t="str">
        <f>"812-346-3838"</f>
        <v>812-346-3838</v>
      </c>
      <c r="G4998" s="3">
        <v>722310</v>
      </c>
      <c r="H4998" s="3" t="s">
        <v>3051</v>
      </c>
    </row>
    <row r="4999" spans="1:8" ht="39" x14ac:dyDescent="0.25">
      <c r="A4999" s="3" t="s">
        <v>14887</v>
      </c>
      <c r="B4999" s="3"/>
      <c r="C4999" s="3" t="str">
        <f>"Custom contractor. Specializing in repairs, additions and remodeling. WIll build to suit. Call for more information."</f>
        <v>Custom contractor. Specializing in repairs, additions and remodeling. WIll build to suit. Call for more information.</v>
      </c>
      <c r="D4999" s="3" t="s">
        <v>9</v>
      </c>
      <c r="E4999" s="3" t="s">
        <v>46</v>
      </c>
      <c r="F4999" s="3" t="str">
        <f>"765-404-2769"</f>
        <v>765-404-2769</v>
      </c>
      <c r="G4999" s="3">
        <v>236117</v>
      </c>
      <c r="H4999" s="3" t="s">
        <v>14888</v>
      </c>
    </row>
    <row r="5000" spans="1:8" ht="39" x14ac:dyDescent="0.25">
      <c r="A5000" s="3" t="s">
        <v>14889</v>
      </c>
      <c r="B5000" s="3"/>
      <c r="C5000" s="3" t="str">
        <f>"Educational tutoring, vocational and professional training, consulting and environmental services."</f>
        <v>Educational tutoring, vocational and professional training, consulting and environmental services.</v>
      </c>
      <c r="D5000" s="3" t="s">
        <v>9</v>
      </c>
      <c r="E5000" s="3" t="s">
        <v>14890</v>
      </c>
      <c r="F5000" s="3" t="str">
        <f>"2198526224"</f>
        <v>2198526224</v>
      </c>
      <c r="G5000" s="3">
        <v>61</v>
      </c>
      <c r="H5000" s="3" t="s">
        <v>140</v>
      </c>
    </row>
    <row r="5001" spans="1:8" ht="39" x14ac:dyDescent="0.25">
      <c r="A5001" s="3" t="s">
        <v>14891</v>
      </c>
      <c r="B5001" s="3"/>
      <c r="C5001" s="3" t="str">
        <f>"CPA services that includes auditiing, accounting information systems, and tax consulting and preparation."</f>
        <v>CPA services that includes auditiing, accounting information systems, and tax consulting and preparation.</v>
      </c>
      <c r="D5001" s="3" t="s">
        <v>9</v>
      </c>
      <c r="E5001" s="3" t="s">
        <v>46</v>
      </c>
      <c r="F5001" s="2"/>
      <c r="G5001" s="3">
        <v>541211</v>
      </c>
      <c r="H5001" s="3" t="s">
        <v>337</v>
      </c>
    </row>
    <row r="5002" spans="1:8" ht="102.75" x14ac:dyDescent="0.25">
      <c r="A5002" s="3" t="s">
        <v>14892</v>
      </c>
      <c r="B5002" s="3"/>
      <c r="C5002" s="3" t="s">
        <v>14893</v>
      </c>
      <c r="D5002" s="3" t="s">
        <v>14894</v>
      </c>
      <c r="E5002" s="3" t="s">
        <v>14895</v>
      </c>
      <c r="F5002" s="3" t="str">
        <f>"317-341-4872"</f>
        <v>317-341-4872</v>
      </c>
      <c r="G5002" s="3">
        <v>424120</v>
      </c>
      <c r="H5002" s="3" t="s">
        <v>411</v>
      </c>
    </row>
    <row r="5003" spans="1:8" ht="26.25" x14ac:dyDescent="0.25">
      <c r="A5003" s="3" t="s">
        <v>14896</v>
      </c>
      <c r="B5003" s="3"/>
      <c r="C5003" s="3" t="str">
        <f>"Stainless Steel, Aluminum, and Glass Railings Fabricating Business"</f>
        <v>Stainless Steel, Aluminum, and Glass Railings Fabricating Business</v>
      </c>
      <c r="D5003" s="3" t="s">
        <v>14897</v>
      </c>
      <c r="E5003" s="3" t="s">
        <v>14898</v>
      </c>
      <c r="F5003" s="3" t="str">
        <f>"812-339-3182"</f>
        <v>812-339-3182</v>
      </c>
      <c r="G5003" s="3">
        <v>332323</v>
      </c>
      <c r="H5003" s="3" t="s">
        <v>3854</v>
      </c>
    </row>
    <row r="5004" spans="1:8" ht="77.25" x14ac:dyDescent="0.25">
      <c r="A5004" s="3" t="s">
        <v>14899</v>
      </c>
      <c r="B5004" s="3"/>
      <c r="C5004" s="3" t="str">
        <f>"Contract for residential, commercial, and industrial. Paint interior and exterior, hand and finish drywall, lay wood floors-subfloors-vinyl tile floors, stain woods, hang drop cielings, light carpentry, and light concrete work."</f>
        <v>Contract for residential, commercial, and industrial. Paint interior and exterior, hand and finish drywall, lay wood floors-subfloors-vinyl tile floors, stain woods, hang drop cielings, light carpentry, and light concrete work.</v>
      </c>
      <c r="D5004" s="3" t="s">
        <v>9</v>
      </c>
      <c r="E5004" s="3" t="s">
        <v>14900</v>
      </c>
      <c r="F5004" s="3" t="str">
        <f>"317.717.6901"</f>
        <v>317.717.6901</v>
      </c>
      <c r="G5004" s="3">
        <v>238320</v>
      </c>
      <c r="H5004" s="3" t="s">
        <v>462</v>
      </c>
    </row>
    <row r="5005" spans="1:8" ht="90" x14ac:dyDescent="0.25">
      <c r="A5005" s="3" t="s">
        <v>14901</v>
      </c>
      <c r="B5005" s="3"/>
      <c r="C5005" s="3" t="s">
        <v>14902</v>
      </c>
      <c r="D5005" s="3" t="s">
        <v>9</v>
      </c>
      <c r="E5005" s="3" t="s">
        <v>14903</v>
      </c>
      <c r="F5005" s="3" t="str">
        <f>"812-743-2588"</f>
        <v>812-743-2588</v>
      </c>
      <c r="G5005" s="3">
        <v>238210</v>
      </c>
      <c r="H5005" s="3" t="s">
        <v>306</v>
      </c>
    </row>
    <row r="5006" spans="1:8" ht="90" x14ac:dyDescent="0.25">
      <c r="A5006" s="3" t="s">
        <v>14904</v>
      </c>
      <c r="B5006" s="3"/>
      <c r="C5006" s="3" t="str">
        <f>"Selling and servicing Insurance products including auto, home, life products, financial products such as Mutual Funds, Annuities and Financial planning services. Comerical Insurance for small businesses. Bennefit programs for businesses small and large."</f>
        <v>Selling and servicing Insurance products including auto, home, life products, financial products such as Mutual Funds, Annuities and Financial planning services. Comerical Insurance for small businesses. Bennefit programs for businesses small and large.</v>
      </c>
      <c r="D5006" s="3" t="s">
        <v>14905</v>
      </c>
      <c r="E5006" s="3" t="s">
        <v>14906</v>
      </c>
      <c r="F5006" s="3" t="str">
        <f>"1 800 450 7366"</f>
        <v>1 800 450 7366</v>
      </c>
      <c r="G5006" s="3">
        <v>524210</v>
      </c>
      <c r="H5006" s="3" t="s">
        <v>1183</v>
      </c>
    </row>
    <row r="5007" spans="1:8" ht="26.25" x14ac:dyDescent="0.25">
      <c r="A5007" s="3" t="s">
        <v>14907</v>
      </c>
      <c r="B5007" s="3"/>
      <c r="C5007" s="3" t="str">
        <f>"We are custom steel fabricators in ferrous and non-ferrous materials"</f>
        <v>We are custom steel fabricators in ferrous and non-ferrous materials</v>
      </c>
      <c r="D5007" s="3" t="s">
        <v>14908</v>
      </c>
      <c r="E5007" s="3" t="s">
        <v>46</v>
      </c>
      <c r="F5007" s="3" t="str">
        <f>"219-872-8611"</f>
        <v>219-872-8611</v>
      </c>
      <c r="G5007" s="3">
        <v>332321</v>
      </c>
      <c r="H5007" s="3" t="s">
        <v>7074</v>
      </c>
    </row>
    <row r="5008" spans="1:8" ht="26.25" x14ac:dyDescent="0.25">
      <c r="A5008" s="3" t="s">
        <v>14909</v>
      </c>
      <c r="B5008" s="3"/>
      <c r="C5008" s="3" t="str">
        <f>" "</f>
        <v xml:space="preserve"> </v>
      </c>
      <c r="D5008" s="3" t="s">
        <v>14910</v>
      </c>
      <c r="E5008" s="3" t="s">
        <v>46</v>
      </c>
      <c r="F5008" s="3" t="str">
        <f>"8009694222"</f>
        <v>8009694222</v>
      </c>
      <c r="G5008" s="3">
        <v>484121</v>
      </c>
      <c r="H5008" s="3" t="s">
        <v>342</v>
      </c>
    </row>
    <row r="5009" spans="1:8" ht="26.25" x14ac:dyDescent="0.25">
      <c r="A5009" s="3" t="s">
        <v>14911</v>
      </c>
      <c r="B5009" s="3"/>
      <c r="C5009" s="3" t="str">
        <f>"Electrical contracting firm. Offering commercial, industrial, residential services."</f>
        <v>Electrical contracting firm. Offering commercial, industrial, residential services.</v>
      </c>
      <c r="D5009" s="3" t="s">
        <v>14912</v>
      </c>
      <c r="E5009" s="3" t="s">
        <v>14913</v>
      </c>
      <c r="F5009" s="3" t="str">
        <f>"574-320-0985"</f>
        <v>574-320-0985</v>
      </c>
      <c r="G5009" s="3">
        <v>238210</v>
      </c>
      <c r="H5009" s="3" t="s">
        <v>306</v>
      </c>
    </row>
    <row r="5010" spans="1:8" ht="26.25" x14ac:dyDescent="0.25">
      <c r="A5010" s="3" t="s">
        <v>14914</v>
      </c>
      <c r="B5010" s="3"/>
      <c r="C5010" s="3" t="str">
        <f>"Commercial cleaning service."</f>
        <v>Commercial cleaning service.</v>
      </c>
      <c r="D5010" s="3" t="s">
        <v>9</v>
      </c>
      <c r="E5010" s="3" t="s">
        <v>14915</v>
      </c>
      <c r="F5010" s="3" t="str">
        <f>"(260)246-9105"</f>
        <v>(260)246-9105</v>
      </c>
      <c r="G5010" s="3">
        <v>561720</v>
      </c>
      <c r="H5010" s="3" t="s">
        <v>222</v>
      </c>
    </row>
    <row r="5011" spans="1:8" ht="64.5" x14ac:dyDescent="0.25">
      <c r="A5011" s="3" t="s">
        <v>14916</v>
      </c>
      <c r="B5011" s="3"/>
      <c r="C5011" s="3" t="str">
        <f>"Prepare real estate appraisals and review appraisals following the Uniform Standards of Approved Appraisal Practice and the reles of the Indiana Real Estate Appraisal Licensing Board."</f>
        <v>Prepare real estate appraisals and review appraisals following the Uniform Standards of Approved Appraisal Practice and the reles of the Indiana Real Estate Appraisal Licensing Board.</v>
      </c>
      <c r="D5011" s="3" t="s">
        <v>9</v>
      </c>
      <c r="E5011" s="3" t="s">
        <v>14917</v>
      </c>
      <c r="F5011" s="3" t="str">
        <f>"317-299-5999"</f>
        <v>317-299-5999</v>
      </c>
      <c r="G5011" s="3">
        <v>531320</v>
      </c>
      <c r="H5011" s="3" t="s">
        <v>34</v>
      </c>
    </row>
    <row r="5012" spans="1:8" ht="64.5" x14ac:dyDescent="0.25">
      <c r="A5012" s="3" t="s">
        <v>14918</v>
      </c>
      <c r="B5012" s="3"/>
      <c r="C5012" s="3" t="str">
        <f>"A Small town dealer with a great selection of new and used automobiles... We have been in business for 50+ years and have been a well trusted dealer with a lot of loyal customers..."</f>
        <v>A Small town dealer with a great selection of new and used automobiles... We have been in business for 50+ years and have been a well trusted dealer with a lot of loyal customers...</v>
      </c>
      <c r="D5012" s="3" t="s">
        <v>14919</v>
      </c>
      <c r="E5012" s="3" t="s">
        <v>14920</v>
      </c>
      <c r="F5012" s="3" t="str">
        <f>"812-246-4441"</f>
        <v>812-246-4441</v>
      </c>
      <c r="G5012" s="3">
        <v>441110</v>
      </c>
      <c r="H5012" s="3" t="s">
        <v>2588</v>
      </c>
    </row>
    <row r="5013" spans="1:8" ht="39" x14ac:dyDescent="0.25">
      <c r="A5013" s="3" t="s">
        <v>14921</v>
      </c>
      <c r="B5013" s="3"/>
      <c r="C5013" s="3" t="str">
        <f>"New Ford and Mercury Cars. New Ford Trucks. Providing maintenance on all Makes."</f>
        <v>New Ford and Mercury Cars. New Ford Trucks. Providing maintenance on all Makes.</v>
      </c>
      <c r="D5013" s="3" t="s">
        <v>14922</v>
      </c>
      <c r="E5013" s="3" t="s">
        <v>14923</v>
      </c>
      <c r="F5013" s="3" t="str">
        <f>"765-647-4151"</f>
        <v>765-647-4151</v>
      </c>
      <c r="G5013" s="3">
        <v>441110</v>
      </c>
      <c r="H5013" s="3" t="s">
        <v>2588</v>
      </c>
    </row>
    <row r="5014" spans="1:8" ht="26.25" x14ac:dyDescent="0.25">
      <c r="A5014" s="3" t="s">
        <v>14924</v>
      </c>
      <c r="B5014" s="3"/>
      <c r="C5014" s="3" t="str">
        <f>"Vehicle Towing"</f>
        <v>Vehicle Towing</v>
      </c>
      <c r="D5014" s="3" t="s">
        <v>9</v>
      </c>
      <c r="E5014" s="3" t="s">
        <v>46</v>
      </c>
      <c r="F5014" s="3" t="str">
        <f>"765-447-2626"</f>
        <v>765-447-2626</v>
      </c>
      <c r="G5014" s="3">
        <v>488410</v>
      </c>
      <c r="H5014" s="3" t="s">
        <v>4171</v>
      </c>
    </row>
    <row r="5015" spans="1:8" ht="77.25" x14ac:dyDescent="0.25">
      <c r="A5015" s="3" t="s">
        <v>14925</v>
      </c>
      <c r="B5015" s="3"/>
      <c r="C5015" s="3" t="str">
        <f>"Jireh Supplies, Inc. provides residential and industrial cleaning products/solutions. In addition, Jireh, Inc. provides feminine and general hygiene products, such as: deodorant, lotion, sanitary napkins, tampons, bath soap, etc.)"</f>
        <v>Jireh Supplies, Inc. provides residential and industrial cleaning products/solutions. In addition, Jireh, Inc. provides feminine and general hygiene products, such as: deodorant, lotion, sanitary napkins, tampons, bath soap, etc.)</v>
      </c>
      <c r="D5015" s="3" t="s">
        <v>9</v>
      </c>
      <c r="E5015" s="3" t="s">
        <v>46</v>
      </c>
      <c r="F5015" s="2"/>
      <c r="G5015" s="3">
        <v>325611</v>
      </c>
      <c r="H5015" s="3" t="s">
        <v>4219</v>
      </c>
    </row>
    <row r="5016" spans="1:8" ht="77.25" x14ac:dyDescent="0.25">
      <c r="A5016" s="3" t="s">
        <v>14926</v>
      </c>
      <c r="B5016" s="3"/>
      <c r="C5016" s="3" t="str">
        <f>"All photography related services. Including research, coordinate, edit and construction of photo exhibits and printed publications (photo editing). Can provide digital photo services and work that needs to be done in Photoshop."</f>
        <v>All photography related services. Including research, coordinate, edit and construction of photo exhibits and printed publications (photo editing). Can provide digital photo services and work that needs to be done in Photoshop.</v>
      </c>
      <c r="D5016" s="3" t="s">
        <v>9</v>
      </c>
      <c r="E5016" s="3" t="s">
        <v>14927</v>
      </c>
      <c r="F5016" s="3" t="str">
        <f>"765-447-7739"</f>
        <v>765-447-7739</v>
      </c>
      <c r="G5016" s="3">
        <v>541922</v>
      </c>
      <c r="H5016" s="3" t="s">
        <v>1545</v>
      </c>
    </row>
    <row r="5017" spans="1:8" ht="39" x14ac:dyDescent="0.25">
      <c r="A5017" s="3" t="s">
        <v>14928</v>
      </c>
      <c r="B5017" s="3"/>
      <c r="C5017" s="3" t="str">
        <f>"Specializing in medical uniforms, maternity ware and medical supplies for both women and men."</f>
        <v>Specializing in medical uniforms, maternity ware and medical supplies for both women and men.</v>
      </c>
      <c r="D5017" s="3" t="s">
        <v>9</v>
      </c>
      <c r="E5017" s="3" t="s">
        <v>14929</v>
      </c>
      <c r="F5017" s="3" t="str">
        <f>"(812) 482-4919"</f>
        <v>(812) 482-4919</v>
      </c>
      <c r="G5017" s="3">
        <v>315212</v>
      </c>
      <c r="H5017" s="3" t="s">
        <v>14930</v>
      </c>
    </row>
    <row r="5018" spans="1:8" ht="39" x14ac:dyDescent="0.25">
      <c r="A5018" s="3" t="s">
        <v>14931</v>
      </c>
      <c r="B5018" s="3"/>
      <c r="C5018" s="3" t="str">
        <f>"JobWorks is a not-for-profit Indiana-based corporation providing employment and training serfices."</f>
        <v>JobWorks is a not-for-profit Indiana-based corporation providing employment and training serfices.</v>
      </c>
      <c r="D5018" s="3" t="s">
        <v>14932</v>
      </c>
      <c r="E5018" s="3" t="s">
        <v>46</v>
      </c>
      <c r="F5018" s="3" t="str">
        <f>"260-745-2000"</f>
        <v>260-745-2000</v>
      </c>
      <c r="G5018" s="3">
        <v>61</v>
      </c>
      <c r="H5018" s="3" t="s">
        <v>140</v>
      </c>
    </row>
    <row r="5019" spans="1:8" ht="26.25" x14ac:dyDescent="0.25">
      <c r="A5019" s="3" t="s">
        <v>14933</v>
      </c>
      <c r="B5019" s="3"/>
      <c r="C5019" s="3" t="str">
        <f>"Pre-Employment Training and Jobs Search Assistance"</f>
        <v>Pre-Employment Training and Jobs Search Assistance</v>
      </c>
      <c r="D5019" s="3" t="s">
        <v>14934</v>
      </c>
      <c r="E5019" s="3" t="s">
        <v>14935</v>
      </c>
      <c r="F5019" s="3" t="str">
        <f>"317-925-1003"</f>
        <v>317-925-1003</v>
      </c>
      <c r="G5019" s="3">
        <v>5613</v>
      </c>
      <c r="H5019" s="3" t="s">
        <v>1882</v>
      </c>
    </row>
    <row r="5020" spans="1:8" ht="26.25" x14ac:dyDescent="0.25">
      <c r="A5020" s="3" t="s">
        <v>14936</v>
      </c>
      <c r="B5020" s="3"/>
      <c r="C5020" s="3" t="str">
        <f>"Landscaping, Mowing, Snow Removal"</f>
        <v>Landscaping, Mowing, Snow Removal</v>
      </c>
      <c r="D5020" s="3" t="s">
        <v>9</v>
      </c>
      <c r="E5020" s="3" t="s">
        <v>46</v>
      </c>
      <c r="F5020" s="2"/>
      <c r="G5020" s="3">
        <v>541990</v>
      </c>
      <c r="H5020" s="3" t="s">
        <v>378</v>
      </c>
    </row>
    <row r="5021" spans="1:8" ht="64.5" x14ac:dyDescent="0.25">
      <c r="A5021" s="3" t="s">
        <v>14937</v>
      </c>
      <c r="B5021" s="3"/>
      <c r="C5021" s="3" t="str">
        <f>"Joers Floor Center is a specialty floor covering retailers providing all categories of flooring and installation and serving the residential, new home construction and commercial markets."</f>
        <v>Joers Floor Center is a specialty floor covering retailers providing all categories of flooring and installation and serving the residential, new home construction and commercial markets.</v>
      </c>
      <c r="D5021" s="3" t="s">
        <v>14938</v>
      </c>
      <c r="E5021" s="3" t="s">
        <v>14939</v>
      </c>
      <c r="F5021" s="3" t="str">
        <f>"574-277-9711"</f>
        <v>574-277-9711</v>
      </c>
      <c r="G5021" s="3">
        <v>442210</v>
      </c>
      <c r="H5021" s="3" t="s">
        <v>2301</v>
      </c>
    </row>
    <row r="5022" spans="1:8" ht="51.75" x14ac:dyDescent="0.25">
      <c r="A5022" s="3" t="s">
        <v>14940</v>
      </c>
      <c r="B5022" s="3"/>
      <c r="C5022" s="3" t="str">
        <f>"Local owned company certified for water and fire restoration, services include commercial painting and wallcovering, gutters, windows, siding, carpet cleaning"</f>
        <v>Local owned company certified for water and fire restoration, services include commercial painting and wallcovering, gutters, windows, siding, carpet cleaning</v>
      </c>
      <c r="D5022" s="3" t="s">
        <v>14941</v>
      </c>
      <c r="E5022" s="3" t="s">
        <v>14942</v>
      </c>
      <c r="F5022" s="3" t="str">
        <f>"317-924-3440"</f>
        <v>317-924-3440</v>
      </c>
      <c r="G5022" s="3">
        <v>561740</v>
      </c>
      <c r="H5022" s="3" t="s">
        <v>241</v>
      </c>
    </row>
    <row r="5023" spans="1:8" ht="26.25" x14ac:dyDescent="0.25">
      <c r="A5023" s="3" t="s">
        <v>14943</v>
      </c>
      <c r="B5023" s="3"/>
      <c r="C5023" s="3" t="str">
        <f>"Civil Engineering &amp; Land Surveying"</f>
        <v>Civil Engineering &amp; Land Surveying</v>
      </c>
      <c r="D5023" s="3" t="s">
        <v>9</v>
      </c>
      <c r="E5023" s="3" t="s">
        <v>46</v>
      </c>
      <c r="F5023" s="3" t="str">
        <f>"219-872-2221"</f>
        <v>219-872-2221</v>
      </c>
      <c r="G5023" s="3">
        <v>541330</v>
      </c>
      <c r="H5023" s="3" t="s">
        <v>82</v>
      </c>
    </row>
    <row r="5024" spans="1:8" ht="90" x14ac:dyDescent="0.25">
      <c r="A5024" s="3" t="s">
        <v>14944</v>
      </c>
      <c r="B5024" s="3"/>
      <c r="C5024" s="3" t="str">
        <f>"Network design and support, programming, and systems integration; Design and coding of databases in Access, SQL and Visual Basic. Database and network administration and maintenance in SQL Server and Oracle, Web page design and coding."</f>
        <v>Network design and support, programming, and systems integration; Design and coding of databases in Access, SQL and Visual Basic. Database and network administration and maintenance in SQL Server and Oracle, Web page design and coding.</v>
      </c>
      <c r="D5024" s="3" t="s">
        <v>9</v>
      </c>
      <c r="E5024" s="3" t="s">
        <v>14945</v>
      </c>
      <c r="F5024" s="3" t="str">
        <f>"765-964-4705"</f>
        <v>765-964-4705</v>
      </c>
      <c r="G5024" s="3">
        <v>54151</v>
      </c>
      <c r="H5024" s="3" t="s">
        <v>188</v>
      </c>
    </row>
    <row r="5025" spans="1:8" ht="26.25" x14ac:dyDescent="0.25">
      <c r="A5025" s="3" t="s">
        <v>14946</v>
      </c>
      <c r="B5025" s="3"/>
      <c r="C5025" s="3" t="str">
        <f>"Photography"</f>
        <v>Photography</v>
      </c>
      <c r="D5025" s="3" t="s">
        <v>14947</v>
      </c>
      <c r="E5025" s="3" t="s">
        <v>14948</v>
      </c>
      <c r="F5025" s="3" t="str">
        <f>"812-475-0363"</f>
        <v>812-475-0363</v>
      </c>
      <c r="G5025" s="3">
        <v>541922</v>
      </c>
      <c r="H5025" s="3" t="s">
        <v>1545</v>
      </c>
    </row>
    <row r="5026" spans="1:8" ht="26.25" x14ac:dyDescent="0.25">
      <c r="A5026" s="3" t="s">
        <v>14949</v>
      </c>
      <c r="B5026" s="3"/>
      <c r="C5026" s="3" t="str">
        <f>"Full service printing"</f>
        <v>Full service printing</v>
      </c>
      <c r="D5026" s="3" t="s">
        <v>9</v>
      </c>
      <c r="E5026" s="3" t="s">
        <v>14950</v>
      </c>
      <c r="F5026" s="3" t="str">
        <f>"812-760-8884"</f>
        <v>812-760-8884</v>
      </c>
      <c r="G5026" s="3">
        <v>32311</v>
      </c>
      <c r="H5026" s="3" t="s">
        <v>531</v>
      </c>
    </row>
    <row r="5027" spans="1:8" ht="77.25" x14ac:dyDescent="0.25">
      <c r="A5027" s="3" t="s">
        <v>14951</v>
      </c>
      <c r="B5027" s="3"/>
      <c r="C5027" s="3" t="str">
        <f>"We are a custom tool and machine shop capable of making whole production tools, dies, molds, machines, as well as replacement components for already operating systems. We build anything buildable."</f>
        <v>We are a custom tool and machine shop capable of making whole production tools, dies, molds, machines, as well as replacement components for already operating systems. We build anything buildable.</v>
      </c>
      <c r="D5027" s="3" t="s">
        <v>9</v>
      </c>
      <c r="E5027" s="3" t="s">
        <v>46</v>
      </c>
      <c r="F5027" s="3" t="str">
        <f>"574 293 2585"</f>
        <v>574 293 2585</v>
      </c>
      <c r="G5027" s="3">
        <v>332999</v>
      </c>
      <c r="H5027" s="3" t="s">
        <v>9757</v>
      </c>
    </row>
    <row r="5028" spans="1:8" ht="64.5" x14ac:dyDescent="0.25">
      <c r="A5028" s="3" t="s">
        <v>14952</v>
      </c>
      <c r="B5028" s="3"/>
      <c r="C5028" s="3" t="str">
        <f>"Independent insurance agency - markets include: manufacturers, stone companies, hospitals, municipalities, contractors along with specialty markets and hard to place business"</f>
        <v>Independent insurance agency - markets include: manufacturers, stone companies, hospitals, municipalities, contractors along with specialty markets and hard to place business</v>
      </c>
      <c r="D5028" s="3" t="s">
        <v>9</v>
      </c>
      <c r="E5028" s="3" t="s">
        <v>14953</v>
      </c>
      <c r="F5028" s="3" t="str">
        <f>"812-275-5921"</f>
        <v>812-275-5921</v>
      </c>
      <c r="G5028" s="3">
        <v>524210</v>
      </c>
      <c r="H5028" s="3" t="s">
        <v>1183</v>
      </c>
    </row>
    <row r="5029" spans="1:8" ht="26.25" x14ac:dyDescent="0.25">
      <c r="A5029" s="3" t="s">
        <v>14954</v>
      </c>
      <c r="B5029" s="3"/>
      <c r="C5029" s="3" t="str">
        <f>" "</f>
        <v xml:space="preserve"> </v>
      </c>
      <c r="D5029" s="3" t="s">
        <v>14955</v>
      </c>
      <c r="E5029" s="3" t="s">
        <v>46</v>
      </c>
      <c r="F5029" s="3" t="str">
        <f>"800-473-5546"</f>
        <v>800-473-5546</v>
      </c>
      <c r="G5029" s="3">
        <v>441110</v>
      </c>
      <c r="H5029" s="3" t="s">
        <v>2588</v>
      </c>
    </row>
    <row r="5030" spans="1:8" ht="39" x14ac:dyDescent="0.25">
      <c r="A5030" s="3" t="s">
        <v>14956</v>
      </c>
      <c r="B5030" s="3"/>
      <c r="C5030" s="3" t="str">
        <f>"New and used automobile sales and service - Chevrolet,Buick, Cadillac - complete parts and service departments - auto bodyshop"</f>
        <v>New and used automobile sales and service - Chevrolet,Buick, Cadillac - complete parts and service departments - auto bodyshop</v>
      </c>
      <c r="D5030" s="3" t="s">
        <v>14957</v>
      </c>
      <c r="E5030" s="3" t="s">
        <v>14958</v>
      </c>
      <c r="F5030" s="3" t="str">
        <f>"800-473-5546"</f>
        <v>800-473-5546</v>
      </c>
      <c r="G5030" s="3">
        <v>441110</v>
      </c>
      <c r="H5030" s="3" t="s">
        <v>2588</v>
      </c>
    </row>
    <row r="5031" spans="1:8" ht="26.25" x14ac:dyDescent="0.25">
      <c r="A5031" s="3" t="s">
        <v>14959</v>
      </c>
      <c r="B5031" s="3"/>
      <c r="C5031" s="3" t="str">
        <f>" "</f>
        <v xml:space="preserve"> </v>
      </c>
      <c r="D5031" s="3" t="s">
        <v>14955</v>
      </c>
      <c r="E5031" s="3" t="s">
        <v>14960</v>
      </c>
      <c r="F5031" s="3" t="str">
        <f>"8127525000"</f>
        <v>8127525000</v>
      </c>
      <c r="G5031" s="3">
        <v>441110</v>
      </c>
      <c r="H5031" s="3" t="s">
        <v>2588</v>
      </c>
    </row>
    <row r="5032" spans="1:8" ht="90" x14ac:dyDescent="0.25">
      <c r="A5032" s="3" t="s">
        <v>14961</v>
      </c>
      <c r="B5032" s="3"/>
      <c r="C5032" s="3" t="str">
        <f>"Integrated Systems &amp; Supply Co. Is a customer focused office products company. We're committed to making it easy for our customers around the globe to buy a wide range of office products, including supplies, technology, furniture, and business services."</f>
        <v>Integrated Systems &amp; Supply Co. Is a customer focused office products company. We're committed to making it easy for our customers around the globe to buy a wide range of office products, including supplies, technology, furniture, and business services.</v>
      </c>
      <c r="D5032" s="3" t="s">
        <v>14962</v>
      </c>
      <c r="E5032" s="3" t="s">
        <v>14963</v>
      </c>
      <c r="F5032" s="3" t="str">
        <f>"317-522-1678"</f>
        <v>317-522-1678</v>
      </c>
      <c r="G5032" s="3">
        <v>452</v>
      </c>
      <c r="H5032" s="3" t="s">
        <v>14964</v>
      </c>
    </row>
    <row r="5033" spans="1:8" ht="102.75" x14ac:dyDescent="0.25">
      <c r="A5033" s="3" t="s">
        <v>14965</v>
      </c>
      <c r="B5033" s="3"/>
      <c r="C5033" s="3" t="s">
        <v>14966</v>
      </c>
      <c r="D5033" s="3" t="s">
        <v>14967</v>
      </c>
      <c r="E5033" s="3" t="s">
        <v>14968</v>
      </c>
      <c r="F5033" s="3" t="str">
        <f>"574-586-7259"</f>
        <v>574-586-7259</v>
      </c>
      <c r="G5033" s="3">
        <v>52421</v>
      </c>
      <c r="H5033" s="3" t="s">
        <v>1183</v>
      </c>
    </row>
    <row r="5034" spans="1:8" ht="77.25" x14ac:dyDescent="0.25">
      <c r="A5034" s="3" t="s">
        <v>14969</v>
      </c>
      <c r="B5034" s="3"/>
      <c r="C5034" s="3" t="str">
        <f>"Battery &amp; charger sales all makes models of batteries from small laptop batteries to large industrial bateries, UPS battery sets, generator batteries, etc.. Electrical parts for battery chargers and electric fork lifts, elecgtric motors, relays,etc...."</f>
        <v>Battery &amp; charger sales all makes models of batteries from small laptop batteries to large industrial bateries, UPS battery sets, generator batteries, etc.. Electrical parts for battery chargers and electric fork lifts, elecgtric motors, relays,etc....</v>
      </c>
      <c r="D5034" s="3" t="s">
        <v>9</v>
      </c>
      <c r="E5034" s="3" t="s">
        <v>14970</v>
      </c>
      <c r="F5034" s="3" t="str">
        <f>"574-831-3784"</f>
        <v>574-831-3784</v>
      </c>
      <c r="G5034" s="3">
        <v>4216</v>
      </c>
      <c r="H5034" s="3" t="s">
        <v>14971</v>
      </c>
    </row>
    <row r="5035" spans="1:8" ht="115.5" x14ac:dyDescent="0.25">
      <c r="A5035" s="3" t="s">
        <v>14972</v>
      </c>
      <c r="B5035" s="3"/>
      <c r="C5035" s="3" t="s">
        <v>14973</v>
      </c>
      <c r="D5035" s="3" t="s">
        <v>14974</v>
      </c>
      <c r="E5035" s="3" t="s">
        <v>14975</v>
      </c>
      <c r="F5035" s="3" t="str">
        <f>"812-282-7253"</f>
        <v>812-282-7253</v>
      </c>
      <c r="G5035" s="3">
        <v>531390</v>
      </c>
      <c r="H5035" s="3" t="s">
        <v>623</v>
      </c>
    </row>
    <row r="5036" spans="1:8" ht="51.75" x14ac:dyDescent="0.25">
      <c r="A5036" s="3" t="s">
        <v>14976</v>
      </c>
      <c r="B5036" s="3"/>
      <c r="C5036" s="3" t="str">
        <f>"Consulting engineers specializing in the design of mechanical, electrical and plumbing systems for public and private projects."</f>
        <v>Consulting engineers specializing in the design of mechanical, electrical and plumbing systems for public and private projects.</v>
      </c>
      <c r="D5036" s="3" t="s">
        <v>9</v>
      </c>
      <c r="E5036" s="3" t="s">
        <v>14977</v>
      </c>
      <c r="F5036" s="3" t="str">
        <f>"317-636-3941"</f>
        <v>317-636-3941</v>
      </c>
      <c r="G5036" s="3">
        <v>541330</v>
      </c>
      <c r="H5036" s="3" t="s">
        <v>82</v>
      </c>
    </row>
    <row r="5037" spans="1:8" ht="243" x14ac:dyDescent="0.25">
      <c r="A5037" s="3" t="s">
        <v>14978</v>
      </c>
      <c r="B5037" s="3"/>
      <c r="C5037" s="3" t="s">
        <v>14979</v>
      </c>
      <c r="D5037" s="3" t="s">
        <v>14980</v>
      </c>
      <c r="E5037" s="3" t="s">
        <v>14981</v>
      </c>
      <c r="F5037" s="3" t="str">
        <f>"317-925-2833"</f>
        <v>317-925-2833</v>
      </c>
      <c r="G5037" s="3">
        <v>922140</v>
      </c>
      <c r="H5037" s="3" t="s">
        <v>14982</v>
      </c>
    </row>
    <row r="5038" spans="1:8" ht="64.5" x14ac:dyDescent="0.25">
      <c r="A5038" s="3" t="s">
        <v>14983</v>
      </c>
      <c r="B5038" s="3"/>
      <c r="C5038" s="3" t="str">
        <f>"Mill work and cabinetry. Design and fabricating service. Custom moldings. Custom windows. Custom entryways. Custom millwork and millwork replication specialists."</f>
        <v>Mill work and cabinetry. Design and fabricating service. Custom moldings. Custom windows. Custom entryways. Custom millwork and millwork replication specialists.</v>
      </c>
      <c r="D5038" s="3" t="s">
        <v>14984</v>
      </c>
      <c r="E5038" s="3" t="s">
        <v>14985</v>
      </c>
      <c r="F5038" s="3" t="str">
        <f>"812-926-4845"</f>
        <v>812-926-4845</v>
      </c>
      <c r="G5038" s="3">
        <v>32191</v>
      </c>
      <c r="H5038" s="3" t="s">
        <v>14986</v>
      </c>
    </row>
    <row r="5039" spans="1:8" ht="77.25" x14ac:dyDescent="0.25">
      <c r="A5039" s="3" t="s">
        <v>14987</v>
      </c>
      <c r="B5039" s="3"/>
      <c r="C5039" s="3" t="str">
        <f>"Support services for residential and commercial real estate, finance, construction, investment, legal support services, including stenographic reporting, document and contract review and preparation"</f>
        <v>Support services for residential and commercial real estate, finance, construction, investment, legal support services, including stenographic reporting, document and contract review and preparation</v>
      </c>
      <c r="D5039" s="3" t="s">
        <v>9</v>
      </c>
      <c r="E5039" s="3" t="s">
        <v>14988</v>
      </c>
      <c r="F5039" s="3" t="str">
        <f>"317-844-3346"</f>
        <v>317-844-3346</v>
      </c>
      <c r="G5039" s="3">
        <v>23</v>
      </c>
      <c r="H5039" s="3" t="s">
        <v>133</v>
      </c>
    </row>
    <row r="5040" spans="1:8" ht="26.25" x14ac:dyDescent="0.25">
      <c r="A5040" s="3" t="s">
        <v>14989</v>
      </c>
      <c r="B5040" s="3"/>
      <c r="C5040" s="3" t="str">
        <f>"Small buisness with special skills. Historical bridge restoration."</f>
        <v>Small buisness with special skills. Historical bridge restoration.</v>
      </c>
      <c r="D5040" s="3" t="s">
        <v>14990</v>
      </c>
      <c r="E5040" s="3" t="s">
        <v>14991</v>
      </c>
      <c r="F5040" s="3" t="str">
        <f>"574-594-2497"</f>
        <v>574-594-2497</v>
      </c>
      <c r="G5040" s="3">
        <v>237310</v>
      </c>
      <c r="H5040" s="3" t="s">
        <v>768</v>
      </c>
    </row>
    <row r="5041" spans="1:8" ht="102.75" x14ac:dyDescent="0.25">
      <c r="A5041" s="3" t="s">
        <v>14992</v>
      </c>
      <c r="B5041" s="3"/>
      <c r="C5041" s="3" t="s">
        <v>14993</v>
      </c>
      <c r="D5041" s="3" t="s">
        <v>14994</v>
      </c>
      <c r="E5041" s="3" t="s">
        <v>14995</v>
      </c>
      <c r="F5041" s="3" t="str">
        <f>"765-474-9230"</f>
        <v>765-474-9230</v>
      </c>
      <c r="G5041" s="3">
        <v>238160</v>
      </c>
      <c r="H5041" s="3" t="s">
        <v>144</v>
      </c>
    </row>
    <row r="5042" spans="1:8" ht="51.75" x14ac:dyDescent="0.25">
      <c r="A5042" s="3" t="s">
        <v>14996</v>
      </c>
      <c r="B5042" s="3"/>
      <c r="C5042" s="3" t="str">
        <f>"We are a welding and Fabrication shop the does anything from repairing farm equipment to fabricating gates and handrails."</f>
        <v>We are a welding and Fabrication shop the does anything from repairing farm equipment to fabricating gates and handrails.</v>
      </c>
      <c r="D5042" s="3" t="s">
        <v>9</v>
      </c>
      <c r="E5042" s="3" t="s">
        <v>14997</v>
      </c>
      <c r="F5042" s="3" t="str">
        <f>"812-354-2876"</f>
        <v>812-354-2876</v>
      </c>
      <c r="G5042" s="3">
        <v>2359</v>
      </c>
      <c r="H5042" s="3" t="s">
        <v>631</v>
      </c>
    </row>
    <row r="5043" spans="1:8" ht="77.25" x14ac:dyDescent="0.25">
      <c r="A5043" s="3" t="s">
        <v>14998</v>
      </c>
      <c r="B5043" s="3"/>
      <c r="C5043" s="3" t="str">
        <f>"We are a Minority, Woman Owned Small Business selling Office, Medical, Hardware/Industrial and IT products and services to Federal/City/State Government Agencies, K-12/University education markets."</f>
        <v>We are a Minority, Woman Owned Small Business selling Office, Medical, Hardware/Industrial and IT products and services to Federal/City/State Government Agencies, K-12/University education markets.</v>
      </c>
      <c r="D5043" s="3" t="s">
        <v>14999</v>
      </c>
      <c r="E5043" s="3" t="s">
        <v>15000</v>
      </c>
      <c r="F5043" s="3" t="str">
        <f>"317-576-4417"</f>
        <v>317-576-4417</v>
      </c>
      <c r="G5043" s="3">
        <v>44312</v>
      </c>
      <c r="H5043" s="3" t="s">
        <v>609</v>
      </c>
    </row>
    <row r="5044" spans="1:8" ht="90" x14ac:dyDescent="0.25">
      <c r="A5044" s="3" t="s">
        <v>15001</v>
      </c>
      <c r="B5044" s="3"/>
      <c r="C5044" s="3" t="s">
        <v>15002</v>
      </c>
      <c r="D5044" s="3" t="s">
        <v>9</v>
      </c>
      <c r="E5044" s="3" t="s">
        <v>15003</v>
      </c>
      <c r="F5044" s="3" t="str">
        <f>"317-710-9705"</f>
        <v>317-710-9705</v>
      </c>
      <c r="G5044" s="3">
        <v>5617</v>
      </c>
      <c r="H5044" s="3" t="s">
        <v>812</v>
      </c>
    </row>
    <row r="5045" spans="1:8" ht="39" x14ac:dyDescent="0.25">
      <c r="A5045" s="3" t="s">
        <v>15004</v>
      </c>
      <c r="B5045" s="3"/>
      <c r="C5045" s="3" t="str">
        <f>"Our business supplies hauling services of rock, gravel and aggregate to construction projects, businesses and individuals."</f>
        <v>Our business supplies hauling services of rock, gravel and aggregate to construction projects, businesses and individuals.</v>
      </c>
      <c r="D5045" s="3" t="s">
        <v>9</v>
      </c>
      <c r="E5045" s="3" t="s">
        <v>46</v>
      </c>
      <c r="F5045" s="3" t="str">
        <f>"812-883-4767"</f>
        <v>812-883-4767</v>
      </c>
      <c r="G5045" s="3">
        <v>484110</v>
      </c>
      <c r="H5045" s="3" t="s">
        <v>644</v>
      </c>
    </row>
    <row r="5046" spans="1:8" ht="77.25" x14ac:dyDescent="0.25">
      <c r="A5046" s="3" t="s">
        <v>15005</v>
      </c>
      <c r="B5046" s="3"/>
      <c r="C5046" s="3" t="str">
        <f>"We are a full service portable sanitation company. We provide portable restrooms to construction sites, festivals &amp; backyard barbecues. We have holding takes &amp; sink stations as well. We currently service over a dozen counties in Indiana."</f>
        <v>We are a full service portable sanitation company. We provide portable restrooms to construction sites, festivals &amp; backyard barbecues. We have holding takes &amp; sink stations as well. We currently service over a dozen counties in Indiana.</v>
      </c>
      <c r="D5046" s="3" t="s">
        <v>15006</v>
      </c>
      <c r="E5046" s="3" t="s">
        <v>15007</v>
      </c>
      <c r="F5046" s="3" t="str">
        <f>"574-896-5424"</f>
        <v>574-896-5424</v>
      </c>
      <c r="G5046" s="3">
        <v>2359</v>
      </c>
      <c r="H5046" s="3" t="s">
        <v>631</v>
      </c>
    </row>
    <row r="5047" spans="1:8" ht="192" x14ac:dyDescent="0.25">
      <c r="A5047" s="3" t="s">
        <v>15008</v>
      </c>
      <c r="B5047" s="3"/>
      <c r="C5047" s="3" t="s">
        <v>15009</v>
      </c>
      <c r="D5047" s="3" t="s">
        <v>15010</v>
      </c>
      <c r="E5047" s="3" t="s">
        <v>15011</v>
      </c>
      <c r="F5047" s="3" t="str">
        <f>"317-862-4885"</f>
        <v>317-862-4885</v>
      </c>
      <c r="G5047" s="3">
        <v>238210</v>
      </c>
      <c r="H5047" s="3" t="s">
        <v>306</v>
      </c>
    </row>
    <row r="5048" spans="1:8" ht="319.5" x14ac:dyDescent="0.25">
      <c r="A5048" s="3" t="s">
        <v>15012</v>
      </c>
      <c r="B5048" s="3"/>
      <c r="C5048" s="3" t="s">
        <v>15013</v>
      </c>
      <c r="D5048" s="3" t="s">
        <v>9</v>
      </c>
      <c r="E5048" s="3" t="s">
        <v>15014</v>
      </c>
      <c r="F5048" s="3" t="str">
        <f>"317-894-7644"</f>
        <v>317-894-7644</v>
      </c>
      <c r="G5048" s="3">
        <v>561720</v>
      </c>
      <c r="H5048" s="3" t="s">
        <v>222</v>
      </c>
    </row>
    <row r="5049" spans="1:8" ht="115.5" x14ac:dyDescent="0.25">
      <c r="A5049" s="3" t="s">
        <v>15015</v>
      </c>
      <c r="B5049" s="3"/>
      <c r="C5049" s="3" t="s">
        <v>15016</v>
      </c>
      <c r="D5049" s="3" t="s">
        <v>15017</v>
      </c>
      <c r="E5049" s="3" t="s">
        <v>15018</v>
      </c>
      <c r="F5049" s="3" t="str">
        <f>"3179175047"</f>
        <v>3179175047</v>
      </c>
      <c r="G5049" s="3">
        <v>238220</v>
      </c>
      <c r="H5049" s="3" t="s">
        <v>348</v>
      </c>
    </row>
    <row r="5050" spans="1:8" ht="39" x14ac:dyDescent="0.25">
      <c r="A5050" s="3" t="s">
        <v>15019</v>
      </c>
      <c r="B5050" s="3"/>
      <c r="C5050" s="3" t="str">
        <f>"Assist adults with disabilities to become fully integrated and included in their communities."</f>
        <v>Assist adults with disabilities to become fully integrated and included in their communities.</v>
      </c>
      <c r="D5050" s="3" t="s">
        <v>15020</v>
      </c>
      <c r="E5050" s="3" t="s">
        <v>15021</v>
      </c>
      <c r="F5050" s="3" t="str">
        <f>"317-738-5500"</f>
        <v>317-738-5500</v>
      </c>
      <c r="G5050" s="3">
        <v>8133</v>
      </c>
      <c r="H5050" s="3" t="s">
        <v>5487</v>
      </c>
    </row>
    <row r="5051" spans="1:8" ht="26.25" x14ac:dyDescent="0.25">
      <c r="A5051" s="3" t="s">
        <v>15022</v>
      </c>
      <c r="B5051" s="3"/>
      <c r="C5051" s="3" t="str">
        <f>"County Government"</f>
        <v>County Government</v>
      </c>
      <c r="D5051" s="3" t="s">
        <v>15023</v>
      </c>
      <c r="E5051" s="3" t="s">
        <v>46</v>
      </c>
      <c r="F5051" s="3" t="str">
        <f>"317.346.4310"</f>
        <v>317.346.4310</v>
      </c>
      <c r="G5051" s="3">
        <v>921190</v>
      </c>
      <c r="H5051" s="3" t="s">
        <v>4809</v>
      </c>
    </row>
    <row r="5052" spans="1:8" ht="26.25" x14ac:dyDescent="0.25">
      <c r="A5052" s="3" t="s">
        <v>15024</v>
      </c>
      <c r="B5052" s="3"/>
      <c r="C5052" s="3" t="str">
        <f>"Sales and installation of heating, cooling, and plumbing equipment"</f>
        <v>Sales and installation of heating, cooling, and plumbing equipment</v>
      </c>
      <c r="D5052" s="3" t="s">
        <v>15025</v>
      </c>
      <c r="E5052" s="3" t="s">
        <v>15026</v>
      </c>
      <c r="F5052" s="3" t="str">
        <f>"317-881-7738"</f>
        <v>317-881-7738</v>
      </c>
      <c r="G5052" s="3">
        <v>238220</v>
      </c>
      <c r="H5052" s="3" t="s">
        <v>348</v>
      </c>
    </row>
    <row r="5053" spans="1:8" ht="39" x14ac:dyDescent="0.25">
      <c r="A5053" s="3" t="s">
        <v>15027</v>
      </c>
      <c r="B5053" s="3"/>
      <c r="C5053" s="3" t="str">
        <f>"Pump residential and commercial septics and grease tanks. We also provide portable restroom rental."</f>
        <v>Pump residential and commercial septics and grease tanks. We also provide portable restroom rental.</v>
      </c>
      <c r="D5053" s="3" t="s">
        <v>15028</v>
      </c>
      <c r="E5053" s="3" t="s">
        <v>46</v>
      </c>
      <c r="F5053" s="3" t="str">
        <f>"219-393-3979"</f>
        <v>219-393-3979</v>
      </c>
      <c r="G5053" s="3">
        <v>562991</v>
      </c>
      <c r="H5053" s="3" t="s">
        <v>468</v>
      </c>
    </row>
    <row r="5054" spans="1:8" ht="77.25" x14ac:dyDescent="0.25">
      <c r="A5054" s="3" t="s">
        <v>15029</v>
      </c>
      <c r="B5054" s="3"/>
      <c r="C5054" s="3" t="str">
        <f>"Johnson Loyalty Express is an express delivery expediting service that transports freight, parcel packages, and mail from warehouse to warehouse, warehouse to business, business to business, and business to home."</f>
        <v>Johnson Loyalty Express is an express delivery expediting service that transports freight, parcel packages, and mail from warehouse to warehouse, warehouse to business, business to business, and business to home.</v>
      </c>
      <c r="D5054" s="3" t="s">
        <v>15030</v>
      </c>
      <c r="E5054" s="3" t="s">
        <v>15031</v>
      </c>
      <c r="F5054" s="3" t="str">
        <f>"(317) 640-4668"</f>
        <v>(317) 640-4668</v>
      </c>
      <c r="G5054" s="3">
        <v>492110</v>
      </c>
      <c r="H5054" s="3" t="s">
        <v>11632</v>
      </c>
    </row>
    <row r="5055" spans="1:8" ht="26.25" x14ac:dyDescent="0.25">
      <c r="A5055" s="3" t="s">
        <v>15032</v>
      </c>
      <c r="B5055" s="3"/>
      <c r="C5055" s="3" t="str">
        <f>"Design/Build, Energy Efficiency Solutions provider"</f>
        <v>Design/Build, Energy Efficiency Solutions provider</v>
      </c>
      <c r="D5055" s="3" t="s">
        <v>15033</v>
      </c>
      <c r="E5055" s="3" t="s">
        <v>14602</v>
      </c>
      <c r="F5055" s="3" t="str">
        <f>"317-244-5993"</f>
        <v>317-244-5993</v>
      </c>
      <c r="G5055" s="3">
        <v>23</v>
      </c>
      <c r="H5055" s="3" t="s">
        <v>133</v>
      </c>
    </row>
    <row r="5056" spans="1:8" ht="39" x14ac:dyDescent="0.25">
      <c r="A5056" s="3" t="s">
        <v>15034</v>
      </c>
      <c r="B5056" s="3"/>
      <c r="C5056" s="3" t="str">
        <f>"Local Indiana owned and operated Mechanical Contractor and Mechanical Service company"</f>
        <v>Local Indiana owned and operated Mechanical Contractor and Mechanical Service company</v>
      </c>
      <c r="D5056" s="3" t="s">
        <v>14601</v>
      </c>
      <c r="E5056" s="3" t="s">
        <v>15035</v>
      </c>
      <c r="F5056" s="3" t="str">
        <f>"317-244-5993"</f>
        <v>317-244-5993</v>
      </c>
      <c r="G5056" s="3">
        <v>238220</v>
      </c>
      <c r="H5056" s="3" t="s">
        <v>348</v>
      </c>
    </row>
    <row r="5057" spans="1:8" ht="102.75" x14ac:dyDescent="0.25">
      <c r="A5057" s="3" t="s">
        <v>15036</v>
      </c>
      <c r="B5057" s="3"/>
      <c r="C5057" s="3" t="s">
        <v>15037</v>
      </c>
      <c r="D5057" s="3" t="s">
        <v>9</v>
      </c>
      <c r="E5057" s="3" t="s">
        <v>46</v>
      </c>
      <c r="F5057" s="3" t="str">
        <f>"765-653-6171"</f>
        <v>765-653-6171</v>
      </c>
      <c r="G5057" s="3">
        <v>6219</v>
      </c>
      <c r="H5057" s="3" t="s">
        <v>1534</v>
      </c>
    </row>
    <row r="5058" spans="1:8" ht="141" x14ac:dyDescent="0.25">
      <c r="A5058" s="3" t="s">
        <v>15038</v>
      </c>
      <c r="B5058" s="3"/>
      <c r="C5058" s="3" t="s">
        <v>15039</v>
      </c>
      <c r="D5058" s="3" t="s">
        <v>15040</v>
      </c>
      <c r="E5058" s="3" t="s">
        <v>15041</v>
      </c>
      <c r="F5058" s="3" t="str">
        <f>"3178810565"</f>
        <v>3178810565</v>
      </c>
      <c r="G5058" s="3">
        <v>532</v>
      </c>
      <c r="H5058" s="3" t="s">
        <v>2610</v>
      </c>
    </row>
    <row r="5059" spans="1:8" ht="26.25" x14ac:dyDescent="0.25">
      <c r="A5059" s="3" t="s">
        <v>15042</v>
      </c>
      <c r="B5059" s="3"/>
      <c r="C5059" s="3" t="str">
        <f>"Provide janitorial services to both residential and commercial clients."</f>
        <v>Provide janitorial services to both residential and commercial clients.</v>
      </c>
      <c r="D5059" s="3" t="s">
        <v>9</v>
      </c>
      <c r="E5059" s="3" t="s">
        <v>15043</v>
      </c>
      <c r="F5059" s="3" t="str">
        <f>"317-456-4241"</f>
        <v>317-456-4241</v>
      </c>
      <c r="G5059" s="3">
        <v>561720</v>
      </c>
      <c r="H5059" s="3" t="s">
        <v>222</v>
      </c>
    </row>
    <row r="5060" spans="1:8" ht="26.25" x14ac:dyDescent="0.25">
      <c r="A5060" s="3" t="s">
        <v>15044</v>
      </c>
      <c r="B5060" s="3"/>
      <c r="C5060" s="3" t="str">
        <f>"Drive-thru coffee shop"</f>
        <v>Drive-thru coffee shop</v>
      </c>
      <c r="D5060" s="3" t="s">
        <v>15045</v>
      </c>
      <c r="E5060" s="3" t="s">
        <v>15046</v>
      </c>
      <c r="F5060" s="3" t="str">
        <f>"317-272-1446"</f>
        <v>317-272-1446</v>
      </c>
      <c r="G5060" s="3">
        <v>722213</v>
      </c>
      <c r="H5060" s="3" t="s">
        <v>3399</v>
      </c>
    </row>
    <row r="5061" spans="1:8" ht="51.75" x14ac:dyDescent="0.25">
      <c r="A5061" s="3" t="s">
        <v>15047</v>
      </c>
      <c r="B5061" s="3"/>
      <c r="C5061" s="3" t="str">
        <f>"General construction including but not limited to painting and coatings and distribution of related materials including lumber and wood products."</f>
        <v>General construction including but not limited to painting and coatings and distribution of related materials including lumber and wood products.</v>
      </c>
      <c r="D5061" s="3" t="s">
        <v>9</v>
      </c>
      <c r="E5061" s="3" t="s">
        <v>15048</v>
      </c>
      <c r="F5061" s="3" t="str">
        <f>"317-377-1174"</f>
        <v>317-377-1174</v>
      </c>
      <c r="G5061" s="3">
        <v>238320</v>
      </c>
      <c r="H5061" s="3" t="s">
        <v>462</v>
      </c>
    </row>
    <row r="5062" spans="1:8" ht="26.25" x14ac:dyDescent="0.25">
      <c r="A5062" s="3" t="s">
        <v>15049</v>
      </c>
      <c r="B5062" s="3"/>
      <c r="C5062" s="3" t="str">
        <f>" "</f>
        <v xml:space="preserve"> </v>
      </c>
      <c r="D5062" s="3" t="s">
        <v>9</v>
      </c>
      <c r="E5062" s="3" t="s">
        <v>15050</v>
      </c>
      <c r="F5062" s="3" t="str">
        <f>"317-513-8618"</f>
        <v>317-513-8618</v>
      </c>
      <c r="G5062" s="3">
        <v>238330</v>
      </c>
      <c r="H5062" s="3" t="s">
        <v>2995</v>
      </c>
    </row>
    <row r="5063" spans="1:8" ht="26.25" x14ac:dyDescent="0.25">
      <c r="A5063" s="3" t="s">
        <v>15051</v>
      </c>
      <c r="B5063" s="3"/>
      <c r="C5063" s="3" t="str">
        <f>" "</f>
        <v xml:space="preserve"> </v>
      </c>
      <c r="D5063" s="3" t="s">
        <v>15052</v>
      </c>
      <c r="E5063" s="3" t="s">
        <v>15053</v>
      </c>
      <c r="F5063" s="3" t="str">
        <f>"317-881-8888"</f>
        <v>317-881-8888</v>
      </c>
      <c r="G5063" s="3">
        <v>722310</v>
      </c>
      <c r="H5063" s="3" t="s">
        <v>3051</v>
      </c>
    </row>
    <row r="5064" spans="1:8" ht="319.5" x14ac:dyDescent="0.25">
      <c r="A5064" s="3" t="s">
        <v>15054</v>
      </c>
      <c r="B5064" s="3"/>
      <c r="C5064" s="3" t="s">
        <v>15055</v>
      </c>
      <c r="D5064" s="3" t="s">
        <v>15056</v>
      </c>
      <c r="E5064" s="3" t="s">
        <v>15057</v>
      </c>
      <c r="F5064" s="3" t="str">
        <f>"219 746-1478"</f>
        <v>219 746-1478</v>
      </c>
      <c r="G5064" s="3">
        <v>5141</v>
      </c>
      <c r="H5064" s="3" t="s">
        <v>1097</v>
      </c>
    </row>
    <row r="5065" spans="1:8" ht="141" x14ac:dyDescent="0.25">
      <c r="A5065" s="3" t="s">
        <v>15058</v>
      </c>
      <c r="B5065" s="3"/>
      <c r="C5065" s="3" t="s">
        <v>15059</v>
      </c>
      <c r="D5065" s="3" t="s">
        <v>9</v>
      </c>
      <c r="E5065" s="3" t="s">
        <v>46</v>
      </c>
      <c r="F5065" s="2"/>
      <c r="G5065" s="3">
        <v>522292</v>
      </c>
      <c r="H5065" s="3" t="s">
        <v>12758</v>
      </c>
    </row>
    <row r="5066" spans="1:8" ht="77.25" x14ac:dyDescent="0.25">
      <c r="A5066" s="3" t="s">
        <v>15060</v>
      </c>
      <c r="B5066" s="3"/>
      <c r="C5066" s="3" t="str">
        <f>"Jorman and Beaver is a family owned publishing company, providing services that include book publishing, brochure preparation and publishing, as well as meeting illustration, graphic design, and photography needs."</f>
        <v>Jorman and Beaver is a family owned publishing company, providing services that include book publishing, brochure preparation and publishing, as well as meeting illustration, graphic design, and photography needs.</v>
      </c>
      <c r="D5066" s="3" t="s">
        <v>9</v>
      </c>
      <c r="E5066" s="3" t="s">
        <v>15061</v>
      </c>
      <c r="F5066" s="3" t="str">
        <f>"317 480-0774"</f>
        <v>317 480-0774</v>
      </c>
      <c r="G5066" s="3">
        <v>511130</v>
      </c>
      <c r="H5066" s="3" t="s">
        <v>3146</v>
      </c>
    </row>
    <row r="5067" spans="1:8" ht="39" x14ac:dyDescent="0.25">
      <c r="A5067" s="3" t="s">
        <v>15062</v>
      </c>
      <c r="B5067" s="3"/>
      <c r="C5067" s="3" t="str">
        <f>"My business deals in publishing newsletters,pamphlets, books, e-books, and photographs."</f>
        <v>My business deals in publishing newsletters,pamphlets, books, e-books, and photographs.</v>
      </c>
      <c r="D5067" s="3" t="s">
        <v>9</v>
      </c>
      <c r="E5067" s="3" t="s">
        <v>15063</v>
      </c>
      <c r="F5067" s="3" t="str">
        <f>"317 728-9226"</f>
        <v>317 728-9226</v>
      </c>
      <c r="G5067" s="3">
        <v>511130</v>
      </c>
      <c r="H5067" s="3" t="s">
        <v>3146</v>
      </c>
    </row>
    <row r="5068" spans="1:8" ht="39" x14ac:dyDescent="0.25">
      <c r="A5068" s="3" t="s">
        <v>15064</v>
      </c>
      <c r="B5068" s="3"/>
      <c r="C5068" s="3" t="str">
        <f>"Jorman Beaver Publishing generates pamphlets, newsletters, books, e-books, greeting cards, posters, and photography."</f>
        <v>Jorman Beaver Publishing generates pamphlets, newsletters, books, e-books, greeting cards, posters, and photography.</v>
      </c>
      <c r="D5068" s="3" t="s">
        <v>9</v>
      </c>
      <c r="E5068" s="3" t="s">
        <v>15063</v>
      </c>
      <c r="F5068" s="3" t="str">
        <f>"317 7289226"</f>
        <v>317 7289226</v>
      </c>
      <c r="G5068" s="3">
        <v>323117</v>
      </c>
      <c r="H5068" s="3" t="s">
        <v>15065</v>
      </c>
    </row>
    <row r="5069" spans="1:8" ht="77.25" x14ac:dyDescent="0.25">
      <c r="A5069" s="3" t="s">
        <v>15066</v>
      </c>
      <c r="B5069" s="3"/>
      <c r="C5069" s="3" t="str">
        <f>"Public Safety Instruction and course development. Specializing in emerncy medical services, firefighter education, presentation skills, leadership and management training. Specialist at training trainers."</f>
        <v>Public Safety Instruction and course development. Specializing in emerncy medical services, firefighter education, presentation skills, leadership and management training. Specialist at training trainers.</v>
      </c>
      <c r="D5069" s="3" t="s">
        <v>9</v>
      </c>
      <c r="E5069" s="3" t="s">
        <v>15067</v>
      </c>
      <c r="F5069" s="2"/>
      <c r="G5069" s="3">
        <v>61</v>
      </c>
      <c r="H5069" s="3" t="s">
        <v>140</v>
      </c>
    </row>
    <row r="5070" spans="1:8" ht="153.75" x14ac:dyDescent="0.25">
      <c r="A5070" s="3" t="s">
        <v>15068</v>
      </c>
      <c r="B5070" s="3"/>
      <c r="C5070" s="3" t="s">
        <v>15069</v>
      </c>
      <c r="D5070" s="3" t="s">
        <v>15070</v>
      </c>
      <c r="E5070" s="3" t="s">
        <v>15071</v>
      </c>
      <c r="F5070" s="3" t="str">
        <f>"(317) 814-8000 X108"</f>
        <v>(317) 814-8000 X108</v>
      </c>
      <c r="G5070" s="3">
        <v>541511</v>
      </c>
      <c r="H5070" s="3" t="s">
        <v>122</v>
      </c>
    </row>
    <row r="5071" spans="1:8" ht="26.25" x14ac:dyDescent="0.25">
      <c r="A5071" s="3" t="s">
        <v>15072</v>
      </c>
      <c r="B5071" s="3"/>
      <c r="C5071" s="3" t="str">
        <f>"Unpaid Volunteer--Service Only to Greene County Emergency Management Agency"</f>
        <v>Unpaid Volunteer--Service Only to Greene County Emergency Management Agency</v>
      </c>
      <c r="D5071" s="3" t="s">
        <v>8195</v>
      </c>
      <c r="E5071" s="3" t="s">
        <v>15073</v>
      </c>
      <c r="F5071" s="3" t="str">
        <f>"812-384-4012"</f>
        <v>812-384-4012</v>
      </c>
      <c r="G5071" s="3">
        <v>541512</v>
      </c>
      <c r="H5071" s="3" t="s">
        <v>19</v>
      </c>
    </row>
    <row r="5072" spans="1:8" ht="26.25" x14ac:dyDescent="0.25">
      <c r="A5072" s="3" t="s">
        <v>15074</v>
      </c>
      <c r="B5072" s="3"/>
      <c r="C5072" s="3" t="str">
        <f>"medical file review consulting"</f>
        <v>medical file review consulting</v>
      </c>
      <c r="D5072" s="3" t="s">
        <v>9</v>
      </c>
      <c r="E5072" s="3" t="s">
        <v>46</v>
      </c>
      <c r="F5072" s="2"/>
      <c r="G5072" s="3">
        <v>541990</v>
      </c>
      <c r="H5072" s="3" t="s">
        <v>378</v>
      </c>
    </row>
    <row r="5073" spans="1:8" ht="64.5" x14ac:dyDescent="0.25">
      <c r="A5073" s="3" t="s">
        <v>15075</v>
      </c>
      <c r="B5073" s="3"/>
      <c r="C5073" s="3" t="str">
        <f>"Journey Engineering, LLC provides civil engineering services, transportation engineering services, construction admin/inspection/management services, as well as property and program management."</f>
        <v>Journey Engineering, LLC provides civil engineering services, transportation engineering services, construction admin/inspection/management services, as well as property and program management.</v>
      </c>
      <c r="D5073" s="3" t="s">
        <v>15076</v>
      </c>
      <c r="E5073" s="3" t="s">
        <v>15077</v>
      </c>
      <c r="F5073" s="3" t="str">
        <f>"317-927-7212"</f>
        <v>317-927-7212</v>
      </c>
      <c r="G5073" s="3">
        <v>541330</v>
      </c>
      <c r="H5073" s="3" t="s">
        <v>82</v>
      </c>
    </row>
    <row r="5074" spans="1:8" ht="179.25" x14ac:dyDescent="0.25">
      <c r="A5074" s="3" t="s">
        <v>15078</v>
      </c>
      <c r="B5074" s="3"/>
      <c r="C5074" s="3" t="s">
        <v>15079</v>
      </c>
      <c r="D5074" s="3" t="s">
        <v>9</v>
      </c>
      <c r="E5074" s="3" t="s">
        <v>15080</v>
      </c>
      <c r="F5074" s="3" t="str">
        <f>"260-755-5825"</f>
        <v>260-755-5825</v>
      </c>
      <c r="G5074" s="3">
        <v>484110</v>
      </c>
      <c r="H5074" s="3" t="s">
        <v>644</v>
      </c>
    </row>
    <row r="5075" spans="1:8" ht="26.25" x14ac:dyDescent="0.25">
      <c r="A5075" s="3" t="s">
        <v>15081</v>
      </c>
      <c r="B5075" s="3"/>
      <c r="C5075" s="3" t="str">
        <f>"Healthcare Services, Janitorial Services, Mental Health Services"</f>
        <v>Healthcare Services, Janitorial Services, Mental Health Services</v>
      </c>
      <c r="D5075" s="3" t="s">
        <v>15082</v>
      </c>
      <c r="E5075" s="3" t="s">
        <v>15083</v>
      </c>
      <c r="F5075" s="3" t="str">
        <f>"317-923-3930"</f>
        <v>317-923-3930</v>
      </c>
      <c r="G5075" s="3">
        <v>621420</v>
      </c>
      <c r="H5075" s="3" t="s">
        <v>990</v>
      </c>
    </row>
    <row r="5076" spans="1:8" x14ac:dyDescent="0.25">
      <c r="A5076" s="3" t="s">
        <v>15084</v>
      </c>
      <c r="B5076" s="3"/>
      <c r="C5076" s="3" t="str">
        <f>" "</f>
        <v xml:space="preserve"> </v>
      </c>
      <c r="D5076" s="3" t="s">
        <v>9</v>
      </c>
      <c r="E5076" s="3" t="s">
        <v>46</v>
      </c>
      <c r="F5076" s="2"/>
      <c r="G5076" s="3">
        <v>238990</v>
      </c>
      <c r="H5076" s="3" t="s">
        <v>481</v>
      </c>
    </row>
    <row r="5077" spans="1:8" ht="39" x14ac:dyDescent="0.25">
      <c r="A5077" s="3" t="s">
        <v>15085</v>
      </c>
      <c r="B5077" s="3"/>
      <c r="C5077" s="3" t="str">
        <f>"real estate brokerage firm. providing real estateservices for buyers and sellers for both residential and commercial property."</f>
        <v>real estate brokerage firm. providing real estateservices for buyers and sellers for both residential and commercial property.</v>
      </c>
      <c r="D5077" s="3" t="s">
        <v>15086</v>
      </c>
      <c r="E5077" s="3" t="s">
        <v>15087</v>
      </c>
      <c r="F5077" s="3" t="str">
        <f>"317-632-7325"</f>
        <v>317-632-7325</v>
      </c>
      <c r="G5077" s="3">
        <v>531210</v>
      </c>
      <c r="H5077" s="3" t="s">
        <v>1101</v>
      </c>
    </row>
    <row r="5078" spans="1:8" ht="128.25" x14ac:dyDescent="0.25">
      <c r="A5078" s="3" t="s">
        <v>15088</v>
      </c>
      <c r="B5078" s="3"/>
      <c r="C5078" s="3" t="s">
        <v>15089</v>
      </c>
      <c r="D5078" s="3" t="s">
        <v>15090</v>
      </c>
      <c r="E5078" s="3" t="s">
        <v>15091</v>
      </c>
      <c r="F5078" s="3" t="str">
        <f>"317-721-7159"</f>
        <v>317-721-7159</v>
      </c>
      <c r="G5078" s="3">
        <v>56172</v>
      </c>
      <c r="H5078" s="3" t="s">
        <v>222</v>
      </c>
    </row>
    <row r="5079" spans="1:8" ht="64.5" x14ac:dyDescent="0.25">
      <c r="A5079" s="3" t="s">
        <v>15092</v>
      </c>
      <c r="B5079" s="3"/>
      <c r="C5079" s="3" t="str">
        <f>"medical transportation. Pickup members from their home and take them to medical appointments. By the way in mini vans. These member are usually members on Indiana Medicaid programs."</f>
        <v>medical transportation. Pickup members from their home and take them to medical appointments. By the way in mini vans. These member are usually members on Indiana Medicaid programs.</v>
      </c>
      <c r="D5079" s="3" t="s">
        <v>9</v>
      </c>
      <c r="E5079" s="3" t="s">
        <v>15093</v>
      </c>
      <c r="F5079" s="3" t="str">
        <f>"219-981-9508"</f>
        <v>219-981-9508</v>
      </c>
      <c r="G5079" s="3">
        <v>49</v>
      </c>
      <c r="H5079" s="3" t="s">
        <v>104</v>
      </c>
    </row>
    <row r="5080" spans="1:8" ht="26.25" x14ac:dyDescent="0.25">
      <c r="A5080" s="3" t="s">
        <v>15094</v>
      </c>
      <c r="B5080" s="3"/>
      <c r="C5080" s="3" t="str">
        <f>"Complete janitorial services, commercial, industrial and office."</f>
        <v>Complete janitorial services, commercial, industrial and office.</v>
      </c>
      <c r="D5080" s="3" t="s">
        <v>9</v>
      </c>
      <c r="E5080" s="3" t="s">
        <v>46</v>
      </c>
      <c r="F5080" s="3" t="str">
        <f>"317-443-5181"</f>
        <v>317-443-5181</v>
      </c>
      <c r="G5080" s="3">
        <v>56172</v>
      </c>
      <c r="H5080" s="3" t="s">
        <v>222</v>
      </c>
    </row>
    <row r="5081" spans="1:8" ht="102.75" x14ac:dyDescent="0.25">
      <c r="A5081" s="3" t="s">
        <v>15095</v>
      </c>
      <c r="B5081" s="3"/>
      <c r="C5081" s="3" t="s">
        <v>15096</v>
      </c>
      <c r="D5081" s="3" t="s">
        <v>15097</v>
      </c>
      <c r="E5081" s="3" t="s">
        <v>15098</v>
      </c>
      <c r="F5081" s="3" t="str">
        <f>"317-571-0364"</f>
        <v>317-571-0364</v>
      </c>
      <c r="G5081" s="3">
        <v>11</v>
      </c>
      <c r="H5081" s="3" t="s">
        <v>175</v>
      </c>
    </row>
    <row r="5082" spans="1:8" ht="26.25" x14ac:dyDescent="0.25">
      <c r="A5082" s="3" t="s">
        <v>15099</v>
      </c>
      <c r="B5082" s="3"/>
      <c r="C5082" s="3" t="str">
        <f>"Retail sales of New and Pre-Owned Office Furniture and related equipment"</f>
        <v>Retail sales of New and Pre-Owned Office Furniture and related equipment</v>
      </c>
      <c r="D5082" s="3" t="s">
        <v>9</v>
      </c>
      <c r="E5082" s="3" t="s">
        <v>15100</v>
      </c>
      <c r="F5082" s="3" t="str">
        <f>"219-926-5645"</f>
        <v>219-926-5645</v>
      </c>
      <c r="G5082" s="3">
        <v>44</v>
      </c>
      <c r="H5082" s="3" t="s">
        <v>574</v>
      </c>
    </row>
    <row r="5083" spans="1:8" ht="51.75" x14ac:dyDescent="0.25">
      <c r="A5083" s="3" t="s">
        <v>15101</v>
      </c>
      <c r="B5083" s="3"/>
      <c r="C5083" s="3" t="str">
        <f>"Demolition Management and Consulting * Commercial * Residential * Industrial * Institutional Demolition, Clearing &amp; Grubbing, Dismantling, Excavation"</f>
        <v>Demolition Management and Consulting * Commercial * Residential * Industrial * Institutional Demolition, Clearing &amp; Grubbing, Dismantling, Excavation</v>
      </c>
      <c r="D5083" s="3" t="s">
        <v>9</v>
      </c>
      <c r="E5083" s="3" t="s">
        <v>15102</v>
      </c>
      <c r="F5083" s="3" t="str">
        <f>"317-926-6300"</f>
        <v>317-926-6300</v>
      </c>
      <c r="G5083" s="3">
        <v>238910</v>
      </c>
      <c r="H5083" s="3" t="s">
        <v>886</v>
      </c>
    </row>
    <row r="5084" spans="1:8" ht="281.25" x14ac:dyDescent="0.25">
      <c r="A5084" s="3" t="s">
        <v>15103</v>
      </c>
      <c r="B5084" s="3"/>
      <c r="C5084" s="3" t="s">
        <v>15104</v>
      </c>
      <c r="D5084" s="3" t="s">
        <v>15105</v>
      </c>
      <c r="E5084" s="3" t="s">
        <v>15106</v>
      </c>
      <c r="F5084" s="3" t="str">
        <f>"317-443-9943"</f>
        <v>317-443-9943</v>
      </c>
      <c r="G5084" s="3">
        <v>541820</v>
      </c>
      <c r="H5084" s="3" t="s">
        <v>795</v>
      </c>
    </row>
    <row r="5085" spans="1:8" ht="26.25" x14ac:dyDescent="0.25">
      <c r="A5085" s="3" t="s">
        <v>15107</v>
      </c>
      <c r="B5085" s="3"/>
      <c r="C5085" s="3" t="str">
        <f>"Graphic design. Logos, Brochures, Ads, and Web."</f>
        <v>Graphic design. Logos, Brochures, Ads, and Web.</v>
      </c>
      <c r="D5085" s="3" t="s">
        <v>9</v>
      </c>
      <c r="E5085" s="3" t="s">
        <v>15108</v>
      </c>
      <c r="F5085" s="3" t="str">
        <f>"317-730-6655"</f>
        <v>317-730-6655</v>
      </c>
      <c r="G5085" s="3">
        <v>541430</v>
      </c>
      <c r="H5085" s="3" t="s">
        <v>78</v>
      </c>
    </row>
    <row r="5086" spans="1:8" ht="26.25" x14ac:dyDescent="0.25">
      <c r="A5086" s="3" t="s">
        <v>15109</v>
      </c>
      <c r="B5086" s="3"/>
      <c r="C5086" s="3" t="str">
        <f>"Automotive part sales and vehicle maintenance and repair services"</f>
        <v>Automotive part sales and vehicle maintenance and repair services</v>
      </c>
      <c r="D5086" s="3" t="s">
        <v>15110</v>
      </c>
      <c r="E5086" s="3" t="s">
        <v>15111</v>
      </c>
      <c r="F5086" s="3" t="str">
        <f>"317-241-0782"</f>
        <v>317-241-0782</v>
      </c>
      <c r="G5086" s="3">
        <v>811111</v>
      </c>
      <c r="H5086" s="3" t="s">
        <v>2383</v>
      </c>
    </row>
    <row r="5087" spans="1:8" ht="294" x14ac:dyDescent="0.25">
      <c r="A5087" s="3" t="s">
        <v>15112</v>
      </c>
      <c r="B5087" s="3"/>
      <c r="C5087" s="3" t="s">
        <v>15113</v>
      </c>
      <c r="D5087" s="3" t="s">
        <v>15114</v>
      </c>
      <c r="E5087" s="3" t="s">
        <v>15115</v>
      </c>
      <c r="F5087" s="3" t="str">
        <f>"317-777-1996"</f>
        <v>317-777-1996</v>
      </c>
      <c r="G5087" s="3">
        <v>541990</v>
      </c>
      <c r="H5087" s="3" t="s">
        <v>378</v>
      </c>
    </row>
    <row r="5088" spans="1:8" ht="26.25" x14ac:dyDescent="0.25">
      <c r="A5088" s="3" t="s">
        <v>15116</v>
      </c>
      <c r="B5088" s="3"/>
      <c r="C5088" s="3" t="str">
        <f>"Commercial Interior Design Services"</f>
        <v>Commercial Interior Design Services</v>
      </c>
      <c r="D5088" s="3" t="s">
        <v>15117</v>
      </c>
      <c r="E5088" s="3" t="s">
        <v>15118</v>
      </c>
      <c r="F5088" s="3" t="str">
        <f>"317-471-1221"</f>
        <v>317-471-1221</v>
      </c>
      <c r="G5088" s="3">
        <v>541410</v>
      </c>
      <c r="H5088" s="3" t="s">
        <v>687</v>
      </c>
    </row>
    <row r="5089" spans="1:8" ht="90" x14ac:dyDescent="0.25">
      <c r="A5089" s="3" t="s">
        <v>15119</v>
      </c>
      <c r="B5089" s="3"/>
      <c r="C5089" s="3" t="s">
        <v>15120</v>
      </c>
      <c r="D5089" s="3" t="s">
        <v>15121</v>
      </c>
      <c r="E5089" s="3" t="s">
        <v>15122</v>
      </c>
      <c r="F5089" s="3" t="str">
        <f>"317-507-8814"</f>
        <v>317-507-8814</v>
      </c>
      <c r="G5089" s="3">
        <v>238910</v>
      </c>
      <c r="H5089" s="3" t="s">
        <v>886</v>
      </c>
    </row>
    <row r="5090" spans="1:8" ht="26.25" x14ac:dyDescent="0.25">
      <c r="A5090" s="3" t="s">
        <v>15123</v>
      </c>
      <c r="B5090" s="3"/>
      <c r="C5090" s="3" t="str">
        <f>"Voice, data and fiber optic cabling contractors"</f>
        <v>Voice, data and fiber optic cabling contractors</v>
      </c>
      <c r="D5090" s="3" t="s">
        <v>9</v>
      </c>
      <c r="E5090" s="3" t="s">
        <v>15124</v>
      </c>
      <c r="F5090" s="3" t="str">
        <f>"317-861-6950"</f>
        <v>317-861-6950</v>
      </c>
      <c r="G5090" s="3">
        <v>541990</v>
      </c>
      <c r="H5090" s="3" t="s">
        <v>378</v>
      </c>
    </row>
    <row r="5091" spans="1:8" ht="26.25" x14ac:dyDescent="0.25">
      <c r="A5091" s="3" t="s">
        <v>15125</v>
      </c>
      <c r="B5091" s="3"/>
      <c r="C5091" s="3" t="str">
        <f>"We produce Crushed Stone and have a trucking company to haul it."</f>
        <v>We produce Crushed Stone and have a trucking company to haul it.</v>
      </c>
      <c r="D5091" s="3" t="s">
        <v>9</v>
      </c>
      <c r="E5091" s="3" t="s">
        <v>15126</v>
      </c>
      <c r="F5091" s="3" t="str">
        <f>"877-64-STONE"</f>
        <v>877-64-STONE</v>
      </c>
      <c r="G5091" s="3">
        <v>484110</v>
      </c>
      <c r="H5091" s="3" t="s">
        <v>644</v>
      </c>
    </row>
    <row r="5092" spans="1:8" ht="26.25" x14ac:dyDescent="0.25">
      <c r="A5092" s="3" t="s">
        <v>15127</v>
      </c>
      <c r="B5092" s="3"/>
      <c r="C5092" s="3" t="str">
        <f>"Union dump truck hauling of aggregates, asphalt and dig outs"</f>
        <v>Union dump truck hauling of aggregates, asphalt and dig outs</v>
      </c>
      <c r="D5092" s="3" t="s">
        <v>9</v>
      </c>
      <c r="E5092" s="3" t="s">
        <v>15128</v>
      </c>
      <c r="F5092" s="3" t="str">
        <f>"812-279-3632"</f>
        <v>812-279-3632</v>
      </c>
      <c r="G5092" s="3">
        <v>484110</v>
      </c>
      <c r="H5092" s="3" t="s">
        <v>644</v>
      </c>
    </row>
    <row r="5093" spans="1:8" ht="102.75" x14ac:dyDescent="0.25">
      <c r="A5093" s="3" t="s">
        <v>15129</v>
      </c>
      <c r="B5093" s="3"/>
      <c r="C5093" s="3" t="s">
        <v>15130</v>
      </c>
      <c r="D5093" s="3" t="s">
        <v>9</v>
      </c>
      <c r="E5093" s="3" t="s">
        <v>15131</v>
      </c>
      <c r="F5093" s="3" t="str">
        <f>"219-324-3456"</f>
        <v>219-324-3456</v>
      </c>
      <c r="G5093" s="3">
        <v>23551</v>
      </c>
      <c r="H5093" s="3" t="s">
        <v>3583</v>
      </c>
    </row>
    <row r="5094" spans="1:8" ht="179.25" x14ac:dyDescent="0.25">
      <c r="A5094" s="3" t="s">
        <v>15132</v>
      </c>
      <c r="B5094" s="3"/>
      <c r="C5094" s="3" t="s">
        <v>15133</v>
      </c>
      <c r="D5094" s="3" t="s">
        <v>15134</v>
      </c>
      <c r="E5094" s="3" t="s">
        <v>15135</v>
      </c>
      <c r="F5094" s="3" t="str">
        <f>"317-352-1811"</f>
        <v>317-352-1811</v>
      </c>
      <c r="G5094" s="3">
        <v>811111</v>
      </c>
      <c r="H5094" s="3" t="s">
        <v>2383</v>
      </c>
    </row>
    <row r="5095" spans="1:8" ht="26.25" x14ac:dyDescent="0.25">
      <c r="A5095" s="3" t="s">
        <v>15136</v>
      </c>
      <c r="B5095" s="3"/>
      <c r="C5095" s="3" t="str">
        <f>"Construction Management"</f>
        <v>Construction Management</v>
      </c>
      <c r="D5095" s="3" t="s">
        <v>9</v>
      </c>
      <c r="E5095" s="3" t="s">
        <v>15137</v>
      </c>
      <c r="F5095" s="3" t="str">
        <f>"765 676-6382"</f>
        <v>765 676-6382</v>
      </c>
      <c r="G5095" s="3">
        <v>236220</v>
      </c>
      <c r="H5095" s="3" t="s">
        <v>598</v>
      </c>
    </row>
    <row r="5096" spans="1:8" ht="64.5" x14ac:dyDescent="0.25">
      <c r="A5096" s="3" t="s">
        <v>15138</v>
      </c>
      <c r="B5096" s="3"/>
      <c r="C5096" s="3" t="str">
        <f>"Provide landscaping services to commercial and residential, including, but not limited to, design, planting, consulting, tree removal, erosion control, storm water drainage, and concrete work."</f>
        <v>Provide landscaping services to commercial and residential, including, but not limited to, design, planting, consulting, tree removal, erosion control, storm water drainage, and concrete work.</v>
      </c>
      <c r="D5096" s="3" t="s">
        <v>9</v>
      </c>
      <c r="E5096" s="3" t="s">
        <v>15139</v>
      </c>
      <c r="F5096" s="3" t="str">
        <f>"317-752-5336"</f>
        <v>317-752-5336</v>
      </c>
      <c r="G5096" s="3">
        <v>561730</v>
      </c>
      <c r="H5096" s="3" t="s">
        <v>65</v>
      </c>
    </row>
    <row r="5097" spans="1:8" ht="26.25" x14ac:dyDescent="0.25">
      <c r="A5097" s="3" t="s">
        <v>15140</v>
      </c>
      <c r="B5097" s="3"/>
      <c r="C5097" s="3" t="str">
        <f>" "</f>
        <v xml:space="preserve"> </v>
      </c>
      <c r="D5097" s="3" t="s">
        <v>15141</v>
      </c>
      <c r="E5097" s="3" t="s">
        <v>15142</v>
      </c>
      <c r="F5097" s="3" t="str">
        <f>"317-257-1080"</f>
        <v>317-257-1080</v>
      </c>
      <c r="G5097" s="3">
        <v>453920</v>
      </c>
      <c r="H5097" s="3" t="s">
        <v>2616</v>
      </c>
    </row>
    <row r="5098" spans="1:8" ht="128.25" x14ac:dyDescent="0.25">
      <c r="A5098" s="3" t="s">
        <v>15143</v>
      </c>
      <c r="B5098" s="3"/>
      <c r="C5098" s="3" t="s">
        <v>15144</v>
      </c>
      <c r="D5098" s="3" t="s">
        <v>15145</v>
      </c>
      <c r="E5098" s="3" t="s">
        <v>15146</v>
      </c>
      <c r="F5098" s="3" t="str">
        <f>"574-256-5023"</f>
        <v>574-256-5023</v>
      </c>
      <c r="G5098" s="3">
        <v>333</v>
      </c>
      <c r="H5098" s="3" t="s">
        <v>9837</v>
      </c>
    </row>
    <row r="5099" spans="1:8" ht="26.25" x14ac:dyDescent="0.25">
      <c r="A5099" s="3" t="s">
        <v>15147</v>
      </c>
      <c r="B5099" s="3"/>
      <c r="C5099" s="3" t="str">
        <f>"Repair &amp; service of cars, trucks, buses, dump trucks &amp; construction equipment."</f>
        <v>Repair &amp; service of cars, trucks, buses, dump trucks &amp; construction equipment.</v>
      </c>
      <c r="D5099" s="3" t="s">
        <v>9</v>
      </c>
      <c r="E5099" s="3" t="s">
        <v>15148</v>
      </c>
      <c r="F5099" s="3" t="str">
        <f>"317-254-0774"</f>
        <v>317-254-0774</v>
      </c>
      <c r="G5099" s="3">
        <v>8111</v>
      </c>
      <c r="H5099" s="3" t="s">
        <v>3587</v>
      </c>
    </row>
    <row r="5100" spans="1:8" ht="26.25" x14ac:dyDescent="0.25">
      <c r="A5100" s="3" t="s">
        <v>15149</v>
      </c>
      <c r="B5100" s="3"/>
      <c r="C5100" s="2"/>
      <c r="D5100" s="3" t="s">
        <v>15150</v>
      </c>
      <c r="E5100" s="3" t="s">
        <v>15151</v>
      </c>
      <c r="F5100" s="3" t="str">
        <f>"219-924-5231"</f>
        <v>219-924-5231</v>
      </c>
      <c r="G5100" s="3">
        <v>541330</v>
      </c>
      <c r="H5100" s="3" t="s">
        <v>82</v>
      </c>
    </row>
    <row r="5101" spans="1:8" ht="26.25" x14ac:dyDescent="0.25">
      <c r="A5101" s="3" t="s">
        <v>15152</v>
      </c>
      <c r="B5101" s="3"/>
      <c r="C5101" s="3" t="str">
        <f>"Installation of Snowplowable Raised Pavement Markers and Lens Replacement"</f>
        <v>Installation of Snowplowable Raised Pavement Markers and Lens Replacement</v>
      </c>
      <c r="D5101" s="3" t="s">
        <v>9</v>
      </c>
      <c r="E5101" s="3" t="s">
        <v>15153</v>
      </c>
      <c r="F5101" s="3" t="str">
        <f>"765-482-6184"</f>
        <v>765-482-6184</v>
      </c>
      <c r="G5101" s="3">
        <v>237310</v>
      </c>
      <c r="H5101" s="3" t="s">
        <v>768</v>
      </c>
    </row>
    <row r="5102" spans="1:8" ht="26.25" x14ac:dyDescent="0.25">
      <c r="A5102" s="3" t="s">
        <v>15154</v>
      </c>
      <c r="B5102" s="3"/>
      <c r="C5102" s="3" t="str">
        <f>"advertising agency which inculdes billboards, mailers, web design and print."</f>
        <v>advertising agency which inculdes billboards, mailers, web design and print.</v>
      </c>
      <c r="D5102" s="3" t="s">
        <v>15155</v>
      </c>
      <c r="E5102" s="3" t="s">
        <v>15156</v>
      </c>
      <c r="F5102" s="3" t="str">
        <f>"812-334-3025"</f>
        <v>812-334-3025</v>
      </c>
      <c r="G5102" s="3">
        <v>54143</v>
      </c>
      <c r="H5102" s="3" t="s">
        <v>78</v>
      </c>
    </row>
    <row r="5103" spans="1:8" ht="51.75" x14ac:dyDescent="0.25">
      <c r="A5103" s="3" t="s">
        <v>15157</v>
      </c>
      <c r="B5103" s="3"/>
      <c r="C5103" s="3" t="str">
        <f>"Industrial contractor whose primary focus in the installation of cogeneration technology for power facilites. Additional focus on industrial salvage and demolition."</f>
        <v>Industrial contractor whose primary focus in the installation of cogeneration technology for power facilites. Additional focus on industrial salvage and demolition.</v>
      </c>
      <c r="D5103" s="3" t="s">
        <v>15158</v>
      </c>
      <c r="E5103" s="3" t="s">
        <v>15159</v>
      </c>
      <c r="F5103" s="3" t="str">
        <f>"260-424-0300"</f>
        <v>260-424-0300</v>
      </c>
      <c r="G5103" s="3">
        <v>237</v>
      </c>
      <c r="H5103" s="3" t="s">
        <v>11020</v>
      </c>
    </row>
    <row r="5104" spans="1:8" ht="64.5" x14ac:dyDescent="0.25">
      <c r="A5104" s="3" t="s">
        <v>15160</v>
      </c>
      <c r="B5104" s="3"/>
      <c r="C5104" s="3" t="str">
        <f>"General contracting company that specializes in plumbing, carpentry, framing, drywall, electrical, mechanical, concrete, and masonry. Can provide both new builds and total remodel/repair."</f>
        <v>General contracting company that specializes in plumbing, carpentry, framing, drywall, electrical, mechanical, concrete, and masonry. Can provide both new builds and total remodel/repair.</v>
      </c>
      <c r="D5104" s="3" t="s">
        <v>9</v>
      </c>
      <c r="E5104" s="3" t="s">
        <v>46</v>
      </c>
      <c r="F5104" s="2"/>
      <c r="G5104" s="3">
        <v>233</v>
      </c>
      <c r="H5104" s="3" t="s">
        <v>131</v>
      </c>
    </row>
    <row r="5105" spans="1:8" ht="166.5" x14ac:dyDescent="0.25">
      <c r="A5105" s="3" t="s">
        <v>15161</v>
      </c>
      <c r="B5105" s="3"/>
      <c r="C5105" s="3" t="s">
        <v>15162</v>
      </c>
      <c r="D5105" s="3" t="s">
        <v>15163</v>
      </c>
      <c r="E5105" s="3" t="s">
        <v>15164</v>
      </c>
      <c r="F5105" s="3" t="str">
        <f>"317-577-2550"</f>
        <v>317-577-2550</v>
      </c>
      <c r="G5105" s="3">
        <v>517</v>
      </c>
      <c r="H5105" s="3" t="s">
        <v>682</v>
      </c>
    </row>
    <row r="5106" spans="1:8" ht="39" x14ac:dyDescent="0.25">
      <c r="A5106" s="3" t="s">
        <v>15165</v>
      </c>
      <c r="B5106" s="3"/>
      <c r="C5106" s="3" t="str">
        <f>"We are a small woman owned excavating business, and we are willing to go were we are needed."</f>
        <v>We are a small woman owned excavating business, and we are willing to go were we are needed.</v>
      </c>
      <c r="D5106" s="3" t="s">
        <v>9</v>
      </c>
      <c r="E5106" s="3" t="s">
        <v>15166</v>
      </c>
      <c r="F5106" s="3" t="str">
        <f>"812-529-8172"</f>
        <v>812-529-8172</v>
      </c>
      <c r="G5106" s="3">
        <v>23593</v>
      </c>
      <c r="H5106" s="3" t="s">
        <v>71</v>
      </c>
    </row>
    <row r="5107" spans="1:8" ht="306.75" x14ac:dyDescent="0.25">
      <c r="A5107" s="3" t="s">
        <v>15167</v>
      </c>
      <c r="B5107" s="3"/>
      <c r="C5107" s="3" t="s">
        <v>15168</v>
      </c>
      <c r="D5107" s="3" t="s">
        <v>15169</v>
      </c>
      <c r="E5107" s="3" t="s">
        <v>15170</v>
      </c>
      <c r="F5107" s="3" t="str">
        <f>"219-794-9550"</f>
        <v>219-794-9550</v>
      </c>
      <c r="G5107" s="3">
        <v>236220</v>
      </c>
      <c r="H5107" s="3" t="s">
        <v>598</v>
      </c>
    </row>
    <row r="5108" spans="1:8" ht="243" x14ac:dyDescent="0.25">
      <c r="A5108" s="3" t="s">
        <v>15171</v>
      </c>
      <c r="B5108" s="3"/>
      <c r="C5108" s="3" t="s">
        <v>15172</v>
      </c>
      <c r="D5108" s="3" t="s">
        <v>9</v>
      </c>
      <c r="E5108" s="3" t="s">
        <v>15173</v>
      </c>
      <c r="F5108" s="3" t="str">
        <f>"260-758-2940"</f>
        <v>260-758-2940</v>
      </c>
      <c r="G5108" s="3">
        <v>33271</v>
      </c>
      <c r="H5108" s="3" t="s">
        <v>387</v>
      </c>
    </row>
    <row r="5109" spans="1:8" ht="51.75" x14ac:dyDescent="0.25">
      <c r="A5109" s="3" t="s">
        <v>15174</v>
      </c>
      <c r="B5109" s="3"/>
      <c r="C5109" s="3" t="str">
        <f>"Distributor of Advertising Specialties or promotional products. Imprinted Logos on any product to promote organizanizations or businesses."</f>
        <v>Distributor of Advertising Specialties or promotional products. Imprinted Logos on any product to promote organizanizations or businesses.</v>
      </c>
      <c r="D5109" s="3" t="s">
        <v>15175</v>
      </c>
      <c r="E5109" s="3" t="s">
        <v>15176</v>
      </c>
      <c r="F5109" s="3" t="str">
        <f>"765-489-4872"</f>
        <v>765-489-4872</v>
      </c>
      <c r="G5109" s="3">
        <v>541890</v>
      </c>
      <c r="H5109" s="3" t="s">
        <v>401</v>
      </c>
    </row>
    <row r="5110" spans="1:8" ht="319.5" x14ac:dyDescent="0.25">
      <c r="A5110" s="3" t="s">
        <v>15177</v>
      </c>
      <c r="B5110" s="3"/>
      <c r="C5110" s="3" t="s">
        <v>15178</v>
      </c>
      <c r="D5110" s="3" t="s">
        <v>15179</v>
      </c>
      <c r="E5110" s="3" t="s">
        <v>15180</v>
      </c>
      <c r="F5110" s="3" t="str">
        <f>"317-889-2777"</f>
        <v>317-889-2777</v>
      </c>
      <c r="G5110" s="3">
        <v>624120</v>
      </c>
      <c r="H5110" s="3" t="s">
        <v>22</v>
      </c>
    </row>
    <row r="5111" spans="1:8" ht="39" x14ac:dyDescent="0.25">
      <c r="A5111" s="3" t="s">
        <v>15181</v>
      </c>
      <c r="B5111" s="3"/>
      <c r="C5111" s="3" t="str">
        <f>"We are a general contractor business specializing primarily in residential and commericial roperty."</f>
        <v>We are a general contractor business specializing primarily in residential and commericial roperty.</v>
      </c>
      <c r="D5111" s="3" t="s">
        <v>9</v>
      </c>
      <c r="E5111" s="3" t="s">
        <v>15182</v>
      </c>
      <c r="F5111" s="3" t="str">
        <f>"317-255-2254"</f>
        <v>317-255-2254</v>
      </c>
      <c r="G5111" s="3">
        <v>23611</v>
      </c>
      <c r="H5111" s="3" t="s">
        <v>3466</v>
      </c>
    </row>
    <row r="5112" spans="1:8" ht="26.25" x14ac:dyDescent="0.25">
      <c r="A5112" s="3" t="s">
        <v>15183</v>
      </c>
      <c r="B5112" s="3"/>
      <c r="C5112" s="3" t="str">
        <f>"consulting and specialty trade contractor broker"</f>
        <v>consulting and specialty trade contractor broker</v>
      </c>
      <c r="D5112" s="3" t="s">
        <v>9</v>
      </c>
      <c r="E5112" s="3" t="s">
        <v>15184</v>
      </c>
      <c r="F5112" s="3" t="str">
        <f>"317-442-2636"</f>
        <v>317-442-2636</v>
      </c>
      <c r="G5112" s="3">
        <v>238</v>
      </c>
      <c r="H5112" s="3" t="s">
        <v>397</v>
      </c>
    </row>
    <row r="5113" spans="1:8" ht="64.5" x14ac:dyDescent="0.25">
      <c r="A5113" s="3" t="s">
        <v>15185</v>
      </c>
      <c r="B5113" s="3"/>
      <c r="C5113" s="3" t="str">
        <f>"Distribution of industrial packaging supplies including tapes, stretch film, strapping materials, equipment and offering repair. Also providing electrical and janitorial supplies."</f>
        <v>Distribution of industrial packaging supplies including tapes, stretch film, strapping materials, equipment and offering repair. Also providing electrical and janitorial supplies.</v>
      </c>
      <c r="D5113" s="3" t="s">
        <v>4563</v>
      </c>
      <c r="E5113" s="3" t="s">
        <v>15186</v>
      </c>
      <c r="F5113" s="3" t="str">
        <f>"317-872-7074"</f>
        <v>317-872-7074</v>
      </c>
      <c r="G5113" s="3">
        <v>42384</v>
      </c>
      <c r="H5113" s="3" t="s">
        <v>553</v>
      </c>
    </row>
    <row r="5114" spans="1:8" ht="77.25" x14ac:dyDescent="0.25">
      <c r="A5114" s="3" t="s">
        <v>15187</v>
      </c>
      <c r="B5114" s="3"/>
      <c r="C5114" s="3" t="str">
        <f>"Consulting in organizational change management. learning, training and leadership development. Design custom learning solutions and build skills in leadership, teamwork, change management and training."</f>
        <v>Consulting in organizational change management. learning, training and leadership development. Design custom learning solutions and build skills in leadership, teamwork, change management and training.</v>
      </c>
      <c r="D5114" s="3" t="s">
        <v>15188</v>
      </c>
      <c r="E5114" s="3" t="s">
        <v>15189</v>
      </c>
      <c r="F5114" s="3" t="str">
        <f>"765-477-6015"</f>
        <v>765-477-6015</v>
      </c>
      <c r="G5114" s="3">
        <v>54161</v>
      </c>
      <c r="H5114" s="3" t="s">
        <v>1221</v>
      </c>
    </row>
    <row r="5115" spans="1:8" ht="102.75" x14ac:dyDescent="0.25">
      <c r="A5115" s="3" t="s">
        <v>15190</v>
      </c>
      <c r="B5115" s="3"/>
      <c r="C5115" s="3" t="s">
        <v>15191</v>
      </c>
      <c r="D5115" s="3" t="s">
        <v>15192</v>
      </c>
      <c r="E5115" s="3" t="s">
        <v>15193</v>
      </c>
      <c r="F5115" s="3" t="str">
        <f>"2603994844"</f>
        <v>2603994844</v>
      </c>
      <c r="G5115" s="3">
        <v>488510</v>
      </c>
      <c r="H5115" s="3" t="s">
        <v>562</v>
      </c>
    </row>
    <row r="5116" spans="1:8" ht="26.25" x14ac:dyDescent="0.25">
      <c r="A5116" s="3" t="s">
        <v>15194</v>
      </c>
      <c r="B5116" s="3"/>
      <c r="C5116" s="3" t="str">
        <f>" "</f>
        <v xml:space="preserve"> </v>
      </c>
      <c r="D5116" s="3" t="s">
        <v>15195</v>
      </c>
      <c r="E5116" s="3" t="s">
        <v>15196</v>
      </c>
      <c r="F5116" s="3" t="str">
        <f>"(248) 648-1330"</f>
        <v>(248) 648-1330</v>
      </c>
      <c r="G5116" s="3">
        <v>541611</v>
      </c>
      <c r="H5116" s="3" t="s">
        <v>278</v>
      </c>
    </row>
    <row r="5117" spans="1:8" ht="192" x14ac:dyDescent="0.25">
      <c r="A5117" s="3" t="s">
        <v>15197</v>
      </c>
      <c r="B5117" s="3"/>
      <c r="C5117" s="3" t="s">
        <v>15198</v>
      </c>
      <c r="D5117" s="3" t="s">
        <v>9</v>
      </c>
      <c r="E5117" s="3" t="s">
        <v>15199</v>
      </c>
      <c r="F5117" s="3" t="str">
        <f>"219-325-0026/800-3550026"</f>
        <v>219-325-0026/800-3550026</v>
      </c>
      <c r="G5117" s="3">
        <v>444130</v>
      </c>
      <c r="H5117" s="3" t="s">
        <v>2597</v>
      </c>
    </row>
    <row r="5118" spans="1:8" ht="26.25" x14ac:dyDescent="0.25">
      <c r="A5118" s="3" t="s">
        <v>15200</v>
      </c>
      <c r="B5118" s="3"/>
      <c r="C5118" s="3" t="str">
        <f>"I sell new car parts to the garages and general public."</f>
        <v>I sell new car parts to the garages and general public.</v>
      </c>
      <c r="D5118" s="3" t="s">
        <v>9</v>
      </c>
      <c r="E5118" s="3" t="s">
        <v>46</v>
      </c>
      <c r="F5118" s="2"/>
      <c r="G5118" s="3">
        <v>441310</v>
      </c>
      <c r="H5118" s="3" t="s">
        <v>1699</v>
      </c>
    </row>
    <row r="5119" spans="1:8" ht="77.25" x14ac:dyDescent="0.25">
      <c r="A5119" s="3" t="s">
        <v>15201</v>
      </c>
      <c r="B5119" s="3"/>
      <c r="C5119" s="3" t="str">
        <f>"KB Consulting Inc. specializes in providing professional consulting support to government, higher education and the public sector in budgeting, fund accounting, performance metrics, analysis and SAP implementation, support and training."</f>
        <v>KB Consulting Inc. specializes in providing professional consulting support to government, higher education and the public sector in budgeting, fund accounting, performance metrics, analysis and SAP implementation, support and training.</v>
      </c>
      <c r="D5119" s="3" t="s">
        <v>9</v>
      </c>
      <c r="E5119" s="3" t="s">
        <v>15202</v>
      </c>
      <c r="F5119" s="3" t="str">
        <f>"(708) 269-8978"</f>
        <v>(708) 269-8978</v>
      </c>
      <c r="G5119" s="3">
        <v>541512</v>
      </c>
      <c r="H5119" s="3" t="s">
        <v>19</v>
      </c>
    </row>
    <row r="5120" spans="1:8" x14ac:dyDescent="0.25">
      <c r="A5120" s="3" t="s">
        <v>15203</v>
      </c>
      <c r="B5120" s="3"/>
      <c r="C5120" s="3" t="str">
        <f>" "</f>
        <v xml:space="preserve"> </v>
      </c>
      <c r="D5120" s="3" t="s">
        <v>9</v>
      </c>
      <c r="E5120" s="3" t="s">
        <v>46</v>
      </c>
      <c r="F5120" s="2"/>
      <c r="G5120" s="3">
        <v>541490</v>
      </c>
      <c r="H5120" s="3" t="s">
        <v>15204</v>
      </c>
    </row>
    <row r="5121" spans="1:8" ht="64.5" x14ac:dyDescent="0.25">
      <c r="A5121" s="3" t="s">
        <v>15205</v>
      </c>
      <c r="B5121" s="3"/>
      <c r="C5121" s="3" t="str">
        <f>"KB Technology Associates, LLC provides consultants and contractors for computer related projects. Our focus and experience is in the areas of QA and Testing, Software Development and Project Management."</f>
        <v>KB Technology Associates, LLC provides consultants and contractors for computer related projects. Our focus and experience is in the areas of QA and Testing, Software Development and Project Management.</v>
      </c>
      <c r="D5121" s="3" t="s">
        <v>9</v>
      </c>
      <c r="E5121" s="3" t="s">
        <v>15206</v>
      </c>
      <c r="F5121" s="3" t="str">
        <f>"317-430-9533"</f>
        <v>317-430-9533</v>
      </c>
      <c r="G5121" s="3">
        <v>541512</v>
      </c>
      <c r="H5121" s="3" t="s">
        <v>19</v>
      </c>
    </row>
    <row r="5122" spans="1:8" ht="166.5" x14ac:dyDescent="0.25">
      <c r="A5122" s="3" t="s">
        <v>15207</v>
      </c>
      <c r="B5122" s="3"/>
      <c r="C5122" s="3" t="s">
        <v>15208</v>
      </c>
      <c r="D5122" s="3" t="s">
        <v>15209</v>
      </c>
      <c r="E5122" s="3" t="s">
        <v>15210</v>
      </c>
      <c r="F5122" s="3" t="str">
        <f>"800-837-2897"</f>
        <v>800-837-2897</v>
      </c>
      <c r="G5122" s="3">
        <v>42133</v>
      </c>
      <c r="H5122" s="3" t="s">
        <v>15211</v>
      </c>
    </row>
    <row r="5123" spans="1:8" ht="26.25" x14ac:dyDescent="0.25">
      <c r="A5123" s="3" t="s">
        <v>15212</v>
      </c>
      <c r="B5123" s="3"/>
      <c r="C5123" s="3" t="str">
        <f>"Case Management/service coordination for adults and children with disabilities"</f>
        <v>Case Management/service coordination for adults and children with disabilities</v>
      </c>
      <c r="D5123" s="3" t="s">
        <v>9</v>
      </c>
      <c r="E5123" s="3" t="s">
        <v>15213</v>
      </c>
      <c r="F5123" s="3" t="str">
        <f>"765-49-5991"</f>
        <v>765-49-5991</v>
      </c>
      <c r="G5123" s="3">
        <v>611710</v>
      </c>
      <c r="H5123" s="3" t="s">
        <v>508</v>
      </c>
    </row>
    <row r="5124" spans="1:8" ht="243" x14ac:dyDescent="0.25">
      <c r="A5124" s="3" t="s">
        <v>15214</v>
      </c>
      <c r="B5124" s="3"/>
      <c r="C5124" s="3" t="s">
        <v>15215</v>
      </c>
      <c r="D5124" s="3" t="s">
        <v>15216</v>
      </c>
      <c r="E5124" s="3" t="s">
        <v>15217</v>
      </c>
      <c r="F5124" s="3" t="str">
        <f>"765-475-0777"</f>
        <v>765-475-0777</v>
      </c>
      <c r="G5124" s="3">
        <v>443120</v>
      </c>
      <c r="H5124" s="3" t="s">
        <v>609</v>
      </c>
    </row>
    <row r="5125" spans="1:8" ht="39" x14ac:dyDescent="0.25">
      <c r="A5125" s="3" t="s">
        <v>15218</v>
      </c>
      <c r="B5125" s="3"/>
      <c r="C5125" s="3" t="str">
        <f>"Food brokerage selling frozen food products, i.e., chili, sausage gravy, hot dog sauce"</f>
        <v>Food brokerage selling frozen food products, i.e., chili, sausage gravy, hot dog sauce</v>
      </c>
      <c r="D5125" s="3" t="s">
        <v>9</v>
      </c>
      <c r="E5125" s="3" t="s">
        <v>46</v>
      </c>
      <c r="F5125" s="2"/>
      <c r="G5125" s="3">
        <v>311412</v>
      </c>
      <c r="H5125" s="3" t="s">
        <v>6919</v>
      </c>
    </row>
    <row r="5126" spans="1:8" ht="153.75" x14ac:dyDescent="0.25">
      <c r="A5126" s="3" t="s">
        <v>15219</v>
      </c>
      <c r="B5126" s="3"/>
      <c r="C5126" s="3" t="s">
        <v>15220</v>
      </c>
      <c r="D5126" s="3" t="s">
        <v>15221</v>
      </c>
      <c r="E5126" s="3" t="s">
        <v>15222</v>
      </c>
      <c r="F5126" s="3" t="str">
        <f>"2604155866"</f>
        <v>2604155866</v>
      </c>
      <c r="G5126" s="3">
        <v>524291</v>
      </c>
      <c r="H5126" s="3" t="s">
        <v>15223</v>
      </c>
    </row>
    <row r="5127" spans="1:8" ht="26.25" x14ac:dyDescent="0.25">
      <c r="A5127" s="3" t="s">
        <v>15224</v>
      </c>
      <c r="B5127" s="3"/>
      <c r="C5127" s="3" t="str">
        <f>" "</f>
        <v xml:space="preserve"> </v>
      </c>
      <c r="D5127" s="3" t="s">
        <v>9</v>
      </c>
      <c r="E5127" s="3" t="s">
        <v>15225</v>
      </c>
      <c r="F5127" s="2"/>
      <c r="G5127" s="3">
        <v>42345</v>
      </c>
      <c r="H5127" s="3" t="s">
        <v>1406</v>
      </c>
    </row>
    <row r="5128" spans="1:8" ht="26.25" x14ac:dyDescent="0.25">
      <c r="A5128" s="3" t="s">
        <v>15226</v>
      </c>
      <c r="B5128" s="3"/>
      <c r="C5128" s="3" t="str">
        <f>"tree trimming, removal, lot clearing"</f>
        <v>tree trimming, removal, lot clearing</v>
      </c>
      <c r="D5128" s="3" t="s">
        <v>9</v>
      </c>
      <c r="E5128" s="3" t="s">
        <v>46</v>
      </c>
      <c r="F5128" s="3" t="str">
        <f>"574-674-7722"</f>
        <v>574-674-7722</v>
      </c>
      <c r="G5128" s="3">
        <v>812990</v>
      </c>
      <c r="H5128" s="3" t="s">
        <v>294</v>
      </c>
    </row>
    <row r="5129" spans="1:8" ht="64.5" x14ac:dyDescent="0.25">
      <c r="A5129" s="3" t="s">
        <v>15227</v>
      </c>
      <c r="B5129" s="3"/>
      <c r="C5129" s="3" t="str">
        <f>"We are a green energy consulting firm that performs energy audits, weatherization, and provide energy efficient products. We are certified energy auditors for the state of Indiana."</f>
        <v>We are a green energy consulting firm that performs energy audits, weatherization, and provide energy efficient products. We are certified energy auditors for the state of Indiana.</v>
      </c>
      <c r="D5129" s="3" t="s">
        <v>9</v>
      </c>
      <c r="E5129" s="3" t="s">
        <v>15228</v>
      </c>
      <c r="F5129" s="3" t="str">
        <f>"(317) 443-2398"</f>
        <v>(317) 443-2398</v>
      </c>
      <c r="G5129" s="3">
        <v>54135</v>
      </c>
      <c r="H5129" s="3" t="s">
        <v>1784</v>
      </c>
    </row>
    <row r="5130" spans="1:8" ht="26.25" x14ac:dyDescent="0.25">
      <c r="A5130" s="3" t="s">
        <v>15229</v>
      </c>
      <c r="B5130" s="3"/>
      <c r="C5130" s="3" t="str">
        <f>"Auto Body &amp; Collision Repair, Full Service Mechanical Svc. and Recycling Center"</f>
        <v>Auto Body &amp; Collision Repair, Full Service Mechanical Svc. and Recycling Center</v>
      </c>
      <c r="D5130" s="3" t="s">
        <v>9</v>
      </c>
      <c r="E5130" s="3" t="s">
        <v>15230</v>
      </c>
      <c r="F5130" s="3" t="str">
        <f>"219.874.5655"</f>
        <v>219.874.5655</v>
      </c>
      <c r="G5130" s="3">
        <v>8111</v>
      </c>
      <c r="H5130" s="3" t="s">
        <v>3587</v>
      </c>
    </row>
    <row r="5131" spans="1:8" ht="39" x14ac:dyDescent="0.25">
      <c r="A5131" s="3" t="s">
        <v>15231</v>
      </c>
      <c r="B5131" s="3"/>
      <c r="C5131" s="3" t="str">
        <f>"Providing Temporary,Temp to hire,direct hire for Medical,Clerical,General Labor,skilled,crafts and trade."</f>
        <v>Providing Temporary,Temp to hire,direct hire for Medical,Clerical,General Labor,skilled,crafts and trade.</v>
      </c>
      <c r="D5131" s="3" t="s">
        <v>15232</v>
      </c>
      <c r="E5131" s="3" t="s">
        <v>15233</v>
      </c>
      <c r="F5131" s="3" t="str">
        <f>"317-826-9700"</f>
        <v>317-826-9700</v>
      </c>
      <c r="G5131" s="3">
        <v>561320</v>
      </c>
      <c r="H5131" s="3" t="s">
        <v>15</v>
      </c>
    </row>
    <row r="5132" spans="1:8" ht="102.75" x14ac:dyDescent="0.25">
      <c r="A5132" s="3" t="s">
        <v>15234</v>
      </c>
      <c r="B5132" s="3"/>
      <c r="C5132" s="3" t="s">
        <v>15235</v>
      </c>
      <c r="D5132" s="3" t="s">
        <v>9</v>
      </c>
      <c r="E5132" s="3" t="s">
        <v>15236</v>
      </c>
      <c r="F5132" s="3" t="str">
        <f>"812.369.9954"</f>
        <v>812.369.9954</v>
      </c>
      <c r="G5132" s="3">
        <v>425120</v>
      </c>
      <c r="H5132" s="3" t="s">
        <v>58</v>
      </c>
    </row>
    <row r="5133" spans="1:8" ht="26.25" x14ac:dyDescent="0.25">
      <c r="A5133" s="3" t="s">
        <v>15237</v>
      </c>
      <c r="B5133" s="3"/>
      <c r="C5133" s="3" t="str">
        <f>"Provide Consultant Services,primary transportation and mangement services"</f>
        <v>Provide Consultant Services,primary transportation and mangement services</v>
      </c>
      <c r="D5133" s="3" t="s">
        <v>9</v>
      </c>
      <c r="E5133" s="3" t="s">
        <v>15238</v>
      </c>
      <c r="F5133" s="3" t="str">
        <f>"219-682-7215"</f>
        <v>219-682-7215</v>
      </c>
      <c r="G5133" s="3">
        <v>541614</v>
      </c>
      <c r="H5133" s="3" t="s">
        <v>107</v>
      </c>
    </row>
    <row r="5134" spans="1:8" ht="243" x14ac:dyDescent="0.25">
      <c r="A5134" s="3" t="s">
        <v>15239</v>
      </c>
      <c r="B5134" s="3"/>
      <c r="C5134" s="3" t="s">
        <v>15240</v>
      </c>
      <c r="D5134" s="3" t="s">
        <v>15241</v>
      </c>
      <c r="E5134" s="3" t="s">
        <v>15242</v>
      </c>
      <c r="F5134" s="3" t="str">
        <f>"317-881-9923"</f>
        <v>317-881-9923</v>
      </c>
      <c r="G5134" s="3">
        <v>561320</v>
      </c>
      <c r="H5134" s="3" t="s">
        <v>15</v>
      </c>
    </row>
    <row r="5135" spans="1:8" ht="39" x14ac:dyDescent="0.25">
      <c r="A5135" s="3" t="s">
        <v>15243</v>
      </c>
      <c r="B5135" s="3"/>
      <c r="C5135" s="3" t="str">
        <f>"Trade agent and broker acting on behalf of buyers or sellers in the wholesale distribution of non-durable goods."</f>
        <v>Trade agent and broker acting on behalf of buyers or sellers in the wholesale distribution of non-durable goods.</v>
      </c>
      <c r="D5135" s="3" t="s">
        <v>9</v>
      </c>
      <c r="E5135" s="3" t="s">
        <v>15244</v>
      </c>
      <c r="F5135" s="3" t="str">
        <f>"2197428883"</f>
        <v>2197428883</v>
      </c>
      <c r="G5135" s="3">
        <v>425120</v>
      </c>
      <c r="H5135" s="3" t="s">
        <v>58</v>
      </c>
    </row>
    <row r="5136" spans="1:8" ht="51.75" x14ac:dyDescent="0.25">
      <c r="A5136" s="3" t="s">
        <v>15245</v>
      </c>
      <c r="B5136" s="3"/>
      <c r="C5136" s="3" t="str">
        <f>"Printer of business forms, envelopes, letterhead, business cards, labels, postcards and anything that requires ink on paper. From one color to four color process."</f>
        <v>Printer of business forms, envelopes, letterhead, business cards, labels, postcards and anything that requires ink on paper. From one color to four color process.</v>
      </c>
      <c r="D5136" s="3" t="s">
        <v>9</v>
      </c>
      <c r="E5136" s="3" t="s">
        <v>46</v>
      </c>
      <c r="F5136" s="2"/>
      <c r="G5136" s="3">
        <v>32311</v>
      </c>
      <c r="H5136" s="3" t="s">
        <v>531</v>
      </c>
    </row>
    <row r="5137" spans="1:8" ht="64.5" x14ac:dyDescent="0.25">
      <c r="A5137" s="3" t="s">
        <v>15246</v>
      </c>
      <c r="B5137" s="3"/>
      <c r="C5137" s="3" t="str">
        <f>"KDW Marketing is a printer of forms, stationery, booklets and custom full color printing. We also do bulk mailings and promotional items (clothing, mugs, pens, ect.)"</f>
        <v>KDW Marketing is a printer of forms, stationery, booklets and custom full color printing. We also do bulk mailings and promotional items (clothing, mugs, pens, ect.)</v>
      </c>
      <c r="D5137" s="3" t="s">
        <v>9</v>
      </c>
      <c r="E5137" s="3" t="s">
        <v>15247</v>
      </c>
      <c r="F5137" s="3" t="str">
        <f>"317-894-8101"</f>
        <v>317-894-8101</v>
      </c>
      <c r="G5137" s="3">
        <v>11</v>
      </c>
      <c r="H5137" s="3" t="s">
        <v>175</v>
      </c>
    </row>
    <row r="5138" spans="1:8" ht="102.75" x14ac:dyDescent="0.25">
      <c r="A5138" s="3" t="s">
        <v>15248</v>
      </c>
      <c r="B5138" s="3"/>
      <c r="C5138" s="3" t="s">
        <v>15249</v>
      </c>
      <c r="D5138" s="3" t="s">
        <v>15250</v>
      </c>
      <c r="E5138" s="3" t="s">
        <v>15251</v>
      </c>
      <c r="F5138" s="3" t="str">
        <f>"765-772-3991"</f>
        <v>765-772-3991</v>
      </c>
      <c r="G5138" s="3">
        <v>236220</v>
      </c>
      <c r="H5138" s="3" t="s">
        <v>598</v>
      </c>
    </row>
    <row r="5139" spans="1:8" ht="26.25" x14ac:dyDescent="0.25">
      <c r="A5139" s="3" t="s">
        <v>15252</v>
      </c>
      <c r="B5139" s="3"/>
      <c r="C5139" s="3" t="str">
        <f>"A walk-up noodle bar located in Majestic Star Casino"</f>
        <v>A walk-up noodle bar located in Majestic Star Casino</v>
      </c>
      <c r="D5139" s="3" t="s">
        <v>15253</v>
      </c>
      <c r="E5139" s="3" t="s">
        <v>15254</v>
      </c>
      <c r="F5139" s="3" t="str">
        <f>"219-977-7776"</f>
        <v>219-977-7776</v>
      </c>
      <c r="G5139" s="3">
        <v>311991</v>
      </c>
      <c r="H5139" s="3" t="s">
        <v>15255</v>
      </c>
    </row>
    <row r="5140" spans="1:8" ht="64.5" x14ac:dyDescent="0.25">
      <c r="A5140" s="3" t="s">
        <v>15256</v>
      </c>
      <c r="B5140" s="3"/>
      <c r="C5140" s="3" t="str">
        <f>"Rental, sales, leasing and repairs of used forklifts, used aerial lifts - scissor lifts &amp; knuckle booms. Sales of New trailers and New hand pallet trucks and some other misc equipment."</f>
        <v>Rental, sales, leasing and repairs of used forklifts, used aerial lifts - scissor lifts &amp; knuckle booms. Sales of New trailers and New hand pallet trucks and some other misc equipment.</v>
      </c>
      <c r="D5140" s="3" t="s">
        <v>15257</v>
      </c>
      <c r="E5140" s="3" t="s">
        <v>15258</v>
      </c>
      <c r="F5140" s="3" t="str">
        <f>"317-787-3400"</f>
        <v>317-787-3400</v>
      </c>
      <c r="G5140" s="3">
        <v>532</v>
      </c>
      <c r="H5140" s="3" t="s">
        <v>2610</v>
      </c>
    </row>
    <row r="5141" spans="1:8" ht="90" x14ac:dyDescent="0.25">
      <c r="A5141" s="3" t="s">
        <v>15259</v>
      </c>
      <c r="B5141" s="3"/>
      <c r="C5141" s="3" t="s">
        <v>15260</v>
      </c>
      <c r="D5141" s="3" t="s">
        <v>15261</v>
      </c>
      <c r="E5141" s="3" t="s">
        <v>15262</v>
      </c>
      <c r="F5141" s="3" t="str">
        <f>"317-685-6600"</f>
        <v>317-685-6600</v>
      </c>
      <c r="G5141" s="3">
        <v>541620</v>
      </c>
      <c r="H5141" s="3" t="s">
        <v>216</v>
      </c>
    </row>
    <row r="5142" spans="1:8" ht="306.75" x14ac:dyDescent="0.25">
      <c r="A5142" s="3" t="s">
        <v>15263</v>
      </c>
      <c r="B5142" s="3"/>
      <c r="C5142" s="3" t="s">
        <v>15264</v>
      </c>
      <c r="D5142" s="3" t="s">
        <v>15265</v>
      </c>
      <c r="E5142" s="3" t="s">
        <v>15266</v>
      </c>
      <c r="F5142" s="3" t="str">
        <f>"(260)352-2722"</f>
        <v>(260)352-2722</v>
      </c>
      <c r="G5142" s="3">
        <v>441229</v>
      </c>
      <c r="H5142" s="3" t="s">
        <v>3721</v>
      </c>
    </row>
    <row r="5143" spans="1:8" x14ac:dyDescent="0.25">
      <c r="A5143" s="3" t="s">
        <v>15267</v>
      </c>
      <c r="B5143" s="3"/>
      <c r="C5143" s="2"/>
      <c r="D5143" s="3" t="s">
        <v>9</v>
      </c>
      <c r="E5143" s="3" t="s">
        <v>46</v>
      </c>
      <c r="F5143" s="2"/>
      <c r="G5143" s="3">
        <v>8111</v>
      </c>
      <c r="H5143" s="3" t="s">
        <v>3587</v>
      </c>
    </row>
    <row r="5144" spans="1:8" ht="26.25" x14ac:dyDescent="0.25">
      <c r="A5144" s="3" t="s">
        <v>15268</v>
      </c>
      <c r="B5144" s="3"/>
      <c r="C5144" s="3" t="str">
        <f>"Certified Publice Accountant and Business Consultant"</f>
        <v>Certified Publice Accountant and Business Consultant</v>
      </c>
      <c r="D5144" s="3" t="s">
        <v>9</v>
      </c>
      <c r="E5144" s="3" t="s">
        <v>15269</v>
      </c>
      <c r="F5144" s="3" t="str">
        <f>"765-832-1776"</f>
        <v>765-832-1776</v>
      </c>
      <c r="G5144" s="3">
        <v>541211</v>
      </c>
      <c r="H5144" s="3" t="s">
        <v>337</v>
      </c>
    </row>
    <row r="5145" spans="1:8" ht="115.5" x14ac:dyDescent="0.25">
      <c r="A5145" s="3" t="s">
        <v>15270</v>
      </c>
      <c r="B5145" s="3"/>
      <c r="C5145" s="3" t="s">
        <v>15271</v>
      </c>
      <c r="D5145" s="3" t="s">
        <v>15272</v>
      </c>
      <c r="E5145" s="3" t="s">
        <v>46</v>
      </c>
      <c r="F5145" s="3" t="str">
        <f>"317-284-7100"</f>
        <v>317-284-7100</v>
      </c>
      <c r="G5145" s="3">
        <v>524292</v>
      </c>
      <c r="H5145" s="3" t="s">
        <v>4892</v>
      </c>
    </row>
    <row r="5146" spans="1:8" ht="77.25" x14ac:dyDescent="0.25">
      <c r="A5146" s="3" t="s">
        <v>15273</v>
      </c>
      <c r="B5146" s="3"/>
      <c r="C5146" s="3" t="str">
        <f>"Advocacy organization for persons with mental health issues. KEY advocates individually as well as collectively to affect policy change for mental health services and treatment not only on a local and state level but nationally as well."</f>
        <v>Advocacy organization for persons with mental health issues. KEY advocates individually as well as collectively to affect policy change for mental health services and treatment not only on a local and state level but nationally as well.</v>
      </c>
      <c r="D5146" s="3" t="s">
        <v>15274</v>
      </c>
      <c r="E5146" s="3" t="s">
        <v>15275</v>
      </c>
      <c r="F5146" s="3" t="str">
        <f>"317-205-2500"</f>
        <v>317-205-2500</v>
      </c>
      <c r="G5146" s="3">
        <v>81331</v>
      </c>
      <c r="H5146" s="3" t="s">
        <v>5487</v>
      </c>
    </row>
    <row r="5147" spans="1:8" ht="64.5" x14ac:dyDescent="0.25">
      <c r="A5147" s="3" t="s">
        <v>15276</v>
      </c>
      <c r="B5147" s="3"/>
      <c r="C5147" s="3" t="str">
        <f>"MANUFACTURER OF CUTTING MANDRELS FOR MILLING MACHINES, SKID STEER ATTACHMENTS SUCH AS THE FLATLINER (BUMP GRINDER) AND KEYSAW FOR SALE OR RENT, BITS"</f>
        <v>MANUFACTURER OF CUTTING MANDRELS FOR MILLING MACHINES, SKID STEER ATTACHMENTS SUCH AS THE FLATLINER (BUMP GRINDER) AND KEYSAW FOR SALE OR RENT, BITS</v>
      </c>
      <c r="D5147" s="3" t="s">
        <v>15277</v>
      </c>
      <c r="E5147" s="3" t="s">
        <v>46</v>
      </c>
      <c r="F5147" s="3" t="str">
        <f>"317-271-6192"</f>
        <v>317-271-6192</v>
      </c>
      <c r="G5147" s="3">
        <v>333120</v>
      </c>
      <c r="H5147" s="3" t="s">
        <v>11931</v>
      </c>
    </row>
    <row r="5148" spans="1:8" ht="77.25" x14ac:dyDescent="0.25">
      <c r="A5148" s="3" t="s">
        <v>15278</v>
      </c>
      <c r="B5148" s="3"/>
      <c r="C5148" s="3" t="str">
        <f>"We are a business the provides staffing services to companies in indianapolis. We specialize in Finance and Accounting, Technology, and Administrative areas. we do contract, contract to hire, and permanent."</f>
        <v>We are a business the provides staffing services to companies in indianapolis. We specialize in Finance and Accounting, Technology, and Administrative areas. we do contract, contract to hire, and permanent.</v>
      </c>
      <c r="D5148" s="3" t="s">
        <v>15279</v>
      </c>
      <c r="E5148" s="3" t="s">
        <v>15280</v>
      </c>
      <c r="F5148" s="3" t="str">
        <f>"1-800-234-4337"</f>
        <v>1-800-234-4337</v>
      </c>
      <c r="G5148" s="3">
        <v>541612</v>
      </c>
      <c r="H5148" s="3" t="s">
        <v>1923</v>
      </c>
    </row>
    <row r="5149" spans="1:8" ht="26.25" x14ac:dyDescent="0.25">
      <c r="A5149" s="3" t="s">
        <v>15281</v>
      </c>
      <c r="B5149" s="3"/>
      <c r="C5149" s="2"/>
      <c r="D5149" s="3" t="s">
        <v>15282</v>
      </c>
      <c r="E5149" s="3" t="s">
        <v>46</v>
      </c>
      <c r="F5149" s="3" t="str">
        <f>"812-424-3333"</f>
        <v>812-424-3333</v>
      </c>
      <c r="G5149" s="3">
        <v>541810</v>
      </c>
      <c r="H5149" s="3" t="s">
        <v>976</v>
      </c>
    </row>
    <row r="5150" spans="1:8" ht="90" x14ac:dyDescent="0.25">
      <c r="A5150" s="3" t="s">
        <v>15283</v>
      </c>
      <c r="B5150" s="3"/>
      <c r="C5150" s="3" t="str">
        <f>"KGM Temporary Staffing &amp; Training, Inc. provides short and long-term temporary assignments to Indiana employers. KGM is a woman-minority-owned and operated business. Our specialty is clerical/office, general labor, and industrial/manufacturing."</f>
        <v>KGM Temporary Staffing &amp; Training, Inc. provides short and long-term temporary assignments to Indiana employers. KGM is a woman-minority-owned and operated business. Our specialty is clerical/office, general labor, and industrial/manufacturing.</v>
      </c>
      <c r="D5150" s="3" t="s">
        <v>15284</v>
      </c>
      <c r="E5150" s="3" t="s">
        <v>15285</v>
      </c>
      <c r="F5150" s="3" t="str">
        <f>"317-658-2718"</f>
        <v>317-658-2718</v>
      </c>
      <c r="G5150" s="3">
        <v>561320</v>
      </c>
      <c r="H5150" s="3" t="s">
        <v>15</v>
      </c>
    </row>
    <row r="5151" spans="1:8" ht="51.75" x14ac:dyDescent="0.25">
      <c r="A5151" s="3" t="s">
        <v>15286</v>
      </c>
      <c r="B5151" s="3"/>
      <c r="C5151" s="3" t="str">
        <f>"KH Complete Advertising is a full service advertising and public relations firm. We pride ourselves in print, electronic buying, and creative."</f>
        <v>KH Complete Advertising is a full service advertising and public relations firm. We pride ourselves in print, electronic buying, and creative.</v>
      </c>
      <c r="D5151" s="3" t="s">
        <v>15287</v>
      </c>
      <c r="E5151" s="3" t="s">
        <v>15288</v>
      </c>
      <c r="F5151" s="3" t="str">
        <f>"3178130180"</f>
        <v>3178130180</v>
      </c>
      <c r="G5151" s="3">
        <v>541810</v>
      </c>
      <c r="H5151" s="3" t="s">
        <v>976</v>
      </c>
    </row>
    <row r="5152" spans="1:8" ht="64.5" x14ac:dyDescent="0.25">
      <c r="A5152" s="3" t="s">
        <v>15289</v>
      </c>
      <c r="B5152" s="3"/>
      <c r="C5152" s="3" t="str">
        <f>"KHDC doing business as the North Central Indiana Small Business Development Center for the purpose of being the Administrator for Consortiums of TAG Grants in the North Central Indiana area."</f>
        <v>KHDC doing business as the North Central Indiana Small Business Development Center for the purpose of being the Administrator for Consortiums of TAG Grants in the North Central Indiana area.</v>
      </c>
      <c r="D5152" s="3" t="s">
        <v>15290</v>
      </c>
      <c r="E5152" s="3" t="s">
        <v>46</v>
      </c>
      <c r="F5152" s="3" t="str">
        <f>"765.454.7922"</f>
        <v>765.454.7922</v>
      </c>
      <c r="G5152" s="3">
        <v>611430</v>
      </c>
      <c r="H5152" s="3" t="s">
        <v>1224</v>
      </c>
    </row>
    <row r="5153" spans="1:8" ht="153.75" x14ac:dyDescent="0.25">
      <c r="A5153" s="3" t="s">
        <v>15291</v>
      </c>
      <c r="B5153" s="3"/>
      <c r="C5153" s="3" t="s">
        <v>15292</v>
      </c>
      <c r="D5153" s="3" t="s">
        <v>15293</v>
      </c>
      <c r="E5153" s="3" t="s">
        <v>15294</v>
      </c>
      <c r="F5153" s="3" t="str">
        <f>"317-591-9400"</f>
        <v>317-591-9400</v>
      </c>
      <c r="G5153" s="3">
        <v>323113</v>
      </c>
      <c r="H5153" s="3" t="s">
        <v>1606</v>
      </c>
    </row>
    <row r="5154" spans="1:8" ht="153.75" x14ac:dyDescent="0.25">
      <c r="A5154" s="3" t="s">
        <v>15295</v>
      </c>
      <c r="B5154" s="3"/>
      <c r="C5154" s="3" t="s">
        <v>15292</v>
      </c>
      <c r="D5154" s="3" t="s">
        <v>15293</v>
      </c>
      <c r="E5154" s="3" t="s">
        <v>15296</v>
      </c>
      <c r="F5154" s="3" t="str">
        <f>"317-591-9400"</f>
        <v>317-591-9400</v>
      </c>
      <c r="G5154" s="3">
        <v>323113</v>
      </c>
      <c r="H5154" s="3" t="s">
        <v>1606</v>
      </c>
    </row>
    <row r="5155" spans="1:8" ht="26.25" x14ac:dyDescent="0.25">
      <c r="A5155" s="3" t="s">
        <v>15297</v>
      </c>
      <c r="B5155" s="3"/>
      <c r="C5155" s="3" t="str">
        <f>"GENERAL CONTRACTOR - COMMERCIAL AND RESIDENTIAL"</f>
        <v>GENERAL CONTRACTOR - COMMERCIAL AND RESIDENTIAL</v>
      </c>
      <c r="D5155" s="3" t="s">
        <v>9</v>
      </c>
      <c r="E5155" s="3" t="s">
        <v>46</v>
      </c>
      <c r="F5155" s="3" t="str">
        <f>"(317) 417-0051"</f>
        <v>(317) 417-0051</v>
      </c>
      <c r="G5155" s="3">
        <v>23</v>
      </c>
      <c r="H5155" s="3" t="s">
        <v>133</v>
      </c>
    </row>
    <row r="5156" spans="1:8" ht="39" x14ac:dyDescent="0.25">
      <c r="A5156" s="3" t="s">
        <v>15298</v>
      </c>
      <c r="B5156" s="3"/>
      <c r="C5156" s="3" t="str">
        <f>"LAW ENFORCEMENT, WHOLESALE, RETAIL, SUPPLIER FOR WEAPONS, AMMO AND ACCESSORIES"</f>
        <v>LAW ENFORCEMENT, WHOLESALE, RETAIL, SUPPLIER FOR WEAPONS, AMMO AND ACCESSORIES</v>
      </c>
      <c r="D5156" s="3" t="s">
        <v>15299</v>
      </c>
      <c r="E5156" s="3" t="s">
        <v>46</v>
      </c>
      <c r="F5156" s="3" t="str">
        <f>"800 444-2950"</f>
        <v>800 444-2950</v>
      </c>
      <c r="G5156" s="3">
        <v>92212</v>
      </c>
      <c r="H5156" s="3" t="s">
        <v>1293</v>
      </c>
    </row>
    <row r="5157" spans="1:8" ht="26.25" x14ac:dyDescent="0.25">
      <c r="A5157" s="3" t="s">
        <v>15300</v>
      </c>
      <c r="B5157" s="3"/>
      <c r="C5157" s="3" t="str">
        <f>"Intrastate trucking/ hauling company of construction site materials"</f>
        <v>Intrastate trucking/ hauling company of construction site materials</v>
      </c>
      <c r="D5157" s="3" t="s">
        <v>9</v>
      </c>
      <c r="E5157" s="3" t="s">
        <v>15301</v>
      </c>
      <c r="F5157" s="3" t="str">
        <f>"317-464-7288"</f>
        <v>317-464-7288</v>
      </c>
      <c r="G5157" s="3">
        <v>484220</v>
      </c>
      <c r="H5157" s="3" t="s">
        <v>11</v>
      </c>
    </row>
    <row r="5158" spans="1:8" ht="26.25" x14ac:dyDescent="0.25">
      <c r="A5158" s="3" t="s">
        <v>15302</v>
      </c>
      <c r="B5158" s="3"/>
      <c r="C5158" s="3" t="str">
        <f>"HVAC SERVICE ,SALES ,AND INSTALLATION COMPANY"</f>
        <v>HVAC SERVICE ,SALES ,AND INSTALLATION COMPANY</v>
      </c>
      <c r="D5158" s="3" t="s">
        <v>15303</v>
      </c>
      <c r="E5158" s="3" t="s">
        <v>46</v>
      </c>
      <c r="F5158" s="3" t="str">
        <f>"317-596-9639"</f>
        <v>317-596-9639</v>
      </c>
      <c r="G5158" s="3">
        <v>238220</v>
      </c>
      <c r="H5158" s="3" t="s">
        <v>348</v>
      </c>
    </row>
    <row r="5159" spans="1:8" ht="26.25" x14ac:dyDescent="0.25">
      <c r="A5159" s="3" t="s">
        <v>15304</v>
      </c>
      <c r="B5159" s="3"/>
      <c r="C5159" s="3" t="str">
        <f>"Distributor of janitorial, packaging, safety and laundry products."</f>
        <v>Distributor of janitorial, packaging, safety and laundry products.</v>
      </c>
      <c r="D5159" s="3" t="s">
        <v>9</v>
      </c>
      <c r="E5159" s="3" t="s">
        <v>15305</v>
      </c>
      <c r="F5159" s="3" t="str">
        <f>"800-467-4431"</f>
        <v>800-467-4431</v>
      </c>
      <c r="G5159" s="3">
        <v>453998</v>
      </c>
      <c r="H5159" s="3" t="s">
        <v>112</v>
      </c>
    </row>
    <row r="5160" spans="1:8" ht="128.25" x14ac:dyDescent="0.25">
      <c r="A5160" s="3" t="s">
        <v>15306</v>
      </c>
      <c r="B5160" s="3"/>
      <c r="C5160" s="3" t="s">
        <v>15307</v>
      </c>
      <c r="D5160" s="3" t="s">
        <v>15308</v>
      </c>
      <c r="E5160" s="3" t="s">
        <v>15309</v>
      </c>
      <c r="F5160" s="3" t="str">
        <f>"574.299.0170"</f>
        <v>574.299.0170</v>
      </c>
      <c r="G5160" s="3">
        <v>541613</v>
      </c>
      <c r="H5160" s="3" t="s">
        <v>558</v>
      </c>
    </row>
    <row r="5161" spans="1:8" ht="77.25" x14ac:dyDescent="0.25">
      <c r="A5161" s="3" t="s">
        <v>15310</v>
      </c>
      <c r="B5161" s="3"/>
      <c r="C5161" s="3" t="str">
        <f>"Kitchen Glory, Etc specializes in the sales and supplies of large or small kitchen equipment and accessories to consumers and businesses whether to furnish or remodel new or existing facilities. We offer competitive pricing and scheduled delivery."</f>
        <v>Kitchen Glory, Etc specializes in the sales and supplies of large or small kitchen equipment and accessories to consumers and businesses whether to furnish or remodel new or existing facilities. We offer competitive pricing and scheduled delivery.</v>
      </c>
      <c r="D5161" s="3" t="s">
        <v>9</v>
      </c>
      <c r="E5161" s="3" t="s">
        <v>15311</v>
      </c>
      <c r="F5161" s="3" t="str">
        <f>"574-968-9024"</f>
        <v>574-968-9024</v>
      </c>
      <c r="G5161" s="3">
        <v>238290</v>
      </c>
      <c r="H5161" s="3" t="s">
        <v>237</v>
      </c>
    </row>
    <row r="5162" spans="1:8" ht="306.75" x14ac:dyDescent="0.25">
      <c r="A5162" s="3" t="s">
        <v>15312</v>
      </c>
      <c r="B5162" s="3"/>
      <c r="C5162" s="3" t="s">
        <v>15313</v>
      </c>
      <c r="D5162" s="3" t="s">
        <v>15314</v>
      </c>
      <c r="E5162" s="3" t="s">
        <v>15315</v>
      </c>
      <c r="F5162" s="3" t="str">
        <f>"(812) 235-0442"</f>
        <v>(812) 235-0442</v>
      </c>
      <c r="G5162" s="3">
        <v>541330</v>
      </c>
      <c r="H5162" s="3" t="s">
        <v>82</v>
      </c>
    </row>
    <row r="5163" spans="1:8" ht="26.25" x14ac:dyDescent="0.25">
      <c r="A5163" s="3" t="s">
        <v>15316</v>
      </c>
      <c r="B5163" s="3"/>
      <c r="C5163" s="3" t="str">
        <f>" "</f>
        <v xml:space="preserve"> </v>
      </c>
      <c r="D5163" s="3" t="s">
        <v>9</v>
      </c>
      <c r="E5163" s="3" t="s">
        <v>15317</v>
      </c>
      <c r="F5163" s="2"/>
      <c r="G5163" s="3">
        <v>54151</v>
      </c>
      <c r="H5163" s="3" t="s">
        <v>188</v>
      </c>
    </row>
    <row r="5164" spans="1:8" ht="64.5" x14ac:dyDescent="0.25">
      <c r="A5164" s="3" t="s">
        <v>15318</v>
      </c>
      <c r="B5164" s="3"/>
      <c r="C5164" s="3" t="str">
        <f>"Our company provides land title search services primarily on road and bridge projects for INDOT and engineering firms. We also provide commerical real estate title searches for title companies."</f>
        <v>Our company provides land title search services primarily on road and bridge projects for INDOT and engineering firms. We also provide commerical real estate title searches for title companies.</v>
      </c>
      <c r="D5164" s="3" t="s">
        <v>9</v>
      </c>
      <c r="E5164" s="3" t="s">
        <v>15319</v>
      </c>
      <c r="F5164" s="3" t="str">
        <f>"317-445-7269"</f>
        <v>317-445-7269</v>
      </c>
      <c r="G5164" s="3">
        <v>541370</v>
      </c>
      <c r="H5164" s="3" t="s">
        <v>160</v>
      </c>
    </row>
    <row r="5165" spans="1:8" ht="51.75" x14ac:dyDescent="0.25">
      <c r="A5165" s="3" t="s">
        <v>15320</v>
      </c>
      <c r="B5165" s="3"/>
      <c r="C5165" s="3" t="str">
        <f>"Design and Engineering services, Desgners of Special machines, equipment, gages, fixtures, Robotic tooling, and progressive dies."</f>
        <v>Design and Engineering services, Desgners of Special machines, equipment, gages, fixtures, Robotic tooling, and progressive dies.</v>
      </c>
      <c r="D5165" s="3" t="s">
        <v>9</v>
      </c>
      <c r="E5165" s="3" t="s">
        <v>15321</v>
      </c>
      <c r="F5165" s="3" t="str">
        <f>"765-724-9828"</f>
        <v>765-724-9828</v>
      </c>
      <c r="G5165" s="3">
        <v>541340</v>
      </c>
      <c r="H5165" s="3" t="s">
        <v>4040</v>
      </c>
    </row>
    <row r="5166" spans="1:8" ht="102.75" x14ac:dyDescent="0.25">
      <c r="A5166" s="3" t="s">
        <v>15322</v>
      </c>
      <c r="B5166" s="3"/>
      <c r="C5166" s="3" t="s">
        <v>15323</v>
      </c>
      <c r="D5166" s="3" t="s">
        <v>15324</v>
      </c>
      <c r="E5166" s="3" t="s">
        <v>15325</v>
      </c>
      <c r="F5166" s="3" t="str">
        <f>"260-484-0304"</f>
        <v>260-484-0304</v>
      </c>
      <c r="G5166" s="3">
        <v>56172</v>
      </c>
      <c r="H5166" s="3" t="s">
        <v>222</v>
      </c>
    </row>
    <row r="5167" spans="1:8" ht="294" x14ac:dyDescent="0.25">
      <c r="A5167" s="3" t="s">
        <v>15326</v>
      </c>
      <c r="B5167" s="3"/>
      <c r="C5167" s="3" t="s">
        <v>15327</v>
      </c>
      <c r="D5167" s="3" t="s">
        <v>15328</v>
      </c>
      <c r="E5167" s="3" t="s">
        <v>15329</v>
      </c>
      <c r="F5167" s="3" t="str">
        <f>"260-587-9113"</f>
        <v>260-587-9113</v>
      </c>
      <c r="G5167" s="3">
        <v>484220</v>
      </c>
      <c r="H5167" s="3" t="s">
        <v>11</v>
      </c>
    </row>
    <row r="5168" spans="1:8" ht="51.75" x14ac:dyDescent="0.25">
      <c r="A5168" s="3" t="s">
        <v>15330</v>
      </c>
      <c r="B5168" s="3"/>
      <c r="C5168" s="3" t="str">
        <f>"KLS Services, Inc. is a company that specializes in site work, excavation for foundations, and site utilities such as sewer, sanitary, and water."</f>
        <v>KLS Services, Inc. is a company that specializes in site work, excavation for foundations, and site utilities such as sewer, sanitary, and water.</v>
      </c>
      <c r="D5168" s="3" t="s">
        <v>9</v>
      </c>
      <c r="E5168" s="3" t="s">
        <v>15331</v>
      </c>
      <c r="F5168" s="3" t="str">
        <f>"219-696-5453"</f>
        <v>219-696-5453</v>
      </c>
      <c r="G5168" s="3">
        <v>237</v>
      </c>
      <c r="H5168" s="3" t="s">
        <v>11020</v>
      </c>
    </row>
    <row r="5169" spans="1:8" ht="153.75" x14ac:dyDescent="0.25">
      <c r="A5169" s="3" t="s">
        <v>15332</v>
      </c>
      <c r="B5169" s="3"/>
      <c r="C5169" s="3" t="s">
        <v>15333</v>
      </c>
      <c r="D5169" s="3" t="s">
        <v>15334</v>
      </c>
      <c r="E5169" s="3" t="s">
        <v>15335</v>
      </c>
      <c r="F5169" s="3" t="str">
        <f>"812-925-3000"</f>
        <v>812-925-3000</v>
      </c>
      <c r="G5169" s="3">
        <v>423830</v>
      </c>
      <c r="H5169" s="3" t="s">
        <v>172</v>
      </c>
    </row>
    <row r="5170" spans="1:8" ht="64.5" x14ac:dyDescent="0.25">
      <c r="A5170" s="3" t="s">
        <v>15336</v>
      </c>
      <c r="B5170" s="3"/>
      <c r="C5170" s="3" t="str">
        <f>"KMO Contractors LLC is a small general contractor performing state, federal and local governmental contruction and remodeling. We have a full range of available services."</f>
        <v>KMO Contractors LLC is a small general contractor performing state, federal and local governmental contruction and remodeling. We have a full range of available services.</v>
      </c>
      <c r="D5170" s="3" t="s">
        <v>9</v>
      </c>
      <c r="E5170" s="3" t="s">
        <v>46</v>
      </c>
      <c r="F5170" s="3" t="str">
        <f>"219-285-0797"</f>
        <v>219-285-0797</v>
      </c>
      <c r="G5170" s="3">
        <v>2333</v>
      </c>
      <c r="H5170" s="3" t="s">
        <v>423</v>
      </c>
    </row>
    <row r="5171" spans="1:8" ht="26.25" x14ac:dyDescent="0.25">
      <c r="A5171" s="3" t="s">
        <v>15337</v>
      </c>
      <c r="B5171" s="3"/>
      <c r="C5171" s="2"/>
      <c r="D5171" s="3" t="s">
        <v>15338</v>
      </c>
      <c r="E5171" s="3" t="s">
        <v>15339</v>
      </c>
      <c r="F5171" s="3" t="str">
        <f>"812-886-4312"</f>
        <v>812-886-4312</v>
      </c>
      <c r="G5171" s="3">
        <v>337211</v>
      </c>
      <c r="H5171" s="3" t="s">
        <v>12624</v>
      </c>
    </row>
    <row r="5172" spans="1:8" x14ac:dyDescent="0.25">
      <c r="A5172" s="3" t="s">
        <v>15340</v>
      </c>
      <c r="B5172" s="3"/>
      <c r="C5172" s="3" t="str">
        <f>" "</f>
        <v xml:space="preserve"> </v>
      </c>
      <c r="D5172" s="3" t="s">
        <v>9</v>
      </c>
      <c r="E5172" s="3" t="s">
        <v>46</v>
      </c>
      <c r="F5172" s="2"/>
      <c r="G5172" s="3">
        <v>921190</v>
      </c>
      <c r="H5172" s="3" t="s">
        <v>4809</v>
      </c>
    </row>
    <row r="5173" spans="1:8" ht="64.5" x14ac:dyDescent="0.25">
      <c r="A5173" s="3" t="s">
        <v>15341</v>
      </c>
      <c r="B5173" s="3"/>
      <c r="C5173" s="3" t="str">
        <f>"Sales &amp; Service of Loss Prevention Products... Access Control, Video Security, Master Key Systems, High Security Safes, Commercial Door Hardware, Photo ID Systems"</f>
        <v>Sales &amp; Service of Loss Prevention Products... Access Control, Video Security, Master Key Systems, High Security Safes, Commercial Door Hardware, Photo ID Systems</v>
      </c>
      <c r="D5173" s="3" t="s">
        <v>9</v>
      </c>
      <c r="E5173" s="3" t="s">
        <v>15342</v>
      </c>
      <c r="F5173" s="3" t="str">
        <f>"260-424-1520"</f>
        <v>260-424-1520</v>
      </c>
      <c r="G5173" s="3">
        <v>56162</v>
      </c>
      <c r="H5173" s="3" t="s">
        <v>1276</v>
      </c>
    </row>
    <row r="5174" spans="1:8" ht="102.75" x14ac:dyDescent="0.25">
      <c r="A5174" s="3" t="s">
        <v>15343</v>
      </c>
      <c r="B5174" s="3"/>
      <c r="C5174" s="3" t="s">
        <v>15344</v>
      </c>
      <c r="D5174" s="3" t="s">
        <v>15345</v>
      </c>
      <c r="E5174" s="3" t="s">
        <v>15346</v>
      </c>
      <c r="F5174" s="3" t="str">
        <f>"260-969-1333"</f>
        <v>260-969-1333</v>
      </c>
      <c r="G5174" s="3">
        <v>541618</v>
      </c>
      <c r="H5174" s="3" t="s">
        <v>3527</v>
      </c>
    </row>
    <row r="5175" spans="1:8" ht="192" x14ac:dyDescent="0.25">
      <c r="A5175" s="3" t="s">
        <v>15347</v>
      </c>
      <c r="B5175" s="3"/>
      <c r="C5175" s="3" t="s">
        <v>15348</v>
      </c>
      <c r="D5175" s="3" t="s">
        <v>15349</v>
      </c>
      <c r="E5175" s="3" t="s">
        <v>15350</v>
      </c>
      <c r="F5175" s="3" t="str">
        <f>"317-788-0061"</f>
        <v>317-788-0061</v>
      </c>
      <c r="G5175" s="3">
        <v>238290</v>
      </c>
      <c r="H5175" s="3" t="s">
        <v>237</v>
      </c>
    </row>
    <row r="5176" spans="1:8" ht="51.75" x14ac:dyDescent="0.25">
      <c r="A5176" s="3" t="s">
        <v>15351</v>
      </c>
      <c r="B5176" s="3"/>
      <c r="C5176" s="3" t="str">
        <f>"DISTRIBUTOR FOR INDUSTRIAL, COMMERCIAL, JANITORIAL PARK &amp; RECREATION, FOOD SERVICE EQUIPMENT AND SUPPLIES."</f>
        <v>DISTRIBUTOR FOR INDUSTRIAL, COMMERCIAL, JANITORIAL PARK &amp; RECREATION, FOOD SERVICE EQUIPMENT AND SUPPLIES.</v>
      </c>
      <c r="D5176" s="3" t="s">
        <v>15352</v>
      </c>
      <c r="E5176" s="3" t="s">
        <v>15353</v>
      </c>
      <c r="F5176" s="3" t="str">
        <f>"513-732-9934"</f>
        <v>513-732-9934</v>
      </c>
      <c r="G5176" s="3">
        <v>423830</v>
      </c>
      <c r="H5176" s="3" t="s">
        <v>172</v>
      </c>
    </row>
    <row r="5177" spans="1:8" ht="166.5" x14ac:dyDescent="0.25">
      <c r="A5177" s="3" t="s">
        <v>15354</v>
      </c>
      <c r="B5177" s="3"/>
      <c r="C5177" s="3" t="s">
        <v>15355</v>
      </c>
      <c r="D5177" s="3" t="s">
        <v>15356</v>
      </c>
      <c r="E5177" s="3" t="s">
        <v>15357</v>
      </c>
      <c r="F5177" s="3" t="str">
        <f>"2198441400"</f>
        <v>2198441400</v>
      </c>
      <c r="G5177" s="3">
        <v>238160</v>
      </c>
      <c r="H5177" s="3" t="s">
        <v>144</v>
      </c>
    </row>
    <row r="5178" spans="1:8" ht="128.25" x14ac:dyDescent="0.25">
      <c r="A5178" s="3" t="s">
        <v>15358</v>
      </c>
      <c r="B5178" s="3"/>
      <c r="C5178" s="3" t="s">
        <v>15359</v>
      </c>
      <c r="D5178" s="3" t="s">
        <v>9</v>
      </c>
      <c r="E5178" s="3" t="s">
        <v>46</v>
      </c>
      <c r="F5178" s="2"/>
      <c r="G5178" s="3">
        <v>56173</v>
      </c>
      <c r="H5178" s="3" t="s">
        <v>65</v>
      </c>
    </row>
    <row r="5179" spans="1:8" ht="102.75" x14ac:dyDescent="0.25">
      <c r="A5179" s="3" t="s">
        <v>15360</v>
      </c>
      <c r="B5179" s="3"/>
      <c r="C5179" s="3" t="s">
        <v>15361</v>
      </c>
      <c r="D5179" s="3" t="s">
        <v>15362</v>
      </c>
      <c r="E5179" s="3" t="s">
        <v>15363</v>
      </c>
      <c r="F5179" s="3" t="str">
        <f>"219-926-1171"</f>
        <v>219-926-1171</v>
      </c>
      <c r="G5179" s="3">
        <v>45321</v>
      </c>
      <c r="H5179" s="3" t="s">
        <v>431</v>
      </c>
    </row>
    <row r="5180" spans="1:8" ht="332.25" x14ac:dyDescent="0.25">
      <c r="A5180" s="3" t="s">
        <v>15364</v>
      </c>
      <c r="B5180" s="3"/>
      <c r="C5180" s="3" t="s">
        <v>15365</v>
      </c>
      <c r="D5180" s="3" t="s">
        <v>15366</v>
      </c>
      <c r="E5180" s="3" t="s">
        <v>15367</v>
      </c>
      <c r="F5180" s="3" t="str">
        <f>"219-938-6739"</f>
        <v>219-938-6739</v>
      </c>
      <c r="G5180" s="3">
        <v>54161</v>
      </c>
      <c r="H5180" s="3" t="s">
        <v>1221</v>
      </c>
    </row>
    <row r="5181" spans="1:8" ht="39" x14ac:dyDescent="0.25">
      <c r="A5181" s="3" t="s">
        <v>15368</v>
      </c>
      <c r="B5181" s="3"/>
      <c r="C5181" s="3" t="str">
        <f>"I'm an independent mobile notary that travels up to 80 miles one way to do mortgage transactions."</f>
        <v>I'm an independent mobile notary that travels up to 80 miles one way to do mortgage transactions.</v>
      </c>
      <c r="D5181" s="3" t="s">
        <v>9</v>
      </c>
      <c r="E5181" s="3" t="s">
        <v>46</v>
      </c>
      <c r="F5181" s="2"/>
      <c r="G5181" s="3">
        <v>541199</v>
      </c>
      <c r="H5181" s="3" t="s">
        <v>1371</v>
      </c>
    </row>
    <row r="5182" spans="1:8" ht="51.75" x14ac:dyDescent="0.25">
      <c r="A5182" s="3" t="s">
        <v>15369</v>
      </c>
      <c r="B5182" s="3"/>
      <c r="C5182" s="3" t="str">
        <f>"Gypsum board assemblies, Cold formed steel, Rough Carpentry, Finish Carpentry, Acoustic Ceilings, Acoustic Wall treatments, Doors, Selective Demolition, Insulation"</f>
        <v>Gypsum board assemblies, Cold formed steel, Rough Carpentry, Finish Carpentry, Acoustic Ceilings, Acoustic Wall treatments, Doors, Selective Demolition, Insulation</v>
      </c>
      <c r="D5182" s="3" t="s">
        <v>9</v>
      </c>
      <c r="E5182" s="3" t="s">
        <v>15370</v>
      </c>
      <c r="F5182" s="3" t="str">
        <f>"765-482-6574"</f>
        <v>765-482-6574</v>
      </c>
      <c r="G5182" s="3">
        <v>236</v>
      </c>
      <c r="H5182" s="3" t="s">
        <v>291</v>
      </c>
    </row>
    <row r="5183" spans="1:8" ht="179.25" x14ac:dyDescent="0.25">
      <c r="A5183" s="3" t="s">
        <v>15371</v>
      </c>
      <c r="B5183" s="3"/>
      <c r="C5183" s="3" t="s">
        <v>15372</v>
      </c>
      <c r="D5183" s="3" t="s">
        <v>15373</v>
      </c>
      <c r="E5183" s="3" t="s">
        <v>15374</v>
      </c>
      <c r="F5183" s="3" t="str">
        <f>"317-203-0371"</f>
        <v>317-203-0371</v>
      </c>
      <c r="G5183" s="3">
        <v>541820</v>
      </c>
      <c r="H5183" s="3" t="s">
        <v>795</v>
      </c>
    </row>
    <row r="5184" spans="1:8" ht="77.25" x14ac:dyDescent="0.25">
      <c r="A5184" s="3" t="s">
        <v>15375</v>
      </c>
      <c r="B5184" s="3"/>
      <c r="C5184" s="3" t="str">
        <f>"fabricate and sell custom window treatments, sell blinds and shadings, fabricate and sell home decor items such as pillows, bedding, tablecloths, sell home decor accesory items, sell reupholstering services"</f>
        <v>fabricate and sell custom window treatments, sell blinds and shadings, fabricate and sell home decor items such as pillows, bedding, tablecloths, sell home decor accesory items, sell reupholstering services</v>
      </c>
      <c r="D5184" s="3" t="s">
        <v>15376</v>
      </c>
      <c r="E5184" s="3" t="s">
        <v>15377</v>
      </c>
      <c r="F5184" s="3" t="str">
        <f>"317-913-1896"</f>
        <v>317-913-1896</v>
      </c>
      <c r="G5184" s="3">
        <v>314121</v>
      </c>
      <c r="H5184" s="3" t="s">
        <v>4530</v>
      </c>
    </row>
    <row r="5185" spans="1:8" ht="243" x14ac:dyDescent="0.25">
      <c r="A5185" s="3" t="s">
        <v>15378</v>
      </c>
      <c r="B5185" s="3"/>
      <c r="C5185" s="3" t="s">
        <v>15379</v>
      </c>
      <c r="D5185" s="3" t="s">
        <v>15380</v>
      </c>
      <c r="E5185" s="3" t="s">
        <v>15381</v>
      </c>
      <c r="F5185" s="3" t="str">
        <f>"317-780-7911"</f>
        <v>317-780-7911</v>
      </c>
      <c r="G5185" s="3">
        <v>23511</v>
      </c>
      <c r="H5185" s="3" t="s">
        <v>892</v>
      </c>
    </row>
    <row r="5186" spans="1:8" ht="128.25" x14ac:dyDescent="0.25">
      <c r="A5186" s="3" t="s">
        <v>15382</v>
      </c>
      <c r="B5186" s="3"/>
      <c r="C5186" s="3" t="s">
        <v>15383</v>
      </c>
      <c r="D5186" s="3" t="s">
        <v>15384</v>
      </c>
      <c r="E5186" s="3" t="s">
        <v>46</v>
      </c>
      <c r="F5186" s="3" t="str">
        <f>"317-452-1700"</f>
        <v>317-452-1700</v>
      </c>
      <c r="G5186" s="3">
        <v>5416</v>
      </c>
      <c r="H5186" s="3" t="s">
        <v>194</v>
      </c>
    </row>
    <row r="5187" spans="1:8" ht="64.5" x14ac:dyDescent="0.25">
      <c r="A5187" s="3" t="s">
        <v>15385</v>
      </c>
      <c r="B5187" s="3"/>
      <c r="C5187" s="3" t="str">
        <f>"Software Design and Development Software Consulting services Web Design, Web Programming, E-commerce and Mobile application development Enterprise Resource Planning Software Implementation"</f>
        <v>Software Design and Development Software Consulting services Web Design, Web Programming, E-commerce and Mobile application development Enterprise Resource Planning Software Implementation</v>
      </c>
      <c r="D5187" s="3" t="s">
        <v>15386</v>
      </c>
      <c r="E5187" s="3" t="s">
        <v>15387</v>
      </c>
      <c r="F5187" s="2"/>
      <c r="G5187" s="3">
        <v>541512</v>
      </c>
      <c r="H5187" s="3" t="s">
        <v>19</v>
      </c>
    </row>
    <row r="5188" spans="1:8" ht="26.25" x14ac:dyDescent="0.25">
      <c r="A5188" s="3" t="s">
        <v>15388</v>
      </c>
      <c r="B5188" s="3"/>
      <c r="C5188" s="3" t="str">
        <f>"Employment and training services"</f>
        <v>Employment and training services</v>
      </c>
      <c r="D5188" s="3" t="s">
        <v>15389</v>
      </c>
      <c r="E5188" s="3" t="s">
        <v>15390</v>
      </c>
      <c r="F5188" s="3" t="str">
        <f>"219/879-8812"</f>
        <v>219/879-8812</v>
      </c>
      <c r="G5188" s="3">
        <v>5613</v>
      </c>
      <c r="H5188" s="3" t="s">
        <v>1882</v>
      </c>
    </row>
    <row r="5189" spans="1:8" ht="51.75" x14ac:dyDescent="0.25">
      <c r="A5189" s="3" t="s">
        <v>15391</v>
      </c>
      <c r="B5189" s="3"/>
      <c r="C5189" s="3" t="str">
        <f>"A radio station playing the best mix of the 80s, 90s and today. The Mix 106.7 fm / WGLM with a hot ac format covers nine counties including the Lafayette metro area."</f>
        <v>A radio station playing the best mix of the 80s, 90s and today. The Mix 106.7 fm / WGLM with a hot ac format covers nine counties including the Lafayette metro area.</v>
      </c>
      <c r="D5189" s="3" t="s">
        <v>15392</v>
      </c>
      <c r="E5189" s="3" t="s">
        <v>46</v>
      </c>
      <c r="F5189" s="3" t="str">
        <f>"765-497-9456"</f>
        <v>765-497-9456</v>
      </c>
      <c r="G5189" s="3">
        <v>515</v>
      </c>
      <c r="H5189" s="3" t="s">
        <v>9205</v>
      </c>
    </row>
    <row r="5190" spans="1:8" ht="26.25" x14ac:dyDescent="0.25">
      <c r="A5190" s="3" t="s">
        <v>15393</v>
      </c>
      <c r="B5190" s="3"/>
      <c r="C5190" s="3" t="str">
        <f>" "</f>
        <v xml:space="preserve"> </v>
      </c>
      <c r="D5190" s="3" t="s">
        <v>9</v>
      </c>
      <c r="E5190" s="3" t="s">
        <v>46</v>
      </c>
      <c r="F5190" s="2"/>
      <c r="G5190" s="3">
        <v>453998</v>
      </c>
      <c r="H5190" s="3" t="s">
        <v>112</v>
      </c>
    </row>
    <row r="5191" spans="1:8" ht="26.25" x14ac:dyDescent="0.25">
      <c r="A5191" s="3" t="s">
        <v>15394</v>
      </c>
      <c r="B5191" s="3"/>
      <c r="C5191" s="3" t="str">
        <f>"""Complete Electric Services Since 1921"". 94 years and still growing."</f>
        <v>"Complete Electric Services Since 1921". 94 years and still growing.</v>
      </c>
      <c r="D5191" s="3" t="s">
        <v>15395</v>
      </c>
      <c r="E5191" s="3" t="s">
        <v>46</v>
      </c>
      <c r="F5191" s="3" t="str">
        <f>"800-345-2051"</f>
        <v>800-345-2051</v>
      </c>
      <c r="G5191" s="3">
        <v>238210</v>
      </c>
      <c r="H5191" s="3" t="s">
        <v>306</v>
      </c>
    </row>
    <row r="5192" spans="1:8" ht="102.75" x14ac:dyDescent="0.25">
      <c r="A5192" s="3" t="s">
        <v>15396</v>
      </c>
      <c r="B5192" s="3"/>
      <c r="C5192" s="3" t="s">
        <v>15397</v>
      </c>
      <c r="D5192" s="3" t="s">
        <v>15398</v>
      </c>
      <c r="E5192" s="3" t="s">
        <v>15399</v>
      </c>
      <c r="F5192" s="3" t="str">
        <f>"812-423-3050"</f>
        <v>812-423-3050</v>
      </c>
      <c r="G5192" s="3">
        <v>423440</v>
      </c>
      <c r="H5192" s="3" t="s">
        <v>12364</v>
      </c>
    </row>
    <row r="5193" spans="1:8" ht="217.5" x14ac:dyDescent="0.25">
      <c r="A5193" s="3" t="s">
        <v>15400</v>
      </c>
      <c r="B5193" s="3"/>
      <c r="C5193" s="3" t="s">
        <v>15401</v>
      </c>
      <c r="D5193" s="3" t="s">
        <v>9</v>
      </c>
      <c r="E5193" s="3" t="s">
        <v>15402</v>
      </c>
      <c r="F5193" s="3" t="str">
        <f>"(812) 631-3324"</f>
        <v>(812) 631-3324</v>
      </c>
      <c r="G5193" s="3">
        <v>531110</v>
      </c>
      <c r="H5193" s="3" t="s">
        <v>1311</v>
      </c>
    </row>
    <row r="5194" spans="1:8" ht="51.75" x14ac:dyDescent="0.25">
      <c r="A5194" s="3" t="s">
        <v>15403</v>
      </c>
      <c r="B5194" s="3"/>
      <c r="C5194" s="3" t="str">
        <f>"We provide caulking on new projects as well as the restoration of the old. We also sell and install aluminum doors, framing and glass."</f>
        <v>We provide caulking on new projects as well as the restoration of the old. We also sell and install aluminum doors, framing and glass.</v>
      </c>
      <c r="D5194" s="3" t="s">
        <v>9</v>
      </c>
      <c r="E5194" s="3" t="s">
        <v>15404</v>
      </c>
      <c r="F5194" s="3" t="str">
        <f>"317-847-3534"</f>
        <v>317-847-3534</v>
      </c>
      <c r="G5194" s="3">
        <v>238390</v>
      </c>
      <c r="H5194" s="3" t="s">
        <v>2109</v>
      </c>
    </row>
    <row r="5195" spans="1:8" ht="26.25" x14ac:dyDescent="0.25">
      <c r="A5195" s="3" t="s">
        <v>15405</v>
      </c>
      <c r="B5195" s="3"/>
      <c r="C5195" s="3" t="str">
        <f>"Providing Photography Services"</f>
        <v>Providing Photography Services</v>
      </c>
      <c r="D5195" s="3" t="s">
        <v>9</v>
      </c>
      <c r="E5195" s="3" t="s">
        <v>15406</v>
      </c>
      <c r="F5195" s="3" t="str">
        <f>"317-299-0740"</f>
        <v>317-299-0740</v>
      </c>
      <c r="G5195" s="3">
        <v>54192</v>
      </c>
      <c r="H5195" s="3" t="s">
        <v>2613</v>
      </c>
    </row>
    <row r="5196" spans="1:8" ht="51.75" x14ac:dyDescent="0.25">
      <c r="A5196" s="3" t="s">
        <v>15407</v>
      </c>
      <c r="B5196" s="3"/>
      <c r="C5196" s="3" t="str">
        <f>"Environmental laboratory facility conducting testing, research, and consulting. ISO 17025 Certified, NELAP Accredited"</f>
        <v>Environmental laboratory facility conducting testing, research, and consulting. ISO 17025 Certified, NELAP Accredited</v>
      </c>
      <c r="D5196" s="3" t="s">
        <v>15408</v>
      </c>
      <c r="E5196" s="3" t="s">
        <v>15409</v>
      </c>
      <c r="F5196" s="3" t="str">
        <f>"1-800-551-5217"</f>
        <v>1-800-551-5217</v>
      </c>
      <c r="G5196" s="3">
        <v>541380</v>
      </c>
      <c r="H5196" s="3" t="s">
        <v>226</v>
      </c>
    </row>
    <row r="5197" spans="1:8" ht="77.25" x14ac:dyDescent="0.25">
      <c r="A5197" s="3" t="s">
        <v>15410</v>
      </c>
      <c r="B5197" s="3"/>
      <c r="C5197" s="3" t="str">
        <f>"Advertising &amp; Marketing Graphic Design Radio/Television Production Corporate Video Production Web Design Direct Mail Media Buying Signs &amp; Banner Design/Production Vinyl Decals Specialities Copywriting Event Coordination"</f>
        <v>Advertising &amp; Marketing Graphic Design Radio/Television Production Corporate Video Production Web Design Direct Mail Media Buying Signs &amp; Banner Design/Production Vinyl Decals Specialities Copywriting Event Coordination</v>
      </c>
      <c r="D5197" s="3" t="s">
        <v>15411</v>
      </c>
      <c r="E5197" s="3" t="s">
        <v>15412</v>
      </c>
      <c r="F5197" s="3" t="str">
        <f>"812-299-8371"</f>
        <v>812-299-8371</v>
      </c>
      <c r="G5197" s="3">
        <v>541810</v>
      </c>
      <c r="H5197" s="3" t="s">
        <v>976</v>
      </c>
    </row>
    <row r="5198" spans="1:8" ht="268.5" x14ac:dyDescent="0.25">
      <c r="A5198" s="3" t="s">
        <v>15413</v>
      </c>
      <c r="B5198" s="3"/>
      <c r="C5198" s="3" t="s">
        <v>15414</v>
      </c>
      <c r="D5198" s="3" t="s">
        <v>9088</v>
      </c>
      <c r="E5198" s="3" t="s">
        <v>46</v>
      </c>
      <c r="F5198" s="3" t="str">
        <f>"317-966-2816"</f>
        <v>317-966-2816</v>
      </c>
      <c r="G5198" s="3">
        <v>621330</v>
      </c>
      <c r="H5198" s="3" t="s">
        <v>2643</v>
      </c>
    </row>
    <row r="5199" spans="1:8" ht="26.25" x14ac:dyDescent="0.25">
      <c r="A5199" s="3" t="s">
        <v>15415</v>
      </c>
      <c r="B5199" s="3"/>
      <c r="C5199" s="3" t="str">
        <f>"Images for documentation, marketing, advertisements, brochures and events."</f>
        <v>Images for documentation, marketing, advertisements, brochures and events.</v>
      </c>
      <c r="D5199" s="3" t="s">
        <v>9</v>
      </c>
      <c r="E5199" s="3" t="s">
        <v>15416</v>
      </c>
      <c r="F5199" s="3" t="str">
        <f>"317-834-1142"</f>
        <v>317-834-1142</v>
      </c>
      <c r="G5199" s="3">
        <v>54192</v>
      </c>
      <c r="H5199" s="3" t="s">
        <v>2613</v>
      </c>
    </row>
    <row r="5200" spans="1:8" ht="51.75" x14ac:dyDescent="0.25">
      <c r="A5200" s="3" t="s">
        <v>15417</v>
      </c>
      <c r="B5200" s="3"/>
      <c r="C5200" s="3" t="str">
        <f>"Woman owned business providing a variety of financial and operational improvement consulting, with an emphasis on mailing and fulfillment activities."</f>
        <v>Woman owned business providing a variety of financial and operational improvement consulting, with an emphasis on mailing and fulfillment activities.</v>
      </c>
      <c r="D5200" s="3" t="s">
        <v>9</v>
      </c>
      <c r="E5200" s="3" t="s">
        <v>15418</v>
      </c>
      <c r="F5200" s="3" t="str">
        <f>"317/842-9234"</f>
        <v>317/842-9234</v>
      </c>
      <c r="G5200" s="3">
        <v>541611</v>
      </c>
      <c r="H5200" s="3" t="s">
        <v>278</v>
      </c>
    </row>
    <row r="5201" spans="1:8" ht="90" x14ac:dyDescent="0.25">
      <c r="A5201" s="3" t="s">
        <v>15419</v>
      </c>
      <c r="B5201" s="3"/>
      <c r="C5201" s="3" t="str">
        <f>"Implementation assistance with Microsoft Great Plains. Implementation assistance with PeopleSoft and J.D. Edwards (JDE). Accounting systems. Cost accounting. Manufacturing accounting. ERP. Business Process Improvement, including Lean Manufacturing."</f>
        <v>Implementation assistance with Microsoft Great Plains. Implementation assistance with PeopleSoft and J.D. Edwards (JDE). Accounting systems. Cost accounting. Manufacturing accounting. ERP. Business Process Improvement, including Lean Manufacturing.</v>
      </c>
      <c r="D5201" s="3" t="s">
        <v>9</v>
      </c>
      <c r="E5201" s="3" t="s">
        <v>46</v>
      </c>
      <c r="F5201" s="2"/>
      <c r="G5201" s="3">
        <v>541519</v>
      </c>
      <c r="H5201" s="3" t="s">
        <v>898</v>
      </c>
    </row>
    <row r="5202" spans="1:8" ht="64.5" x14ac:dyDescent="0.25">
      <c r="A5202" s="3" t="s">
        <v>15420</v>
      </c>
      <c r="B5202" s="3"/>
      <c r="C5202" s="3" t="str">
        <f>"We are a complete catering business. We can accommodate any large business function, beautiful wedding receptions, to small private events. Use our venue or we cater off site. Also offer vending services."</f>
        <v>We are a complete catering business. We can accommodate any large business function, beautiful wedding receptions, to small private events. Use our venue or we cater off site. Also offer vending services.</v>
      </c>
      <c r="D5202" s="3" t="s">
        <v>9</v>
      </c>
      <c r="E5202" s="3" t="s">
        <v>15421</v>
      </c>
      <c r="F5202" s="3" t="str">
        <f>"260-565-3400"</f>
        <v>260-565-3400</v>
      </c>
      <c r="G5202" s="3">
        <v>454210</v>
      </c>
      <c r="H5202" s="3" t="s">
        <v>2889</v>
      </c>
    </row>
    <row r="5203" spans="1:8" ht="26.25" x14ac:dyDescent="0.25">
      <c r="A5203" s="3" t="s">
        <v>15422</v>
      </c>
      <c r="B5203" s="3"/>
      <c r="C5203" s="3" t="str">
        <f>"Wholesale sales of gift shop items."</f>
        <v>Wholesale sales of gift shop items.</v>
      </c>
      <c r="D5203" s="3" t="s">
        <v>9</v>
      </c>
      <c r="E5203" s="3" t="s">
        <v>15423</v>
      </c>
      <c r="F5203" s="3" t="str">
        <f>"317 485-6558"</f>
        <v>317 485-6558</v>
      </c>
      <c r="G5203" s="3">
        <v>424990</v>
      </c>
      <c r="H5203" s="3" t="s">
        <v>1019</v>
      </c>
    </row>
    <row r="5204" spans="1:8" ht="26.25" x14ac:dyDescent="0.25">
      <c r="A5204" s="3" t="s">
        <v>15424</v>
      </c>
      <c r="B5204" s="3"/>
      <c r="C5204" s="3" t="str">
        <f>"Law practice"</f>
        <v>Law practice</v>
      </c>
      <c r="D5204" s="3" t="s">
        <v>15425</v>
      </c>
      <c r="E5204" s="3" t="s">
        <v>15426</v>
      </c>
      <c r="F5204" s="3" t="str">
        <f>"219-764-0434"</f>
        <v>219-764-0434</v>
      </c>
      <c r="G5204" s="3">
        <v>541110</v>
      </c>
      <c r="H5204" s="3" t="s">
        <v>2978</v>
      </c>
    </row>
    <row r="5205" spans="1:8" ht="26.25" x14ac:dyDescent="0.25">
      <c r="A5205" s="3" t="s">
        <v>15427</v>
      </c>
      <c r="B5205" s="3"/>
      <c r="C5205" s="3" t="str">
        <f>"Kares, Inc. provide a service of painting and installetion of wallcoverings"</f>
        <v>Kares, Inc. provide a service of painting and installetion of wallcoverings</v>
      </c>
      <c r="D5205" s="3" t="s">
        <v>9</v>
      </c>
      <c r="E5205" s="3" t="s">
        <v>15428</v>
      </c>
      <c r="F5205" s="3" t="str">
        <f>"812 9631144"</f>
        <v>812 9631144</v>
      </c>
      <c r="G5205" s="3">
        <v>23832</v>
      </c>
      <c r="H5205" s="3" t="s">
        <v>462</v>
      </c>
    </row>
    <row r="5206" spans="1:8" ht="319.5" x14ac:dyDescent="0.25">
      <c r="A5206" s="3" t="s">
        <v>15429</v>
      </c>
      <c r="B5206" s="3"/>
      <c r="C5206" s="3" t="s">
        <v>15430</v>
      </c>
      <c r="D5206" s="3" t="s">
        <v>15431</v>
      </c>
      <c r="E5206" s="3" t="s">
        <v>15432</v>
      </c>
      <c r="F5206" s="3" t="str">
        <f>"(219) 616-7147"</f>
        <v>(219) 616-7147</v>
      </c>
      <c r="G5206" s="3">
        <v>54161</v>
      </c>
      <c r="H5206" s="3" t="s">
        <v>1221</v>
      </c>
    </row>
    <row r="5207" spans="1:8" ht="26.25" x14ac:dyDescent="0.25">
      <c r="A5207" s="3" t="s">
        <v>15433</v>
      </c>
      <c r="B5207" s="3"/>
      <c r="C5207" s="3" t="str">
        <f>"Charter, Motocoach, Transit, Shuttle, and Limo Ground Transportation."</f>
        <v>Charter, Motocoach, Transit, Shuttle, and Limo Ground Transportation.</v>
      </c>
      <c r="D5207" s="3" t="s">
        <v>15434</v>
      </c>
      <c r="E5207" s="3" t="s">
        <v>15435</v>
      </c>
      <c r="F5207" s="3" t="str">
        <f>"574-257-8540"</f>
        <v>574-257-8540</v>
      </c>
      <c r="G5207" s="3">
        <v>485510</v>
      </c>
      <c r="H5207" s="3" t="s">
        <v>8779</v>
      </c>
    </row>
    <row r="5208" spans="1:8" ht="128.25" x14ac:dyDescent="0.25">
      <c r="A5208" s="3" t="s">
        <v>15436</v>
      </c>
      <c r="B5208" s="3"/>
      <c r="C5208" s="3" t="s">
        <v>15437</v>
      </c>
      <c r="D5208" s="3" t="s">
        <v>15438</v>
      </c>
      <c r="E5208" s="3" t="s">
        <v>15439</v>
      </c>
      <c r="F5208" s="3" t="str">
        <f>"513-777-7967"</f>
        <v>513-777-7967</v>
      </c>
      <c r="G5208" s="3">
        <v>451110</v>
      </c>
      <c r="H5208" s="3" t="s">
        <v>3110</v>
      </c>
    </row>
    <row r="5209" spans="1:8" ht="26.25" x14ac:dyDescent="0.25">
      <c r="A5209" s="3" t="s">
        <v>15440</v>
      </c>
      <c r="B5209" s="3"/>
      <c r="C5209" s="2"/>
      <c r="D5209" s="3" t="s">
        <v>15441</v>
      </c>
      <c r="E5209" s="3" t="s">
        <v>15442</v>
      </c>
      <c r="F5209" s="3" t="str">
        <f>"260-824-2121"</f>
        <v>260-824-2121</v>
      </c>
      <c r="G5209" s="3">
        <v>812321</v>
      </c>
      <c r="H5209" s="3" t="s">
        <v>15443</v>
      </c>
    </row>
    <row r="5210" spans="1:8" ht="141" x14ac:dyDescent="0.25">
      <c r="A5210" s="3" t="s">
        <v>15444</v>
      </c>
      <c r="B5210" s="3"/>
      <c r="C5210" s="3" t="s">
        <v>15445</v>
      </c>
      <c r="D5210" s="3" t="s">
        <v>15446</v>
      </c>
      <c r="E5210" s="3" t="s">
        <v>46</v>
      </c>
      <c r="F5210" s="3" t="str">
        <f>"3177836500"</f>
        <v>3177836500</v>
      </c>
      <c r="G5210" s="3">
        <v>424950</v>
      </c>
      <c r="H5210" s="3" t="s">
        <v>7232</v>
      </c>
    </row>
    <row r="5211" spans="1:8" ht="128.25" x14ac:dyDescent="0.25">
      <c r="A5211" s="3" t="s">
        <v>15447</v>
      </c>
      <c r="B5211" s="3"/>
      <c r="C5211" s="3" t="s">
        <v>15448</v>
      </c>
      <c r="D5211" s="3" t="s">
        <v>15449</v>
      </c>
      <c r="E5211" s="3" t="s">
        <v>15450</v>
      </c>
      <c r="F5211" s="3" t="str">
        <f>"219 765 9336"</f>
        <v>219 765 9336</v>
      </c>
      <c r="G5211" s="3">
        <v>541613</v>
      </c>
      <c r="H5211" s="3" t="s">
        <v>558</v>
      </c>
    </row>
    <row r="5212" spans="1:8" ht="166.5" x14ac:dyDescent="0.25">
      <c r="A5212" s="3" t="s">
        <v>15451</v>
      </c>
      <c r="B5212" s="3"/>
      <c r="C5212" s="3" t="s">
        <v>15452</v>
      </c>
      <c r="D5212" s="3" t="s">
        <v>15453</v>
      </c>
      <c r="E5212" s="3" t="s">
        <v>15454</v>
      </c>
      <c r="F5212" s="3" t="str">
        <f>"812-626-0556"</f>
        <v>812-626-0556</v>
      </c>
      <c r="G5212" s="3">
        <v>541910</v>
      </c>
      <c r="H5212" s="3" t="s">
        <v>510</v>
      </c>
    </row>
    <row r="5213" spans="1:8" ht="51.75" x14ac:dyDescent="0.25">
      <c r="A5213" s="3" t="s">
        <v>15455</v>
      </c>
      <c r="B5213" s="3"/>
      <c r="C5213" s="3" t="str">
        <f>"Stratman Trucking's contracts consist of road construction and general construction hauling (dirt,rock,sand,asphalt, gravel,concrete)."</f>
        <v>Stratman Trucking's contracts consist of road construction and general construction hauling (dirt,rock,sand,asphalt, gravel,concrete).</v>
      </c>
      <c r="D5213" s="3" t="s">
        <v>9</v>
      </c>
      <c r="E5213" s="3" t="s">
        <v>15456</v>
      </c>
      <c r="F5213" s="3" t="str">
        <f>"812 9833481"</f>
        <v>812 9833481</v>
      </c>
      <c r="G5213" s="3">
        <v>484</v>
      </c>
      <c r="H5213" s="3" t="s">
        <v>3647</v>
      </c>
    </row>
    <row r="5214" spans="1:8" ht="51.75" x14ac:dyDescent="0.25">
      <c r="A5214" s="3" t="s">
        <v>15457</v>
      </c>
      <c r="B5214" s="3"/>
      <c r="C5214" s="3" t="str">
        <f>"A general practice law firm focusing on real estate, eminent domain, business creation, family law, wills and trusts and personal injury."</f>
        <v>A general practice law firm focusing on real estate, eminent domain, business creation, family law, wills and trusts and personal injury.</v>
      </c>
      <c r="D5214" s="3" t="s">
        <v>15458</v>
      </c>
      <c r="E5214" s="3" t="s">
        <v>15459</v>
      </c>
      <c r="F5214" s="3" t="str">
        <f>"317-721-5290"</f>
        <v>317-721-5290</v>
      </c>
      <c r="G5214" s="3">
        <v>541110</v>
      </c>
      <c r="H5214" s="3" t="s">
        <v>2978</v>
      </c>
    </row>
    <row r="5215" spans="1:8" ht="26.25" x14ac:dyDescent="0.25">
      <c r="A5215" s="3" t="s">
        <v>15460</v>
      </c>
      <c r="B5215" s="3"/>
      <c r="C5215" s="3" t="str">
        <f>"Caretaker Facility Maintenance -providing maintenance"</f>
        <v>Caretaker Facility Maintenance -providing maintenance</v>
      </c>
      <c r="D5215" s="3" t="s">
        <v>9</v>
      </c>
      <c r="E5215" s="3" t="s">
        <v>46</v>
      </c>
      <c r="F5215" s="2"/>
      <c r="G5215" s="3">
        <v>56173</v>
      </c>
      <c r="H5215" s="3" t="s">
        <v>65</v>
      </c>
    </row>
    <row r="5216" spans="1:8" ht="26.25" x14ac:dyDescent="0.25">
      <c r="A5216" s="3" t="s">
        <v>15461</v>
      </c>
      <c r="B5216" s="3"/>
      <c r="C5216" s="3" t="str">
        <f>"Education, Training and Consulting in Mental Health Care, including auditing"</f>
        <v>Education, Training and Consulting in Mental Health Care, including auditing</v>
      </c>
      <c r="D5216" s="3" t="s">
        <v>15462</v>
      </c>
      <c r="E5216" s="3" t="s">
        <v>15463</v>
      </c>
      <c r="F5216" s="3" t="str">
        <f>"317 951-1425"</f>
        <v>317 951-1425</v>
      </c>
      <c r="G5216" s="3">
        <v>611430</v>
      </c>
      <c r="H5216" s="3" t="s">
        <v>1224</v>
      </c>
    </row>
    <row r="5217" spans="1:8" ht="64.5" x14ac:dyDescent="0.25">
      <c r="A5217" s="3" t="s">
        <v>15464</v>
      </c>
      <c r="B5217" s="3"/>
      <c r="C5217" s="3" t="str">
        <f>"Cafe, catering and candy making. We provide chocolate fountain service, make custom gourmet chocolates, cater to small and medium size groups, provide cafe breakfast and lunch and carry out service."</f>
        <v>Cafe, catering and candy making. We provide chocolate fountain service, make custom gourmet chocolates, cater to small and medium size groups, provide cafe breakfast and lunch and carry out service.</v>
      </c>
      <c r="D5217" s="3" t="s">
        <v>15465</v>
      </c>
      <c r="E5217" s="3" t="s">
        <v>15466</v>
      </c>
      <c r="F5217" s="3" t="str">
        <f>"317-865-0408"</f>
        <v>317-865-0408</v>
      </c>
      <c r="G5217" s="3">
        <v>722211</v>
      </c>
      <c r="H5217" s="3" t="s">
        <v>527</v>
      </c>
    </row>
    <row r="5218" spans="1:8" ht="281.25" x14ac:dyDescent="0.25">
      <c r="A5218" s="3" t="s">
        <v>15467</v>
      </c>
      <c r="B5218" s="3"/>
      <c r="C5218" s="3" t="s">
        <v>15468</v>
      </c>
      <c r="D5218" s="3" t="s">
        <v>15469</v>
      </c>
      <c r="E5218" s="3" t="s">
        <v>15470</v>
      </c>
      <c r="F5218" s="3" t="str">
        <f>"317-502-5807"</f>
        <v>317-502-5807</v>
      </c>
      <c r="G5218" s="3">
        <v>111</v>
      </c>
      <c r="H5218" s="3" t="s">
        <v>6077</v>
      </c>
    </row>
    <row r="5219" spans="1:8" ht="102.75" x14ac:dyDescent="0.25">
      <c r="A5219" s="3" t="s">
        <v>15471</v>
      </c>
      <c r="B5219" s="3"/>
      <c r="C5219" s="3" t="s">
        <v>15472</v>
      </c>
      <c r="D5219" s="3" t="s">
        <v>15473</v>
      </c>
      <c r="E5219" s="3" t="s">
        <v>15474</v>
      </c>
      <c r="F5219" s="3" t="str">
        <f>"(317) 750-1443"</f>
        <v>(317) 750-1443</v>
      </c>
      <c r="G5219" s="3">
        <v>541219</v>
      </c>
      <c r="H5219" s="3" t="s">
        <v>2010</v>
      </c>
    </row>
    <row r="5220" spans="1:8" ht="64.5" x14ac:dyDescent="0.25">
      <c r="A5220" s="3" t="s">
        <v>15475</v>
      </c>
      <c r="B5220" s="3"/>
      <c r="C5220" s="3" t="str">
        <f>"I am a commercial/residential painting contractor. 100% woman owned, professional, fast, reliable, with over 50 years experience. I do interior/exterior painting ,powerwashing and seal coatings."</f>
        <v>I am a commercial/residential painting contractor. 100% woman owned, professional, fast, reliable, with over 50 years experience. I do interior/exterior painting ,powerwashing and seal coatings.</v>
      </c>
      <c r="D5220" s="3" t="s">
        <v>9</v>
      </c>
      <c r="E5220" s="3" t="s">
        <v>15476</v>
      </c>
      <c r="F5220" s="3" t="str">
        <f>"812-603-0207"</f>
        <v>812-603-0207</v>
      </c>
      <c r="G5220" s="3">
        <v>2352</v>
      </c>
      <c r="H5220" s="3" t="s">
        <v>462</v>
      </c>
    </row>
    <row r="5221" spans="1:8" ht="102.75" x14ac:dyDescent="0.25">
      <c r="A5221" s="3" t="s">
        <v>15477</v>
      </c>
      <c r="B5221" s="3"/>
      <c r="C5221" s="3" t="s">
        <v>15478</v>
      </c>
      <c r="D5221" s="3" t="s">
        <v>15479</v>
      </c>
      <c r="E5221" s="3" t="s">
        <v>15480</v>
      </c>
      <c r="F5221" s="3" t="str">
        <f>"765-644-3712"</f>
        <v>765-644-3712</v>
      </c>
      <c r="G5221" s="3">
        <v>541310</v>
      </c>
      <c r="H5221" s="3" t="s">
        <v>446</v>
      </c>
    </row>
    <row r="5222" spans="1:8" ht="26.25" x14ac:dyDescent="0.25">
      <c r="A5222" s="3" t="s">
        <v>15481</v>
      </c>
      <c r="B5222" s="3"/>
      <c r="C5222" s="3" t="str">
        <f>"Architectural Firm with experience in housing, commercial, public work."</f>
        <v>Architectural Firm with experience in housing, commercial, public work.</v>
      </c>
      <c r="D5222" s="3" t="s">
        <v>9</v>
      </c>
      <c r="E5222" s="3" t="s">
        <v>15482</v>
      </c>
      <c r="F5222" s="3" t="str">
        <f>"765-644-3712"</f>
        <v>765-644-3712</v>
      </c>
      <c r="G5222" s="3">
        <v>541310</v>
      </c>
      <c r="H5222" s="3" t="s">
        <v>446</v>
      </c>
    </row>
    <row r="5223" spans="1:8" ht="51.75" x14ac:dyDescent="0.25">
      <c r="A5223" s="3" t="s">
        <v>15483</v>
      </c>
      <c r="B5223" s="3"/>
      <c r="C5223" s="3" t="str">
        <f>"I do mailers for companies, I also make business ads, postcards and more. I do the printing of the flyers to the stuffing and sealing of the envelopes"</f>
        <v>I do mailers for companies, I also make business ads, postcards and more. I do the printing of the flyers to the stuffing and sealing of the envelopes</v>
      </c>
      <c r="D5223" s="3" t="s">
        <v>15484</v>
      </c>
      <c r="E5223" s="3" t="s">
        <v>15485</v>
      </c>
      <c r="F5223" s="3" t="str">
        <f>"317-486-0667"</f>
        <v>317-486-0667</v>
      </c>
      <c r="G5223" s="3">
        <v>541860</v>
      </c>
      <c r="H5223" s="3" t="s">
        <v>566</v>
      </c>
    </row>
    <row r="5224" spans="1:8" ht="51.75" x14ac:dyDescent="0.25">
      <c r="A5224" s="3" t="s">
        <v>15486</v>
      </c>
      <c r="B5224" s="3"/>
      <c r="C5224" s="3" t="str">
        <f>"Provides Speech and Language evaluation and therapy to deaf and hard of hearing students from all parts of the State of Indiana."</f>
        <v>Provides Speech and Language evaluation and therapy to deaf and hard of hearing students from all parts of the State of Indiana.</v>
      </c>
      <c r="D5224" s="3" t="s">
        <v>9</v>
      </c>
      <c r="E5224" s="3" t="s">
        <v>15487</v>
      </c>
      <c r="F5224" s="3" t="str">
        <f>"317-295-0037"</f>
        <v>317-295-0037</v>
      </c>
      <c r="G5224" s="3">
        <v>621340</v>
      </c>
      <c r="H5224" s="3" t="s">
        <v>987</v>
      </c>
    </row>
    <row r="5225" spans="1:8" ht="153.75" x14ac:dyDescent="0.25">
      <c r="A5225" s="3" t="s">
        <v>15488</v>
      </c>
      <c r="B5225" s="3"/>
      <c r="C5225" s="3" t="s">
        <v>15489</v>
      </c>
      <c r="D5225" s="3" t="s">
        <v>15490</v>
      </c>
      <c r="E5225" s="3" t="s">
        <v>46</v>
      </c>
      <c r="F5225" s="3" t="str">
        <f>"317-580-2000"</f>
        <v>317-580-2000</v>
      </c>
      <c r="G5225" s="3">
        <v>541219</v>
      </c>
      <c r="H5225" s="3" t="s">
        <v>2010</v>
      </c>
    </row>
    <row r="5226" spans="1:8" ht="51.75" x14ac:dyDescent="0.25">
      <c r="A5226" s="3" t="s">
        <v>15491</v>
      </c>
      <c r="B5226" s="3"/>
      <c r="C5226" s="3" t="str">
        <f>"Retail establishments in Goshen and Mishawaka, Indiana, selling and servicing lawn, garden, commercial and skid steer equipment."</f>
        <v>Retail establishments in Goshen and Mishawaka, Indiana, selling and servicing lawn, garden, commercial and skid steer equipment.</v>
      </c>
      <c r="D5226" s="3" t="s">
        <v>15492</v>
      </c>
      <c r="E5226" s="3" t="s">
        <v>15493</v>
      </c>
      <c r="F5226" s="3" t="str">
        <f>"574-533-5093"</f>
        <v>574-533-5093</v>
      </c>
      <c r="G5226" s="3">
        <v>4442</v>
      </c>
      <c r="H5226" s="3" t="s">
        <v>852</v>
      </c>
    </row>
    <row r="5227" spans="1:8" ht="26.25" x14ac:dyDescent="0.25">
      <c r="A5227" s="3" t="s">
        <v>15494</v>
      </c>
      <c r="B5227" s="3"/>
      <c r="C5227" s="3" t="str">
        <f>"supplier of commercial laundry &amp; dry cleaning equipment, parts &amp; supplies"</f>
        <v>supplier of commercial laundry &amp; dry cleaning equipment, parts &amp; supplies</v>
      </c>
      <c r="D5227" s="3" t="s">
        <v>15495</v>
      </c>
      <c r="E5227" s="3" t="s">
        <v>15496</v>
      </c>
      <c r="F5227" s="3" t="str">
        <f>"800-552-2037"</f>
        <v>800-552-2037</v>
      </c>
      <c r="G5227" s="3">
        <v>42</v>
      </c>
      <c r="H5227" s="3" t="s">
        <v>674</v>
      </c>
    </row>
    <row r="5228" spans="1:8" ht="26.25" x14ac:dyDescent="0.25">
      <c r="A5228" s="3" t="s">
        <v>15497</v>
      </c>
      <c r="B5228" s="3"/>
      <c r="C5228" s="3" t="str">
        <f>"Airfare, Hotels, Resorts, Condos, Car Rentals, Cruises, &amp; Vacation Packages"</f>
        <v>Airfare, Hotels, Resorts, Condos, Car Rentals, Cruises, &amp; Vacation Packages</v>
      </c>
      <c r="D5228" s="3" t="s">
        <v>15498</v>
      </c>
      <c r="E5228" s="3" t="s">
        <v>15499</v>
      </c>
      <c r="F5228" s="3" t="str">
        <f>"888-282-2707"</f>
        <v>888-282-2707</v>
      </c>
      <c r="G5228" s="3">
        <v>561510</v>
      </c>
      <c r="H5228" s="3" t="s">
        <v>288</v>
      </c>
    </row>
    <row r="5229" spans="1:8" ht="39" x14ac:dyDescent="0.25">
      <c r="A5229" s="3" t="s">
        <v>15500</v>
      </c>
      <c r="B5229" s="3"/>
      <c r="C5229" s="3" t="str">
        <f>"Wholesaler of green products construction related products and green coating strippers and blasting materials."</f>
        <v>Wholesaler of green products construction related products and green coating strippers and blasting materials.</v>
      </c>
      <c r="D5229" s="3" t="s">
        <v>9</v>
      </c>
      <c r="E5229" s="3" t="s">
        <v>15501</v>
      </c>
      <c r="F5229" s="3" t="str">
        <f>"317-777-0865"</f>
        <v>317-777-0865</v>
      </c>
      <c r="G5229" s="3">
        <v>238</v>
      </c>
      <c r="H5229" s="3" t="s">
        <v>397</v>
      </c>
    </row>
    <row r="5230" spans="1:8" ht="64.5" x14ac:dyDescent="0.25">
      <c r="A5230" s="3" t="s">
        <v>15502</v>
      </c>
      <c r="B5230" s="3"/>
      <c r="C5230" s="3" t="str">
        <f>"Keener Corporation is a primary manufacturer of prefabricated parts, containers storage devices and rack storage and shipping systems. We currently supply such systems to the auto industry."</f>
        <v>Keener Corporation is a primary manufacturer of prefabricated parts, containers storage devices and rack storage and shipping systems. We currently supply such systems to the auto industry.</v>
      </c>
      <c r="D5230" s="3" t="s">
        <v>15503</v>
      </c>
      <c r="E5230" s="3" t="s">
        <v>15504</v>
      </c>
      <c r="F5230" s="3" t="str">
        <f>"765-825-7150"</f>
        <v>765-825-7150</v>
      </c>
      <c r="G5230" s="3">
        <v>332313</v>
      </c>
      <c r="H5230" s="3" t="s">
        <v>11044</v>
      </c>
    </row>
    <row r="5231" spans="1:8" ht="306.75" x14ac:dyDescent="0.25">
      <c r="A5231" s="3" t="s">
        <v>15505</v>
      </c>
      <c r="B5231" s="3"/>
      <c r="C5231" s="3" t="s">
        <v>15506</v>
      </c>
      <c r="D5231" s="3" t="s">
        <v>15507</v>
      </c>
      <c r="E5231" s="3" t="s">
        <v>15508</v>
      </c>
      <c r="F5231" s="3" t="str">
        <f>"1-877-99THREADS"</f>
        <v>1-877-99THREADS</v>
      </c>
      <c r="G5231" s="3">
        <v>421</v>
      </c>
      <c r="H5231" s="3" t="s">
        <v>3013</v>
      </c>
    </row>
    <row r="5232" spans="1:8" ht="39" x14ac:dyDescent="0.25">
      <c r="A5232" s="3" t="s">
        <v>15509</v>
      </c>
      <c r="B5232" s="3"/>
      <c r="C5232" s="3" t="str">
        <f>"We build custom inground pools and decorative patios. Stamped stained and stenciled patios. Also, build waterfountains."</f>
        <v>We build custom inground pools and decorative patios. Stamped stained and stenciled patios. Also, build waterfountains.</v>
      </c>
      <c r="D5232" s="3" t="s">
        <v>9</v>
      </c>
      <c r="E5232" s="3" t="s">
        <v>46</v>
      </c>
      <c r="F5232" s="3" t="str">
        <f>"317-823-1159"</f>
        <v>317-823-1159</v>
      </c>
      <c r="G5232" s="3">
        <v>2359</v>
      </c>
      <c r="H5232" s="3" t="s">
        <v>631</v>
      </c>
    </row>
    <row r="5233" spans="1:8" ht="51.75" x14ac:dyDescent="0.25">
      <c r="A5233" s="3" t="s">
        <v>15510</v>
      </c>
      <c r="B5233" s="3"/>
      <c r="C5233" s="3" t="str">
        <f>"Electrical contracting service performing all phases of electrical installation, repair, and maintenance : commercial, residential, industrial."</f>
        <v>Electrical contracting service performing all phases of electrical installation, repair, and maintenance : commercial, residential, industrial.</v>
      </c>
      <c r="D5233" s="3" t="s">
        <v>9</v>
      </c>
      <c r="E5233" s="3" t="s">
        <v>15511</v>
      </c>
      <c r="F5233" s="3" t="str">
        <f>"(765) 621-8986"</f>
        <v>(765) 621-8986</v>
      </c>
      <c r="G5233" s="3">
        <v>2353</v>
      </c>
      <c r="H5233" s="3" t="s">
        <v>306</v>
      </c>
    </row>
    <row r="5234" spans="1:8" ht="39" x14ac:dyDescent="0.25">
      <c r="A5234" s="3" t="s">
        <v>15512</v>
      </c>
      <c r="B5234" s="3"/>
      <c r="C5234" s="3" t="str">
        <f>"Ad Specialty Distributor - screen printing and embroidery of items and clothing. Promotional Items"</f>
        <v>Ad Specialty Distributor - screen printing and embroidery of items and clothing. Promotional Items</v>
      </c>
      <c r="D5234" s="3" t="s">
        <v>9</v>
      </c>
      <c r="E5234" s="3" t="s">
        <v>15513</v>
      </c>
      <c r="F5234" s="3" t="str">
        <f>"317-896-9619"</f>
        <v>317-896-9619</v>
      </c>
      <c r="G5234" s="3">
        <v>323113</v>
      </c>
      <c r="H5234" s="3" t="s">
        <v>1606</v>
      </c>
    </row>
    <row r="5235" spans="1:8" ht="26.25" x14ac:dyDescent="0.25">
      <c r="A5235" s="3" t="s">
        <v>15514</v>
      </c>
      <c r="B5235" s="3"/>
      <c r="C5235" s="3" t="str">
        <f>"actuarial consulting services, primarily in the health area"</f>
        <v>actuarial consulting services, primarily in the health area</v>
      </c>
      <c r="D5235" s="3" t="s">
        <v>9</v>
      </c>
      <c r="E5235" s="3" t="s">
        <v>15515</v>
      </c>
      <c r="F5235" s="3" t="str">
        <f>"502-339-9311"</f>
        <v>502-339-9311</v>
      </c>
      <c r="G5235" s="3">
        <v>541</v>
      </c>
      <c r="H5235" s="3" t="s">
        <v>179</v>
      </c>
    </row>
    <row r="5236" spans="1:8" ht="141" x14ac:dyDescent="0.25">
      <c r="A5236" s="3" t="s">
        <v>15516</v>
      </c>
      <c r="B5236" s="3"/>
      <c r="C5236" s="3" t="s">
        <v>15517</v>
      </c>
      <c r="D5236" s="3" t="s">
        <v>15518</v>
      </c>
      <c r="E5236" s="3" t="s">
        <v>15519</v>
      </c>
      <c r="F5236" s="3" t="str">
        <f>"3177537047"</f>
        <v>3177537047</v>
      </c>
      <c r="G5236" s="3">
        <v>54151</v>
      </c>
      <c r="H5236" s="3" t="s">
        <v>188</v>
      </c>
    </row>
    <row r="5237" spans="1:8" ht="39" x14ac:dyDescent="0.25">
      <c r="A5237" s="3" t="s">
        <v>15520</v>
      </c>
      <c r="B5237" s="3"/>
      <c r="C5237" s="3" t="str">
        <f>"Machine shop work. Build &amp; repair injection molds, gages, &amp; fixtures. Injection molding, precision machining."</f>
        <v>Machine shop work. Build &amp; repair injection molds, gages, &amp; fixtures. Injection molding, precision machining.</v>
      </c>
      <c r="D5237" s="3" t="s">
        <v>9</v>
      </c>
      <c r="E5237" s="3" t="s">
        <v>15521</v>
      </c>
      <c r="F5237" s="3" t="str">
        <f>"8122834435"</f>
        <v>8122834435</v>
      </c>
      <c r="G5237" s="3">
        <v>332710</v>
      </c>
      <c r="H5237" s="3" t="s">
        <v>387</v>
      </c>
    </row>
    <row r="5238" spans="1:8" ht="51.75" x14ac:dyDescent="0.25">
      <c r="A5238" s="3" t="s">
        <v>15522</v>
      </c>
      <c r="B5238" s="3"/>
      <c r="C5238" s="3" t="str">
        <f>"Marketing, Advertising and communications serives including creative development and production, media planning and buying, public relations and sales promotion."</f>
        <v>Marketing, Advertising and communications serives including creative development and production, media planning and buying, public relations and sales promotion.</v>
      </c>
      <c r="D5238" s="3" t="s">
        <v>15523</v>
      </c>
      <c r="E5238" s="3" t="s">
        <v>46</v>
      </c>
      <c r="F5238" s="3" t="str">
        <f>"812-464-2461"</f>
        <v>812-464-2461</v>
      </c>
      <c r="G5238" s="3">
        <v>541810</v>
      </c>
      <c r="H5238" s="3" t="s">
        <v>976</v>
      </c>
    </row>
    <row r="5239" spans="1:8" ht="26.25" x14ac:dyDescent="0.25">
      <c r="A5239" s="3" t="s">
        <v>15524</v>
      </c>
      <c r="B5239" s="3"/>
      <c r="C5239" s="3" t="str">
        <f>"structural and civil engineering"</f>
        <v>structural and civil engineering</v>
      </c>
      <c r="D5239" s="3" t="s">
        <v>9</v>
      </c>
      <c r="E5239" s="3" t="s">
        <v>15525</v>
      </c>
      <c r="F5239" s="3" t="str">
        <f>"574-272-3525"</f>
        <v>574-272-3525</v>
      </c>
      <c r="G5239" s="3">
        <v>54133</v>
      </c>
      <c r="H5239" s="3" t="s">
        <v>82</v>
      </c>
    </row>
    <row r="5240" spans="1:8" ht="319.5" x14ac:dyDescent="0.25">
      <c r="A5240" s="3" t="s">
        <v>15526</v>
      </c>
      <c r="B5240" s="3"/>
      <c r="C5240" s="3" t="s">
        <v>15527</v>
      </c>
      <c r="D5240" s="3" t="s">
        <v>15528</v>
      </c>
      <c r="E5240" s="3" t="s">
        <v>46</v>
      </c>
      <c r="F5240" s="3" t="str">
        <f>"812-474-6825"</f>
        <v>812-474-6825</v>
      </c>
      <c r="G5240" s="3">
        <v>5415</v>
      </c>
      <c r="H5240" s="3" t="s">
        <v>188</v>
      </c>
    </row>
    <row r="5241" spans="1:8" ht="26.25" x14ac:dyDescent="0.25">
      <c r="A5241" s="3" t="s">
        <v>15529</v>
      </c>
      <c r="B5241" s="3"/>
      <c r="C5241" s="3" t="str">
        <f>"Temporary medical staffing."</f>
        <v>Temporary medical staffing.</v>
      </c>
      <c r="D5241" s="3" t="s">
        <v>15530</v>
      </c>
      <c r="E5241" s="3" t="s">
        <v>15531</v>
      </c>
      <c r="F5241" s="3" t="str">
        <f>"708-748-3800"</f>
        <v>708-748-3800</v>
      </c>
      <c r="G5241" s="3">
        <v>56132</v>
      </c>
      <c r="H5241" s="3" t="s">
        <v>15</v>
      </c>
    </row>
    <row r="5242" spans="1:8" ht="26.25" x14ac:dyDescent="0.25">
      <c r="A5242" s="3" t="s">
        <v>15532</v>
      </c>
      <c r="B5242" s="3"/>
      <c r="C5242" s="3" t="str">
        <f>"New &amp; Used Car and Truck Automobile Dealer"</f>
        <v>New &amp; Used Car and Truck Automobile Dealer</v>
      </c>
      <c r="D5242" s="3" t="s">
        <v>7780</v>
      </c>
      <c r="E5242" s="3" t="s">
        <v>46</v>
      </c>
      <c r="F5242" s="3" t="str">
        <f>"2604845566"</f>
        <v>2604845566</v>
      </c>
      <c r="G5242" s="3">
        <v>541990</v>
      </c>
      <c r="H5242" s="3" t="s">
        <v>378</v>
      </c>
    </row>
    <row r="5243" spans="1:8" ht="153.75" x14ac:dyDescent="0.25">
      <c r="A5243" s="3" t="s">
        <v>15533</v>
      </c>
      <c r="B5243" s="3"/>
      <c r="C5243" s="3" t="s">
        <v>15534</v>
      </c>
      <c r="D5243" s="3" t="s">
        <v>15535</v>
      </c>
      <c r="E5243" s="3" t="s">
        <v>15536</v>
      </c>
      <c r="F5243" s="3" t="str">
        <f>"812-354-3726"</f>
        <v>812-354-3726</v>
      </c>
      <c r="G5243" s="3">
        <v>3255</v>
      </c>
      <c r="H5243" s="3" t="s">
        <v>15537</v>
      </c>
    </row>
    <row r="5244" spans="1:8" ht="64.5" x14ac:dyDescent="0.25">
      <c r="A5244" s="3" t="s">
        <v>15538</v>
      </c>
      <c r="B5244" s="3"/>
      <c r="C5244" s="3" t="str">
        <f>"Providing training, consultation, event planning and additional services for corrections, law enforcement, mental health and others who work in the criminal justice system."</f>
        <v>Providing training, consultation, event planning and additional services for corrections, law enforcement, mental health and others who work in the criminal justice system.</v>
      </c>
      <c r="D5244" s="3" t="s">
        <v>15539</v>
      </c>
      <c r="E5244" s="3" t="s">
        <v>15540</v>
      </c>
      <c r="F5244" s="3" t="str">
        <f>"3174592392"</f>
        <v>3174592392</v>
      </c>
      <c r="G5244" s="3">
        <v>54161</v>
      </c>
      <c r="H5244" s="3" t="s">
        <v>1221</v>
      </c>
    </row>
    <row r="5245" spans="1:8" ht="39" x14ac:dyDescent="0.25">
      <c r="A5245" s="3" t="s">
        <v>15541</v>
      </c>
      <c r="B5245" s="3"/>
      <c r="C5245" s="3" t="str">
        <f>"Advertising, Marketing, Printing, Web Design, Graphic Design, Printed Envelopes, Photography"</f>
        <v>Advertising, Marketing, Printing, Web Design, Graphic Design, Printed Envelopes, Photography</v>
      </c>
      <c r="D5245" s="3" t="s">
        <v>15542</v>
      </c>
      <c r="E5245" s="3" t="s">
        <v>15543</v>
      </c>
      <c r="F5245" s="3" t="str">
        <f>"260-426-1843"</f>
        <v>260-426-1843</v>
      </c>
      <c r="G5245" s="3">
        <v>32311</v>
      </c>
      <c r="H5245" s="3" t="s">
        <v>531</v>
      </c>
    </row>
    <row r="5246" spans="1:8" ht="166.5" x14ac:dyDescent="0.25">
      <c r="A5246" s="3" t="s">
        <v>15544</v>
      </c>
      <c r="B5246" s="3"/>
      <c r="C5246" s="3" t="s">
        <v>15545</v>
      </c>
      <c r="D5246" s="3" t="s">
        <v>15546</v>
      </c>
      <c r="E5246" s="3" t="s">
        <v>15547</v>
      </c>
      <c r="F5246" s="3" t="str">
        <f>"765-474-1800"</f>
        <v>765-474-1800</v>
      </c>
      <c r="G5246" s="3">
        <v>236210</v>
      </c>
      <c r="H5246" s="3" t="s">
        <v>1418</v>
      </c>
    </row>
    <row r="5247" spans="1:8" ht="77.25" x14ac:dyDescent="0.25">
      <c r="A5247" s="3" t="s">
        <v>15548</v>
      </c>
      <c r="B5247" s="3"/>
      <c r="C5247" s="3" t="str">
        <f>"Specializing in brand design and strategic marketing services for print and the web. Services include brand design, collateral materials, direct mail, logo design, printed marketing materials (brochures, direct mail), and website design with hosting."</f>
        <v>Specializing in brand design and strategic marketing services for print and the web. Services include brand design, collateral materials, direct mail, logo design, printed marketing materials (brochures, direct mail), and website design with hosting.</v>
      </c>
      <c r="D5247" s="3" t="s">
        <v>15549</v>
      </c>
      <c r="E5247" s="3" t="s">
        <v>15550</v>
      </c>
      <c r="F5247" s="3" t="str">
        <f>"812-369-6199"</f>
        <v>812-369-6199</v>
      </c>
      <c r="G5247" s="3">
        <v>5414</v>
      </c>
      <c r="H5247" s="3" t="s">
        <v>9276</v>
      </c>
    </row>
    <row r="5248" spans="1:8" ht="26.25" x14ac:dyDescent="0.25">
      <c r="A5248" s="3" t="s">
        <v>15551</v>
      </c>
      <c r="B5248" s="3"/>
      <c r="C5248" s="3" t="str">
        <f>"ad specialties, promotional products, apparel, screenprinting and embroidery."</f>
        <v>ad specialties, promotional products, apparel, screenprinting and embroidery.</v>
      </c>
      <c r="D5248" s="3" t="s">
        <v>15552</v>
      </c>
      <c r="E5248" s="3" t="s">
        <v>15553</v>
      </c>
      <c r="F5248" s="3" t="str">
        <f>"317-736-8206"</f>
        <v>317-736-8206</v>
      </c>
      <c r="G5248" s="3">
        <v>11</v>
      </c>
      <c r="H5248" s="3" t="s">
        <v>175</v>
      </c>
    </row>
    <row r="5249" spans="1:8" ht="51.75" x14ac:dyDescent="0.25">
      <c r="A5249" s="3" t="s">
        <v>15554</v>
      </c>
      <c r="B5249" s="3"/>
      <c r="C5249" s="3" t="str">
        <f>"We are a retail women's healthcare uniform store. We provide quality uniforms at affordable prices with superior customer service."</f>
        <v>We are a retail women's healthcare uniform store. We provide quality uniforms at affordable prices with superior customer service.</v>
      </c>
      <c r="D5249" s="3" t="s">
        <v>9</v>
      </c>
      <c r="E5249" s="3" t="s">
        <v>46</v>
      </c>
      <c r="F5249" s="2"/>
      <c r="G5249" s="3">
        <v>448190</v>
      </c>
      <c r="H5249" s="3" t="s">
        <v>12557</v>
      </c>
    </row>
    <row r="5250" spans="1:8" ht="26.25" x14ac:dyDescent="0.25">
      <c r="A5250" s="3" t="s">
        <v>15555</v>
      </c>
      <c r="B5250" s="3"/>
      <c r="C5250" s="3" t="str">
        <f>"Custom Picture Framing"</f>
        <v>Custom Picture Framing</v>
      </c>
      <c r="D5250" s="3" t="s">
        <v>15556</v>
      </c>
      <c r="E5250" s="3" t="s">
        <v>15557</v>
      </c>
      <c r="F5250" s="3" t="str">
        <f>"765-448-1821"</f>
        <v>765-448-1821</v>
      </c>
      <c r="G5250" s="3">
        <v>44</v>
      </c>
      <c r="H5250" s="3" t="s">
        <v>574</v>
      </c>
    </row>
    <row r="5251" spans="1:8" ht="115.5" x14ac:dyDescent="0.25">
      <c r="A5251" s="3" t="s">
        <v>15558</v>
      </c>
      <c r="B5251" s="3"/>
      <c r="C5251" s="3" t="s">
        <v>15559</v>
      </c>
      <c r="D5251" s="3" t="s">
        <v>15560</v>
      </c>
      <c r="E5251" s="3" t="s">
        <v>15561</v>
      </c>
      <c r="F5251" s="3" t="str">
        <f>"317-468-0730"</f>
        <v>317-468-0730</v>
      </c>
      <c r="G5251" s="3">
        <v>48899</v>
      </c>
      <c r="H5251" s="3" t="s">
        <v>15562</v>
      </c>
    </row>
    <row r="5252" spans="1:8" ht="64.5" x14ac:dyDescent="0.25">
      <c r="A5252" s="3" t="s">
        <v>15563</v>
      </c>
      <c r="B5252" s="3"/>
      <c r="C5252" s="3" t="str">
        <f>"Keltner Group has grown to become one of the largest promotional firms in Indiana, as well as the United States. We specialize in promotional items such as apparel, cups, office supplies, etc. to industrial supplies."</f>
        <v>Keltner Group has grown to become one of the largest promotional firms in Indiana, as well as the United States. We specialize in promotional items such as apparel, cups, office supplies, etc. to industrial supplies.</v>
      </c>
      <c r="D5252" s="3" t="s">
        <v>15564</v>
      </c>
      <c r="E5252" s="3" t="s">
        <v>46</v>
      </c>
      <c r="F5252" s="3" t="str">
        <f>"317-844-0510"</f>
        <v>317-844-0510</v>
      </c>
      <c r="G5252" s="3">
        <v>425120</v>
      </c>
      <c r="H5252" s="3" t="s">
        <v>58</v>
      </c>
    </row>
    <row r="5253" spans="1:8" ht="294" x14ac:dyDescent="0.25">
      <c r="A5253" s="3" t="s">
        <v>15565</v>
      </c>
      <c r="B5253" s="3"/>
      <c r="C5253" s="3" t="s">
        <v>15566</v>
      </c>
      <c r="D5253" s="3" t="s">
        <v>15567</v>
      </c>
      <c r="E5253" s="3" t="s">
        <v>15568</v>
      </c>
      <c r="F5253" s="3" t="str">
        <f>"574-389-2661"</f>
        <v>574-389-2661</v>
      </c>
      <c r="G5253" s="3">
        <v>423120</v>
      </c>
      <c r="H5253" s="3" t="s">
        <v>1033</v>
      </c>
    </row>
    <row r="5254" spans="1:8" ht="77.25" x14ac:dyDescent="0.25">
      <c r="A5254" s="3" t="s">
        <v>15569</v>
      </c>
      <c r="B5254" s="3"/>
      <c r="C5254" s="3" t="str">
        <f>"Kemery Consulting provides technical expertise for your Computer Systems and Network Systems. Trained in Cisco Systems®, RedHat® Linux and Windows®, Kemery Consulting can meet the needs of small to medium sized businesses."</f>
        <v>Kemery Consulting provides technical expertise for your Computer Systems and Network Systems. Trained in Cisco Systems®, RedHat® Linux and Windows®, Kemery Consulting can meet the needs of small to medium sized businesses.</v>
      </c>
      <c r="D5254" s="3" t="s">
        <v>15570</v>
      </c>
      <c r="E5254" s="3" t="s">
        <v>15571</v>
      </c>
      <c r="F5254" s="3" t="str">
        <f>"(317) 883-9809"</f>
        <v>(317) 883-9809</v>
      </c>
      <c r="G5254" s="3">
        <v>541512</v>
      </c>
      <c r="H5254" s="3" t="s">
        <v>19</v>
      </c>
    </row>
    <row r="5255" spans="1:8" ht="26.25" x14ac:dyDescent="0.25">
      <c r="A5255" s="3" t="s">
        <v>15572</v>
      </c>
      <c r="B5255" s="3"/>
      <c r="C5255" s="3" t="str">
        <f>"Insurance, Retirement, &amp; Estate Planning"</f>
        <v>Insurance, Retirement, &amp; Estate Planning</v>
      </c>
      <c r="D5255" s="3" t="s">
        <v>15573</v>
      </c>
      <c r="E5255" s="3" t="s">
        <v>15574</v>
      </c>
      <c r="F5255" s="3" t="str">
        <f>"812.961.3553"</f>
        <v>812.961.3553</v>
      </c>
      <c r="G5255" s="3">
        <v>524210</v>
      </c>
      <c r="H5255" s="3" t="s">
        <v>1183</v>
      </c>
    </row>
    <row r="5256" spans="1:8" ht="39" x14ac:dyDescent="0.25">
      <c r="A5256" s="3" t="s">
        <v>15575</v>
      </c>
      <c r="B5256" s="3"/>
      <c r="C5256" s="3" t="str">
        <f>"Sale and installation of flooring, including carpet, tile, luxury vinyl tile, laminate, hardwood, vinyl, cork, and more."</f>
        <v>Sale and installation of flooring, including carpet, tile, luxury vinyl tile, laminate, hardwood, vinyl, cork, and more.</v>
      </c>
      <c r="D5256" s="3" t="s">
        <v>15576</v>
      </c>
      <c r="E5256" s="3" t="s">
        <v>15577</v>
      </c>
      <c r="F5256" s="3" t="str">
        <f>"260-622-7465"</f>
        <v>260-622-7465</v>
      </c>
      <c r="G5256" s="3">
        <v>442210</v>
      </c>
      <c r="H5256" s="3" t="s">
        <v>2301</v>
      </c>
    </row>
    <row r="5257" spans="1:8" ht="39" x14ac:dyDescent="0.25">
      <c r="A5257" s="3" t="s">
        <v>15578</v>
      </c>
      <c r="B5257" s="3"/>
      <c r="C5257" s="3" t="str">
        <f>"Performs real estate appraisal services in the following counties: Allen, DeKalb, Huntington, Kosciusko, Noble &amp; Whitley."</f>
        <v>Performs real estate appraisal services in the following counties: Allen, DeKalb, Huntington, Kosciusko, Noble &amp; Whitley.</v>
      </c>
      <c r="D5257" s="3" t="s">
        <v>9</v>
      </c>
      <c r="E5257" s="3" t="s">
        <v>15579</v>
      </c>
      <c r="F5257" s="3" t="str">
        <f>"(260) 244-5546"</f>
        <v>(260) 244-5546</v>
      </c>
      <c r="G5257" s="3">
        <v>531320</v>
      </c>
      <c r="H5257" s="3" t="s">
        <v>34</v>
      </c>
    </row>
    <row r="5258" spans="1:8" ht="319.5" x14ac:dyDescent="0.25">
      <c r="A5258" s="3" t="s">
        <v>15580</v>
      </c>
      <c r="B5258" s="3"/>
      <c r="C5258" s="3" t="s">
        <v>15581</v>
      </c>
      <c r="D5258" s="3" t="s">
        <v>15582</v>
      </c>
      <c r="E5258" s="3" t="s">
        <v>15583</v>
      </c>
      <c r="F5258" s="3" t="str">
        <f>"574.288.4580"</f>
        <v>574.288.4580</v>
      </c>
      <c r="G5258" s="3">
        <v>5413</v>
      </c>
      <c r="H5258" s="3" t="s">
        <v>1116</v>
      </c>
    </row>
    <row r="5259" spans="1:8" ht="102.75" x14ac:dyDescent="0.25">
      <c r="A5259" s="3" t="s">
        <v>15584</v>
      </c>
      <c r="B5259" s="3"/>
      <c r="C5259" s="3" t="s">
        <v>15585</v>
      </c>
      <c r="D5259" s="3" t="s">
        <v>15586</v>
      </c>
      <c r="E5259" s="3" t="s">
        <v>15587</v>
      </c>
      <c r="F5259" s="3" t="str">
        <f>"317-578-3650"</f>
        <v>317-578-3650</v>
      </c>
      <c r="G5259" s="3">
        <v>561990</v>
      </c>
      <c r="H5259" s="3" t="s">
        <v>219</v>
      </c>
    </row>
    <row r="5260" spans="1:8" ht="26.25" x14ac:dyDescent="0.25">
      <c r="A5260" s="3" t="s">
        <v>15588</v>
      </c>
      <c r="B5260" s="3"/>
      <c r="C5260" s="2"/>
      <c r="D5260" s="3" t="s">
        <v>9</v>
      </c>
      <c r="E5260" s="3" t="s">
        <v>15589</v>
      </c>
      <c r="F5260" s="3" t="str">
        <f>"260-436-6483"</f>
        <v>260-436-6483</v>
      </c>
      <c r="G5260" s="3">
        <v>54143</v>
      </c>
      <c r="H5260" s="3" t="s">
        <v>78</v>
      </c>
    </row>
    <row r="5261" spans="1:8" ht="51.75" x14ac:dyDescent="0.25">
      <c r="A5261" s="3" t="s">
        <v>15590</v>
      </c>
      <c r="B5261" s="3"/>
      <c r="C5261" s="3" t="str">
        <f>"Cast iron foundry and CNC machine shop. Capability to cast small to medium size parts, and provide precision machining for various grades of metals and plastics."</f>
        <v>Cast iron foundry and CNC machine shop. Capability to cast small to medium size parts, and provide precision machining for various grades of metals and plastics.</v>
      </c>
      <c r="D5261" s="3" t="s">
        <v>15591</v>
      </c>
      <c r="E5261" s="3" t="s">
        <v>46</v>
      </c>
      <c r="F5261" s="3" t="str">
        <f>"765-800-223-6653"</f>
        <v>765-800-223-6653</v>
      </c>
      <c r="G5261" s="3">
        <v>331511</v>
      </c>
      <c r="H5261" s="3" t="s">
        <v>2737</v>
      </c>
    </row>
    <row r="5262" spans="1:8" ht="77.25" x14ac:dyDescent="0.25">
      <c r="A5262" s="3" t="s">
        <v>15592</v>
      </c>
      <c r="B5262" s="3"/>
      <c r="C5262" s="3" t="str">
        <f>"ALL SHINGLE ROOFING. NEW ROOFS, REMOVAL AND REPLACEMENT OF RESIDENTIAL AND COMMERCIAL ROOFS. WE SPECIALIZE IN SCHOOLS, CHURCHES, APARTMENTS AND HOSPITALS. ALL BIG PROJECTS ARE ALSO MORE THAN WELCOME!!"</f>
        <v>ALL SHINGLE ROOFING. NEW ROOFS, REMOVAL AND REPLACEMENT OF RESIDENTIAL AND COMMERCIAL ROOFS. WE SPECIALIZE IN SCHOOLS, CHURCHES, APARTMENTS AND HOSPITALS. ALL BIG PROJECTS ARE ALSO MORE THAN WELCOME!!</v>
      </c>
      <c r="D5262" s="3" t="s">
        <v>9</v>
      </c>
      <c r="E5262" s="3" t="s">
        <v>15593</v>
      </c>
      <c r="F5262" s="3" t="str">
        <f>"(317) 714-5849"</f>
        <v>(317) 714-5849</v>
      </c>
      <c r="G5262" s="3">
        <v>238160</v>
      </c>
      <c r="H5262" s="3" t="s">
        <v>144</v>
      </c>
    </row>
    <row r="5263" spans="1:8" ht="115.5" x14ac:dyDescent="0.25">
      <c r="A5263" s="3" t="s">
        <v>15594</v>
      </c>
      <c r="B5263" s="3"/>
      <c r="C5263" s="3" t="s">
        <v>15595</v>
      </c>
      <c r="D5263" s="3" t="s">
        <v>15596</v>
      </c>
      <c r="E5263" s="3" t="s">
        <v>15597</v>
      </c>
      <c r="F5263" s="3" t="str">
        <f>"+1 260 460 0054"</f>
        <v>+1 260 460 0054</v>
      </c>
      <c r="G5263" s="3">
        <v>541690</v>
      </c>
      <c r="H5263" s="3" t="s">
        <v>652</v>
      </c>
    </row>
    <row r="5264" spans="1:8" ht="26.25" x14ac:dyDescent="0.25">
      <c r="A5264" s="3" t="s">
        <v>15598</v>
      </c>
      <c r="B5264" s="3"/>
      <c r="C5264" s="3" t="str">
        <f>"Embroidery, Vinyl signs, Printed Products, Banners, Promotional Products"</f>
        <v>Embroidery, Vinyl signs, Printed Products, Banners, Promotional Products</v>
      </c>
      <c r="D5264" s="3" t="s">
        <v>9</v>
      </c>
      <c r="E5264" s="3" t="s">
        <v>15599</v>
      </c>
      <c r="F5264" s="3" t="str">
        <f>"765-505-8747"</f>
        <v>765-505-8747</v>
      </c>
      <c r="G5264" s="3">
        <v>424310</v>
      </c>
      <c r="H5264" s="3" t="s">
        <v>15600</v>
      </c>
    </row>
    <row r="5265" spans="1:8" ht="26.25" x14ac:dyDescent="0.25">
      <c r="A5265" s="3" t="s">
        <v>15601</v>
      </c>
      <c r="B5265" s="3"/>
      <c r="C5265" s="3" t="str">
        <f>"Agriculutural &amp; Lawn &amp; Garden dealership"</f>
        <v>Agriculutural &amp; Lawn &amp; Garden dealership</v>
      </c>
      <c r="D5265" s="3" t="s">
        <v>15602</v>
      </c>
      <c r="E5265" s="3" t="s">
        <v>15603</v>
      </c>
      <c r="F5265" s="3" t="str">
        <f>"260-632-4242"</f>
        <v>260-632-4242</v>
      </c>
      <c r="G5265" s="3">
        <v>423820</v>
      </c>
      <c r="H5265" s="3" t="s">
        <v>2902</v>
      </c>
    </row>
    <row r="5266" spans="1:8" ht="128.25" x14ac:dyDescent="0.25">
      <c r="A5266" s="3" t="s">
        <v>15604</v>
      </c>
      <c r="B5266" s="3"/>
      <c r="C5266" s="3" t="s">
        <v>15605</v>
      </c>
      <c r="D5266" s="3" t="s">
        <v>9</v>
      </c>
      <c r="E5266" s="3" t="s">
        <v>15606</v>
      </c>
      <c r="F5266" s="3" t="str">
        <f>"317-781-1651"</f>
        <v>317-781-1651</v>
      </c>
      <c r="G5266" s="3">
        <v>541611</v>
      </c>
      <c r="H5266" s="3" t="s">
        <v>278</v>
      </c>
    </row>
    <row r="5267" spans="1:8" ht="128.25" x14ac:dyDescent="0.25">
      <c r="A5267" s="3" t="s">
        <v>15607</v>
      </c>
      <c r="B5267" s="3"/>
      <c r="C5267" s="3" t="s">
        <v>15608</v>
      </c>
      <c r="D5267" s="3" t="s">
        <v>15609</v>
      </c>
      <c r="E5267" s="3" t="s">
        <v>15610</v>
      </c>
      <c r="F5267" s="3" t="str">
        <f>"317-787-1311"</f>
        <v>317-787-1311</v>
      </c>
      <c r="G5267" s="3">
        <v>332420</v>
      </c>
      <c r="H5267" s="3" t="s">
        <v>15611</v>
      </c>
    </row>
    <row r="5268" spans="1:8" ht="51.75" x14ac:dyDescent="0.25">
      <c r="A5268" s="3" t="s">
        <v>15612</v>
      </c>
      <c r="B5268" s="3"/>
      <c r="C5268" s="3" t="str">
        <f>"commercial cleaning and industrial cleaning. Strip and recoat tile floor, restroom clean, window clean, etc. full service janitorial firm"</f>
        <v>commercial cleaning and industrial cleaning. Strip and recoat tile floor, restroom clean, window clean, etc. full service janitorial firm</v>
      </c>
      <c r="D5268" s="3" t="s">
        <v>11220</v>
      </c>
      <c r="E5268" s="3" t="s">
        <v>15613</v>
      </c>
      <c r="F5268" s="3" t="str">
        <f>"NONE"</f>
        <v>NONE</v>
      </c>
      <c r="G5268" s="3">
        <v>56172</v>
      </c>
      <c r="H5268" s="3" t="s">
        <v>222</v>
      </c>
    </row>
    <row r="5269" spans="1:8" ht="204.75" x14ac:dyDescent="0.25">
      <c r="A5269" s="3" t="s">
        <v>15614</v>
      </c>
      <c r="B5269" s="3"/>
      <c r="C5269" s="3" t="s">
        <v>15615</v>
      </c>
      <c r="D5269" s="3" t="s">
        <v>15616</v>
      </c>
      <c r="E5269" s="3" t="s">
        <v>15617</v>
      </c>
      <c r="F5269" s="3" t="str">
        <f>"(812) 372-8834"</f>
        <v>(812) 372-8834</v>
      </c>
      <c r="G5269" s="3">
        <v>238150</v>
      </c>
      <c r="H5269" s="3" t="s">
        <v>2530</v>
      </c>
    </row>
    <row r="5270" spans="1:8" ht="26.25" x14ac:dyDescent="0.25">
      <c r="A5270" s="3" t="s">
        <v>15618</v>
      </c>
      <c r="B5270" s="3"/>
      <c r="C5270" s="3" t="str">
        <f>"Retail and wholesale auto dealership with new nameplate of Chevrolet"</f>
        <v>Retail and wholesale auto dealership with new nameplate of Chevrolet</v>
      </c>
      <c r="D5270" s="3" t="s">
        <v>15619</v>
      </c>
      <c r="E5270" s="3" t="s">
        <v>46</v>
      </c>
      <c r="F5270" s="3" t="str">
        <f>"812-477-4600"</f>
        <v>812-477-4600</v>
      </c>
      <c r="G5270" s="3">
        <v>423110</v>
      </c>
      <c r="H5270" s="3" t="s">
        <v>3324</v>
      </c>
    </row>
    <row r="5271" spans="1:8" ht="26.25" x14ac:dyDescent="0.25">
      <c r="A5271" s="3" t="s">
        <v>15620</v>
      </c>
      <c r="B5271" s="3"/>
      <c r="C5271" s="3" t="str">
        <f>"We repair &amp; sale radiators"</f>
        <v>We repair &amp; sale radiators</v>
      </c>
      <c r="D5271" s="3" t="s">
        <v>9</v>
      </c>
      <c r="E5271" s="3" t="s">
        <v>15621</v>
      </c>
      <c r="F5271" s="3" t="str">
        <f>"317-638-3032"</f>
        <v>317-638-3032</v>
      </c>
      <c r="G5271" s="3">
        <v>238</v>
      </c>
      <c r="H5271" s="3" t="s">
        <v>397</v>
      </c>
    </row>
    <row r="5272" spans="1:8" x14ac:dyDescent="0.25">
      <c r="A5272" s="3" t="s">
        <v>15622</v>
      </c>
      <c r="B5272" s="3"/>
      <c r="C5272" s="3" t="str">
        <f>" "</f>
        <v xml:space="preserve"> </v>
      </c>
      <c r="D5272" s="3" t="s">
        <v>9</v>
      </c>
      <c r="E5272" s="3" t="s">
        <v>46</v>
      </c>
      <c r="F5272" s="2"/>
      <c r="G5272" s="3">
        <v>485991</v>
      </c>
      <c r="H5272" s="3" t="s">
        <v>6936</v>
      </c>
    </row>
    <row r="5273" spans="1:8" ht="26.25" x14ac:dyDescent="0.25">
      <c r="A5273" s="3" t="s">
        <v>15623</v>
      </c>
      <c r="B5273" s="3"/>
      <c r="C5273" s="3" t="str">
        <f>"Manufacturing of rigging products, tiedown equipment."</f>
        <v>Manufacturing of rigging products, tiedown equipment.</v>
      </c>
      <c r="D5273" s="3" t="s">
        <v>15624</v>
      </c>
      <c r="E5273" s="3" t="s">
        <v>15625</v>
      </c>
      <c r="F5273" s="3" t="str">
        <f>"812 282 3667"</f>
        <v>812 282 3667</v>
      </c>
      <c r="G5273" s="3">
        <v>339</v>
      </c>
      <c r="H5273" s="3" t="s">
        <v>1092</v>
      </c>
    </row>
    <row r="5274" spans="1:8" ht="332.25" x14ac:dyDescent="0.25">
      <c r="A5274" s="3" t="s">
        <v>15626</v>
      </c>
      <c r="B5274" s="3"/>
      <c r="C5274" s="3" t="s">
        <v>15627</v>
      </c>
      <c r="D5274" s="3" t="s">
        <v>9</v>
      </c>
      <c r="E5274" s="3" t="s">
        <v>15628</v>
      </c>
      <c r="F5274" s="3" t="str">
        <f>"(812) 288-7989"</f>
        <v>(812) 288-7989</v>
      </c>
      <c r="G5274" s="3">
        <v>32192</v>
      </c>
      <c r="H5274" s="3" t="s">
        <v>4854</v>
      </c>
    </row>
    <row r="5275" spans="1:8" ht="26.25" x14ac:dyDescent="0.25">
      <c r="A5275" s="3" t="s">
        <v>15629</v>
      </c>
      <c r="B5275" s="3"/>
      <c r="C5275" s="3" t="str">
        <f>"Full service boat dealer offering new and used boats along with service and parts."</f>
        <v>Full service boat dealer offering new and used boats along with service and parts.</v>
      </c>
      <c r="D5275" s="3" t="s">
        <v>15630</v>
      </c>
      <c r="E5275" s="3" t="s">
        <v>15631</v>
      </c>
      <c r="F5275" s="3" t="str">
        <f>"812-282-7579"</f>
        <v>812-282-7579</v>
      </c>
      <c r="G5275" s="3">
        <v>441222</v>
      </c>
      <c r="H5275" s="3" t="s">
        <v>3175</v>
      </c>
    </row>
    <row r="5276" spans="1:8" ht="39" x14ac:dyDescent="0.25">
      <c r="A5276" s="3" t="s">
        <v>15632</v>
      </c>
      <c r="B5276" s="3"/>
      <c r="C5276" s="3" t="str">
        <f>"Public relations agency specializing in government, political, and non-profit organizations."</f>
        <v>Public relations agency specializing in government, political, and non-profit organizations.</v>
      </c>
      <c r="D5276" s="3" t="s">
        <v>15633</v>
      </c>
      <c r="E5276" s="3" t="s">
        <v>15634</v>
      </c>
      <c r="F5276" s="3" t="str">
        <f>"317-640-4932"</f>
        <v>317-640-4932</v>
      </c>
      <c r="G5276" s="3">
        <v>541820</v>
      </c>
      <c r="H5276" s="3" t="s">
        <v>795</v>
      </c>
    </row>
    <row r="5277" spans="1:8" ht="64.5" x14ac:dyDescent="0.25">
      <c r="A5277" s="3" t="s">
        <v>15635</v>
      </c>
      <c r="B5277" s="3"/>
      <c r="C5277" s="3" t="str">
        <f>"Kerlin Motor Company is a Ford blue oval authorized dealer for sales and service of your Ford vehicles. We also sell and service a variety of horse, cargo, flatbed and enclosed trailers."</f>
        <v>Kerlin Motor Company is a Ford blue oval authorized dealer for sales and service of your Ford vehicles. We also sell and service a variety of horse, cargo, flatbed and enclosed trailers.</v>
      </c>
      <c r="D5277" s="3" t="s">
        <v>15636</v>
      </c>
      <c r="E5277" s="3" t="s">
        <v>15637</v>
      </c>
      <c r="F5277" s="3" t="str">
        <f>"260-352-2162"</f>
        <v>260-352-2162</v>
      </c>
      <c r="G5277" s="3">
        <v>441110</v>
      </c>
      <c r="H5277" s="3" t="s">
        <v>2588</v>
      </c>
    </row>
    <row r="5278" spans="1:8" ht="166.5" x14ac:dyDescent="0.25">
      <c r="A5278" s="3" t="s">
        <v>15638</v>
      </c>
      <c r="B5278" s="3"/>
      <c r="C5278" s="3" t="s">
        <v>15639</v>
      </c>
      <c r="D5278" s="3" t="s">
        <v>15640</v>
      </c>
      <c r="E5278" s="3" t="s">
        <v>15641</v>
      </c>
      <c r="F5278" s="3" t="str">
        <f>"765-288-3334"</f>
        <v>765-288-3334</v>
      </c>
      <c r="G5278" s="3">
        <v>2356</v>
      </c>
      <c r="H5278" s="3" t="s">
        <v>365</v>
      </c>
    </row>
    <row r="5279" spans="1:8" ht="26.25" x14ac:dyDescent="0.25">
      <c r="A5279" s="3" t="s">
        <v>15642</v>
      </c>
      <c r="B5279" s="3"/>
      <c r="C5279" s="3" t="str">
        <f>"Automotive parts. Machine Shop. Metal Fabrication"</f>
        <v>Automotive parts. Machine Shop. Metal Fabrication</v>
      </c>
      <c r="D5279" s="3" t="s">
        <v>9</v>
      </c>
      <c r="E5279" s="3" t="s">
        <v>46</v>
      </c>
      <c r="F5279" s="2"/>
      <c r="G5279" s="3">
        <v>81111</v>
      </c>
      <c r="H5279" s="3" t="s">
        <v>96</v>
      </c>
    </row>
    <row r="5280" spans="1:8" ht="128.25" x14ac:dyDescent="0.25">
      <c r="A5280" s="3" t="s">
        <v>15643</v>
      </c>
      <c r="B5280" s="3"/>
      <c r="C5280" s="3" t="s">
        <v>15644</v>
      </c>
      <c r="D5280" s="3" t="s">
        <v>15645</v>
      </c>
      <c r="E5280" s="3" t="s">
        <v>15646</v>
      </c>
      <c r="F5280" s="3" t="str">
        <f>"317-443-9599"</f>
        <v>317-443-9599</v>
      </c>
      <c r="G5280" s="3">
        <v>541430</v>
      </c>
      <c r="H5280" s="3" t="s">
        <v>78</v>
      </c>
    </row>
    <row r="5281" spans="1:8" ht="64.5" x14ac:dyDescent="0.25">
      <c r="A5281" s="3" t="s">
        <v>15647</v>
      </c>
      <c r="B5281" s="3"/>
      <c r="C5281" s="3" t="str">
        <f>"Kerns Excavating, L.L.C. provides the following services: mass earth moving, demolition, land clearing and tree chipping, reclamation, site prep, grading, wetland construction and trucking."</f>
        <v>Kerns Excavating, L.L.C. provides the following services: mass earth moving, demolition, land clearing and tree chipping, reclamation, site prep, grading, wetland construction and trucking.</v>
      </c>
      <c r="D5281" s="3" t="s">
        <v>15648</v>
      </c>
      <c r="E5281" s="3" t="s">
        <v>15649</v>
      </c>
      <c r="F5281" s="3" t="str">
        <f>"812 291 5156"</f>
        <v>812 291 5156</v>
      </c>
      <c r="G5281" s="3">
        <v>238910</v>
      </c>
      <c r="H5281" s="3" t="s">
        <v>886</v>
      </c>
    </row>
    <row r="5282" spans="1:8" x14ac:dyDescent="0.25">
      <c r="A5282" s="3" t="s">
        <v>15650</v>
      </c>
      <c r="B5282" s="3"/>
      <c r="C5282" s="3" t="str">
        <f>"Air Freshener Service"</f>
        <v>Air Freshener Service</v>
      </c>
      <c r="D5282" s="3" t="s">
        <v>9</v>
      </c>
      <c r="E5282" s="3" t="s">
        <v>46</v>
      </c>
      <c r="F5282" s="2"/>
      <c r="G5282" s="3">
        <v>5617</v>
      </c>
      <c r="H5282" s="3" t="s">
        <v>812</v>
      </c>
    </row>
    <row r="5283" spans="1:8" ht="51.75" x14ac:dyDescent="0.25">
      <c r="A5283" s="3" t="s">
        <v>15651</v>
      </c>
      <c r="B5283" s="3"/>
      <c r="C5283" s="3" t="str">
        <f>"Retail Motorcycle Dealer. Harley-Davidson, Kawasaki, Yamaha Authorized Dealer. We offer Sales, Financing, Service &amp; Accessories."</f>
        <v>Retail Motorcycle Dealer. Harley-Davidson, Kawasaki, Yamaha Authorized Dealer. We offer Sales, Financing, Service &amp; Accessories.</v>
      </c>
      <c r="D5283" s="3" t="s">
        <v>15652</v>
      </c>
      <c r="E5283" s="3" t="s">
        <v>15653</v>
      </c>
      <c r="F5283" s="3" t="str">
        <f>"574-896-2974"</f>
        <v>574-896-2974</v>
      </c>
      <c r="G5283" s="3">
        <v>441221</v>
      </c>
      <c r="H5283" s="3" t="s">
        <v>3299</v>
      </c>
    </row>
    <row r="5284" spans="1:8" ht="51.75" x14ac:dyDescent="0.25">
      <c r="A5284" s="3" t="s">
        <v>15654</v>
      </c>
      <c r="B5284" s="3"/>
      <c r="C5284" s="3" t="str">
        <f>"Wholesale Auto Auction established in 1943. Selling cars, trucks, and equipment for dealers, banks, state, and federal agencies."</f>
        <v>Wholesale Auto Auction established in 1943. Selling cars, trucks, and equipment for dealers, banks, state, and federal agencies.</v>
      </c>
      <c r="D5284" s="3" t="s">
        <v>15655</v>
      </c>
      <c r="E5284" s="3" t="s">
        <v>15656</v>
      </c>
      <c r="F5284" s="3" t="str">
        <f>"317-297-2300"</f>
        <v>317-297-2300</v>
      </c>
      <c r="G5284" s="3">
        <v>425120</v>
      </c>
      <c r="H5284" s="3" t="s">
        <v>58</v>
      </c>
    </row>
    <row r="5285" spans="1:8" ht="64.5" x14ac:dyDescent="0.25">
      <c r="A5285" s="3" t="s">
        <v>15657</v>
      </c>
      <c r="B5285" s="3"/>
      <c r="C5285" s="3" t="str">
        <f>"We provide mowing, trimming, edging, pruning, landscaping, planting, removing plants, treatments (fertilizing, weed control, insecticide) aerating, sodding, seeding, mulching and more."</f>
        <v>We provide mowing, trimming, edging, pruning, landscaping, planting, removing plants, treatments (fertilizing, weed control, insecticide) aerating, sodding, seeding, mulching and more.</v>
      </c>
      <c r="D5285" s="3" t="s">
        <v>15658</v>
      </c>
      <c r="E5285" s="3" t="s">
        <v>15659</v>
      </c>
      <c r="F5285" s="3" t="str">
        <f>"317-945-7012"</f>
        <v>317-945-7012</v>
      </c>
      <c r="G5285" s="3">
        <v>812990</v>
      </c>
      <c r="H5285" s="3" t="s">
        <v>294</v>
      </c>
    </row>
    <row r="5286" spans="1:8" ht="26.25" x14ac:dyDescent="0.25">
      <c r="A5286" s="3" t="s">
        <v>15660</v>
      </c>
      <c r="B5286" s="3"/>
      <c r="C5286" s="3" t="str">
        <f>"General Contractor/Construction Manager working in Central Indiana."</f>
        <v>General Contractor/Construction Manager working in Central Indiana.</v>
      </c>
      <c r="D5286" s="3" t="s">
        <v>15661</v>
      </c>
      <c r="E5286" s="3" t="s">
        <v>15662</v>
      </c>
      <c r="F5286" s="3" t="str">
        <f>"765-447-2181"</f>
        <v>765-447-2181</v>
      </c>
      <c r="G5286" s="3">
        <v>236</v>
      </c>
      <c r="H5286" s="3" t="s">
        <v>291</v>
      </c>
    </row>
    <row r="5287" spans="1:8" ht="64.5" x14ac:dyDescent="0.25">
      <c r="A5287" s="3" t="s">
        <v>15663</v>
      </c>
      <c r="B5287" s="3"/>
      <c r="C5287" s="3" t="str">
        <f>"We are a Management consulting, training and speaking firm focused on helping organizations, teams and idividuals transform their potential into their desired results."</f>
        <v>We are a Management consulting, training and speaking firm focused on helping organizations, teams and idividuals transform their potential into their desired results.</v>
      </c>
      <c r="D5287" s="3" t="s">
        <v>15664</v>
      </c>
      <c r="E5287" s="3" t="s">
        <v>15665</v>
      </c>
      <c r="F5287" s="3" t="str">
        <f>"317-387-1424"</f>
        <v>317-387-1424</v>
      </c>
      <c r="G5287" s="3">
        <v>611430</v>
      </c>
      <c r="H5287" s="3" t="s">
        <v>1224</v>
      </c>
    </row>
    <row r="5288" spans="1:8" x14ac:dyDescent="0.25">
      <c r="A5288" s="3" t="s">
        <v>15666</v>
      </c>
      <c r="B5288" s="3"/>
      <c r="C5288" s="3" t="str">
        <f>"Commercial Cleaning"</f>
        <v>Commercial Cleaning</v>
      </c>
      <c r="D5288" s="3" t="s">
        <v>9</v>
      </c>
      <c r="E5288" s="3" t="s">
        <v>46</v>
      </c>
      <c r="F5288" s="2"/>
      <c r="G5288" s="3">
        <v>561720</v>
      </c>
      <c r="H5288" s="3" t="s">
        <v>222</v>
      </c>
    </row>
    <row r="5289" spans="1:8" ht="51.75" x14ac:dyDescent="0.25">
      <c r="A5289" s="3" t="s">
        <v>15667</v>
      </c>
      <c r="B5289" s="3"/>
      <c r="C5289" s="3" t="str">
        <f>"Specialist in Cross-Connection Control, Surveying and Inspections. All Makes and Models 1/4"" thru 12"". Certified Backflow Device Tester"</f>
        <v>Specialist in Cross-Connection Control, Surveying and Inspections. All Makes and Models 1/4" thru 12". Certified Backflow Device Tester</v>
      </c>
      <c r="D5289" s="3" t="s">
        <v>9</v>
      </c>
      <c r="E5289" s="3" t="s">
        <v>46</v>
      </c>
      <c r="F5289" s="2"/>
      <c r="G5289" s="3">
        <v>221310</v>
      </c>
      <c r="H5289" s="3" t="s">
        <v>1833</v>
      </c>
    </row>
    <row r="5290" spans="1:8" ht="179.25" x14ac:dyDescent="0.25">
      <c r="A5290" s="3" t="s">
        <v>15668</v>
      </c>
      <c r="B5290" s="3"/>
      <c r="C5290" s="3" t="s">
        <v>15669</v>
      </c>
      <c r="D5290" s="3" t="s">
        <v>15670</v>
      </c>
      <c r="E5290" s="3" t="s">
        <v>15671</v>
      </c>
      <c r="F5290" s="3" t="str">
        <f>"219-836-7777"</f>
        <v>219-836-7777</v>
      </c>
      <c r="G5290" s="3">
        <v>484220</v>
      </c>
      <c r="H5290" s="3" t="s">
        <v>11</v>
      </c>
    </row>
    <row r="5291" spans="1:8" ht="39" x14ac:dyDescent="0.25">
      <c r="A5291" s="3" t="s">
        <v>15672</v>
      </c>
      <c r="B5291" s="3"/>
      <c r="C5291" s="3" t="str">
        <f>"General Contractor in the Evansville Indiana area, building commercial and industrial buildings."</f>
        <v>General Contractor in the Evansville Indiana area, building commercial and industrial buildings.</v>
      </c>
      <c r="D5291" s="3" t="s">
        <v>15673</v>
      </c>
      <c r="E5291" s="3" t="s">
        <v>15674</v>
      </c>
      <c r="F5291" s="3" t="str">
        <f>"812 423-0498"</f>
        <v>812 423-0498</v>
      </c>
      <c r="G5291" s="3">
        <v>236220</v>
      </c>
      <c r="H5291" s="3" t="s">
        <v>598</v>
      </c>
    </row>
    <row r="5292" spans="1:8" ht="179.25" x14ac:dyDescent="0.25">
      <c r="A5292" s="3" t="s">
        <v>15675</v>
      </c>
      <c r="B5292" s="3"/>
      <c r="C5292" s="3" t="s">
        <v>15676</v>
      </c>
      <c r="D5292" s="3" t="s">
        <v>15677</v>
      </c>
      <c r="E5292" s="3" t="s">
        <v>15678</v>
      </c>
      <c r="F5292" s="3" t="str">
        <f>"317-370-8944"</f>
        <v>317-370-8944</v>
      </c>
      <c r="G5292" s="3">
        <v>54161</v>
      </c>
      <c r="H5292" s="3" t="s">
        <v>1221</v>
      </c>
    </row>
    <row r="5293" spans="1:8" ht="26.25" x14ac:dyDescent="0.25">
      <c r="A5293" s="3" t="s">
        <v>15679</v>
      </c>
      <c r="B5293" s="3"/>
      <c r="C5293" s="3" t="str">
        <f>"Life and A&amp;H Insurance Underwriter - Home Office"</f>
        <v>Life and A&amp;H Insurance Underwriter - Home Office</v>
      </c>
      <c r="D5293" s="3" t="s">
        <v>15680</v>
      </c>
      <c r="E5293" s="3" t="s">
        <v>15681</v>
      </c>
      <c r="F5293" s="3" t="str">
        <f>"317-231-2700"</f>
        <v>317-231-2700</v>
      </c>
      <c r="G5293" s="3">
        <v>52411</v>
      </c>
      <c r="H5293" s="3" t="s">
        <v>8281</v>
      </c>
    </row>
    <row r="5294" spans="1:8" ht="26.25" x14ac:dyDescent="0.25">
      <c r="A5294" s="3" t="s">
        <v>15682</v>
      </c>
      <c r="B5294" s="3"/>
      <c r="C5294" s="3" t="str">
        <f>"Key West Cigar Importers is a wholesaler distributor of premium imported cigars."</f>
        <v>Key West Cigar Importers is a wholesaler distributor of premium imported cigars.</v>
      </c>
      <c r="D5294" s="3" t="s">
        <v>9</v>
      </c>
      <c r="E5294" s="3" t="s">
        <v>15683</v>
      </c>
      <c r="F5294" s="3" t="str">
        <f>"(317) 543-3562"</f>
        <v>(317) 543-3562</v>
      </c>
      <c r="G5294" s="3">
        <v>424940</v>
      </c>
      <c r="H5294" s="3" t="s">
        <v>3106</v>
      </c>
    </row>
    <row r="5295" spans="1:8" ht="77.25" x14ac:dyDescent="0.25">
      <c r="A5295" s="3" t="s">
        <v>15684</v>
      </c>
      <c r="B5295" s="3"/>
      <c r="C5295" s="3" t="str">
        <f>"Key West Enterprises offers strategic communications, public relations, marketing, product development, motivational speaking and training, management consulting, media relations, event planning services"</f>
        <v>Key West Enterprises offers strategic communications, public relations, marketing, product development, motivational speaking and training, management consulting, media relations, event planning services</v>
      </c>
      <c r="D5295" s="3" t="s">
        <v>9</v>
      </c>
      <c r="E5295" s="3" t="s">
        <v>15685</v>
      </c>
      <c r="F5295" s="3" t="str">
        <f>"219.616.9376"</f>
        <v>219.616.9376</v>
      </c>
      <c r="G5295" s="3">
        <v>541820</v>
      </c>
      <c r="H5295" s="3" t="s">
        <v>795</v>
      </c>
    </row>
    <row r="5296" spans="1:8" ht="77.25" x14ac:dyDescent="0.25">
      <c r="A5296" s="3" t="s">
        <v>15686</v>
      </c>
      <c r="B5296" s="3"/>
      <c r="C5296" s="3" t="str">
        <f>"Computer Software Training: Microsoft Excel, Word, PowerPoint, Outlook, Access. Adobe Acrobat, PDF document management training, Social Media, Microsoft Office Specialist Certification Training and Testing."</f>
        <v>Computer Software Training: Microsoft Excel, Word, PowerPoint, Outlook, Access. Adobe Acrobat, PDF document management training, Social Media, Microsoft Office Specialist Certification Training and Testing.</v>
      </c>
      <c r="D5296" s="3" t="s">
        <v>15687</v>
      </c>
      <c r="E5296" s="3" t="s">
        <v>15688</v>
      </c>
      <c r="F5296" s="3" t="str">
        <f>"260-452-7715"</f>
        <v>260-452-7715</v>
      </c>
      <c r="G5296" s="3">
        <v>611420</v>
      </c>
      <c r="H5296" s="3" t="s">
        <v>39</v>
      </c>
    </row>
    <row r="5297" spans="1:8" ht="26.25" x14ac:dyDescent="0.25">
      <c r="A5297" s="3" t="s">
        <v>15689</v>
      </c>
      <c r="B5297" s="3"/>
      <c r="C5297" s="3" t="str">
        <f>"We are a full service concrete contractor."</f>
        <v>We are a full service concrete contractor.</v>
      </c>
      <c r="D5297" s="3" t="s">
        <v>9</v>
      </c>
      <c r="E5297" s="3" t="s">
        <v>15690</v>
      </c>
      <c r="F5297" s="3" t="str">
        <f>"(765)586-0246"</f>
        <v>(765)586-0246</v>
      </c>
      <c r="G5297" s="3">
        <v>2357</v>
      </c>
      <c r="H5297" s="3" t="s">
        <v>576</v>
      </c>
    </row>
    <row r="5298" spans="1:8" ht="26.25" x14ac:dyDescent="0.25">
      <c r="A5298" s="3" t="s">
        <v>15691</v>
      </c>
      <c r="B5298" s="3"/>
      <c r="C5298" s="3" t="str">
        <f>" "</f>
        <v xml:space="preserve"> </v>
      </c>
      <c r="D5298" s="3" t="s">
        <v>9</v>
      </c>
      <c r="E5298" s="3" t="s">
        <v>46</v>
      </c>
      <c r="F5298" s="2"/>
      <c r="G5298" s="3">
        <v>621420</v>
      </c>
      <c r="H5298" s="3" t="s">
        <v>990</v>
      </c>
    </row>
    <row r="5299" spans="1:8" ht="294" x14ac:dyDescent="0.25">
      <c r="A5299" s="3" t="s">
        <v>15692</v>
      </c>
      <c r="B5299" s="3"/>
      <c r="C5299" s="3" t="s">
        <v>15693</v>
      </c>
      <c r="D5299" s="3" t="s">
        <v>15694</v>
      </c>
      <c r="E5299" s="3" t="s">
        <v>15695</v>
      </c>
      <c r="F5299" s="3" t="str">
        <f>"765-420-7400"</f>
        <v>765-420-7400</v>
      </c>
      <c r="G5299" s="3">
        <v>541310</v>
      </c>
      <c r="H5299" s="3" t="s">
        <v>446</v>
      </c>
    </row>
    <row r="5300" spans="1:8" ht="64.5" x14ac:dyDescent="0.25">
      <c r="A5300" s="3" t="s">
        <v>15696</v>
      </c>
      <c r="B5300" s="3"/>
      <c r="C5300" s="3" t="str">
        <f>"Keystone Construction is a midsize general construction/construction management firm specializes in commercial, institutional, industrial, and retail building projects in Indiana."</f>
        <v>Keystone Construction is a midsize general construction/construction management firm specializes in commercial, institutional, industrial, and retail building projects in Indiana.</v>
      </c>
      <c r="D5300" s="3" t="s">
        <v>15697</v>
      </c>
      <c r="E5300" s="3" t="s">
        <v>15698</v>
      </c>
      <c r="F5300" s="3" t="str">
        <f>"317-636-2000"</f>
        <v>317-636-2000</v>
      </c>
      <c r="G5300" s="3">
        <v>23</v>
      </c>
      <c r="H5300" s="3" t="s">
        <v>133</v>
      </c>
    </row>
    <row r="5301" spans="1:8" ht="51.75" x14ac:dyDescent="0.25">
      <c r="A5301" s="3" t="s">
        <v>15699</v>
      </c>
      <c r="B5301" s="3"/>
      <c r="C5301" s="3" t="str">
        <f>"We fabricate and install solid surface, granite, marble, and quartz countertops primarily for wholesale puposes but do sell a small percentage to the retail market."</f>
        <v>We fabricate and install solid surface, granite, marble, and quartz countertops primarily for wholesale puposes but do sell a small percentage to the retail market.</v>
      </c>
      <c r="D5301" s="3" t="s">
        <v>9</v>
      </c>
      <c r="E5301" s="3" t="s">
        <v>46</v>
      </c>
      <c r="F5301" s="2"/>
      <c r="G5301" s="3">
        <v>339</v>
      </c>
      <c r="H5301" s="3" t="s">
        <v>1092</v>
      </c>
    </row>
    <row r="5302" spans="1:8" ht="141" x14ac:dyDescent="0.25">
      <c r="A5302" s="3" t="s">
        <v>15700</v>
      </c>
      <c r="B5302" s="3"/>
      <c r="C5302" s="3" t="s">
        <v>15701</v>
      </c>
      <c r="D5302" s="3" t="s">
        <v>15702</v>
      </c>
      <c r="E5302" s="3" t="s">
        <v>15703</v>
      </c>
      <c r="F5302" s="3" t="str">
        <f>"317956 9258"</f>
        <v>317956 9258</v>
      </c>
      <c r="G5302" s="3">
        <v>23899</v>
      </c>
      <c r="H5302" s="3" t="s">
        <v>481</v>
      </c>
    </row>
    <row r="5303" spans="1:8" ht="102.75" x14ac:dyDescent="0.25">
      <c r="A5303" s="3" t="s">
        <v>15704</v>
      </c>
      <c r="B5303" s="3"/>
      <c r="C5303" s="3" t="s">
        <v>15705</v>
      </c>
      <c r="D5303" s="3" t="s">
        <v>15706</v>
      </c>
      <c r="E5303" s="3" t="s">
        <v>15707</v>
      </c>
      <c r="F5303" s="3" t="str">
        <f>"317-748-7450"</f>
        <v>317-748-7450</v>
      </c>
      <c r="G5303" s="3">
        <v>62411</v>
      </c>
      <c r="H5303" s="3" t="s">
        <v>628</v>
      </c>
    </row>
    <row r="5304" spans="1:8" ht="141" x14ac:dyDescent="0.25">
      <c r="A5304" s="3" t="s">
        <v>15708</v>
      </c>
      <c r="B5304" s="3"/>
      <c r="C5304" s="3" t="s">
        <v>15709</v>
      </c>
      <c r="D5304" s="3" t="s">
        <v>15710</v>
      </c>
      <c r="E5304" s="3" t="s">
        <v>15711</v>
      </c>
      <c r="F5304" s="3" t="str">
        <f>"317-902-2055"</f>
        <v>317-902-2055</v>
      </c>
      <c r="G5304" s="3">
        <v>624190</v>
      </c>
      <c r="H5304" s="3" t="s">
        <v>54</v>
      </c>
    </row>
    <row r="5305" spans="1:8" ht="39" x14ac:dyDescent="0.25">
      <c r="A5305" s="3" t="s">
        <v>15712</v>
      </c>
      <c r="B5305" s="3"/>
      <c r="C5305" s="3" t="str">
        <f>"Mental and behavioral health corporation providing services to children, adults and families."</f>
        <v>Mental and behavioral health corporation providing services to children, adults and families.</v>
      </c>
      <c r="D5305" s="3" t="s">
        <v>15713</v>
      </c>
      <c r="E5305" s="3" t="s">
        <v>46</v>
      </c>
      <c r="F5305" s="2"/>
      <c r="G5305" s="3">
        <v>62</v>
      </c>
      <c r="H5305" s="3" t="s">
        <v>1168</v>
      </c>
    </row>
    <row r="5306" spans="1:8" ht="51.75" x14ac:dyDescent="0.25">
      <c r="A5306" s="3" t="s">
        <v>15714</v>
      </c>
      <c r="B5306" s="3"/>
      <c r="C5306" s="3" t="str">
        <f>"Playground Equipment Manufacturer: commercial, school and park. ISO 9001:2000 and IPEMA certified to ASTM F1487."</f>
        <v>Playground Equipment Manufacturer: commercial, school and park. ISO 9001:2000 and IPEMA certified to ASTM F1487.</v>
      </c>
      <c r="D5306" s="3" t="s">
        <v>15715</v>
      </c>
      <c r="E5306" s="3" t="s">
        <v>15716</v>
      </c>
      <c r="F5306" s="3" t="str">
        <f>"800-255-0153"</f>
        <v>800-255-0153</v>
      </c>
      <c r="G5306" s="3">
        <v>339920</v>
      </c>
      <c r="H5306" s="3" t="s">
        <v>7363</v>
      </c>
    </row>
    <row r="5307" spans="1:8" ht="102.75" x14ac:dyDescent="0.25">
      <c r="A5307" s="3" t="s">
        <v>15717</v>
      </c>
      <c r="B5307" s="3"/>
      <c r="C5307" s="3" t="s">
        <v>15718</v>
      </c>
      <c r="D5307" s="3" t="s">
        <v>15719</v>
      </c>
      <c r="E5307" s="3" t="s">
        <v>15720</v>
      </c>
      <c r="F5307" s="3" t="str">
        <f>"317-638-4521"</f>
        <v>317-638-4521</v>
      </c>
      <c r="G5307" s="3">
        <v>54111</v>
      </c>
      <c r="H5307" s="3" t="s">
        <v>2978</v>
      </c>
    </row>
    <row r="5308" spans="1:8" ht="51.75" x14ac:dyDescent="0.25">
      <c r="A5308" s="3" t="s">
        <v>15721</v>
      </c>
      <c r="B5308" s="3"/>
      <c r="C5308" s="3" t="str">
        <f>"Print communications services including design, print, direct mail, signage and POP materials. Specializing in short run digital and traditional offset printing."</f>
        <v>Print communications services including design, print, direct mail, signage and POP materials. Specializing in short run digital and traditional offset printing.</v>
      </c>
      <c r="D5308" s="3" t="s">
        <v>15722</v>
      </c>
      <c r="E5308" s="3" t="s">
        <v>15723</v>
      </c>
      <c r="F5308" s="3" t="str">
        <f>"317-844-6629"</f>
        <v>317-844-6629</v>
      </c>
      <c r="G5308" s="3">
        <v>32311</v>
      </c>
      <c r="H5308" s="3" t="s">
        <v>531</v>
      </c>
    </row>
    <row r="5309" spans="1:8" ht="51.75" x14ac:dyDescent="0.25">
      <c r="A5309" s="3" t="s">
        <v>15724</v>
      </c>
      <c r="B5309" s="3"/>
      <c r="C5309" s="3" t="str">
        <f>"Specializing in Irish and Celtic jewelry, Irish woolens, Belleek china, wedding accessories, wedding bands, stained glass, Irish books, and Christening gowns."</f>
        <v>Specializing in Irish and Celtic jewelry, Irish woolens, Belleek china, wedding accessories, wedding bands, stained glass, Irish books, and Christening gowns.</v>
      </c>
      <c r="D5309" s="3" t="s">
        <v>9</v>
      </c>
      <c r="E5309" s="3" t="s">
        <v>46</v>
      </c>
      <c r="F5309" s="3" t="str">
        <f>"317-846-9449"</f>
        <v>317-846-9449</v>
      </c>
      <c r="G5309" s="3">
        <v>44</v>
      </c>
      <c r="H5309" s="3" t="s">
        <v>574</v>
      </c>
    </row>
    <row r="5310" spans="1:8" ht="102.75" x14ac:dyDescent="0.25">
      <c r="A5310" s="3" t="s">
        <v>15725</v>
      </c>
      <c r="B5310" s="3"/>
      <c r="C5310" s="3" t="s">
        <v>15726</v>
      </c>
      <c r="D5310" s="3" t="s">
        <v>15727</v>
      </c>
      <c r="E5310" s="3" t="s">
        <v>15728</v>
      </c>
      <c r="F5310" s="3" t="str">
        <f>"(317) 869-0792"</f>
        <v>(317) 869-0792</v>
      </c>
      <c r="G5310" s="3">
        <v>813110</v>
      </c>
      <c r="H5310" s="3" t="s">
        <v>15729</v>
      </c>
    </row>
    <row r="5311" spans="1:8" ht="77.25" x14ac:dyDescent="0.25">
      <c r="A5311" s="3" t="s">
        <v>15730</v>
      </c>
      <c r="B5311" s="3"/>
      <c r="C5311" s="3" t="str">
        <f>"We provide the procurement of a variety of services and products: We are capable of servicing customers needing anything from office supplies to fuel additives. One our main service is supplying wholesale fuel to onsite tanks."</f>
        <v>We provide the procurement of a variety of services and products: We are capable of servicing customers needing anything from office supplies to fuel additives. One our main service is supplying wholesale fuel to onsite tanks.</v>
      </c>
      <c r="D5311" s="3" t="s">
        <v>15731</v>
      </c>
      <c r="E5311" s="3" t="s">
        <v>15732</v>
      </c>
      <c r="F5311" s="3" t="str">
        <f>"317-527-9036"</f>
        <v>317-527-9036</v>
      </c>
      <c r="G5311" s="3">
        <v>541614</v>
      </c>
      <c r="H5311" s="3" t="s">
        <v>107</v>
      </c>
    </row>
    <row r="5312" spans="1:8" ht="26.25" x14ac:dyDescent="0.25">
      <c r="A5312" s="3" t="s">
        <v>15733</v>
      </c>
      <c r="B5312" s="3"/>
      <c r="C5312" s="3" t="str">
        <f>"Commercial and residential pest control services"</f>
        <v>Commercial and residential pest control services</v>
      </c>
      <c r="D5312" s="3" t="s">
        <v>9</v>
      </c>
      <c r="E5312" s="3" t="s">
        <v>46</v>
      </c>
      <c r="F5312" s="3" t="str">
        <f>"317-439-5612"</f>
        <v>317-439-5612</v>
      </c>
      <c r="G5312" s="3">
        <v>561710</v>
      </c>
      <c r="H5312" s="3" t="s">
        <v>946</v>
      </c>
    </row>
    <row r="5313" spans="1:8" x14ac:dyDescent="0.25">
      <c r="A5313" s="3" t="s">
        <v>15734</v>
      </c>
      <c r="B5313" s="3"/>
      <c r="C5313" s="3" t="str">
        <f>" "</f>
        <v xml:space="preserve"> </v>
      </c>
      <c r="D5313" s="3" t="s">
        <v>9</v>
      </c>
      <c r="E5313" s="3" t="s">
        <v>46</v>
      </c>
      <c r="F5313" s="2"/>
      <c r="G5313" s="3">
        <v>445299</v>
      </c>
      <c r="H5313" s="3" t="s">
        <v>7899</v>
      </c>
    </row>
    <row r="5314" spans="1:8" ht="51.75" x14ac:dyDescent="0.25">
      <c r="A5314" s="3" t="s">
        <v>15735</v>
      </c>
      <c r="B5314" s="3"/>
      <c r="C5314" s="3" t="str">
        <f>"NAICS Codes: 337211, 337214, 337127 Manufacturer of Wood and Non-wood office furniture and office furniture systems D.B.A Kimball Office"</f>
        <v>NAICS Codes: 337211, 337214, 337127 Manufacturer of Wood and Non-wood office furniture and office furniture systems D.B.A Kimball Office</v>
      </c>
      <c r="D5314" s="3" t="s">
        <v>15736</v>
      </c>
      <c r="E5314" s="3" t="s">
        <v>15737</v>
      </c>
      <c r="F5314" s="3" t="str">
        <f>"800.482.1616"</f>
        <v>800.482.1616</v>
      </c>
      <c r="G5314" s="3">
        <v>337211</v>
      </c>
      <c r="H5314" s="3" t="s">
        <v>12624</v>
      </c>
    </row>
    <row r="5315" spans="1:8" x14ac:dyDescent="0.25">
      <c r="A5315" s="3" t="s">
        <v>15738</v>
      </c>
      <c r="B5315" s="3"/>
      <c r="C5315" s="3" t="str">
        <f>"Auditing Medicaid Medical Claims"</f>
        <v>Auditing Medicaid Medical Claims</v>
      </c>
      <c r="D5315" s="3" t="s">
        <v>9</v>
      </c>
      <c r="E5315" s="3" t="s">
        <v>46</v>
      </c>
      <c r="F5315" s="2"/>
      <c r="G5315" s="3">
        <v>524291</v>
      </c>
      <c r="H5315" s="3" t="s">
        <v>15223</v>
      </c>
    </row>
    <row r="5316" spans="1:8" ht="51.75" x14ac:dyDescent="0.25">
      <c r="A5316" s="3" t="s">
        <v>15739</v>
      </c>
      <c r="B5316" s="3"/>
      <c r="C5316" s="3" t="str">
        <f>"Providing psychological services within the Indianapolis community. Offering private therapy sessions, group counseling, and mind body skills techniques."</f>
        <v>Providing psychological services within the Indianapolis community. Offering private therapy sessions, group counseling, and mind body skills techniques.</v>
      </c>
      <c r="D5316" s="3" t="s">
        <v>9</v>
      </c>
      <c r="E5316" s="3" t="s">
        <v>15740</v>
      </c>
      <c r="F5316" s="3" t="str">
        <f>"317-809-6388"</f>
        <v>317-809-6388</v>
      </c>
      <c r="G5316" s="3">
        <v>621330</v>
      </c>
      <c r="H5316" s="3" t="s">
        <v>2643</v>
      </c>
    </row>
    <row r="5317" spans="1:8" ht="39" x14ac:dyDescent="0.25">
      <c r="A5317" s="3" t="s">
        <v>15741</v>
      </c>
      <c r="B5317" s="3"/>
      <c r="C5317" s="3" t="str">
        <f>"Clarkson Cleaning Service is a cleaning service here to assist in all cleaning needs. No job to large or to small."</f>
        <v>Clarkson Cleaning Service is a cleaning service here to assist in all cleaning needs. No job to large or to small.</v>
      </c>
      <c r="D5317" s="3" t="s">
        <v>9</v>
      </c>
      <c r="E5317" s="3" t="s">
        <v>15742</v>
      </c>
      <c r="F5317" s="3" t="str">
        <f>"317-333-4868"</f>
        <v>317-333-4868</v>
      </c>
      <c r="G5317" s="3">
        <v>561720</v>
      </c>
      <c r="H5317" s="3" t="s">
        <v>222</v>
      </c>
    </row>
    <row r="5318" spans="1:8" ht="281.25" x14ac:dyDescent="0.25">
      <c r="A5318" s="3" t="s">
        <v>15743</v>
      </c>
      <c r="B5318" s="3"/>
      <c r="C5318" s="3" t="s">
        <v>15744</v>
      </c>
      <c r="D5318" s="3" t="s">
        <v>15745</v>
      </c>
      <c r="E5318" s="3" t="s">
        <v>15746</v>
      </c>
      <c r="F5318" s="3" t="str">
        <f>"(708) 479-1255"</f>
        <v>(708) 479-1255</v>
      </c>
      <c r="G5318" s="3">
        <v>48532</v>
      </c>
      <c r="H5318" s="3" t="s">
        <v>3750</v>
      </c>
    </row>
    <row r="5319" spans="1:8" ht="39" x14ac:dyDescent="0.25">
      <c r="A5319" s="3" t="s">
        <v>15747</v>
      </c>
      <c r="B5319" s="3"/>
      <c r="C5319" s="3" t="str">
        <f>"Sale and service of business telephone systems, data networking, PA systems, fiber optic cabling, Audio/Video systems"</f>
        <v>Sale and service of business telephone systems, data networking, PA systems, fiber optic cabling, Audio/Video systems</v>
      </c>
      <c r="D5319" s="3" t="s">
        <v>9</v>
      </c>
      <c r="E5319" s="3" t="s">
        <v>15748</v>
      </c>
      <c r="F5319" s="3" t="str">
        <f>"812-346-8303"</f>
        <v>812-346-8303</v>
      </c>
      <c r="G5319" s="3">
        <v>811213</v>
      </c>
      <c r="H5319" s="3" t="s">
        <v>1077</v>
      </c>
    </row>
    <row r="5320" spans="1:8" ht="51.75" x14ac:dyDescent="0.25">
      <c r="A5320" s="3" t="s">
        <v>15749</v>
      </c>
      <c r="B5320" s="3"/>
      <c r="C5320" s="3" t="str">
        <f>"Information Technology Services - Assessment, Design, Implementation, Computer Programming, Project Management"</f>
        <v>Information Technology Services - Assessment, Design, Implementation, Computer Programming, Project Management</v>
      </c>
      <c r="D5320" s="3" t="s">
        <v>15750</v>
      </c>
      <c r="E5320" s="3" t="s">
        <v>15751</v>
      </c>
      <c r="F5320" s="3" t="str">
        <f>"513-310-7086"</f>
        <v>513-310-7086</v>
      </c>
      <c r="G5320" s="3">
        <v>5415</v>
      </c>
      <c r="H5320" s="3" t="s">
        <v>188</v>
      </c>
    </row>
    <row r="5321" spans="1:8" ht="166.5" x14ac:dyDescent="0.25">
      <c r="A5321" s="3" t="s">
        <v>15752</v>
      </c>
      <c r="B5321" s="3"/>
      <c r="C5321" s="3" t="s">
        <v>15753</v>
      </c>
      <c r="D5321" s="3" t="s">
        <v>15754</v>
      </c>
      <c r="E5321" s="3" t="s">
        <v>15755</v>
      </c>
      <c r="F5321" s="3" t="str">
        <f>"219-750-9450"</f>
        <v>219-750-9450</v>
      </c>
      <c r="G5321" s="3">
        <v>621330</v>
      </c>
      <c r="H5321" s="3" t="s">
        <v>2643</v>
      </c>
    </row>
    <row r="5322" spans="1:8" ht="115.5" x14ac:dyDescent="0.25">
      <c r="A5322" s="3" t="s">
        <v>15756</v>
      </c>
      <c r="B5322" s="3"/>
      <c r="C5322" s="3" t="s">
        <v>15757</v>
      </c>
      <c r="D5322" s="3" t="s">
        <v>15758</v>
      </c>
      <c r="E5322" s="3" t="s">
        <v>15759</v>
      </c>
      <c r="F5322" s="3" t="str">
        <f>"317-721-0500"</f>
        <v>317-721-0500</v>
      </c>
      <c r="G5322" s="3">
        <v>423430</v>
      </c>
      <c r="H5322" s="3" t="s">
        <v>127</v>
      </c>
    </row>
    <row r="5323" spans="1:8" ht="39" x14ac:dyDescent="0.25">
      <c r="A5323" s="3" t="s">
        <v>15760</v>
      </c>
      <c r="B5323" s="3"/>
      <c r="C5323" s="3" t="str">
        <f>"Provide Security Guard Service, Armed and Unarmed , Executive Security,Industrial security"</f>
        <v>Provide Security Guard Service, Armed and Unarmed , Executive Security,Industrial security</v>
      </c>
      <c r="D5323" s="3" t="s">
        <v>15761</v>
      </c>
      <c r="E5323" s="3" t="s">
        <v>15762</v>
      </c>
      <c r="F5323" s="3" t="str">
        <f>"317-297-5377"</f>
        <v>317-297-5377</v>
      </c>
      <c r="G5323" s="3">
        <v>561612</v>
      </c>
      <c r="H5323" s="3" t="s">
        <v>362</v>
      </c>
    </row>
    <row r="5324" spans="1:8" ht="90" x14ac:dyDescent="0.25">
      <c r="A5324" s="3" t="s">
        <v>15763</v>
      </c>
      <c r="B5324" s="3"/>
      <c r="C5324" s="3" t="s">
        <v>15764</v>
      </c>
      <c r="D5324" s="3" t="s">
        <v>15765</v>
      </c>
      <c r="E5324" s="3" t="s">
        <v>15766</v>
      </c>
      <c r="F5324" s="3" t="str">
        <f>"765-448-4567"</f>
        <v>765-448-4567</v>
      </c>
      <c r="G5324" s="3">
        <v>423610</v>
      </c>
      <c r="H5324" s="3" t="s">
        <v>2414</v>
      </c>
    </row>
    <row r="5325" spans="1:8" ht="64.5" x14ac:dyDescent="0.25">
      <c r="A5325" s="3" t="s">
        <v>15767</v>
      </c>
      <c r="B5325" s="3"/>
      <c r="C5325" s="3" t="str">
        <f>"Commercial, Industrial, Architectrual, Event and Portrait photographer. Also do video of Pre-construction and Post-construction site conditions. EBE certified with the City of Fort Wayne."</f>
        <v>Commercial, Industrial, Architectrual, Event and Portrait photographer. Also do video of Pre-construction and Post-construction site conditions. EBE certified with the City of Fort Wayne.</v>
      </c>
      <c r="D5325" s="3" t="s">
        <v>15768</v>
      </c>
      <c r="E5325" s="3" t="s">
        <v>15769</v>
      </c>
      <c r="F5325" s="3" t="str">
        <f>"260.704.6089"</f>
        <v>260.704.6089</v>
      </c>
      <c r="G5325" s="3">
        <v>812990</v>
      </c>
      <c r="H5325" s="3" t="s">
        <v>294</v>
      </c>
    </row>
    <row r="5326" spans="1:8" ht="268.5" x14ac:dyDescent="0.25">
      <c r="A5326" s="3" t="s">
        <v>15770</v>
      </c>
      <c r="B5326" s="3"/>
      <c r="C5326" s="3" t="s">
        <v>15771</v>
      </c>
      <c r="D5326" s="3" t="s">
        <v>15772</v>
      </c>
      <c r="E5326" s="3" t="s">
        <v>15773</v>
      </c>
      <c r="F5326" s="3" t="str">
        <f>"3175725777"</f>
        <v>3175725777</v>
      </c>
      <c r="G5326" s="3">
        <v>23599</v>
      </c>
      <c r="H5326" s="3" t="s">
        <v>248</v>
      </c>
    </row>
    <row r="5327" spans="1:8" ht="115.5" x14ac:dyDescent="0.25">
      <c r="A5327" s="3" t="s">
        <v>15774</v>
      </c>
      <c r="B5327" s="3"/>
      <c r="C5327" s="3" t="s">
        <v>15775</v>
      </c>
      <c r="D5327" s="3" t="s">
        <v>9</v>
      </c>
      <c r="E5327" s="3" t="s">
        <v>15776</v>
      </c>
      <c r="F5327" s="3" t="str">
        <f>"812-331-0255"</f>
        <v>812-331-0255</v>
      </c>
      <c r="G5327" s="3">
        <v>541310</v>
      </c>
      <c r="H5327" s="3" t="s">
        <v>446</v>
      </c>
    </row>
    <row r="5328" spans="1:8" ht="51.75" x14ac:dyDescent="0.25">
      <c r="A5328" s="3" t="s">
        <v>15777</v>
      </c>
      <c r="B5328" s="3"/>
      <c r="C5328" s="3" t="str">
        <f>"refrigerated carrier based in Indiana and operating adjoining states of Indiana, with dry, refrigerated, and frozen truckload capabilities"</f>
        <v>refrigerated carrier based in Indiana and operating adjoining states of Indiana, with dry, refrigerated, and frozen truckload capabilities</v>
      </c>
      <c r="D5328" s="3" t="s">
        <v>9</v>
      </c>
      <c r="E5328" s="3" t="s">
        <v>15778</v>
      </c>
      <c r="F5328" s="3" t="str">
        <f>"765-361-2970"</f>
        <v>765-361-2970</v>
      </c>
      <c r="G5328" s="3">
        <v>484110</v>
      </c>
      <c r="H5328" s="3" t="s">
        <v>644</v>
      </c>
    </row>
    <row r="5329" spans="1:8" ht="26.25" x14ac:dyDescent="0.25">
      <c r="A5329" s="3" t="s">
        <v>15779</v>
      </c>
      <c r="B5329" s="3"/>
      <c r="C5329" s="3" t="str">
        <f>"Affordable and dependable lawn care service."</f>
        <v>Affordable and dependable lawn care service.</v>
      </c>
      <c r="D5329" s="3" t="s">
        <v>9</v>
      </c>
      <c r="E5329" s="3" t="s">
        <v>15780</v>
      </c>
      <c r="F5329" s="3" t="str">
        <f>"317-490-3179"</f>
        <v>317-490-3179</v>
      </c>
      <c r="G5329" s="3">
        <v>541370</v>
      </c>
      <c r="H5329" s="3" t="s">
        <v>160</v>
      </c>
    </row>
    <row r="5330" spans="1:8" ht="179.25" x14ac:dyDescent="0.25">
      <c r="A5330" s="3" t="s">
        <v>15781</v>
      </c>
      <c r="B5330" s="3"/>
      <c r="C5330" s="3" t="s">
        <v>15782</v>
      </c>
      <c r="D5330" s="3" t="s">
        <v>15783</v>
      </c>
      <c r="E5330" s="3" t="s">
        <v>15784</v>
      </c>
      <c r="F5330" s="3" t="str">
        <f>"317-344-3010"</f>
        <v>317-344-3010</v>
      </c>
      <c r="G5330" s="3">
        <v>541890</v>
      </c>
      <c r="H5330" s="3" t="s">
        <v>401</v>
      </c>
    </row>
    <row r="5331" spans="1:8" ht="51.75" x14ac:dyDescent="0.25">
      <c r="A5331" s="3" t="s">
        <v>15785</v>
      </c>
      <c r="B5331" s="3"/>
      <c r="C5331" s="3" t="str">
        <f>"Media production. computer, video, photography, interactive flash. For training and marketing. Delivered via CD, DVD, print, web, etc. Internet and intranet."</f>
        <v>Media production. computer, video, photography, interactive flash. For training and marketing. Delivered via CD, DVD, print, web, etc. Internet and intranet.</v>
      </c>
      <c r="D5331" s="3" t="s">
        <v>15786</v>
      </c>
      <c r="E5331" s="3" t="s">
        <v>15787</v>
      </c>
      <c r="F5331" s="3" t="str">
        <f>"812-522-3333"</f>
        <v>812-522-3333</v>
      </c>
      <c r="G5331" s="3">
        <v>512110</v>
      </c>
      <c r="H5331" s="3" t="s">
        <v>406</v>
      </c>
    </row>
    <row r="5332" spans="1:8" ht="26.25" x14ac:dyDescent="0.25">
      <c r="A5332" s="3" t="s">
        <v>15788</v>
      </c>
      <c r="B5332" s="3"/>
      <c r="C5332" s="3" t="str">
        <f>"Minority Owned Janitioral Service"</f>
        <v>Minority Owned Janitioral Service</v>
      </c>
      <c r="D5332" s="3" t="s">
        <v>9</v>
      </c>
      <c r="E5332" s="3" t="s">
        <v>15789</v>
      </c>
      <c r="F5332" s="3" t="str">
        <f>"317-319-6885"</f>
        <v>317-319-6885</v>
      </c>
      <c r="G5332" s="3">
        <v>561720</v>
      </c>
      <c r="H5332" s="3" t="s">
        <v>222</v>
      </c>
    </row>
    <row r="5333" spans="1:8" ht="166.5" x14ac:dyDescent="0.25">
      <c r="A5333" s="3" t="s">
        <v>15790</v>
      </c>
      <c r="B5333" s="3"/>
      <c r="C5333" s="3" t="s">
        <v>15791</v>
      </c>
      <c r="D5333" s="3" t="s">
        <v>15792</v>
      </c>
      <c r="E5333" s="3" t="s">
        <v>15793</v>
      </c>
      <c r="F5333" s="3" t="str">
        <f>"800.201.2275"</f>
        <v>800.201.2275</v>
      </c>
      <c r="G5333" s="3">
        <v>325</v>
      </c>
      <c r="H5333" s="3" t="s">
        <v>4643</v>
      </c>
    </row>
    <row r="5334" spans="1:8" ht="115.5" x14ac:dyDescent="0.25">
      <c r="A5334" s="3" t="s">
        <v>15794</v>
      </c>
      <c r="B5334" s="3"/>
      <c r="C5334" s="3" t="s">
        <v>15795</v>
      </c>
      <c r="D5334" s="3" t="s">
        <v>15796</v>
      </c>
      <c r="E5334" s="3" t="s">
        <v>15797</v>
      </c>
      <c r="F5334" s="3" t="str">
        <f>"765-724-3557"</f>
        <v>765-724-3557</v>
      </c>
      <c r="G5334" s="3">
        <v>23</v>
      </c>
      <c r="H5334" s="3" t="s">
        <v>133</v>
      </c>
    </row>
    <row r="5335" spans="1:8" ht="64.5" x14ac:dyDescent="0.25">
      <c r="A5335" s="3" t="s">
        <v>15798</v>
      </c>
      <c r="B5335" s="3"/>
      <c r="C5335" s="3" t="str">
        <f>"Kleenit Group, Inc. is a full service commercial cleaning company. We provide services for janitorial; carpet and furniture cleaning; tile cleaning; window cleaning; and after construction cleaning."</f>
        <v>Kleenit Group, Inc. is a full service commercial cleaning company. We provide services for janitorial; carpet and furniture cleaning; tile cleaning; window cleaning; and after construction cleaning.</v>
      </c>
      <c r="D5335" s="3" t="s">
        <v>15799</v>
      </c>
      <c r="E5335" s="3" t="s">
        <v>15800</v>
      </c>
      <c r="F5335" s="3" t="str">
        <f>"260-484-0304"</f>
        <v>260-484-0304</v>
      </c>
      <c r="G5335" s="3">
        <v>561720</v>
      </c>
      <c r="H5335" s="3" t="s">
        <v>222</v>
      </c>
    </row>
    <row r="5336" spans="1:8" ht="102.75" x14ac:dyDescent="0.25">
      <c r="A5336" s="3" t="s">
        <v>15801</v>
      </c>
      <c r="B5336" s="3"/>
      <c r="C5336" s="3" t="s">
        <v>15802</v>
      </c>
      <c r="D5336" s="3" t="s">
        <v>15803</v>
      </c>
      <c r="E5336" s="3" t="s">
        <v>15804</v>
      </c>
      <c r="F5336" s="3" t="str">
        <f>"317.357.2095"</f>
        <v>317.357.2095</v>
      </c>
      <c r="G5336" s="3">
        <v>811420</v>
      </c>
      <c r="H5336" s="3" t="s">
        <v>1065</v>
      </c>
    </row>
    <row r="5337" spans="1:8" ht="39" x14ac:dyDescent="0.25">
      <c r="A5337" s="3" t="s">
        <v>15805</v>
      </c>
      <c r="B5337" s="3"/>
      <c r="C5337" s="3" t="str">
        <f>"Bottled water service for home and office. Also, office coffee service, and vending machines for complete breakroom service."</f>
        <v>Bottled water service for home and office. Also, office coffee service, and vending machines for complete breakroom service.</v>
      </c>
      <c r="D5337" s="3" t="s">
        <v>15806</v>
      </c>
      <c r="E5337" s="3" t="s">
        <v>15807</v>
      </c>
      <c r="F5337" s="3" t="str">
        <f>"(317) 353-9444"</f>
        <v>(317) 353-9444</v>
      </c>
      <c r="G5337" s="3">
        <v>312112</v>
      </c>
      <c r="H5337" s="3" t="s">
        <v>2282</v>
      </c>
    </row>
    <row r="5338" spans="1:8" ht="77.25" x14ac:dyDescent="0.25">
      <c r="A5338" s="3" t="s">
        <v>15808</v>
      </c>
      <c r="B5338" s="3"/>
      <c r="C5338" s="3" t="str">
        <f>"Standby emergency power generation service, maintenance and repair. Service and maintenance includes medium voltage (480 volt) automatic switch gear. Service includes scheduled and unscheduled maintenance with 24 emergency service."</f>
        <v>Standby emergency power generation service, maintenance and repair. Service and maintenance includes medium voltage (480 volt) automatic switch gear. Service includes scheduled and unscheduled maintenance with 24 emergency service.</v>
      </c>
      <c r="D5338" s="3" t="s">
        <v>15809</v>
      </c>
      <c r="E5338" s="3" t="s">
        <v>15810</v>
      </c>
      <c r="F5338" s="3" t="str">
        <f>"765-376-9868"</f>
        <v>765-376-9868</v>
      </c>
      <c r="G5338" s="3">
        <v>81131</v>
      </c>
      <c r="H5338" s="3" t="s">
        <v>1895</v>
      </c>
    </row>
    <row r="5339" spans="1:8" ht="141" x14ac:dyDescent="0.25">
      <c r="A5339" s="3" t="s">
        <v>15811</v>
      </c>
      <c r="B5339" s="3"/>
      <c r="C5339" s="3" t="s">
        <v>15812</v>
      </c>
      <c r="D5339" s="3" t="s">
        <v>15813</v>
      </c>
      <c r="E5339" s="3" t="s">
        <v>15814</v>
      </c>
      <c r="F5339" s="3" t="str">
        <f>"317-947-4949"</f>
        <v>317-947-4949</v>
      </c>
      <c r="G5339" s="3">
        <v>56172</v>
      </c>
      <c r="H5339" s="3" t="s">
        <v>222</v>
      </c>
    </row>
    <row r="5340" spans="1:8" ht="115.5" x14ac:dyDescent="0.25">
      <c r="A5340" s="3" t="s">
        <v>15815</v>
      </c>
      <c r="B5340" s="3"/>
      <c r="C5340" s="3" t="s">
        <v>15816</v>
      </c>
      <c r="D5340" s="3" t="s">
        <v>15817</v>
      </c>
      <c r="E5340" s="3" t="s">
        <v>15818</v>
      </c>
      <c r="F5340" s="3" t="str">
        <f>"800-825-4434"</f>
        <v>800-825-4434</v>
      </c>
      <c r="G5340" s="3">
        <v>23622</v>
      </c>
      <c r="H5340" s="3" t="s">
        <v>598</v>
      </c>
    </row>
    <row r="5341" spans="1:8" ht="39" x14ac:dyDescent="0.25">
      <c r="A5341" s="3" t="s">
        <v>15819</v>
      </c>
      <c r="B5341" s="3"/>
      <c r="C5341" s="3" t="str">
        <f>"We our a welding,fabication, manufacturing,machining,sandblasting,painting, Company"</f>
        <v>We our a welding,fabication, manufacturing,machining,sandblasting,painting, Company</v>
      </c>
      <c r="D5341" s="3" t="s">
        <v>15820</v>
      </c>
      <c r="E5341" s="3" t="s">
        <v>15821</v>
      </c>
      <c r="F5341" s="3" t="str">
        <f>"260 636-2180"</f>
        <v>260 636-2180</v>
      </c>
      <c r="G5341" s="3">
        <v>333992</v>
      </c>
      <c r="H5341" s="3" t="s">
        <v>1284</v>
      </c>
    </row>
    <row r="5342" spans="1:8" ht="26.25" x14ac:dyDescent="0.25">
      <c r="A5342" s="3" t="s">
        <v>15822</v>
      </c>
      <c r="B5342" s="3"/>
      <c r="C5342" s="3" t="str">
        <f>"General Contractor, all types of construction."</f>
        <v>General Contractor, all types of construction.</v>
      </c>
      <c r="D5342" s="3" t="s">
        <v>9</v>
      </c>
      <c r="E5342" s="3" t="s">
        <v>15823</v>
      </c>
      <c r="F5342" s="3" t="str">
        <f>"317-850-2292"</f>
        <v>317-850-2292</v>
      </c>
      <c r="G5342" s="3">
        <v>23</v>
      </c>
      <c r="H5342" s="3" t="s">
        <v>133</v>
      </c>
    </row>
    <row r="5343" spans="1:8" ht="26.25" x14ac:dyDescent="0.25">
      <c r="A5343" s="3" t="s">
        <v>15824</v>
      </c>
      <c r="B5343" s="3"/>
      <c r="C5343" s="3" t="str">
        <f>"Sell new auto parts and supplies."</f>
        <v>Sell new auto parts and supplies.</v>
      </c>
      <c r="D5343" s="3" t="s">
        <v>9</v>
      </c>
      <c r="E5343" s="3" t="s">
        <v>46</v>
      </c>
      <c r="F5343" s="3" t="str">
        <f>"(765)345-2195"</f>
        <v>(765)345-2195</v>
      </c>
      <c r="G5343" s="3">
        <v>441310</v>
      </c>
      <c r="H5343" s="3" t="s">
        <v>1699</v>
      </c>
    </row>
    <row r="5344" spans="1:8" ht="26.25" x14ac:dyDescent="0.25">
      <c r="A5344" s="3" t="s">
        <v>15825</v>
      </c>
      <c r="B5344" s="3"/>
      <c r="C5344" s="3" t="str">
        <f>"Distributor of petroleum products, fuel, oils, lubes, etc."</f>
        <v>Distributor of petroleum products, fuel, oils, lubes, etc.</v>
      </c>
      <c r="D5344" s="3" t="s">
        <v>9</v>
      </c>
      <c r="E5344" s="3" t="s">
        <v>15826</v>
      </c>
      <c r="F5344" s="3" t="str">
        <f>"800-423-3476"</f>
        <v>800-423-3476</v>
      </c>
      <c r="G5344" s="3">
        <v>213112</v>
      </c>
      <c r="H5344" s="3" t="s">
        <v>4338</v>
      </c>
    </row>
    <row r="5345" spans="1:8" ht="26.25" x14ac:dyDescent="0.25">
      <c r="A5345" s="3" t="s">
        <v>15827</v>
      </c>
      <c r="B5345" s="3"/>
      <c r="C5345" s="3" t="str">
        <f>"Professional and Management Development Training"</f>
        <v>Professional and Management Development Training</v>
      </c>
      <c r="D5345" s="3" t="s">
        <v>9</v>
      </c>
      <c r="E5345" s="3" t="s">
        <v>15828</v>
      </c>
      <c r="F5345" s="3" t="str">
        <f>"3179182793"</f>
        <v>3179182793</v>
      </c>
      <c r="G5345" s="3">
        <v>611430</v>
      </c>
      <c r="H5345" s="3" t="s">
        <v>1224</v>
      </c>
    </row>
    <row r="5346" spans="1:8" ht="39" x14ac:dyDescent="0.25">
      <c r="A5346" s="3" t="s">
        <v>15829</v>
      </c>
      <c r="B5346" s="3"/>
      <c r="C5346" s="3" t="str">
        <f>"We are a comprehensive Community Mental Health Center located in Knox, PIke, Daviess, and Martin Counties."</f>
        <v>We are a comprehensive Community Mental Health Center located in Knox, PIke, Daviess, and Martin Counties.</v>
      </c>
      <c r="D5346" s="3" t="s">
        <v>15830</v>
      </c>
      <c r="E5346" s="3" t="s">
        <v>46</v>
      </c>
      <c r="F5346" s="3" t="str">
        <f>"812-886-6800"</f>
        <v>812-886-6800</v>
      </c>
      <c r="G5346" s="3">
        <v>621420</v>
      </c>
      <c r="H5346" s="3" t="s">
        <v>990</v>
      </c>
    </row>
    <row r="5347" spans="1:8" ht="64.5" x14ac:dyDescent="0.25">
      <c r="A5347" s="3" t="s">
        <v>15831</v>
      </c>
      <c r="B5347" s="3"/>
      <c r="C5347" s="3" t="str">
        <f>"Koberstein Contracting is a civil construction contractor providing quality service for over 50 years for site developments, highways, and utility projects"</f>
        <v>Koberstein Contracting is a civil construction contractor providing quality service for over 50 years for site developments, highways, and utility projects</v>
      </c>
      <c r="D5347" s="3" t="s">
        <v>15832</v>
      </c>
      <c r="E5347" s="3" t="s">
        <v>46</v>
      </c>
      <c r="F5347" s="3" t="str">
        <f>"8123852695"</f>
        <v>8123852695</v>
      </c>
      <c r="G5347" s="3">
        <v>237990</v>
      </c>
      <c r="H5347" s="3" t="s">
        <v>2631</v>
      </c>
    </row>
    <row r="5348" spans="1:8" ht="192" x14ac:dyDescent="0.25">
      <c r="A5348" s="3" t="s">
        <v>15833</v>
      </c>
      <c r="B5348" s="3"/>
      <c r="C5348" s="3" t="s">
        <v>15834</v>
      </c>
      <c r="D5348" s="3" t="s">
        <v>15835</v>
      </c>
      <c r="E5348" s="3" t="s">
        <v>46</v>
      </c>
      <c r="F5348" s="3" t="str">
        <f>"(877) 456-2422"</f>
        <v>(877) 456-2422</v>
      </c>
      <c r="G5348" s="3">
        <v>22133</v>
      </c>
      <c r="H5348" s="3" t="s">
        <v>5198</v>
      </c>
    </row>
    <row r="5349" spans="1:8" ht="64.5" x14ac:dyDescent="0.25">
      <c r="A5349" s="3" t="s">
        <v>15836</v>
      </c>
      <c r="B5349" s="3"/>
      <c r="C5349" s="3" t="str">
        <f>"HVACR wholesale distributor since 1936 with our headquarters located in Evansville, Indiana. We have branches in Evansville, Indianapolis and Fort Wayne - these are bricks and mortar locations in our State."</f>
        <v>HVACR wholesale distributor since 1936 with our headquarters located in Evansville, Indiana. We have branches in Evansville, Indianapolis and Fort Wayne - these are bricks and mortar locations in our State.</v>
      </c>
      <c r="D5349" s="3" t="s">
        <v>15837</v>
      </c>
      <c r="E5349" s="3" t="s">
        <v>46</v>
      </c>
      <c r="F5349" s="3" t="str">
        <f>"812-962-5200"</f>
        <v>812-962-5200</v>
      </c>
      <c r="G5349" s="3">
        <v>423720</v>
      </c>
      <c r="H5349" s="3" t="s">
        <v>2695</v>
      </c>
    </row>
    <row r="5350" spans="1:8" ht="51.75" x14ac:dyDescent="0.25">
      <c r="A5350" s="3" t="s">
        <v>15838</v>
      </c>
      <c r="B5350" s="3"/>
      <c r="C5350" s="3" t="str">
        <f>"Water Treatment services company that provides equipment and treatment to reduce water usage and increase the efficiency of equipment."</f>
        <v>Water Treatment services company that provides equipment and treatment to reduce water usage and increase the efficiency of equipment.</v>
      </c>
      <c r="D5350" s="3" t="s">
        <v>15839</v>
      </c>
      <c r="E5350" s="3" t="s">
        <v>15840</v>
      </c>
      <c r="F5350" s="3" t="str">
        <f>"317-730-5069"</f>
        <v>317-730-5069</v>
      </c>
      <c r="G5350" s="3">
        <v>325</v>
      </c>
      <c r="H5350" s="3" t="s">
        <v>4643</v>
      </c>
    </row>
    <row r="5351" spans="1:8" ht="166.5" x14ac:dyDescent="0.25">
      <c r="A5351" s="3" t="s">
        <v>15841</v>
      </c>
      <c r="B5351" s="3"/>
      <c r="C5351" s="3" t="s">
        <v>15842</v>
      </c>
      <c r="D5351" s="3" t="s">
        <v>9</v>
      </c>
      <c r="E5351" s="3" t="s">
        <v>15843</v>
      </c>
      <c r="F5351" s="3" t="str">
        <f>"(317) 328-0614"</f>
        <v>(317) 328-0614</v>
      </c>
      <c r="G5351" s="3">
        <v>541611</v>
      </c>
      <c r="H5351" s="3" t="s">
        <v>278</v>
      </c>
    </row>
    <row r="5352" spans="1:8" ht="26.25" x14ac:dyDescent="0.25">
      <c r="A5352" s="3" t="s">
        <v>15844</v>
      </c>
      <c r="B5352" s="3"/>
      <c r="C5352" s="3" t="str">
        <f>"Wholesale welding, Industrial and medical gases, industrial, safety, cleaning supplies."</f>
        <v>Wholesale welding, Industrial and medical gases, industrial, safety, cleaning supplies.</v>
      </c>
      <c r="D5352" s="3" t="s">
        <v>15845</v>
      </c>
      <c r="E5352" s="3" t="s">
        <v>15846</v>
      </c>
      <c r="F5352" s="3" t="str">
        <f>"8125744103"</f>
        <v>8125744103</v>
      </c>
      <c r="G5352" s="3">
        <v>23</v>
      </c>
      <c r="H5352" s="3" t="s">
        <v>133</v>
      </c>
    </row>
    <row r="5353" spans="1:8" ht="64.5" x14ac:dyDescent="0.25">
      <c r="A5353" s="3" t="s">
        <v>15847</v>
      </c>
      <c r="B5353" s="3"/>
      <c r="C5353" s="3" t="str">
        <f>"A full service heating, air conditioning and ventilation company operating since 1885, family owned and operated in Historic Fountain Square. Residential, Commercial and Industrial applications."</f>
        <v>A full service heating, air conditioning and ventilation company operating since 1885, family owned and operated in Historic Fountain Square. Residential, Commercial and Industrial applications.</v>
      </c>
      <c r="D5353" s="3" t="s">
        <v>15848</v>
      </c>
      <c r="E5353" s="3" t="s">
        <v>15849</v>
      </c>
      <c r="F5353" s="3" t="str">
        <f>"317-639-6541"</f>
        <v>317-639-6541</v>
      </c>
      <c r="G5353" s="3">
        <v>238220</v>
      </c>
      <c r="H5353" s="3" t="s">
        <v>348</v>
      </c>
    </row>
    <row r="5354" spans="1:8" ht="39" x14ac:dyDescent="0.25">
      <c r="A5354" s="3" t="s">
        <v>15850</v>
      </c>
      <c r="B5354" s="3"/>
      <c r="C5354" s="3" t="str">
        <f>"Animal Bedding, Boiler Fuels, Solidification, Mulches, Soils, Compost, De-Identification, tranportations services"</f>
        <v>Animal Bedding, Boiler Fuels, Solidification, Mulches, Soils, Compost, De-Identification, tranportations services</v>
      </c>
      <c r="D5354" s="3" t="s">
        <v>15851</v>
      </c>
      <c r="E5354" s="3" t="s">
        <v>15852</v>
      </c>
      <c r="F5354" s="3" t="str">
        <f>"812-923-5111"</f>
        <v>812-923-5111</v>
      </c>
      <c r="G5354" s="3">
        <v>321999</v>
      </c>
      <c r="H5354" s="3" t="s">
        <v>2185</v>
      </c>
    </row>
    <row r="5355" spans="1:8" ht="51.75" x14ac:dyDescent="0.25">
      <c r="A5355" s="3" t="s">
        <v>15853</v>
      </c>
      <c r="B5355" s="3"/>
      <c r="C5355" s="3" t="str">
        <f>"Cleaning anything inside of building. Clean offices, strip old wax, put new wax, buffing. Work time:anytime, night work and daytime work. Cleaning building after construction."</f>
        <v>Cleaning anything inside of building. Clean offices, strip old wax, put new wax, buffing. Work time:anytime, night work and daytime work. Cleaning building after construction.</v>
      </c>
      <c r="D5355" s="3" t="s">
        <v>9</v>
      </c>
      <c r="E5355" s="3" t="s">
        <v>15854</v>
      </c>
      <c r="F5355" s="2"/>
      <c r="G5355" s="3">
        <v>561720</v>
      </c>
      <c r="H5355" s="3" t="s">
        <v>222</v>
      </c>
    </row>
    <row r="5356" spans="1:8" x14ac:dyDescent="0.25">
      <c r="A5356" s="3" t="s">
        <v>15855</v>
      </c>
      <c r="B5356" s="3"/>
      <c r="C5356" s="3" t="str">
        <f>" "</f>
        <v xml:space="preserve"> </v>
      </c>
      <c r="D5356" s="3" t="s">
        <v>2449</v>
      </c>
      <c r="E5356" s="3" t="s">
        <v>15856</v>
      </c>
      <c r="F5356" s="3" t="str">
        <f>"N/A"</f>
        <v>N/A</v>
      </c>
      <c r="G5356" s="3">
        <v>54194</v>
      </c>
      <c r="H5356" s="3" t="s">
        <v>593</v>
      </c>
    </row>
    <row r="5357" spans="1:8" ht="26.25" x14ac:dyDescent="0.25">
      <c r="A5357" s="3" t="s">
        <v>15857</v>
      </c>
      <c r="B5357" s="3"/>
      <c r="C5357" s="3" t="str">
        <f>"Neurology, EEG, and EMG"</f>
        <v>Neurology, EEG, and EMG</v>
      </c>
      <c r="D5357" s="3" t="s">
        <v>9</v>
      </c>
      <c r="E5357" s="3" t="s">
        <v>46</v>
      </c>
      <c r="F5357" s="3" t="str">
        <f>"765 455 1600"</f>
        <v>765 455 1600</v>
      </c>
      <c r="G5357" s="3">
        <v>621111</v>
      </c>
      <c r="H5357" s="3" t="s">
        <v>2002</v>
      </c>
    </row>
    <row r="5358" spans="1:8" ht="77.25" x14ac:dyDescent="0.25">
      <c r="A5358" s="3" t="s">
        <v>15858</v>
      </c>
      <c r="B5358" s="3"/>
      <c r="C5358" s="3" t="s">
        <v>15859</v>
      </c>
      <c r="D5358" s="3" t="s">
        <v>15860</v>
      </c>
      <c r="E5358" s="3" t="s">
        <v>15861</v>
      </c>
      <c r="F5358" s="3" t="str">
        <f>"765-457-9143"</f>
        <v>765-457-9143</v>
      </c>
      <c r="G5358" s="3">
        <v>423830</v>
      </c>
      <c r="H5358" s="3" t="s">
        <v>172</v>
      </c>
    </row>
    <row r="5359" spans="1:8" ht="115.5" x14ac:dyDescent="0.25">
      <c r="A5359" s="3" t="s">
        <v>15862</v>
      </c>
      <c r="B5359" s="3"/>
      <c r="C5359" s="3" t="s">
        <v>15863</v>
      </c>
      <c r="D5359" s="3" t="s">
        <v>9</v>
      </c>
      <c r="E5359" s="3" t="s">
        <v>15864</v>
      </c>
      <c r="F5359" s="3" t="str">
        <f>"765 456-1190"</f>
        <v>765 456-1190</v>
      </c>
      <c r="G5359" s="3">
        <v>33995</v>
      </c>
      <c r="H5359" s="3" t="s">
        <v>68</v>
      </c>
    </row>
    <row r="5360" spans="1:8" ht="26.25" x14ac:dyDescent="0.25">
      <c r="A5360" s="3" t="s">
        <v>15865</v>
      </c>
      <c r="B5360" s="3"/>
      <c r="C5360" s="3" t="str">
        <f>" "</f>
        <v xml:space="preserve"> </v>
      </c>
      <c r="D5360" s="3" t="s">
        <v>15866</v>
      </c>
      <c r="E5360" s="3" t="s">
        <v>46</v>
      </c>
      <c r="F5360" s="3" t="str">
        <f>"770-690-4272"</f>
        <v>770-690-4272</v>
      </c>
      <c r="G5360" s="3">
        <v>541511</v>
      </c>
      <c r="H5360" s="3" t="s">
        <v>122</v>
      </c>
    </row>
    <row r="5361" spans="1:8" ht="26.25" x14ac:dyDescent="0.25">
      <c r="A5361" s="3" t="s">
        <v>15867</v>
      </c>
      <c r="B5361" s="3"/>
      <c r="C5361" s="3" t="str">
        <f>"Plastics, distribution and machining plastic sheet, rod, and tube"</f>
        <v>Plastics, distribution and machining plastic sheet, rod, and tube</v>
      </c>
      <c r="D5361" s="3" t="s">
        <v>15868</v>
      </c>
      <c r="E5361" s="3" t="s">
        <v>46</v>
      </c>
      <c r="F5361" s="3" t="str">
        <f>"219-763-7001"</f>
        <v>219-763-7001</v>
      </c>
      <c r="G5361" s="3">
        <v>42461</v>
      </c>
      <c r="H5361" s="3" t="s">
        <v>12492</v>
      </c>
    </row>
    <row r="5362" spans="1:8" ht="243" x14ac:dyDescent="0.25">
      <c r="A5362" s="3" t="s">
        <v>15869</v>
      </c>
      <c r="B5362" s="3"/>
      <c r="C5362" s="3" t="s">
        <v>15870</v>
      </c>
      <c r="D5362" s="3" t="s">
        <v>9</v>
      </c>
      <c r="E5362" s="3" t="s">
        <v>15871</v>
      </c>
      <c r="F5362" s="3" t="str">
        <f>"219-662-0436"</f>
        <v>219-662-0436</v>
      </c>
      <c r="G5362" s="3">
        <v>541890</v>
      </c>
      <c r="H5362" s="3" t="s">
        <v>401</v>
      </c>
    </row>
    <row r="5363" spans="1:8" ht="115.5" x14ac:dyDescent="0.25">
      <c r="A5363" s="3" t="s">
        <v>15872</v>
      </c>
      <c r="B5363" s="3"/>
      <c r="C5363" s="3" t="s">
        <v>15873</v>
      </c>
      <c r="D5363" s="3" t="s">
        <v>15874</v>
      </c>
      <c r="E5363" s="3" t="s">
        <v>46</v>
      </c>
      <c r="F5363" s="3" t="str">
        <f>"317-542-1800"</f>
        <v>317-542-1800</v>
      </c>
      <c r="G5363" s="3">
        <v>561621</v>
      </c>
      <c r="H5363" s="3" t="s">
        <v>827</v>
      </c>
    </row>
    <row r="5364" spans="1:8" ht="166.5" x14ac:dyDescent="0.25">
      <c r="A5364" s="3" t="s">
        <v>15875</v>
      </c>
      <c r="B5364" s="3"/>
      <c r="C5364" s="3" t="s">
        <v>15876</v>
      </c>
      <c r="D5364" s="3" t="s">
        <v>15877</v>
      </c>
      <c r="E5364" s="3" t="s">
        <v>15878</v>
      </c>
      <c r="F5364" s="3" t="str">
        <f>"317-225-5968"</f>
        <v>317-225-5968</v>
      </c>
      <c r="G5364" s="3">
        <v>561621</v>
      </c>
      <c r="H5364" s="3" t="s">
        <v>827</v>
      </c>
    </row>
    <row r="5365" spans="1:8" ht="230.25" x14ac:dyDescent="0.25">
      <c r="A5365" s="3" t="s">
        <v>15879</v>
      </c>
      <c r="B5365" s="3"/>
      <c r="C5365" s="3" t="s">
        <v>15880</v>
      </c>
      <c r="D5365" s="3" t="s">
        <v>15881</v>
      </c>
      <c r="E5365" s="3" t="s">
        <v>15882</v>
      </c>
      <c r="F5365" s="3" t="str">
        <f>"574-288-2727"</f>
        <v>574-288-2727</v>
      </c>
      <c r="G5365" s="3">
        <v>812990</v>
      </c>
      <c r="H5365" s="3" t="s">
        <v>294</v>
      </c>
    </row>
    <row r="5366" spans="1:8" ht="90" x14ac:dyDescent="0.25">
      <c r="A5366" s="3" t="s">
        <v>15883</v>
      </c>
      <c r="B5366" s="3"/>
      <c r="C5366" s="3" t="s">
        <v>15884</v>
      </c>
      <c r="D5366" s="3" t="s">
        <v>15885</v>
      </c>
      <c r="E5366" s="3" t="s">
        <v>15886</v>
      </c>
      <c r="F5366" s="3" t="str">
        <f>"260-637-7051"</f>
        <v>260-637-7051</v>
      </c>
      <c r="G5366" s="3">
        <v>238330</v>
      </c>
      <c r="H5366" s="3" t="s">
        <v>2995</v>
      </c>
    </row>
    <row r="5367" spans="1:8" ht="90" x14ac:dyDescent="0.25">
      <c r="A5367" s="3" t="s">
        <v>15887</v>
      </c>
      <c r="B5367" s="3"/>
      <c r="C5367" s="3" t="s">
        <v>15888</v>
      </c>
      <c r="D5367" s="3" t="s">
        <v>15889</v>
      </c>
      <c r="E5367" s="3" t="s">
        <v>15890</v>
      </c>
      <c r="F5367" s="3" t="str">
        <f>"317-243-1750"</f>
        <v>317-243-1750</v>
      </c>
      <c r="G5367" s="3">
        <v>444130</v>
      </c>
      <c r="H5367" s="3" t="s">
        <v>2597</v>
      </c>
    </row>
    <row r="5368" spans="1:8" ht="26.25" x14ac:dyDescent="0.25">
      <c r="A5368" s="3" t="s">
        <v>15891</v>
      </c>
      <c r="B5368" s="3"/>
      <c r="C5368" s="3" t="str">
        <f>" "</f>
        <v xml:space="preserve"> </v>
      </c>
      <c r="D5368" s="3" t="s">
        <v>9</v>
      </c>
      <c r="E5368" s="3" t="s">
        <v>15892</v>
      </c>
      <c r="F5368" s="3" t="str">
        <f>"812-482-6838"</f>
        <v>812-482-6838</v>
      </c>
      <c r="G5368" s="3">
        <v>236220</v>
      </c>
      <c r="H5368" s="3" t="s">
        <v>598</v>
      </c>
    </row>
    <row r="5369" spans="1:8" ht="26.25" x14ac:dyDescent="0.25">
      <c r="A5369" s="3" t="s">
        <v>15893</v>
      </c>
      <c r="B5369" s="3"/>
      <c r="C5369" s="3" t="str">
        <f>"Manufacturer of HVAC and building automation systems."</f>
        <v>Manufacturer of HVAC and building automation systems.</v>
      </c>
      <c r="D5369" s="3" t="s">
        <v>15894</v>
      </c>
      <c r="E5369" s="3" t="s">
        <v>15895</v>
      </c>
      <c r="F5369" s="3" t="str">
        <f>"574-831-5250"</f>
        <v>574-831-5250</v>
      </c>
      <c r="G5369" s="3">
        <v>541330</v>
      </c>
      <c r="H5369" s="3" t="s">
        <v>82</v>
      </c>
    </row>
    <row r="5370" spans="1:8" ht="192" x14ac:dyDescent="0.25">
      <c r="A5370" s="3" t="s">
        <v>15896</v>
      </c>
      <c r="B5370" s="3"/>
      <c r="C5370" s="3" t="s">
        <v>15897</v>
      </c>
      <c r="D5370" s="3" t="s">
        <v>15898</v>
      </c>
      <c r="E5370" s="3" t="s">
        <v>15899</v>
      </c>
      <c r="F5370" s="3" t="str">
        <f>"317-636-4341"</f>
        <v>317-636-4341</v>
      </c>
      <c r="G5370" s="3">
        <v>541110</v>
      </c>
      <c r="H5370" s="3" t="s">
        <v>2978</v>
      </c>
    </row>
    <row r="5371" spans="1:8" ht="64.5" x14ac:dyDescent="0.25">
      <c r="A5371" s="3" t="s">
        <v>15900</v>
      </c>
      <c r="B5371" s="3"/>
      <c r="C5371" s="3" t="str">
        <f>"We are a lawn care and landscape company that offers services and products to residential and commercial customers. We are a complete outdoor professional company."</f>
        <v>We are a lawn care and landscape company that offers services and products to residential and commercial customers. We are a complete outdoor professional company.</v>
      </c>
      <c r="D5371" s="3" t="s">
        <v>15901</v>
      </c>
      <c r="E5371" s="3" t="s">
        <v>15902</v>
      </c>
      <c r="F5371" s="3" t="str">
        <f>"765-563-1110"</f>
        <v>765-563-1110</v>
      </c>
      <c r="G5371" s="3">
        <v>541320</v>
      </c>
      <c r="H5371" s="3" t="s">
        <v>2241</v>
      </c>
    </row>
    <row r="5372" spans="1:8" x14ac:dyDescent="0.25">
      <c r="A5372" s="3" t="s">
        <v>15903</v>
      </c>
      <c r="B5372" s="3"/>
      <c r="C5372" s="3" t="str">
        <f>" "</f>
        <v xml:space="preserve"> </v>
      </c>
      <c r="D5372" s="3" t="s">
        <v>9</v>
      </c>
      <c r="E5372" s="3" t="s">
        <v>46</v>
      </c>
      <c r="F5372" s="2"/>
      <c r="G5372" s="3">
        <v>522291</v>
      </c>
      <c r="H5372" s="3" t="s">
        <v>1966</v>
      </c>
    </row>
    <row r="5373" spans="1:8" ht="102.75" x14ac:dyDescent="0.25">
      <c r="A5373" s="3" t="s">
        <v>15904</v>
      </c>
      <c r="B5373" s="3"/>
      <c r="C5373" s="3" t="s">
        <v>15905</v>
      </c>
      <c r="D5373" s="3" t="s">
        <v>15906</v>
      </c>
      <c r="E5373" s="3" t="s">
        <v>15907</v>
      </c>
      <c r="F5373" s="3" t="str">
        <f>"219-871-1435"</f>
        <v>219-871-1435</v>
      </c>
      <c r="G5373" s="3">
        <v>238210</v>
      </c>
      <c r="H5373" s="3" t="s">
        <v>306</v>
      </c>
    </row>
    <row r="5374" spans="1:8" ht="77.25" x14ac:dyDescent="0.25">
      <c r="A5374" s="3" t="s">
        <v>15908</v>
      </c>
      <c r="B5374" s="3"/>
      <c r="C5374" s="3" t="str">
        <f>"Learning Worx is a prescriptive educational consulting company focusing on School Improvement, Leadership and Leadership Team Development, Effective Coaching Strategies, Instructional Audits, and Professional Development Planning."</f>
        <v>Learning Worx is a prescriptive educational consulting company focusing on School Improvement, Leadership and Leadership Team Development, Effective Coaching Strategies, Instructional Audits, and Professional Development Planning.</v>
      </c>
      <c r="D5374" s="3" t="s">
        <v>15909</v>
      </c>
      <c r="E5374" s="3" t="s">
        <v>15910</v>
      </c>
      <c r="F5374" s="3" t="str">
        <f>"317-514-5679"</f>
        <v>317-514-5679</v>
      </c>
      <c r="G5374" s="3">
        <v>611710</v>
      </c>
      <c r="H5374" s="3" t="s">
        <v>508</v>
      </c>
    </row>
    <row r="5375" spans="1:8" ht="51.75" x14ac:dyDescent="0.25">
      <c r="A5375" s="3" t="s">
        <v>15911</v>
      </c>
      <c r="B5375" s="3"/>
      <c r="C5375" s="3" t="str">
        <f>"Custom lawn and tree programs Turf Grass Fertilizing Turf Grass Weed Control Turf Grass and Landscape Insect Control Aeration and seeding design, build"</f>
        <v>Custom lawn and tree programs Turf Grass Fertilizing Turf Grass Weed Control Turf Grass and Landscape Insect Control Aeration and seeding design, build</v>
      </c>
      <c r="D5375" s="3" t="s">
        <v>15912</v>
      </c>
      <c r="E5375" s="3" t="s">
        <v>15913</v>
      </c>
      <c r="F5375" s="3" t="str">
        <f>"812-232-5116"</f>
        <v>812-232-5116</v>
      </c>
      <c r="G5375" s="3">
        <v>561730</v>
      </c>
      <c r="H5375" s="3" t="s">
        <v>65</v>
      </c>
    </row>
    <row r="5376" spans="1:8" ht="77.25" x14ac:dyDescent="0.25">
      <c r="A5376" s="3" t="s">
        <v>15914</v>
      </c>
      <c r="B5376" s="3"/>
      <c r="C5376" s="3" t="str">
        <f>"Turf Fertilizer Tree and Shrub Fertilizer Turf Weed Control Tree and Shrub disease and insect control Custom lawn and tree programs weed and insect control Lawn aeration and seeding Grading and new grass seed plantin"</f>
        <v>Turf Fertilizer Tree and Shrub Fertilizer Turf Weed Control Tree and Shrub disease and insect control Custom lawn and tree programs weed and insect control Lawn aeration and seeding Grading and new grass seed plantin</v>
      </c>
      <c r="D5376" s="3" t="s">
        <v>9</v>
      </c>
      <c r="E5376" s="3" t="s">
        <v>15915</v>
      </c>
      <c r="F5376" s="3" t="str">
        <f>"8122325116"</f>
        <v>8122325116</v>
      </c>
      <c r="G5376" s="3">
        <v>561730</v>
      </c>
      <c r="H5376" s="3" t="s">
        <v>65</v>
      </c>
    </row>
    <row r="5377" spans="1:8" ht="204.75" x14ac:dyDescent="0.25">
      <c r="A5377" s="3" t="s">
        <v>15916</v>
      </c>
      <c r="B5377" s="3"/>
      <c r="C5377" s="3" t="s">
        <v>15917</v>
      </c>
      <c r="D5377" s="3" t="s">
        <v>9</v>
      </c>
      <c r="E5377" s="3" t="s">
        <v>15918</v>
      </c>
      <c r="F5377" s="3" t="str">
        <f>"812-482-4264"</f>
        <v>812-482-4264</v>
      </c>
      <c r="G5377" s="3">
        <v>541110</v>
      </c>
      <c r="H5377" s="3" t="s">
        <v>2978</v>
      </c>
    </row>
    <row r="5378" spans="1:8" ht="64.5" x14ac:dyDescent="0.25">
      <c r="A5378" s="3" t="s">
        <v>15919</v>
      </c>
      <c r="B5378" s="3"/>
      <c r="C5378" s="3" t="str">
        <f>"Graphic design services for all types of print products: brochures, manuals, annual reports, marketing materials, posters, fliers, books, cards, stationary, identity elements, and branding."</f>
        <v>Graphic design services for all types of print products: brochures, manuals, annual reports, marketing materials, posters, fliers, books, cards, stationary, identity elements, and branding.</v>
      </c>
      <c r="D5378" s="3" t="s">
        <v>15920</v>
      </c>
      <c r="E5378" s="3" t="s">
        <v>15921</v>
      </c>
      <c r="F5378" s="3" t="str">
        <f>"812-219-9300"</f>
        <v>812-219-9300</v>
      </c>
      <c r="G5378" s="3">
        <v>541430</v>
      </c>
      <c r="H5378" s="3" t="s">
        <v>78</v>
      </c>
    </row>
    <row r="5379" spans="1:8" ht="77.25" x14ac:dyDescent="0.25">
      <c r="A5379" s="3" t="s">
        <v>15922</v>
      </c>
      <c r="B5379" s="3"/>
      <c r="C5379" s="3" t="str">
        <f>"Kruse Consulting, Inc. (KCI) is a land surveying and civil engineering company specializing in residental and commercial land using planning. KCI presently employs 7 individuals and is located in Hendricks County."</f>
        <v>Kruse Consulting, Inc. (KCI) is a land surveying and civil engineering company specializing in residental and commercial land using planning. KCI presently employs 7 individuals and is located in Hendricks County.</v>
      </c>
      <c r="D5379" s="3" t="s">
        <v>15923</v>
      </c>
      <c r="E5379" s="3" t="s">
        <v>15924</v>
      </c>
      <c r="F5379" s="3" t="str">
        <f>"317-272-5508"</f>
        <v>317-272-5508</v>
      </c>
      <c r="G5379" s="3">
        <v>541370</v>
      </c>
      <c r="H5379" s="3" t="s">
        <v>160</v>
      </c>
    </row>
    <row r="5380" spans="1:8" x14ac:dyDescent="0.25">
      <c r="A5380" s="3" t="s">
        <v>15925</v>
      </c>
      <c r="B5380" s="3"/>
      <c r="C5380" s="3" t="str">
        <f>" "</f>
        <v xml:space="preserve"> </v>
      </c>
      <c r="D5380" s="3" t="s">
        <v>9</v>
      </c>
      <c r="E5380" s="3" t="s">
        <v>46</v>
      </c>
      <c r="F5380" s="2"/>
      <c r="G5380" s="3">
        <v>811430</v>
      </c>
      <c r="H5380" s="3" t="s">
        <v>15926</v>
      </c>
    </row>
    <row r="5381" spans="1:8" ht="64.5" x14ac:dyDescent="0.25">
      <c r="A5381" s="3" t="s">
        <v>15927</v>
      </c>
      <c r="B5381" s="3"/>
      <c r="C5381" s="3" t="str">
        <f>"Kuert Concrete, Inc. manufactures and delivers ready mixed concrete and related concrete supplies in the North Central part of Indiana We have been in business in the same location in South Bend since 1927."</f>
        <v>Kuert Concrete, Inc. manufactures and delivers ready mixed concrete and related concrete supplies in the North Central part of Indiana We have been in business in the same location in South Bend since 1927.</v>
      </c>
      <c r="D5381" s="3" t="s">
        <v>15928</v>
      </c>
      <c r="E5381" s="3" t="s">
        <v>15929</v>
      </c>
      <c r="F5381" s="3" t="str">
        <f>"574-232-9911"</f>
        <v>574-232-9911</v>
      </c>
      <c r="G5381" s="3">
        <v>32732</v>
      </c>
      <c r="H5381" s="3" t="s">
        <v>5501</v>
      </c>
    </row>
    <row r="5382" spans="1:8" ht="51.75" x14ac:dyDescent="0.25">
      <c r="A5382" s="3" t="s">
        <v>15930</v>
      </c>
      <c r="B5382" s="3"/>
      <c r="C5382" s="3" t="str">
        <f>"We sell high quality lawn care equipment and service what we sell. We can be a one stop shop for all of your lawn and ground care equipment."</f>
        <v>We sell high quality lawn care equipment and service what we sell. We can be a one stop shop for all of your lawn and ground care equipment.</v>
      </c>
      <c r="D5382" s="3" t="s">
        <v>9</v>
      </c>
      <c r="E5382" s="3" t="s">
        <v>46</v>
      </c>
      <c r="F5382" s="3" t="str">
        <f>"574-646-2011"</f>
        <v>574-646-2011</v>
      </c>
      <c r="G5382" s="3">
        <v>4442</v>
      </c>
      <c r="H5382" s="3" t="s">
        <v>852</v>
      </c>
    </row>
    <row r="5383" spans="1:8" ht="26.25" x14ac:dyDescent="0.25">
      <c r="A5383" s="3" t="s">
        <v>15931</v>
      </c>
      <c r="B5383" s="3"/>
      <c r="C5383" s="3" t="str">
        <f>"Farm Co-op"</f>
        <v>Farm Co-op</v>
      </c>
      <c r="D5383" s="3" t="s">
        <v>9</v>
      </c>
      <c r="E5383" s="3" t="s">
        <v>15932</v>
      </c>
      <c r="F5383" s="3" t="str">
        <f>"260-856-2442"</f>
        <v>260-856-2442</v>
      </c>
      <c r="G5383" s="3">
        <v>11115</v>
      </c>
      <c r="H5383" s="3" t="s">
        <v>7468</v>
      </c>
    </row>
    <row r="5384" spans="1:8" ht="26.25" x14ac:dyDescent="0.25">
      <c r="A5384" s="3" t="s">
        <v>15933</v>
      </c>
      <c r="B5384" s="3"/>
      <c r="C5384" s="3" t="str">
        <f>"Architectural and interior design services"</f>
        <v>Architectural and interior design services</v>
      </c>
      <c r="D5384" s="3" t="s">
        <v>9</v>
      </c>
      <c r="E5384" s="3" t="s">
        <v>15934</v>
      </c>
      <c r="F5384" s="3" t="str">
        <f>"317 710-4519"</f>
        <v>317 710-4519</v>
      </c>
      <c r="G5384" s="3">
        <v>541310</v>
      </c>
      <c r="H5384" s="3" t="s">
        <v>446</v>
      </c>
    </row>
    <row r="5385" spans="1:8" ht="26.25" x14ac:dyDescent="0.25">
      <c r="A5385" s="3" t="s">
        <v>15935</v>
      </c>
      <c r="B5385" s="3"/>
      <c r="C5385" s="3" t="str">
        <f>"Excavation, manhole leveling, street restoration, storm &amp; sewer drainage"</f>
        <v>Excavation, manhole leveling, street restoration, storm &amp; sewer drainage</v>
      </c>
      <c r="D5385" s="3" t="s">
        <v>15936</v>
      </c>
      <c r="E5385" s="3" t="s">
        <v>15937</v>
      </c>
      <c r="F5385" s="3" t="str">
        <f>"317-437-2524"</f>
        <v>317-437-2524</v>
      </c>
      <c r="G5385" s="3">
        <v>23593</v>
      </c>
      <c r="H5385" s="3" t="s">
        <v>71</v>
      </c>
    </row>
    <row r="5386" spans="1:8" ht="281.25" x14ac:dyDescent="0.25">
      <c r="A5386" s="3" t="s">
        <v>15938</v>
      </c>
      <c r="B5386" s="3"/>
      <c r="C5386" s="3" t="s">
        <v>15939</v>
      </c>
      <c r="D5386" s="3" t="s">
        <v>9</v>
      </c>
      <c r="E5386" s="3" t="s">
        <v>46</v>
      </c>
      <c r="F5386" s="3" t="str">
        <f>"219-972-5222"</f>
        <v>219-972-5222</v>
      </c>
      <c r="G5386" s="3">
        <v>561720</v>
      </c>
      <c r="H5386" s="3" t="s">
        <v>222</v>
      </c>
    </row>
    <row r="5387" spans="1:8" ht="115.5" x14ac:dyDescent="0.25">
      <c r="A5387" s="3" t="s">
        <v>15940</v>
      </c>
      <c r="B5387" s="3"/>
      <c r="C5387" s="3" t="s">
        <v>15941</v>
      </c>
      <c r="D5387" s="3" t="s">
        <v>15942</v>
      </c>
      <c r="E5387" s="3" t="s">
        <v>15943</v>
      </c>
      <c r="F5387" s="3" t="str">
        <f>"(317) 514-5202"</f>
        <v>(317) 514-5202</v>
      </c>
      <c r="G5387" s="3">
        <v>561740</v>
      </c>
      <c r="H5387" s="3" t="s">
        <v>241</v>
      </c>
    </row>
    <row r="5388" spans="1:8" ht="77.25" x14ac:dyDescent="0.25">
      <c r="A5388" s="3" t="s">
        <v>15944</v>
      </c>
      <c r="B5388" s="3"/>
      <c r="C5388" s="3" t="str">
        <f>"Kylor Products, LLC acts as a distributor for various industrial/commercial packacking products including folding cartons,displays,printing material, litho laminated board, cardboard, chipboard, tamper evident security tapes and bags."</f>
        <v>Kylor Products, LLC acts as a distributor for various industrial/commercial packacking products including folding cartons,displays,printing material, litho laminated board, cardboard, chipboard, tamper evident security tapes and bags.</v>
      </c>
      <c r="D5388" s="3" t="s">
        <v>9</v>
      </c>
      <c r="E5388" s="3" t="s">
        <v>15945</v>
      </c>
      <c r="F5388" s="3" t="str">
        <f>"812-923-8575"</f>
        <v>812-923-8575</v>
      </c>
      <c r="G5388" s="3">
        <v>42512</v>
      </c>
      <c r="H5388" s="3" t="s">
        <v>58</v>
      </c>
    </row>
    <row r="5389" spans="1:8" ht="115.5" x14ac:dyDescent="0.25">
      <c r="A5389" s="3" t="s">
        <v>15946</v>
      </c>
      <c r="B5389" s="3"/>
      <c r="C5389" s="3" t="s">
        <v>15947</v>
      </c>
      <c r="D5389" s="3" t="s">
        <v>15948</v>
      </c>
      <c r="E5389" s="3" t="s">
        <v>15949</v>
      </c>
      <c r="F5389" s="3" t="str">
        <f>"812-981-7161"</f>
        <v>812-981-7161</v>
      </c>
      <c r="G5389" s="3">
        <v>541860</v>
      </c>
      <c r="H5389" s="3" t="s">
        <v>566</v>
      </c>
    </row>
    <row r="5390" spans="1:8" ht="64.5" x14ac:dyDescent="0.25">
      <c r="A5390" s="3" t="s">
        <v>15950</v>
      </c>
      <c r="B5390" s="3"/>
      <c r="C5390" s="3" t="str">
        <f>"L &amp; E Cleaning Service LLC we are a residential and commerical cleaning service that provide cleaning to offices, and industrial business. L &amp; E Cleaning Service LLC is a full service cleaning."</f>
        <v>L &amp; E Cleaning Service LLC we are a residential and commerical cleaning service that provide cleaning to offices, and industrial business. L &amp; E Cleaning Service LLC is a full service cleaning.</v>
      </c>
      <c r="D5390" s="3" t="s">
        <v>15951</v>
      </c>
      <c r="E5390" s="3" t="s">
        <v>15952</v>
      </c>
      <c r="F5390" s="3" t="str">
        <f>"812-987-1217"</f>
        <v>812-987-1217</v>
      </c>
      <c r="G5390" s="3">
        <v>561720</v>
      </c>
      <c r="H5390" s="3" t="s">
        <v>222</v>
      </c>
    </row>
    <row r="5391" spans="1:8" x14ac:dyDescent="0.25">
      <c r="A5391" s="3" t="s">
        <v>15953</v>
      </c>
      <c r="B5391" s="3"/>
      <c r="C5391" s="3" t="str">
        <f>" "</f>
        <v xml:space="preserve"> </v>
      </c>
      <c r="D5391" s="3" t="s">
        <v>9</v>
      </c>
      <c r="E5391" s="3" t="s">
        <v>46</v>
      </c>
      <c r="F5391" s="2"/>
      <c r="G5391" s="3">
        <v>562111</v>
      </c>
      <c r="H5391" s="3" t="s">
        <v>1818</v>
      </c>
    </row>
    <row r="5392" spans="1:8" ht="26.25" x14ac:dyDescent="0.25">
      <c r="A5392" s="3" t="s">
        <v>15954</v>
      </c>
      <c r="B5392" s="3"/>
      <c r="C5392" s="3" t="str">
        <f>"We are ironworkers, roofers, and hard workers."</f>
        <v>We are ironworkers, roofers, and hard workers.</v>
      </c>
      <c r="D5392" s="3" t="s">
        <v>9</v>
      </c>
      <c r="E5392" s="3" t="s">
        <v>290</v>
      </c>
      <c r="F5392" s="2"/>
      <c r="G5392" s="3">
        <v>238120</v>
      </c>
      <c r="H5392" s="3" t="s">
        <v>5668</v>
      </c>
    </row>
    <row r="5393" spans="1:8" ht="39" x14ac:dyDescent="0.25">
      <c r="A5393" s="3" t="s">
        <v>15955</v>
      </c>
      <c r="B5393" s="3"/>
      <c r="C5393" s="3" t="str">
        <f>"Public &amp; commercial swimming pool conctruction, service, swimming pool chemicals and equipment sales"</f>
        <v>Public &amp; commercial swimming pool conctruction, service, swimming pool chemicals and equipment sales</v>
      </c>
      <c r="D5393" s="3" t="s">
        <v>15956</v>
      </c>
      <c r="E5393" s="3" t="s">
        <v>15957</v>
      </c>
      <c r="F5393" s="3" t="str">
        <f>"800-432-6134"</f>
        <v>800-432-6134</v>
      </c>
      <c r="G5393" s="3">
        <v>23599</v>
      </c>
      <c r="H5393" s="3" t="s">
        <v>248</v>
      </c>
    </row>
    <row r="5394" spans="1:8" ht="26.25" x14ac:dyDescent="0.25">
      <c r="A5394" s="3" t="s">
        <v>15958</v>
      </c>
      <c r="B5394" s="3"/>
      <c r="C5394" s="3" t="str">
        <f>"Fence, Gates, Operators....Install, Service, Repair"</f>
        <v>Fence, Gates, Operators....Install, Service, Repair</v>
      </c>
      <c r="D5394" s="3" t="s">
        <v>9</v>
      </c>
      <c r="E5394" s="3" t="s">
        <v>46</v>
      </c>
      <c r="F5394" s="3" t="str">
        <f>"574-862-2006"</f>
        <v>574-862-2006</v>
      </c>
      <c r="G5394" s="3">
        <v>238990</v>
      </c>
      <c r="H5394" s="3" t="s">
        <v>481</v>
      </c>
    </row>
    <row r="5395" spans="1:8" ht="64.5" x14ac:dyDescent="0.25">
      <c r="A5395" s="3" t="s">
        <v>15959</v>
      </c>
      <c r="B5395" s="3"/>
      <c r="C5395" s="3" t="str">
        <f>"Provider of computer and computer related systems, peripherals and accessories from a wide variety of vendors. We also service and repair computers, monitors, video equipment and printers."</f>
        <v>Provider of computer and computer related systems, peripherals and accessories from a wide variety of vendors. We also service and repair computers, monitors, video equipment and printers.</v>
      </c>
      <c r="D5395" s="3" t="s">
        <v>15960</v>
      </c>
      <c r="E5395" s="3" t="s">
        <v>15961</v>
      </c>
      <c r="F5395" s="3" t="str">
        <f>"317-544-4100"</f>
        <v>317-544-4100</v>
      </c>
      <c r="G5395" s="3">
        <v>811212</v>
      </c>
      <c r="H5395" s="3" t="s">
        <v>1632</v>
      </c>
    </row>
    <row r="5396" spans="1:8" ht="26.25" x14ac:dyDescent="0.25">
      <c r="A5396" s="3" t="s">
        <v>15962</v>
      </c>
      <c r="B5396" s="3"/>
      <c r="C5396" s="3" t="str">
        <f>"manufacturing and distributing sand, dirt, aggregates"</f>
        <v>manufacturing and distributing sand, dirt, aggregates</v>
      </c>
      <c r="D5396" s="3" t="s">
        <v>9</v>
      </c>
      <c r="E5396" s="3" t="s">
        <v>15963</v>
      </c>
      <c r="F5396" s="3" t="str">
        <f>"317-738-0685"</f>
        <v>317-738-0685</v>
      </c>
      <c r="G5396" s="3">
        <v>21</v>
      </c>
      <c r="H5396" s="3" t="s">
        <v>15964</v>
      </c>
    </row>
    <row r="5397" spans="1:8" ht="90" x14ac:dyDescent="0.25">
      <c r="A5397" s="3" t="s">
        <v>15965</v>
      </c>
      <c r="B5397" s="3"/>
      <c r="C5397" s="3" t="str">
        <f>"Sell to the general public in Indiana but we also are registered withe the federal goverment to sell all kinds of different products in mass.Uniforms,tools,military equipment, deal directly with the manufactures to get the lowest price possible."</f>
        <v>Sell to the general public in Indiana but we also are registered withe the federal goverment to sell all kinds of different products in mass.Uniforms,tools,military equipment, deal directly with the manufactures to get the lowest price possible.</v>
      </c>
      <c r="D5397" s="3" t="s">
        <v>15966</v>
      </c>
      <c r="E5397" s="3" t="s">
        <v>15967</v>
      </c>
      <c r="F5397" s="3" t="str">
        <f>"812-471-2812"</f>
        <v>812-471-2812</v>
      </c>
      <c r="G5397" s="3">
        <v>448320</v>
      </c>
      <c r="H5397" s="3" t="s">
        <v>15968</v>
      </c>
    </row>
    <row r="5398" spans="1:8" ht="141" x14ac:dyDescent="0.25">
      <c r="A5398" s="3" t="s">
        <v>15969</v>
      </c>
      <c r="B5398" s="3"/>
      <c r="C5398" s="3" t="s">
        <v>15970</v>
      </c>
      <c r="D5398" s="3" t="s">
        <v>9</v>
      </c>
      <c r="E5398" s="3" t="s">
        <v>15971</v>
      </c>
      <c r="F5398" s="2"/>
      <c r="G5398" s="3">
        <v>238910</v>
      </c>
      <c r="H5398" s="3" t="s">
        <v>886</v>
      </c>
    </row>
    <row r="5399" spans="1:8" ht="51.75" x14ac:dyDescent="0.25">
      <c r="A5399" s="3" t="s">
        <v>15972</v>
      </c>
      <c r="B5399" s="3"/>
      <c r="C5399" s="3" t="str">
        <f>"Design, build/construct Log Homes, Modular Homes, major &amp; minor remodeling, light commercial, and factory built pre-fab structures."</f>
        <v>Design, build/construct Log Homes, Modular Homes, major &amp; minor remodeling, light commercial, and factory built pre-fab structures.</v>
      </c>
      <c r="D5399" s="3" t="s">
        <v>15973</v>
      </c>
      <c r="E5399" s="3" t="s">
        <v>15974</v>
      </c>
      <c r="F5399" s="3" t="str">
        <f>"812-988-0630"</f>
        <v>812-988-0630</v>
      </c>
      <c r="G5399" s="3">
        <v>23</v>
      </c>
      <c r="H5399" s="3" t="s">
        <v>133</v>
      </c>
    </row>
    <row r="5400" spans="1:8" ht="115.5" x14ac:dyDescent="0.25">
      <c r="A5400" s="3" t="s">
        <v>15975</v>
      </c>
      <c r="B5400" s="3"/>
      <c r="C5400" s="3" t="s">
        <v>15976</v>
      </c>
      <c r="D5400" s="3" t="s">
        <v>9</v>
      </c>
      <c r="E5400" s="3" t="s">
        <v>15977</v>
      </c>
      <c r="F5400" s="3" t="str">
        <f>"317-826-0316"</f>
        <v>317-826-0316</v>
      </c>
      <c r="G5400" s="3">
        <v>621310</v>
      </c>
      <c r="H5400" s="3" t="s">
        <v>15978</v>
      </c>
    </row>
    <row r="5401" spans="1:8" ht="64.5" x14ac:dyDescent="0.25">
      <c r="A5401" s="3" t="s">
        <v>15979</v>
      </c>
      <c r="B5401" s="3"/>
      <c r="C5401" s="3" t="str">
        <f>"Founded in 1917, L. Thorn Company is a leading distributor of brick and stone from the major U.S. producers, and is one of the region's foremost manufacturers of concrete masonry units (CMU's)."</f>
        <v>Founded in 1917, L. Thorn Company is a leading distributor of brick and stone from the major U.S. producers, and is one of the region's foremost manufacturers of concrete masonry units (CMU's).</v>
      </c>
      <c r="D5401" s="3" t="s">
        <v>15980</v>
      </c>
      <c r="E5401" s="3" t="s">
        <v>15981</v>
      </c>
      <c r="F5401" s="3" t="str">
        <f>"812-246-4461"</f>
        <v>812-246-4461</v>
      </c>
      <c r="G5401" s="3">
        <v>327331</v>
      </c>
      <c r="H5401" s="3" t="s">
        <v>5357</v>
      </c>
    </row>
    <row r="5402" spans="1:8" ht="26.25" x14ac:dyDescent="0.25">
      <c r="A5402" s="3" t="s">
        <v>15982</v>
      </c>
      <c r="B5402" s="3"/>
      <c r="C5402" s="3" t="str">
        <f>"construction to include new and remodel,"</f>
        <v>construction to include new and remodel,</v>
      </c>
      <c r="D5402" s="3" t="s">
        <v>9</v>
      </c>
      <c r="E5402" s="3" t="s">
        <v>8931</v>
      </c>
      <c r="F5402" s="3" t="str">
        <f>"765-569-5328"</f>
        <v>765-569-5328</v>
      </c>
      <c r="G5402" s="3">
        <v>23</v>
      </c>
      <c r="H5402" s="3" t="s">
        <v>133</v>
      </c>
    </row>
    <row r="5403" spans="1:8" ht="26.25" x14ac:dyDescent="0.25">
      <c r="A5403" s="3" t="s">
        <v>15983</v>
      </c>
      <c r="B5403" s="3"/>
      <c r="C5403" s="3" t="str">
        <f>"vehicle conversion company"</f>
        <v>vehicle conversion company</v>
      </c>
      <c r="D5403" s="3" t="s">
        <v>15984</v>
      </c>
      <c r="E5403" s="3" t="s">
        <v>46</v>
      </c>
      <c r="F5403" s="3" t="str">
        <f>"260-463-4060"</f>
        <v>260-463-4060</v>
      </c>
      <c r="G5403" s="3">
        <v>336213</v>
      </c>
      <c r="H5403" s="3" t="s">
        <v>15985</v>
      </c>
    </row>
    <row r="5404" spans="1:8" ht="102.75" x14ac:dyDescent="0.25">
      <c r="A5404" s="3" t="s">
        <v>15986</v>
      </c>
      <c r="B5404" s="3"/>
      <c r="C5404" s="3" t="s">
        <v>15987</v>
      </c>
      <c r="D5404" s="3" t="s">
        <v>15988</v>
      </c>
      <c r="E5404" s="3" t="s">
        <v>15989</v>
      </c>
      <c r="F5404" s="3" t="str">
        <f>"3179511500"</f>
        <v>3179511500</v>
      </c>
      <c r="G5404" s="3">
        <v>236220</v>
      </c>
      <c r="H5404" s="3" t="s">
        <v>598</v>
      </c>
    </row>
    <row r="5405" spans="1:8" ht="204.75" x14ac:dyDescent="0.25">
      <c r="A5405" s="3" t="s">
        <v>15990</v>
      </c>
      <c r="B5405" s="3"/>
      <c r="C5405" s="3" t="s">
        <v>15991</v>
      </c>
      <c r="D5405" s="3" t="s">
        <v>15992</v>
      </c>
      <c r="E5405" s="3" t="s">
        <v>15993</v>
      </c>
      <c r="F5405" s="3" t="str">
        <f>"574 255 9671"</f>
        <v>574 255 9671</v>
      </c>
      <c r="G5405" s="3">
        <v>238110</v>
      </c>
      <c r="H5405" s="3" t="s">
        <v>156</v>
      </c>
    </row>
    <row r="5406" spans="1:8" ht="64.5" x14ac:dyDescent="0.25">
      <c r="A5406" s="3" t="s">
        <v>15994</v>
      </c>
      <c r="B5406" s="3"/>
      <c r="C5406" s="3" t="str">
        <f>"FURNITURE FOR COMMERICAL FACILITIES SUCH AS OFFICES, HEALTHCARE, COLLEGES, AND SCHOOLS. OUR PRODUCTS INCLUDE WOOD / LAMINATE CASEGOODS AND SEATING."</f>
        <v>FURNITURE FOR COMMERICAL FACILITIES SUCH AS OFFICES, HEALTHCARE, COLLEGES, AND SCHOOLS. OUR PRODUCTS INCLUDE WOOD / LAMINATE CASEGOODS AND SEATING.</v>
      </c>
      <c r="D5406" s="3" t="s">
        <v>15995</v>
      </c>
      <c r="E5406" s="3" t="s">
        <v>15996</v>
      </c>
      <c r="F5406" s="3" t="str">
        <f>"800-638-4111"</f>
        <v>800-638-4111</v>
      </c>
      <c r="G5406" s="3">
        <v>423220</v>
      </c>
      <c r="H5406" s="3" t="s">
        <v>3550</v>
      </c>
    </row>
    <row r="5407" spans="1:8" ht="51.75" x14ac:dyDescent="0.25">
      <c r="A5407" s="3" t="s">
        <v>15997</v>
      </c>
      <c r="B5407" s="3"/>
      <c r="C5407" s="3" t="str">
        <f>"Minority/Veteran owned business being developed as a solution for minority participation for electrical and construction parts distribution."</f>
        <v>Minority/Veteran owned business being developed as a solution for minority participation for electrical and construction parts distribution.</v>
      </c>
      <c r="D5407" s="3" t="s">
        <v>9</v>
      </c>
      <c r="E5407" s="3" t="s">
        <v>15998</v>
      </c>
      <c r="F5407" s="3" t="str">
        <f>"317-619-0010"</f>
        <v>317-619-0010</v>
      </c>
      <c r="G5407" s="3">
        <v>423610</v>
      </c>
      <c r="H5407" s="3" t="s">
        <v>2414</v>
      </c>
    </row>
    <row r="5408" spans="1:8" ht="115.5" x14ac:dyDescent="0.25">
      <c r="A5408" s="3" t="s">
        <v>15999</v>
      </c>
      <c r="B5408" s="3"/>
      <c r="C5408" s="3" t="s">
        <v>16000</v>
      </c>
      <c r="D5408" s="3" t="s">
        <v>16001</v>
      </c>
      <c r="E5408" s="3" t="s">
        <v>16002</v>
      </c>
      <c r="F5408" s="3" t="str">
        <f>"812-336-4817"</f>
        <v>812-336-4817</v>
      </c>
      <c r="G5408" s="3">
        <v>325611</v>
      </c>
      <c r="H5408" s="3" t="s">
        <v>4219</v>
      </c>
    </row>
    <row r="5409" spans="1:8" ht="39" x14ac:dyDescent="0.25">
      <c r="A5409" s="3" t="s">
        <v>16003</v>
      </c>
      <c r="B5409" s="3"/>
      <c r="C5409" s="3" t="str">
        <f>"LabVERDICT offers a full range of anatomical pathology services to public and private entities."</f>
        <v>LabVERDICT offers a full range of anatomical pathology services to public and private entities.</v>
      </c>
      <c r="D5409" s="3" t="s">
        <v>16004</v>
      </c>
      <c r="E5409" s="3" t="s">
        <v>46</v>
      </c>
      <c r="F5409" s="3" t="str">
        <f>"317-54-9000"</f>
        <v>317-54-9000</v>
      </c>
      <c r="G5409" s="3">
        <v>621511</v>
      </c>
      <c r="H5409" s="3" t="s">
        <v>1240</v>
      </c>
    </row>
    <row r="5410" spans="1:8" ht="51.75" x14ac:dyDescent="0.25">
      <c r="A5410" s="3" t="s">
        <v>16005</v>
      </c>
      <c r="B5410" s="3"/>
      <c r="C5410" s="3" t="str">
        <f>"LABEL TECH IS A MUNUFACTURE OF PRINTED AND BLANK PRESSURE SENSITIVE LABELS, AND TAGS. LABEL TECH SELLS THERMAL AND DIRECT THERMAL PRINTERS AND RIBBONS."</f>
        <v>LABEL TECH IS A MUNUFACTURE OF PRINTED AND BLANK PRESSURE SENSITIVE LABELS, AND TAGS. LABEL TECH SELLS THERMAL AND DIRECT THERMAL PRINTERS AND RIBBONS.</v>
      </c>
      <c r="D5410" s="3" t="s">
        <v>16006</v>
      </c>
      <c r="E5410" s="3" t="s">
        <v>16007</v>
      </c>
      <c r="F5410" s="3" t="str">
        <f>"765-747-1234"</f>
        <v>765-747-1234</v>
      </c>
      <c r="G5410" s="3">
        <v>32311</v>
      </c>
      <c r="H5410" s="3" t="s">
        <v>531</v>
      </c>
    </row>
    <row r="5411" spans="1:8" ht="204.75" x14ac:dyDescent="0.25">
      <c r="A5411" s="3" t="s">
        <v>16008</v>
      </c>
      <c r="B5411" s="3"/>
      <c r="C5411" s="3" t="s">
        <v>16009</v>
      </c>
      <c r="D5411" s="3" t="s">
        <v>16010</v>
      </c>
      <c r="E5411" s="3" t="s">
        <v>16011</v>
      </c>
      <c r="F5411" s="3" t="str">
        <f>"317-693-7603"</f>
        <v>317-693-7603</v>
      </c>
      <c r="G5411" s="3">
        <v>541930</v>
      </c>
      <c r="H5411" s="3" t="s">
        <v>971</v>
      </c>
    </row>
    <row r="5412" spans="1:8" ht="179.25" x14ac:dyDescent="0.25">
      <c r="A5412" s="3" t="s">
        <v>16012</v>
      </c>
      <c r="B5412" s="3"/>
      <c r="C5412" s="3" t="s">
        <v>16013</v>
      </c>
      <c r="D5412" s="3" t="s">
        <v>16014</v>
      </c>
      <c r="E5412" s="3" t="s">
        <v>16015</v>
      </c>
      <c r="F5412" s="3" t="str">
        <f>"765-423-1505"</f>
        <v>765-423-1505</v>
      </c>
      <c r="G5412" s="3">
        <v>334519</v>
      </c>
      <c r="H5412" s="3" t="s">
        <v>702</v>
      </c>
    </row>
    <row r="5413" spans="1:8" ht="39" x14ac:dyDescent="0.25">
      <c r="A5413" s="3" t="s">
        <v>16016</v>
      </c>
      <c r="B5413" s="3"/>
      <c r="C5413" s="3" t="str">
        <f>"PRINTING, GRAPHIC DESIGN, SPECIALTY ADVERTISING, MAILING SERVICES, DOCUMENT MANAGEMENT"</f>
        <v>PRINTING, GRAPHIC DESIGN, SPECIALTY ADVERTISING, MAILING SERVICES, DOCUMENT MANAGEMENT</v>
      </c>
      <c r="D5413" s="3" t="s">
        <v>16017</v>
      </c>
      <c r="E5413" s="3" t="s">
        <v>16018</v>
      </c>
      <c r="F5413" s="3" t="str">
        <f>"812 288 9291"</f>
        <v>812 288 9291</v>
      </c>
      <c r="G5413" s="3">
        <v>323114</v>
      </c>
      <c r="H5413" s="3" t="s">
        <v>1068</v>
      </c>
    </row>
    <row r="5414" spans="1:8" ht="39" x14ac:dyDescent="0.25">
      <c r="A5414" s="3" t="s">
        <v>16019</v>
      </c>
      <c r="B5414" s="3"/>
      <c r="C5414" s="3" t="str">
        <f>"Woman owned construction company servicing in the areas of home improvement, road construction, and heavy highway."</f>
        <v>Woman owned construction company servicing in the areas of home improvement, road construction, and heavy highway.</v>
      </c>
      <c r="D5414" s="3" t="s">
        <v>16020</v>
      </c>
      <c r="E5414" s="3" t="s">
        <v>16021</v>
      </c>
      <c r="F5414" s="3" t="str">
        <f>"866-856-2681 EXT.101"</f>
        <v>866-856-2681 EXT.101</v>
      </c>
      <c r="G5414" s="3">
        <v>212321</v>
      </c>
      <c r="H5414" s="3" t="s">
        <v>4979</v>
      </c>
    </row>
    <row r="5415" spans="1:8" ht="39" x14ac:dyDescent="0.25">
      <c r="A5415" s="3" t="s">
        <v>16022</v>
      </c>
      <c r="B5415" s="3"/>
      <c r="C5415" s="3" t="str">
        <f>"PARTS, SALES AND SERVICE OF MOTORCYCLES, ATV, SCOOTERS AND UTILITY VEHICLES"</f>
        <v>PARTS, SALES AND SERVICE OF MOTORCYCLES, ATV, SCOOTERS AND UTILITY VEHICLES</v>
      </c>
      <c r="D5415" s="3" t="s">
        <v>16023</v>
      </c>
      <c r="E5415" s="3" t="s">
        <v>16024</v>
      </c>
      <c r="F5415" s="3" t="str">
        <f>"574-269-4199"</f>
        <v>574-269-4199</v>
      </c>
      <c r="G5415" s="3">
        <v>441221</v>
      </c>
      <c r="H5415" s="3" t="s">
        <v>3299</v>
      </c>
    </row>
    <row r="5416" spans="1:8" ht="26.25" x14ac:dyDescent="0.25">
      <c r="A5416" s="3" t="s">
        <v>16025</v>
      </c>
      <c r="B5416" s="3"/>
      <c r="C5416" s="3" t="str">
        <f>"RETAIL AUTOMOBILE SALES AND REPAIR"</f>
        <v>RETAIL AUTOMOBILE SALES AND REPAIR</v>
      </c>
      <c r="D5416" s="3" t="s">
        <v>16026</v>
      </c>
      <c r="E5416" s="3" t="s">
        <v>16027</v>
      </c>
      <c r="F5416" s="3" t="str">
        <f>"574-269-1666"</f>
        <v>574-269-1666</v>
      </c>
      <c r="G5416" s="3">
        <v>4231</v>
      </c>
      <c r="H5416" s="3" t="s">
        <v>4717</v>
      </c>
    </row>
    <row r="5417" spans="1:8" ht="90" x14ac:dyDescent="0.25">
      <c r="A5417" s="3" t="s">
        <v>16028</v>
      </c>
      <c r="B5417" s="3"/>
      <c r="C5417" s="3" t="s">
        <v>16029</v>
      </c>
      <c r="D5417" s="3" t="s">
        <v>16030</v>
      </c>
      <c r="E5417" s="3" t="s">
        <v>16031</v>
      </c>
      <c r="F5417" s="3" t="str">
        <f>"317-353-4961"</f>
        <v>317-353-4961</v>
      </c>
      <c r="G5417" s="3">
        <v>541611</v>
      </c>
      <c r="H5417" s="3" t="s">
        <v>278</v>
      </c>
    </row>
    <row r="5418" spans="1:8" ht="306.75" x14ac:dyDescent="0.25">
      <c r="A5418" s="3" t="s">
        <v>16032</v>
      </c>
      <c r="B5418" s="3"/>
      <c r="C5418" s="3" t="s">
        <v>16033</v>
      </c>
      <c r="D5418" s="3" t="s">
        <v>16034</v>
      </c>
      <c r="E5418" s="3" t="s">
        <v>16035</v>
      </c>
      <c r="F5418" s="3" t="str">
        <f>"765-447-7400"</f>
        <v>765-447-7400</v>
      </c>
      <c r="G5418" s="3">
        <v>23</v>
      </c>
      <c r="H5418" s="3" t="s">
        <v>133</v>
      </c>
    </row>
    <row r="5419" spans="1:8" ht="64.5" x14ac:dyDescent="0.25">
      <c r="A5419" s="3" t="s">
        <v>16036</v>
      </c>
      <c r="B5419" s="3"/>
      <c r="C5419" s="3" t="str">
        <f>"LJ Food Distribution is a broad line distributer located in Munster In. We are certified D/MBE for Food, Paper,Tobacco and cookware items. We service all of Indiana and Illinois."</f>
        <v>LJ Food Distribution is a broad line distributer located in Munster In. We are certified D/MBE for Food, Paper,Tobacco and cookware items. We service all of Indiana and Illinois.</v>
      </c>
      <c r="D5419" s="3" t="s">
        <v>9</v>
      </c>
      <c r="E5419" s="3" t="s">
        <v>16037</v>
      </c>
      <c r="F5419" s="3" t="str">
        <f>"219-924-7810"</f>
        <v>219-924-7810</v>
      </c>
      <c r="G5419" s="3">
        <v>422</v>
      </c>
      <c r="H5419" s="3" t="s">
        <v>16038</v>
      </c>
    </row>
    <row r="5420" spans="1:8" ht="26.25" x14ac:dyDescent="0.25">
      <c r="A5420" s="3" t="s">
        <v>16039</v>
      </c>
      <c r="B5420" s="3"/>
      <c r="C5420" s="3" t="str">
        <f>" "</f>
        <v xml:space="preserve"> </v>
      </c>
      <c r="D5420" s="3" t="s">
        <v>9</v>
      </c>
      <c r="E5420" s="3" t="s">
        <v>46</v>
      </c>
      <c r="F5420" s="3" t="str">
        <f>"812-847-2582"</f>
        <v>812-847-2582</v>
      </c>
      <c r="G5420" s="3">
        <v>238910</v>
      </c>
      <c r="H5420" s="3" t="s">
        <v>886</v>
      </c>
    </row>
    <row r="5421" spans="1:8" ht="102.75" x14ac:dyDescent="0.25">
      <c r="A5421" s="3" t="s">
        <v>16040</v>
      </c>
      <c r="B5421" s="3"/>
      <c r="C5421" s="3" t="str">
        <f>"LANTZ'S COACHWORKS, INC IS A FULL SERVICE CARGO TANK REPAIR, MAINTENANCE, SPECIALTY FABRICATION AND INSPECTION FACILITY. WE ARE A DEALER FOR POLAR TRAILERS AND TTM TANKS. WE MANUFACTURE AND SELL CUSTOM ""AMERILUM"" EQUIPMENT BOXES. USDOT # 1177973 CT#1158"</f>
        <v>LANTZ'S COACHWORKS, INC IS A FULL SERVICE CARGO TANK REPAIR, MAINTENANCE, SPECIALTY FABRICATION AND INSPECTION FACILITY. WE ARE A DEALER FOR POLAR TRAILERS AND TTM TANKS. WE MANUFACTURE AND SELL CUSTOM "AMERILUM" EQUIPMENT BOXES. USDOT # 1177973 CT#1158</v>
      </c>
      <c r="D5421" s="3" t="s">
        <v>16041</v>
      </c>
      <c r="E5421" s="3" t="s">
        <v>16042</v>
      </c>
      <c r="F5421" s="3" t="str">
        <f>"812-425-4439"</f>
        <v>812-425-4439</v>
      </c>
      <c r="G5421" s="3">
        <v>81131</v>
      </c>
      <c r="H5421" s="3" t="s">
        <v>1895</v>
      </c>
    </row>
    <row r="5422" spans="1:8" ht="141" x14ac:dyDescent="0.25">
      <c r="A5422" s="3" t="s">
        <v>16043</v>
      </c>
      <c r="B5422" s="3"/>
      <c r="C5422" s="3" t="s">
        <v>16044</v>
      </c>
      <c r="D5422" s="3" t="s">
        <v>16045</v>
      </c>
      <c r="E5422" s="3" t="s">
        <v>16046</v>
      </c>
      <c r="F5422" s="3" t="str">
        <f>"(219) 362-2127"</f>
        <v>(219) 362-2127</v>
      </c>
      <c r="G5422" s="3">
        <v>236</v>
      </c>
      <c r="H5422" s="3" t="s">
        <v>291</v>
      </c>
    </row>
    <row r="5423" spans="1:8" ht="26.25" x14ac:dyDescent="0.25">
      <c r="A5423" s="3" t="s">
        <v>16047</v>
      </c>
      <c r="B5423" s="3"/>
      <c r="C5423" s="2"/>
      <c r="D5423" s="3" t="s">
        <v>9</v>
      </c>
      <c r="E5423" s="3" t="s">
        <v>16048</v>
      </c>
      <c r="F5423" s="3" t="str">
        <f>"260-493-7008"</f>
        <v>260-493-7008</v>
      </c>
      <c r="G5423" s="3">
        <v>4246</v>
      </c>
      <c r="H5423" s="3" t="s">
        <v>3234</v>
      </c>
    </row>
    <row r="5424" spans="1:8" ht="51.75" x14ac:dyDescent="0.25">
      <c r="A5424" s="3" t="s">
        <v>16049</v>
      </c>
      <c r="B5424" s="3"/>
      <c r="C5424" s="3" t="str">
        <f>"New and used medium and heavy duty truck sales with parts and service. Also specializing in detailing supplies for dealers"</f>
        <v>New and used medium and heavy duty truck sales with parts and service. Also specializing in detailing supplies for dealers</v>
      </c>
      <c r="D5424" s="3" t="s">
        <v>16050</v>
      </c>
      <c r="E5424" s="3" t="s">
        <v>16051</v>
      </c>
      <c r="F5424" s="3" t="str">
        <f>"260-493-7008"</f>
        <v>260-493-7008</v>
      </c>
      <c r="G5424" s="3">
        <v>423830</v>
      </c>
      <c r="H5424" s="3" t="s">
        <v>172</v>
      </c>
    </row>
    <row r="5425" spans="1:8" ht="115.5" x14ac:dyDescent="0.25">
      <c r="A5425" s="3" t="s">
        <v>16052</v>
      </c>
      <c r="B5425" s="3"/>
      <c r="C5425" s="3" t="s">
        <v>16053</v>
      </c>
      <c r="D5425" s="3" t="s">
        <v>16054</v>
      </c>
      <c r="E5425" s="3" t="s">
        <v>16055</v>
      </c>
      <c r="F5425" s="3" t="str">
        <f>"7654207902"</f>
        <v>7654207902</v>
      </c>
      <c r="G5425" s="3">
        <v>813</v>
      </c>
      <c r="H5425" s="3" t="s">
        <v>13057</v>
      </c>
    </row>
    <row r="5426" spans="1:8" ht="51.75" x14ac:dyDescent="0.25">
      <c r="A5426" s="3" t="s">
        <v>16056</v>
      </c>
      <c r="B5426" s="3"/>
      <c r="C5426" s="3" t="str">
        <f>"whoesale fasteners,electric,pnuematic,hydraulic,truck-car fleet parts,jet equipment ,welders ,drill presses"</f>
        <v>whoesale fasteners,electric,pnuematic,hydraulic,truck-car fleet parts,jet equipment ,welders ,drill presses</v>
      </c>
      <c r="D5426" s="3" t="s">
        <v>9</v>
      </c>
      <c r="E5426" s="3" t="s">
        <v>16057</v>
      </c>
      <c r="F5426" s="3" t="str">
        <f>"765-653-3906"</f>
        <v>765-653-3906</v>
      </c>
      <c r="G5426" s="3">
        <v>425120</v>
      </c>
      <c r="H5426" s="3" t="s">
        <v>58</v>
      </c>
    </row>
    <row r="5427" spans="1:8" x14ac:dyDescent="0.25">
      <c r="A5427" s="3" t="s">
        <v>16058</v>
      </c>
      <c r="B5427" s="3"/>
      <c r="C5427" s="3" t="str">
        <f>"LB3 Engineering and Consulting"</f>
        <v>LB3 Engineering and Consulting</v>
      </c>
      <c r="D5427" s="3" t="s">
        <v>9</v>
      </c>
      <c r="E5427" s="3" t="s">
        <v>16059</v>
      </c>
      <c r="F5427" s="2"/>
      <c r="G5427" s="3">
        <v>541330</v>
      </c>
      <c r="H5427" s="3" t="s">
        <v>82</v>
      </c>
    </row>
    <row r="5428" spans="1:8" ht="51.75" x14ac:dyDescent="0.25">
      <c r="A5428" s="3" t="s">
        <v>16060</v>
      </c>
      <c r="B5428" s="3"/>
      <c r="C5428" s="3" t="str">
        <f>"We provide accounting services, from day to day bookkeeping to monthly reviews. We provide payroll services and Tax preparation."</f>
        <v>We provide accounting services, from day to day bookkeeping to monthly reviews. We provide payroll services and Tax preparation.</v>
      </c>
      <c r="D5428" s="3" t="s">
        <v>9</v>
      </c>
      <c r="E5428" s="3" t="s">
        <v>15474</v>
      </c>
      <c r="F5428" s="3" t="str">
        <f>"317-346-9983"</f>
        <v>317-346-9983</v>
      </c>
      <c r="G5428" s="3">
        <v>541219</v>
      </c>
      <c r="H5428" s="3" t="s">
        <v>2010</v>
      </c>
    </row>
    <row r="5429" spans="1:8" ht="102.75" x14ac:dyDescent="0.25">
      <c r="A5429" s="3" t="s">
        <v>16061</v>
      </c>
      <c r="B5429" s="3"/>
      <c r="C5429" s="3" t="s">
        <v>16062</v>
      </c>
      <c r="D5429" s="3" t="s">
        <v>16063</v>
      </c>
      <c r="E5429" s="3" t="s">
        <v>16064</v>
      </c>
      <c r="F5429" s="3" t="str">
        <f>"260-471-0506"</f>
        <v>260-471-0506</v>
      </c>
      <c r="G5429" s="3">
        <v>4246</v>
      </c>
      <c r="H5429" s="3" t="s">
        <v>3234</v>
      </c>
    </row>
    <row r="5430" spans="1:8" ht="39" x14ac:dyDescent="0.25">
      <c r="A5430" s="3" t="s">
        <v>16065</v>
      </c>
      <c r="B5430" s="3"/>
      <c r="C5430" s="3" t="str">
        <f>"LBH Construction Remodels nursing home facilities as a subcontractor. We can also remodel and build residential."</f>
        <v>LBH Construction Remodels nursing home facilities as a subcontractor. We can also remodel and build residential.</v>
      </c>
      <c r="D5430" s="3" t="s">
        <v>16066</v>
      </c>
      <c r="E5430" s="3" t="s">
        <v>16067</v>
      </c>
      <c r="F5430" s="3" t="str">
        <f>"317-242-8825"</f>
        <v>317-242-8825</v>
      </c>
      <c r="G5430" s="3">
        <v>233</v>
      </c>
      <c r="H5430" s="3" t="s">
        <v>131</v>
      </c>
    </row>
    <row r="5431" spans="1:8" ht="102.75" x14ac:dyDescent="0.25">
      <c r="A5431" s="3" t="s">
        <v>16068</v>
      </c>
      <c r="B5431" s="3"/>
      <c r="C5431" s="3" t="s">
        <v>16069</v>
      </c>
      <c r="D5431" s="3" t="s">
        <v>16070</v>
      </c>
      <c r="E5431" s="3" t="s">
        <v>16071</v>
      </c>
      <c r="F5431" s="3" t="str">
        <f>"317-291-9318 EXT 139"</f>
        <v>317-291-9318 EXT 139</v>
      </c>
      <c r="G5431" s="3">
        <v>423450</v>
      </c>
      <c r="H5431" s="3" t="s">
        <v>1406</v>
      </c>
    </row>
    <row r="5432" spans="1:8" ht="51.75" x14ac:dyDescent="0.25">
      <c r="A5432" s="3" t="s">
        <v>16072</v>
      </c>
      <c r="B5432" s="3"/>
      <c r="C5432" s="3" t="str">
        <f>"LCP Transportation provides non-emergency door to door transportation throughout the state of Indiana. LCP also has the ability to broker transportation statewide."</f>
        <v>LCP Transportation provides non-emergency door to door transportation throughout the state of Indiana. LCP also has the ability to broker transportation statewide.</v>
      </c>
      <c r="D5432" s="3" t="s">
        <v>9</v>
      </c>
      <c r="E5432" s="3" t="s">
        <v>16073</v>
      </c>
      <c r="F5432" s="3" t="str">
        <f>"317-291-9318"</f>
        <v>317-291-9318</v>
      </c>
      <c r="G5432" s="3">
        <v>23599</v>
      </c>
      <c r="H5432" s="3" t="s">
        <v>248</v>
      </c>
    </row>
    <row r="5433" spans="1:8" ht="39" x14ac:dyDescent="0.25">
      <c r="A5433" s="3" t="s">
        <v>16074</v>
      </c>
      <c r="B5433" s="3"/>
      <c r="C5433" s="3" t="str">
        <f>"Electrical Mechanical maintenance, new construction commercial and industrial installations"</f>
        <v>Electrical Mechanical maintenance, new construction commercial and industrial installations</v>
      </c>
      <c r="D5433" s="3" t="s">
        <v>9</v>
      </c>
      <c r="E5433" s="3" t="s">
        <v>46</v>
      </c>
      <c r="F5433" s="3" t="str">
        <f>"317.862.1693"</f>
        <v>317.862.1693</v>
      </c>
      <c r="G5433" s="3">
        <v>238210</v>
      </c>
      <c r="H5433" s="3" t="s">
        <v>306</v>
      </c>
    </row>
    <row r="5434" spans="1:8" ht="77.25" x14ac:dyDescent="0.25">
      <c r="A5434" s="3" t="s">
        <v>16075</v>
      </c>
      <c r="B5434" s="3"/>
      <c r="C5434" s="3" t="str">
        <f>"A woman-owned organizational development company focused on leadership development, strategic planning, team development, business process improvement and leadership coaching for mid-large sized organizations."</f>
        <v>A woman-owned organizational development company focused on leadership development, strategic planning, team development, business process improvement and leadership coaching for mid-large sized organizations.</v>
      </c>
      <c r="D5434" s="3" t="s">
        <v>16076</v>
      </c>
      <c r="E5434" s="3" t="s">
        <v>16077</v>
      </c>
      <c r="F5434" s="3" t="str">
        <f>"317-501-9187"</f>
        <v>317-501-9187</v>
      </c>
      <c r="G5434" s="3">
        <v>611430</v>
      </c>
      <c r="H5434" s="3" t="s">
        <v>1224</v>
      </c>
    </row>
    <row r="5435" spans="1:8" ht="115.5" x14ac:dyDescent="0.25">
      <c r="A5435" s="3" t="s">
        <v>16078</v>
      </c>
      <c r="B5435" s="3"/>
      <c r="C5435" s="3" t="s">
        <v>16079</v>
      </c>
      <c r="D5435" s="3" t="s">
        <v>16080</v>
      </c>
      <c r="E5435" s="3" t="s">
        <v>16081</v>
      </c>
      <c r="F5435" s="3" t="str">
        <f>"317-467-6577"</f>
        <v>317-467-6577</v>
      </c>
      <c r="G5435" s="3">
        <v>541620</v>
      </c>
      <c r="H5435" s="3" t="s">
        <v>216</v>
      </c>
    </row>
    <row r="5436" spans="1:8" ht="77.25" x14ac:dyDescent="0.25">
      <c r="A5436" s="3" t="s">
        <v>16082</v>
      </c>
      <c r="B5436" s="3"/>
      <c r="C5436" s="3" t="str">
        <f>"Lee Allen &amp; Associates dba The Office Mart is a full service Office Supply and Furniture Dealer. We feature over 30,000 office supply and furniture products all backed by personal service and free next business day deliveries on most products."</f>
        <v>Lee Allen &amp; Associates dba The Office Mart is a full service Office Supply and Furniture Dealer. We feature over 30,000 office supply and furniture products all backed by personal service and free next business day deliveries on most products.</v>
      </c>
      <c r="D5436" s="3" t="s">
        <v>16083</v>
      </c>
      <c r="E5436" s="3" t="s">
        <v>16084</v>
      </c>
      <c r="F5436" s="3" t="str">
        <f>"317-578-0744"</f>
        <v>317-578-0744</v>
      </c>
      <c r="G5436" s="3">
        <v>453210</v>
      </c>
      <c r="H5436" s="3" t="s">
        <v>431</v>
      </c>
    </row>
    <row r="5437" spans="1:8" ht="26.25" x14ac:dyDescent="0.25">
      <c r="A5437" s="3" t="s">
        <v>16085</v>
      </c>
      <c r="B5437" s="3"/>
      <c r="C5437" s="2"/>
      <c r="D5437" s="3" t="s">
        <v>9</v>
      </c>
      <c r="E5437" s="3" t="s">
        <v>46</v>
      </c>
      <c r="F5437" s="2"/>
      <c r="G5437" s="3">
        <v>531120</v>
      </c>
      <c r="H5437" s="3" t="s">
        <v>2926</v>
      </c>
    </row>
    <row r="5438" spans="1:8" ht="26.25" x14ac:dyDescent="0.25">
      <c r="A5438" s="3" t="s">
        <v>16086</v>
      </c>
      <c r="B5438" s="3"/>
      <c r="C5438" s="3" t="str">
        <f>"WHOLESALE PLUMBING SUPPLIES AND FIXTURES."</f>
        <v>WHOLESALE PLUMBING SUPPLIES AND FIXTURES.</v>
      </c>
      <c r="D5438" s="3" t="s">
        <v>16087</v>
      </c>
      <c r="E5438" s="3" t="s">
        <v>46</v>
      </c>
      <c r="F5438" s="3" t="str">
        <f>"219-756-5337"</f>
        <v>219-756-5337</v>
      </c>
      <c r="G5438" s="3">
        <v>423720</v>
      </c>
      <c r="H5438" s="3" t="s">
        <v>2695</v>
      </c>
    </row>
    <row r="5439" spans="1:8" ht="294" x14ac:dyDescent="0.25">
      <c r="A5439" s="3" t="s">
        <v>16088</v>
      </c>
      <c r="B5439" s="3"/>
      <c r="C5439" s="3" t="s">
        <v>16089</v>
      </c>
      <c r="D5439" s="3" t="s">
        <v>16090</v>
      </c>
      <c r="E5439" s="3" t="s">
        <v>16091</v>
      </c>
      <c r="F5439" s="3" t="str">
        <f>"574-294-6980"</f>
        <v>574-294-6980</v>
      </c>
      <c r="G5439" s="3">
        <v>23</v>
      </c>
      <c r="H5439" s="3" t="s">
        <v>133</v>
      </c>
    </row>
    <row r="5440" spans="1:8" x14ac:dyDescent="0.25">
      <c r="A5440" s="3" t="s">
        <v>16092</v>
      </c>
      <c r="B5440" s="3"/>
      <c r="C5440" s="2"/>
      <c r="D5440" s="3" t="s">
        <v>9</v>
      </c>
      <c r="E5440" s="3" t="s">
        <v>46</v>
      </c>
      <c r="F5440" s="2"/>
      <c r="G5440" s="3">
        <v>444190</v>
      </c>
      <c r="H5440" s="3" t="s">
        <v>1188</v>
      </c>
    </row>
    <row r="5441" spans="1:8" ht="39" x14ac:dyDescent="0.25">
      <c r="A5441" s="3" t="s">
        <v>16093</v>
      </c>
      <c r="B5441" s="3"/>
      <c r="C5441" s="3" t="str">
        <f>"Entertainment of all types including bands, DJ's, Comedians, Magicians, etc.; keynote speakers; and airplane banners in the sky."</f>
        <v>Entertainment of all types including bands, DJ's, Comedians, Magicians, etc.; keynote speakers; and airplane banners in the sky.</v>
      </c>
      <c r="D5441" s="3" t="s">
        <v>16094</v>
      </c>
      <c r="E5441" s="3" t="s">
        <v>16095</v>
      </c>
      <c r="F5441" s="3" t="str">
        <f>"317-926-7566"</f>
        <v>317-926-7566</v>
      </c>
      <c r="G5441" s="3">
        <v>711410</v>
      </c>
      <c r="H5441" s="3" t="s">
        <v>16096</v>
      </c>
    </row>
    <row r="5442" spans="1:8" ht="90" x14ac:dyDescent="0.25">
      <c r="A5442" s="3" t="s">
        <v>16097</v>
      </c>
      <c r="B5442" s="3"/>
      <c r="C5442" s="3" t="s">
        <v>16098</v>
      </c>
      <c r="D5442" s="3" t="s">
        <v>16099</v>
      </c>
      <c r="E5442" s="3" t="s">
        <v>16100</v>
      </c>
      <c r="F5442" s="3" t="str">
        <f>"800-348-2888"</f>
        <v>800-348-2888</v>
      </c>
      <c r="G5442" s="3">
        <v>23599</v>
      </c>
      <c r="H5442" s="3" t="s">
        <v>248</v>
      </c>
    </row>
    <row r="5443" spans="1:8" ht="90" x14ac:dyDescent="0.25">
      <c r="A5443" s="3" t="s">
        <v>16101</v>
      </c>
      <c r="B5443" s="3"/>
      <c r="C5443" s="3" t="s">
        <v>16102</v>
      </c>
      <c r="D5443" s="3" t="s">
        <v>16103</v>
      </c>
      <c r="E5443" s="3" t="s">
        <v>16104</v>
      </c>
      <c r="F5443" s="3" t="str">
        <f>"317-576-9656"</f>
        <v>317-576-9656</v>
      </c>
      <c r="G5443" s="3">
        <v>561720</v>
      </c>
      <c r="H5443" s="3" t="s">
        <v>222</v>
      </c>
    </row>
    <row r="5444" spans="1:8" ht="51.75" x14ac:dyDescent="0.25">
      <c r="A5444" s="3" t="s">
        <v>16105</v>
      </c>
      <c r="B5444" s="3"/>
      <c r="C5444" s="3" t="str">
        <f>"Full service translation and interpreting firm that also offers language training and multimedia services in more than 140 languages."</f>
        <v>Full service translation and interpreting firm that also offers language training and multimedia services in more than 140 languages.</v>
      </c>
      <c r="D5444" s="3" t="s">
        <v>16106</v>
      </c>
      <c r="E5444" s="3" t="s">
        <v>16107</v>
      </c>
      <c r="F5444" s="3" t="str">
        <f>"317-920-1600"</f>
        <v>317-920-1600</v>
      </c>
      <c r="G5444" s="3">
        <v>541930</v>
      </c>
      <c r="H5444" s="3" t="s">
        <v>971</v>
      </c>
    </row>
    <row r="5445" spans="1:8" ht="115.5" x14ac:dyDescent="0.25">
      <c r="A5445" s="3" t="s">
        <v>16108</v>
      </c>
      <c r="B5445" s="3"/>
      <c r="C5445" s="3" t="s">
        <v>16109</v>
      </c>
      <c r="D5445" s="3" t="s">
        <v>9</v>
      </c>
      <c r="E5445" s="3" t="s">
        <v>16110</v>
      </c>
      <c r="F5445" s="3" t="str">
        <f>"8128300016"</f>
        <v>8128300016</v>
      </c>
      <c r="G5445" s="3">
        <v>238910</v>
      </c>
      <c r="H5445" s="3" t="s">
        <v>886</v>
      </c>
    </row>
    <row r="5446" spans="1:8" ht="102.75" x14ac:dyDescent="0.25">
      <c r="A5446" s="3" t="s">
        <v>16111</v>
      </c>
      <c r="B5446" s="3"/>
      <c r="C5446" s="3" t="s">
        <v>16112</v>
      </c>
      <c r="D5446" s="3" t="s">
        <v>16113</v>
      </c>
      <c r="E5446" s="3" t="s">
        <v>16114</v>
      </c>
      <c r="F5446" s="3" t="str">
        <f>"317-331-8567"</f>
        <v>317-331-8567</v>
      </c>
      <c r="G5446" s="3">
        <v>5416</v>
      </c>
      <c r="H5446" s="3" t="s">
        <v>194</v>
      </c>
    </row>
    <row r="5447" spans="1:8" ht="255.75" x14ac:dyDescent="0.25">
      <c r="A5447" s="3" t="s">
        <v>16115</v>
      </c>
      <c r="B5447" s="3"/>
      <c r="C5447" s="3" t="s">
        <v>16116</v>
      </c>
      <c r="D5447" s="3" t="s">
        <v>16117</v>
      </c>
      <c r="E5447" s="3" t="s">
        <v>16118</v>
      </c>
      <c r="F5447" s="3" t="str">
        <f>"812-325-6774"</f>
        <v>812-325-6774</v>
      </c>
      <c r="G5447" s="3">
        <v>332710</v>
      </c>
      <c r="H5447" s="3" t="s">
        <v>387</v>
      </c>
    </row>
    <row r="5448" spans="1:8" ht="128.25" x14ac:dyDescent="0.25">
      <c r="A5448" s="3" t="s">
        <v>16119</v>
      </c>
      <c r="B5448" s="3"/>
      <c r="C5448" s="3" t="s">
        <v>16120</v>
      </c>
      <c r="D5448" s="3" t="s">
        <v>9</v>
      </c>
      <c r="E5448" s="3" t="s">
        <v>16121</v>
      </c>
      <c r="F5448" s="3" t="str">
        <f>"219-663-2177"</f>
        <v>219-663-2177</v>
      </c>
      <c r="G5448" s="3">
        <v>238220</v>
      </c>
      <c r="H5448" s="3" t="s">
        <v>348</v>
      </c>
    </row>
    <row r="5449" spans="1:8" ht="77.25" x14ac:dyDescent="0.25">
      <c r="A5449" s="3" t="s">
        <v>16122</v>
      </c>
      <c r="B5449" s="3"/>
      <c r="C5449" s="3" t="str">
        <f>"PowerStop Electronic Brake Controllers - two models (500-PS and PS-2000) - up to 3 and 5 axles - features back light (500 model) and brake disengage in back up (both models) - manual adjustment for braking force and rate - 3 yr. warranty"</f>
        <v>PowerStop Electronic Brake Controllers - two models (500-PS and PS-2000) - up to 3 and 5 axles - features back light (500 model) and brake disengage in back up (both models) - manual adjustment for braking force and rate - 3 yr. warranty</v>
      </c>
      <c r="D5449" s="3" t="s">
        <v>16123</v>
      </c>
      <c r="E5449" s="3" t="s">
        <v>16124</v>
      </c>
      <c r="F5449" s="3" t="str">
        <f>"800-757-2000"</f>
        <v>800-757-2000</v>
      </c>
      <c r="G5449" s="3">
        <v>336399</v>
      </c>
      <c r="H5449" s="3" t="s">
        <v>16125</v>
      </c>
    </row>
    <row r="5450" spans="1:8" ht="39" x14ac:dyDescent="0.25">
      <c r="A5450" s="3" t="s">
        <v>16126</v>
      </c>
      <c r="B5450" s="3"/>
      <c r="C5450" s="3" t="str">
        <f>"Manufacture engine parts, complete sub-assemblies, assemble kits, warehouse, and quality support services"</f>
        <v>Manufacture engine parts, complete sub-assemblies, assemble kits, warehouse, and quality support services</v>
      </c>
      <c r="D5450" s="3" t="s">
        <v>16127</v>
      </c>
      <c r="E5450" s="3" t="s">
        <v>16128</v>
      </c>
      <c r="F5450" s="3" t="str">
        <f>"812 342 3057"</f>
        <v>812 342 3057</v>
      </c>
      <c r="G5450" s="3">
        <v>336312</v>
      </c>
      <c r="H5450" s="3" t="s">
        <v>16129</v>
      </c>
    </row>
    <row r="5451" spans="1:8" ht="39" x14ac:dyDescent="0.25">
      <c r="A5451" s="3" t="s">
        <v>16130</v>
      </c>
      <c r="B5451" s="3"/>
      <c r="C5451" s="3" t="str">
        <f>"LHR Provides Cable TV Installation, Security Systems, CCTV, Telephone Systems, Structured Cabling"</f>
        <v>LHR Provides Cable TV Installation, Security Systems, CCTV, Telephone Systems, Structured Cabling</v>
      </c>
      <c r="D5451" s="3" t="s">
        <v>9</v>
      </c>
      <c r="E5451" s="3" t="s">
        <v>16131</v>
      </c>
      <c r="F5451" s="3" t="str">
        <f>"260-467-1316"</f>
        <v>260-467-1316</v>
      </c>
      <c r="G5451" s="3">
        <v>561621</v>
      </c>
      <c r="H5451" s="3" t="s">
        <v>827</v>
      </c>
    </row>
    <row r="5452" spans="1:8" ht="166.5" x14ac:dyDescent="0.25">
      <c r="A5452" s="3" t="s">
        <v>16132</v>
      </c>
      <c r="B5452" s="3"/>
      <c r="C5452" s="3" t="s">
        <v>16133</v>
      </c>
      <c r="D5452" s="3" t="s">
        <v>9</v>
      </c>
      <c r="E5452" s="3" t="s">
        <v>16134</v>
      </c>
      <c r="F5452" s="3" t="str">
        <f>"260-479-5788"</f>
        <v>260-479-5788</v>
      </c>
      <c r="G5452" s="3">
        <v>541613</v>
      </c>
      <c r="H5452" s="3" t="s">
        <v>558</v>
      </c>
    </row>
    <row r="5453" spans="1:8" ht="26.25" x14ac:dyDescent="0.25">
      <c r="A5453" s="3" t="s">
        <v>16135</v>
      </c>
      <c r="B5453" s="3"/>
      <c r="C5453" s="3" t="str">
        <f>"COMMERCIAL AND RESIDENTIAL GLASS INSTALLATION AND REPAIR"</f>
        <v>COMMERCIAL AND RESIDENTIAL GLASS INSTALLATION AND REPAIR</v>
      </c>
      <c r="D5453" s="3" t="s">
        <v>9</v>
      </c>
      <c r="E5453" s="3" t="s">
        <v>46</v>
      </c>
      <c r="F5453" s="2"/>
      <c r="G5453" s="3">
        <v>238150</v>
      </c>
      <c r="H5453" s="3" t="s">
        <v>2530</v>
      </c>
    </row>
    <row r="5454" spans="1:8" ht="26.25" x14ac:dyDescent="0.25">
      <c r="A5454" s="3" t="s">
        <v>16136</v>
      </c>
      <c r="B5454" s="3"/>
      <c r="C5454" s="3" t="str">
        <f>"Automotive body repair and Automotive Used Car Sales"</f>
        <v>Automotive body repair and Automotive Used Car Sales</v>
      </c>
      <c r="D5454" s="3" t="s">
        <v>9</v>
      </c>
      <c r="E5454" s="3" t="s">
        <v>16137</v>
      </c>
      <c r="F5454" s="3" t="str">
        <f>"574-936-8094"</f>
        <v>574-936-8094</v>
      </c>
      <c r="G5454" s="3">
        <v>81112</v>
      </c>
      <c r="H5454" s="3" t="s">
        <v>3041</v>
      </c>
    </row>
    <row r="5455" spans="1:8" x14ac:dyDescent="0.25">
      <c r="A5455" s="3" t="s">
        <v>16138</v>
      </c>
      <c r="B5455" s="3"/>
      <c r="C5455" s="3" t="str">
        <f>" "</f>
        <v xml:space="preserve"> </v>
      </c>
      <c r="D5455" s="3" t="s">
        <v>9</v>
      </c>
      <c r="E5455" s="3" t="s">
        <v>46</v>
      </c>
      <c r="F5455" s="2"/>
      <c r="G5455" s="3">
        <v>61</v>
      </c>
      <c r="H5455" s="3" t="s">
        <v>140</v>
      </c>
    </row>
    <row r="5456" spans="1:8" ht="128.25" x14ac:dyDescent="0.25">
      <c r="A5456" s="3" t="s">
        <v>16139</v>
      </c>
      <c r="B5456" s="3"/>
      <c r="C5456" s="3" t="s">
        <v>16140</v>
      </c>
      <c r="D5456" s="3" t="s">
        <v>16141</v>
      </c>
      <c r="E5456" s="3" t="s">
        <v>16142</v>
      </c>
      <c r="F5456" s="3" t="str">
        <f>"812-426-9041"</f>
        <v>812-426-9041</v>
      </c>
      <c r="G5456" s="3">
        <v>5418</v>
      </c>
      <c r="H5456" s="3" t="s">
        <v>1337</v>
      </c>
    </row>
    <row r="5457" spans="1:8" ht="115.5" x14ac:dyDescent="0.25">
      <c r="A5457" s="3" t="s">
        <v>16143</v>
      </c>
      <c r="B5457" s="3"/>
      <c r="C5457" s="3" t="s">
        <v>16144</v>
      </c>
      <c r="D5457" s="3" t="s">
        <v>9</v>
      </c>
      <c r="E5457" s="3" t="s">
        <v>16145</v>
      </c>
      <c r="F5457" s="3" t="str">
        <f>"260-418-9506"</f>
        <v>260-418-9506</v>
      </c>
      <c r="G5457" s="3">
        <v>531210</v>
      </c>
      <c r="H5457" s="3" t="s">
        <v>1101</v>
      </c>
    </row>
    <row r="5458" spans="1:8" ht="26.25" x14ac:dyDescent="0.25">
      <c r="A5458" s="3" t="s">
        <v>16146</v>
      </c>
      <c r="B5458" s="3"/>
      <c r="C5458" s="3" t="str">
        <f>"Supplier of alternative automotive parts"</f>
        <v>Supplier of alternative automotive parts</v>
      </c>
      <c r="D5458" s="3" t="s">
        <v>16147</v>
      </c>
      <c r="E5458" s="3" t="s">
        <v>46</v>
      </c>
      <c r="F5458" s="3" t="str">
        <f>"8003629451"</f>
        <v>8003629451</v>
      </c>
      <c r="G5458" s="3">
        <v>423140</v>
      </c>
      <c r="H5458" s="3" t="s">
        <v>8882</v>
      </c>
    </row>
    <row r="5459" spans="1:8" ht="26.25" x14ac:dyDescent="0.25">
      <c r="A5459" s="3" t="s">
        <v>16148</v>
      </c>
      <c r="B5459" s="3"/>
      <c r="C5459" s="2"/>
      <c r="D5459" s="3" t="s">
        <v>9</v>
      </c>
      <c r="E5459" s="3" t="s">
        <v>16149</v>
      </c>
      <c r="F5459" s="3" t="str">
        <f>"765-230-0283"</f>
        <v>765-230-0283</v>
      </c>
      <c r="G5459" s="3">
        <v>484220</v>
      </c>
      <c r="H5459" s="3" t="s">
        <v>11</v>
      </c>
    </row>
    <row r="5460" spans="1:8" ht="26.25" x14ac:dyDescent="0.25">
      <c r="A5460" s="3" t="s">
        <v>16150</v>
      </c>
      <c r="B5460" s="3"/>
      <c r="C5460" s="3" t="str">
        <f>"Screenprinting and embroidery on apparel, team uniforms, sporting goods equipment."</f>
        <v>Screenprinting and embroidery on apparel, team uniforms, sporting goods equipment.</v>
      </c>
      <c r="D5460" s="3" t="s">
        <v>9</v>
      </c>
      <c r="E5460" s="3" t="s">
        <v>16151</v>
      </c>
      <c r="F5460" s="3" t="str">
        <f>"219-365-3125"</f>
        <v>219-365-3125</v>
      </c>
      <c r="G5460" s="3">
        <v>323113</v>
      </c>
      <c r="H5460" s="3" t="s">
        <v>1606</v>
      </c>
    </row>
    <row r="5461" spans="1:8" ht="39" x14ac:dyDescent="0.25">
      <c r="A5461" s="3" t="s">
        <v>16152</v>
      </c>
      <c r="B5461" s="3"/>
      <c r="C5461" s="3" t="str">
        <f>"Serving Bartholomew County since 1936. Residential and commercial plumbing. New construction and repair service."</f>
        <v>Serving Bartholomew County since 1936. Residential and commercial plumbing. New construction and repair service.</v>
      </c>
      <c r="D5461" s="3" t="s">
        <v>9</v>
      </c>
      <c r="E5461" s="3" t="s">
        <v>46</v>
      </c>
      <c r="F5461" s="3" t="str">
        <f>"812-379-4876"</f>
        <v>812-379-4876</v>
      </c>
      <c r="G5461" s="3">
        <v>2351</v>
      </c>
      <c r="H5461" s="3" t="s">
        <v>892</v>
      </c>
    </row>
    <row r="5462" spans="1:8" ht="77.25" x14ac:dyDescent="0.25">
      <c r="A5462" s="3" t="s">
        <v>16153</v>
      </c>
      <c r="B5462" s="3"/>
      <c r="C5462" s="3" t="str">
        <f>"London Witte Group is a CPA firm that performs accounting, auditing, tax, and financial advisory services to a diverse group of clients including private companies, public and private utilities, and municipalities."</f>
        <v>London Witte Group is a CPA firm that performs accounting, auditing, tax, and financial advisory services to a diverse group of clients including private companies, public and private utilities, and municipalities.</v>
      </c>
      <c r="D5462" s="3" t="s">
        <v>16154</v>
      </c>
      <c r="E5462" s="3" t="s">
        <v>16155</v>
      </c>
      <c r="F5462" s="3" t="str">
        <f>"317-634-4747"</f>
        <v>317-634-4747</v>
      </c>
      <c r="G5462" s="3">
        <v>5412</v>
      </c>
      <c r="H5462" s="3" t="s">
        <v>311</v>
      </c>
    </row>
    <row r="5463" spans="1:8" ht="26.25" x14ac:dyDescent="0.25">
      <c r="A5463" s="3" t="s">
        <v>16156</v>
      </c>
      <c r="B5463" s="3"/>
      <c r="C5463" s="3" t="str">
        <f>"Law firm practicing primarily in family law and criminal law."</f>
        <v>Law firm practicing primarily in family law and criminal law.</v>
      </c>
      <c r="D5463" s="3" t="s">
        <v>16157</v>
      </c>
      <c r="E5463" s="3" t="s">
        <v>16158</v>
      </c>
      <c r="F5463" s="3" t="str">
        <f>"317-634-9484"</f>
        <v>317-634-9484</v>
      </c>
      <c r="G5463" s="3">
        <v>54111</v>
      </c>
      <c r="H5463" s="3" t="s">
        <v>2978</v>
      </c>
    </row>
    <row r="5464" spans="1:8" ht="51.75" x14ac:dyDescent="0.25">
      <c r="A5464" s="3" t="s">
        <v>16159</v>
      </c>
      <c r="B5464" s="3"/>
      <c r="C5464" s="3" t="str">
        <f>"Provide local dump truck hauling of Rock, Sand, Gravel, Asphalt, etc. We also are able to do excavation, concrete, demolition and landscaping and sewer work."</f>
        <v>Provide local dump truck hauling of Rock, Sand, Gravel, Asphalt, etc. We also are able to do excavation, concrete, demolition and landscaping and sewer work.</v>
      </c>
      <c r="D5464" s="3" t="s">
        <v>9</v>
      </c>
      <c r="E5464" s="3" t="s">
        <v>16160</v>
      </c>
      <c r="F5464" s="3" t="str">
        <f>"765-793-4970"</f>
        <v>765-793-4970</v>
      </c>
      <c r="G5464" s="3">
        <v>237310</v>
      </c>
      <c r="H5464" s="3" t="s">
        <v>768</v>
      </c>
    </row>
    <row r="5465" spans="1:8" ht="64.5" x14ac:dyDescent="0.25">
      <c r="A5465" s="3" t="s">
        <v>16161</v>
      </c>
      <c r="B5465" s="3"/>
      <c r="C5465" s="3" t="str">
        <f>"LPM is a business and management consulting firm specializing in strategic planning, economic impact studies, human capital assessment and deployment and strategic market research and analysis."</f>
        <v>LPM is a business and management consulting firm specializing in strategic planning, economic impact studies, human capital assessment and deployment and strategic market research and analysis.</v>
      </c>
      <c r="D5465" s="3" t="s">
        <v>9</v>
      </c>
      <c r="E5465" s="3" t="s">
        <v>16162</v>
      </c>
      <c r="F5465" s="3" t="str">
        <f>"3175815355"</f>
        <v>3175815355</v>
      </c>
      <c r="G5465" s="3">
        <v>8139</v>
      </c>
      <c r="H5465" s="3" t="s">
        <v>727</v>
      </c>
    </row>
    <row r="5466" spans="1:8" ht="115.5" x14ac:dyDescent="0.25">
      <c r="A5466" s="3" t="s">
        <v>16163</v>
      </c>
      <c r="B5466" s="3"/>
      <c r="C5466" s="3" t="s">
        <v>16164</v>
      </c>
      <c r="D5466" s="3" t="s">
        <v>16165</v>
      </c>
      <c r="E5466" s="3" t="s">
        <v>16166</v>
      </c>
      <c r="F5466" s="3" t="str">
        <f>"(260)925-5107"</f>
        <v>(260)925-5107</v>
      </c>
      <c r="G5466" s="3">
        <v>517</v>
      </c>
      <c r="H5466" s="3" t="s">
        <v>682</v>
      </c>
    </row>
    <row r="5467" spans="1:8" ht="39" x14ac:dyDescent="0.25">
      <c r="A5467" s="3" t="s">
        <v>16167</v>
      </c>
      <c r="B5467" s="3"/>
      <c r="C5467" s="3" t="str">
        <f>"Custom welding and fabrication of steel items for business operations and farm, ranch operations"</f>
        <v>Custom welding and fabrication of steel items for business operations and farm, ranch operations</v>
      </c>
      <c r="D5467" s="3" t="s">
        <v>9</v>
      </c>
      <c r="E5467" s="3" t="s">
        <v>16168</v>
      </c>
      <c r="F5467" s="3" t="str">
        <f>"765-483-9166"</f>
        <v>765-483-9166</v>
      </c>
      <c r="G5467" s="3">
        <v>332999</v>
      </c>
      <c r="H5467" s="3" t="s">
        <v>9757</v>
      </c>
    </row>
    <row r="5468" spans="1:8" ht="268.5" x14ac:dyDescent="0.25">
      <c r="A5468" s="3" t="s">
        <v>16169</v>
      </c>
      <c r="B5468" s="3"/>
      <c r="C5468" s="3" t="s">
        <v>16170</v>
      </c>
      <c r="D5468" s="3" t="s">
        <v>16171</v>
      </c>
      <c r="E5468" s="3" t="s">
        <v>16172</v>
      </c>
      <c r="F5468" s="3" t="str">
        <f>"3172841033"</f>
        <v>3172841033</v>
      </c>
      <c r="G5468" s="3">
        <v>541380</v>
      </c>
      <c r="H5468" s="3" t="s">
        <v>226</v>
      </c>
    </row>
    <row r="5469" spans="1:8" x14ac:dyDescent="0.25">
      <c r="A5469" s="3" t="s">
        <v>16173</v>
      </c>
      <c r="B5469" s="3"/>
      <c r="C5469" s="3" t="str">
        <f>" "</f>
        <v xml:space="preserve"> </v>
      </c>
      <c r="D5469" s="3" t="s">
        <v>9</v>
      </c>
      <c r="E5469" s="3" t="s">
        <v>46</v>
      </c>
      <c r="F5469" s="2"/>
      <c r="G5469" s="3">
        <v>541330</v>
      </c>
      <c r="H5469" s="3" t="s">
        <v>82</v>
      </c>
    </row>
    <row r="5470" spans="1:8" x14ac:dyDescent="0.25">
      <c r="A5470" s="3" t="s">
        <v>16174</v>
      </c>
      <c r="B5470" s="3"/>
      <c r="C5470" s="2"/>
      <c r="D5470" s="3" t="s">
        <v>9</v>
      </c>
      <c r="E5470" s="3" t="s">
        <v>46</v>
      </c>
      <c r="F5470" s="2"/>
      <c r="G5470" s="3">
        <v>922160</v>
      </c>
      <c r="H5470" s="3" t="s">
        <v>2246</v>
      </c>
    </row>
    <row r="5471" spans="1:8" ht="26.25" x14ac:dyDescent="0.25">
      <c r="A5471" s="3" t="s">
        <v>16175</v>
      </c>
      <c r="B5471" s="3"/>
      <c r="C5471" s="3" t="str">
        <f>"RETAIL BUILDING CENTER, LUMBERYARD AND HARDWARE STORE"</f>
        <v>RETAIL BUILDING CENTER, LUMBERYARD AND HARDWARE STORE</v>
      </c>
      <c r="D5471" s="3" t="s">
        <v>9</v>
      </c>
      <c r="E5471" s="3" t="s">
        <v>46</v>
      </c>
      <c r="F5471" s="3" t="str">
        <f>"812-358-4552"</f>
        <v>812-358-4552</v>
      </c>
      <c r="G5471" s="3">
        <v>444110</v>
      </c>
      <c r="H5471" s="3" t="s">
        <v>3072</v>
      </c>
    </row>
    <row r="5472" spans="1:8" ht="128.25" x14ac:dyDescent="0.25">
      <c r="A5472" s="3" t="s">
        <v>16176</v>
      </c>
      <c r="B5472" s="3"/>
      <c r="C5472" s="3" t="s">
        <v>16177</v>
      </c>
      <c r="D5472" s="3" t="s">
        <v>9</v>
      </c>
      <c r="E5472" s="3" t="s">
        <v>16178</v>
      </c>
      <c r="F5472" s="3" t="str">
        <f>"812 207 5576"</f>
        <v>812 207 5576</v>
      </c>
      <c r="G5472" s="3">
        <v>23</v>
      </c>
      <c r="H5472" s="3" t="s">
        <v>133</v>
      </c>
    </row>
    <row r="5473" spans="1:8" ht="39" x14ac:dyDescent="0.25">
      <c r="A5473" s="3" t="s">
        <v>16179</v>
      </c>
      <c r="B5473" s="3"/>
      <c r="C5473" s="3" t="str">
        <f>"Lutes Flying Service has provided aerial application services for over 20 years and we take pride in our professional approach."</f>
        <v>Lutes Flying Service has provided aerial application services for over 20 years and we take pride in our professional approach.</v>
      </c>
      <c r="D5473" s="3" t="s">
        <v>9</v>
      </c>
      <c r="E5473" s="3" t="s">
        <v>46</v>
      </c>
      <c r="F5473" s="3" t="str">
        <f>"260-768-4058"</f>
        <v>260-768-4058</v>
      </c>
      <c r="G5473" s="3">
        <v>11511</v>
      </c>
      <c r="H5473" s="3" t="s">
        <v>10602</v>
      </c>
    </row>
    <row r="5474" spans="1:8" ht="102.75" x14ac:dyDescent="0.25">
      <c r="A5474" s="3" t="s">
        <v>16180</v>
      </c>
      <c r="B5474" s="3"/>
      <c r="C5474" s="3" t="s">
        <v>16181</v>
      </c>
      <c r="D5474" s="3" t="s">
        <v>16182</v>
      </c>
      <c r="E5474" s="3" t="s">
        <v>16183</v>
      </c>
      <c r="F5474" s="3" t="str">
        <f>"812-491-9876"</f>
        <v>812-491-9876</v>
      </c>
      <c r="G5474" s="3">
        <v>441222</v>
      </c>
      <c r="H5474" s="3" t="s">
        <v>3175</v>
      </c>
    </row>
    <row r="5475" spans="1:8" ht="64.5" x14ac:dyDescent="0.25">
      <c r="A5475" s="3" t="s">
        <v>16184</v>
      </c>
      <c r="B5475" s="3"/>
      <c r="C5475" s="3" t="str">
        <f>"Small business administrative support services, document preparation, certification assistance, training education , seminars, green and efficiency research consulting, grant writing."</f>
        <v>Small business administrative support services, document preparation, certification assistance, training education , seminars, green and efficiency research consulting, grant writing.</v>
      </c>
      <c r="D5475" s="3" t="s">
        <v>16185</v>
      </c>
      <c r="E5475" s="3" t="s">
        <v>16186</v>
      </c>
      <c r="F5475" s="3" t="str">
        <f>"317-614-7178"</f>
        <v>317-614-7178</v>
      </c>
      <c r="G5475" s="3">
        <v>561110</v>
      </c>
      <c r="H5475" s="3" t="s">
        <v>4383</v>
      </c>
    </row>
    <row r="5476" spans="1:8" ht="179.25" x14ac:dyDescent="0.25">
      <c r="A5476" s="3" t="s">
        <v>16187</v>
      </c>
      <c r="B5476" s="3"/>
      <c r="C5476" s="3" t="s">
        <v>16188</v>
      </c>
      <c r="D5476" s="3" t="s">
        <v>9</v>
      </c>
      <c r="E5476" s="3" t="s">
        <v>46</v>
      </c>
      <c r="F5476" s="2"/>
      <c r="G5476" s="3">
        <v>42</v>
      </c>
      <c r="H5476" s="3" t="s">
        <v>674</v>
      </c>
    </row>
    <row r="5477" spans="1:8" ht="128.25" x14ac:dyDescent="0.25">
      <c r="A5477" s="3" t="s">
        <v>16189</v>
      </c>
      <c r="B5477" s="3"/>
      <c r="C5477" s="3" t="s">
        <v>16190</v>
      </c>
      <c r="D5477" s="3" t="s">
        <v>16191</v>
      </c>
      <c r="E5477" s="3" t="s">
        <v>46</v>
      </c>
      <c r="F5477" s="3" t="str">
        <f>"248-697-9000"</f>
        <v>248-697-9000</v>
      </c>
      <c r="G5477" s="3">
        <v>624410</v>
      </c>
      <c r="H5477" s="3" t="s">
        <v>456</v>
      </c>
    </row>
    <row r="5478" spans="1:8" ht="64.5" x14ac:dyDescent="0.25">
      <c r="A5478" s="3" t="s">
        <v>16192</v>
      </c>
      <c r="B5478" s="3"/>
      <c r="C5478" s="3" t="str">
        <f>"La Plaza delivers programming, administers services, assists in resource development and acts as a liaison and information source to the wider Central Indiana community on issues affecting Latinos."</f>
        <v>La Plaza delivers programming, administers services, assists in resource development and acts as a liaison and information source to the wider Central Indiana community on issues affecting Latinos.</v>
      </c>
      <c r="D5478" s="3" t="s">
        <v>16193</v>
      </c>
      <c r="E5478" s="3" t="s">
        <v>16194</v>
      </c>
      <c r="F5478" s="3" t="str">
        <f>"317.890.3292"</f>
        <v>317.890.3292</v>
      </c>
      <c r="G5478" s="3">
        <v>624230</v>
      </c>
      <c r="H5478" s="3" t="s">
        <v>1984</v>
      </c>
    </row>
    <row r="5479" spans="1:8" ht="319.5" x14ac:dyDescent="0.25">
      <c r="A5479" s="3" t="s">
        <v>16195</v>
      </c>
      <c r="B5479" s="3"/>
      <c r="C5479" s="3" t="s">
        <v>16196</v>
      </c>
      <c r="D5479" s="3" t="s">
        <v>16197</v>
      </c>
      <c r="E5479" s="3" t="s">
        <v>46</v>
      </c>
      <c r="F5479" s="3" t="str">
        <f>"219-326-1234"</f>
        <v>219-326-1234</v>
      </c>
      <c r="G5479" s="3">
        <v>622</v>
      </c>
      <c r="H5479" s="3" t="s">
        <v>5145</v>
      </c>
    </row>
    <row r="5480" spans="1:8" ht="141" x14ac:dyDescent="0.25">
      <c r="A5480" s="3" t="s">
        <v>16198</v>
      </c>
      <c r="B5480" s="3"/>
      <c r="C5480" s="3" t="s">
        <v>16199</v>
      </c>
      <c r="D5480" s="3" t="s">
        <v>16200</v>
      </c>
      <c r="E5480" s="3" t="s">
        <v>16201</v>
      </c>
      <c r="F5480" s="3" t="str">
        <f>"260-497-0111"</f>
        <v>260-497-0111</v>
      </c>
      <c r="G5480" s="3">
        <v>5418</v>
      </c>
      <c r="H5480" s="3" t="s">
        <v>1337</v>
      </c>
    </row>
    <row r="5481" spans="1:8" ht="204.75" x14ac:dyDescent="0.25">
      <c r="A5481" s="3" t="s">
        <v>16202</v>
      </c>
      <c r="B5481" s="3"/>
      <c r="C5481" s="3" t="s">
        <v>16203</v>
      </c>
      <c r="D5481" s="3" t="s">
        <v>16204</v>
      </c>
      <c r="E5481" s="3" t="s">
        <v>16205</v>
      </c>
      <c r="F5481" s="3" t="str">
        <f>"7652065308"</f>
        <v>7652065308</v>
      </c>
      <c r="G5481" s="3">
        <v>561720</v>
      </c>
      <c r="H5481" s="3" t="s">
        <v>222</v>
      </c>
    </row>
    <row r="5482" spans="1:8" ht="39" x14ac:dyDescent="0.25">
      <c r="A5482" s="3" t="s">
        <v>16206</v>
      </c>
      <c r="B5482" s="3"/>
      <c r="C5482" s="3" t="str">
        <f>"We re-manufacture DC motors and electrical components back to OEM standards."</f>
        <v>We re-manufacture DC motors and electrical components back to OEM standards.</v>
      </c>
      <c r="D5482" s="3" t="s">
        <v>9</v>
      </c>
      <c r="E5482" s="3" t="s">
        <v>16207</v>
      </c>
      <c r="F5482" s="3" t="str">
        <f>"1-800-704-1334"</f>
        <v>1-800-704-1334</v>
      </c>
      <c r="G5482" s="3">
        <v>3331</v>
      </c>
      <c r="H5482" s="3" t="s">
        <v>16208</v>
      </c>
    </row>
    <row r="5483" spans="1:8" ht="51.75" x14ac:dyDescent="0.25">
      <c r="A5483" s="3" t="s">
        <v>16209</v>
      </c>
      <c r="B5483" s="3"/>
      <c r="C5483" s="3" t="str">
        <f>"Our primary services include, but not limited to, hotel/motel remodeling and renovations. However, we also provide residential and commercial services."</f>
        <v>Our primary services include, but not limited to, hotel/motel remodeling and renovations. However, we also provide residential and commercial services.</v>
      </c>
      <c r="D5483" s="3" t="s">
        <v>9</v>
      </c>
      <c r="E5483" s="3" t="s">
        <v>16210</v>
      </c>
      <c r="F5483" s="3" t="str">
        <f>"317-956-7339"</f>
        <v>317-956-7339</v>
      </c>
      <c r="G5483" s="3">
        <v>23</v>
      </c>
      <c r="H5483" s="3" t="s">
        <v>133</v>
      </c>
    </row>
    <row r="5484" spans="1:8" ht="26.25" x14ac:dyDescent="0.25">
      <c r="A5484" s="3" t="s">
        <v>16211</v>
      </c>
      <c r="B5484" s="3"/>
      <c r="C5484" s="3" t="str">
        <f>"Office supplies Printing and duplicating Custom picture framing"</f>
        <v>Office supplies Printing and duplicating Custom picture framing</v>
      </c>
      <c r="D5484" s="3" t="s">
        <v>9</v>
      </c>
      <c r="E5484" s="3" t="s">
        <v>16212</v>
      </c>
      <c r="F5484" s="3" t="str">
        <f>"812-847-9392"</f>
        <v>812-847-9392</v>
      </c>
      <c r="G5484" s="3">
        <v>453210</v>
      </c>
      <c r="H5484" s="3" t="s">
        <v>431</v>
      </c>
    </row>
    <row r="5485" spans="1:8" ht="217.5" x14ac:dyDescent="0.25">
      <c r="A5485" s="3" t="s">
        <v>16213</v>
      </c>
      <c r="B5485" s="3"/>
      <c r="C5485" s="3" t="s">
        <v>16214</v>
      </c>
      <c r="D5485" s="3" t="s">
        <v>9</v>
      </c>
      <c r="E5485" s="3" t="s">
        <v>16215</v>
      </c>
      <c r="F5485" s="3" t="str">
        <f>"219-663-2959"</f>
        <v>219-663-2959</v>
      </c>
      <c r="G5485" s="3">
        <v>238220</v>
      </c>
      <c r="H5485" s="3" t="s">
        <v>348</v>
      </c>
    </row>
    <row r="5486" spans="1:8" ht="26.25" x14ac:dyDescent="0.25">
      <c r="A5486" s="3" t="s">
        <v>16216</v>
      </c>
      <c r="B5486" s="3"/>
      <c r="C5486" s="3" t="str">
        <f>"Emergency Shelter Care facility for at-risk youth."</f>
        <v>Emergency Shelter Care facility for at-risk youth.</v>
      </c>
      <c r="D5486" s="3" t="s">
        <v>16217</v>
      </c>
      <c r="E5486" s="3" t="s">
        <v>46</v>
      </c>
      <c r="F5486" s="3" t="str">
        <f>"2193245130"</f>
        <v>2193245130</v>
      </c>
      <c r="G5486" s="3">
        <v>623990</v>
      </c>
      <c r="H5486" s="3" t="s">
        <v>11066</v>
      </c>
    </row>
    <row r="5487" spans="1:8" ht="281.25" x14ac:dyDescent="0.25">
      <c r="A5487" s="3" t="s">
        <v>16218</v>
      </c>
      <c r="B5487" s="3"/>
      <c r="C5487" s="3" t="s">
        <v>16219</v>
      </c>
      <c r="D5487" s="3" t="s">
        <v>16220</v>
      </c>
      <c r="E5487" s="3" t="s">
        <v>46</v>
      </c>
      <c r="F5487" s="3" t="str">
        <f>"219-874-0007"</f>
        <v>219-874-0007</v>
      </c>
      <c r="G5487" s="3">
        <v>62</v>
      </c>
      <c r="H5487" s="3" t="s">
        <v>1168</v>
      </c>
    </row>
    <row r="5488" spans="1:8" ht="141" x14ac:dyDescent="0.25">
      <c r="A5488" s="3" t="s">
        <v>16221</v>
      </c>
      <c r="B5488" s="3"/>
      <c r="C5488" s="3" t="s">
        <v>16222</v>
      </c>
      <c r="D5488" s="3" t="s">
        <v>16223</v>
      </c>
      <c r="E5488" s="3" t="s">
        <v>46</v>
      </c>
      <c r="F5488" s="3" t="str">
        <f>"219-879-4621"</f>
        <v>219-879-4621</v>
      </c>
      <c r="G5488" s="3">
        <v>621420</v>
      </c>
      <c r="H5488" s="3" t="s">
        <v>990</v>
      </c>
    </row>
    <row r="5489" spans="1:8" ht="26.25" x14ac:dyDescent="0.25">
      <c r="A5489" s="3" t="s">
        <v>16224</v>
      </c>
      <c r="B5489" s="3"/>
      <c r="C5489" s="3" t="str">
        <f>"SPORT STORE"</f>
        <v>SPORT STORE</v>
      </c>
      <c r="D5489" s="3" t="s">
        <v>9</v>
      </c>
      <c r="E5489" s="3" t="s">
        <v>46</v>
      </c>
      <c r="F5489" s="3" t="str">
        <f>"2193247773"</f>
        <v>2193247773</v>
      </c>
      <c r="G5489" s="3">
        <v>315222</v>
      </c>
      <c r="H5489" s="3" t="s">
        <v>16225</v>
      </c>
    </row>
    <row r="5490" spans="1:8" ht="26.25" x14ac:dyDescent="0.25">
      <c r="A5490" s="3" t="s">
        <v>16226</v>
      </c>
      <c r="B5490" s="3"/>
      <c r="C5490" s="3" t="str">
        <f>"Industrial or Construction - Tools and Supplies"</f>
        <v>Industrial or Construction - Tools and Supplies</v>
      </c>
      <c r="D5490" s="3" t="s">
        <v>16227</v>
      </c>
      <c r="E5490" s="3" t="s">
        <v>16228</v>
      </c>
      <c r="F5490" s="3" t="str">
        <f>"219-362-7818"</f>
        <v>219-362-7818</v>
      </c>
      <c r="G5490" s="3">
        <v>44</v>
      </c>
      <c r="H5490" s="3" t="s">
        <v>574</v>
      </c>
    </row>
    <row r="5491" spans="1:8" ht="26.25" x14ac:dyDescent="0.25">
      <c r="A5491" s="3" t="s">
        <v>16226</v>
      </c>
      <c r="B5491" s="3"/>
      <c r="C5491" s="3" t="str">
        <f>"Industrial or Construction, Tools and Supplies."</f>
        <v>Industrial or Construction, Tools and Supplies.</v>
      </c>
      <c r="D5491" s="3" t="s">
        <v>9</v>
      </c>
      <c r="E5491" s="3" t="s">
        <v>16229</v>
      </c>
      <c r="F5491" s="3" t="str">
        <f>"219-362-7818"</f>
        <v>219-362-7818</v>
      </c>
      <c r="G5491" s="3">
        <v>44</v>
      </c>
      <c r="H5491" s="3" t="s">
        <v>574</v>
      </c>
    </row>
    <row r="5492" spans="1:8" ht="26.25" x14ac:dyDescent="0.25">
      <c r="A5492" s="3" t="s">
        <v>16230</v>
      </c>
      <c r="B5492" s="3"/>
      <c r="C5492" s="3" t="str">
        <f>"Distributors of Uniforms to Casinos, Hotels, Federal and State Muncipalities"</f>
        <v>Distributors of Uniforms to Casinos, Hotels, Federal and State Muncipalities</v>
      </c>
      <c r="D5492" s="3" t="s">
        <v>9</v>
      </c>
      <c r="E5492" s="3" t="s">
        <v>16231</v>
      </c>
      <c r="F5492" s="3" t="str">
        <f>"765-662-3216"</f>
        <v>765-662-3216</v>
      </c>
      <c r="G5492" s="3">
        <v>423990</v>
      </c>
      <c r="H5492" s="3" t="s">
        <v>983</v>
      </c>
    </row>
    <row r="5493" spans="1:8" ht="51.75" x14ac:dyDescent="0.25">
      <c r="A5493" s="3" t="s">
        <v>16232</v>
      </c>
      <c r="B5493" s="3"/>
      <c r="C5493" s="3" t="str">
        <f>"We offer cleaning for vacant homes, offices, and factories. Not only do we do the janitorial work, we also offer floorcare, carpet cleaning, and window cleaning."</f>
        <v>We offer cleaning for vacant homes, offices, and factories. Not only do we do the janitorial work, we also offer floorcare, carpet cleaning, and window cleaning.</v>
      </c>
      <c r="D5493" s="3" t="s">
        <v>9</v>
      </c>
      <c r="E5493" s="3" t="s">
        <v>16233</v>
      </c>
      <c r="F5493" s="3" t="str">
        <f>"219-464-3386"</f>
        <v>219-464-3386</v>
      </c>
      <c r="G5493" s="3">
        <v>56172</v>
      </c>
      <c r="H5493" s="3" t="s">
        <v>222</v>
      </c>
    </row>
    <row r="5494" spans="1:8" ht="319.5" x14ac:dyDescent="0.25">
      <c r="A5494" s="3" t="s">
        <v>16234</v>
      </c>
      <c r="B5494" s="3"/>
      <c r="C5494" s="3" t="s">
        <v>16235</v>
      </c>
      <c r="D5494" s="3" t="s">
        <v>16236</v>
      </c>
      <c r="E5494" s="3" t="s">
        <v>16237</v>
      </c>
      <c r="F5494" s="3" t="str">
        <f>"260 351-3274"</f>
        <v>260 351-3274</v>
      </c>
      <c r="G5494" s="3">
        <v>334119</v>
      </c>
      <c r="H5494" s="3" t="s">
        <v>6977</v>
      </c>
    </row>
    <row r="5495" spans="1:8" ht="255.75" x14ac:dyDescent="0.25">
      <c r="A5495" s="3" t="s">
        <v>16238</v>
      </c>
      <c r="B5495" s="3"/>
      <c r="C5495" s="3" t="s">
        <v>16239</v>
      </c>
      <c r="D5495" s="3" t="s">
        <v>16240</v>
      </c>
      <c r="E5495" s="3" t="s">
        <v>16241</v>
      </c>
      <c r="F5495" s="3" t="str">
        <f>"219-924-1977"</f>
        <v>219-924-1977</v>
      </c>
      <c r="G5495" s="3">
        <v>236220</v>
      </c>
      <c r="H5495" s="3" t="s">
        <v>598</v>
      </c>
    </row>
    <row r="5496" spans="1:8" ht="51.75" x14ac:dyDescent="0.25">
      <c r="A5496" s="3" t="s">
        <v>16242</v>
      </c>
      <c r="B5496" s="3"/>
      <c r="C5496" s="3" t="str">
        <f>"A female-owned minority business enterprise specialized in providing flexible staffing in the fields of light industrial to medical services."</f>
        <v>A female-owned minority business enterprise specialized in providing flexible staffing in the fields of light industrial to medical services.</v>
      </c>
      <c r="D5496" s="3" t="s">
        <v>16243</v>
      </c>
      <c r="E5496" s="3" t="s">
        <v>16244</v>
      </c>
      <c r="F5496" s="3" t="str">
        <f>"317-890-8121"</f>
        <v>317-890-8121</v>
      </c>
      <c r="G5496" s="3">
        <v>561310</v>
      </c>
      <c r="H5496" s="3" t="s">
        <v>1720</v>
      </c>
    </row>
    <row r="5497" spans="1:8" ht="26.25" x14ac:dyDescent="0.25">
      <c r="A5497" s="3" t="s">
        <v>16245</v>
      </c>
      <c r="B5497" s="3"/>
      <c r="C5497" s="3" t="str">
        <f>"Wholeseller of medical supplies to hospitals, clinics and doctors offices"</f>
        <v>Wholeseller of medical supplies to hospitals, clinics and doctors offices</v>
      </c>
      <c r="D5497" s="3" t="s">
        <v>16246</v>
      </c>
      <c r="E5497" s="3" t="s">
        <v>16247</v>
      </c>
      <c r="F5497" s="3" t="str">
        <f>"800-888-1200"</f>
        <v>800-888-1200</v>
      </c>
      <c r="G5497" s="3">
        <v>42345</v>
      </c>
      <c r="H5497" s="3" t="s">
        <v>1406</v>
      </c>
    </row>
    <row r="5498" spans="1:8" ht="51.75" x14ac:dyDescent="0.25">
      <c r="A5498" s="3" t="s">
        <v>16248</v>
      </c>
      <c r="B5498" s="3"/>
      <c r="C5498" s="3" t="str">
        <f>"Long term health care social work and nursing services consulting firm providing services to health care organizations throughout Indiana."</f>
        <v>Long term health care social work and nursing services consulting firm providing services to health care organizations throughout Indiana.</v>
      </c>
      <c r="D5498" s="3" t="s">
        <v>16249</v>
      </c>
      <c r="E5498" s="3" t="s">
        <v>16250</v>
      </c>
      <c r="F5498" s="3" t="str">
        <f>"317-845-4256"</f>
        <v>317-845-4256</v>
      </c>
      <c r="G5498" s="3">
        <v>611430</v>
      </c>
      <c r="H5498" s="3" t="s">
        <v>1224</v>
      </c>
    </row>
    <row r="5499" spans="1:8" ht="26.25" x14ac:dyDescent="0.25">
      <c r="A5499" s="3" t="s">
        <v>16251</v>
      </c>
      <c r="B5499" s="3"/>
      <c r="C5499" s="3" t="str">
        <f>"voice/data cabling Norstar KSU installation and programming"</f>
        <v>voice/data cabling Norstar KSU installation and programming</v>
      </c>
      <c r="D5499" s="3" t="s">
        <v>9</v>
      </c>
      <c r="E5499" s="3" t="s">
        <v>16252</v>
      </c>
      <c r="F5499" s="3" t="str">
        <f>"3174165810"</f>
        <v>3174165810</v>
      </c>
      <c r="G5499" s="3">
        <v>811213</v>
      </c>
      <c r="H5499" s="3" t="s">
        <v>1077</v>
      </c>
    </row>
    <row r="5500" spans="1:8" ht="51.75" x14ac:dyDescent="0.25">
      <c r="A5500" s="3" t="s">
        <v>16253</v>
      </c>
      <c r="B5500" s="3"/>
      <c r="C5500" s="3" t="str">
        <f>"Our business Includes Caulking, Waterproofing, Masonry Restoration, Concrete Restoration, Firestopping, Air Barriers, Traffic Coating"</f>
        <v>Our business Includes Caulking, Waterproofing, Masonry Restoration, Concrete Restoration, Firestopping, Air Barriers, Traffic Coating</v>
      </c>
      <c r="D5500" s="3" t="s">
        <v>9</v>
      </c>
      <c r="E5500" s="3" t="s">
        <v>16254</v>
      </c>
      <c r="F5500" s="3" t="str">
        <f>"765-474-5634"</f>
        <v>765-474-5634</v>
      </c>
      <c r="G5500" s="3">
        <v>238390</v>
      </c>
      <c r="H5500" s="3" t="s">
        <v>2109</v>
      </c>
    </row>
    <row r="5501" spans="1:8" ht="77.25" x14ac:dyDescent="0.25">
      <c r="A5501" s="3" t="s">
        <v>16255</v>
      </c>
      <c r="B5501" s="3"/>
      <c r="C5501" s="3" t="str">
        <f>"General line electronic distributor. Suppling electronic components, networking materials, batteries, power supplies and management, wire and cable, cable management, hand tools, enclosures, chemicals."</f>
        <v>General line electronic distributor. Suppling electronic components, networking materials, batteries, power supplies and management, wire and cable, cable management, hand tools, enclosures, chemicals.</v>
      </c>
      <c r="D5501" s="3" t="s">
        <v>16256</v>
      </c>
      <c r="E5501" s="3" t="s">
        <v>16257</v>
      </c>
      <c r="F5501" s="3" t="str">
        <f>"765-447-9660"</f>
        <v>765-447-9660</v>
      </c>
      <c r="G5501" s="3">
        <v>443112</v>
      </c>
      <c r="H5501" s="3" t="s">
        <v>3890</v>
      </c>
    </row>
    <row r="5502" spans="1:8" ht="90" x14ac:dyDescent="0.25">
      <c r="A5502" s="3" t="s">
        <v>16258</v>
      </c>
      <c r="B5502" s="3"/>
      <c r="C5502" s="3" t="s">
        <v>16259</v>
      </c>
      <c r="D5502" s="3" t="s">
        <v>16260</v>
      </c>
      <c r="E5502" s="3" t="s">
        <v>16261</v>
      </c>
      <c r="F5502" s="3" t="str">
        <f>"765-497-3828"</f>
        <v>765-497-3828</v>
      </c>
      <c r="G5502" s="3">
        <v>485510</v>
      </c>
      <c r="H5502" s="3" t="s">
        <v>8779</v>
      </c>
    </row>
    <row r="5503" spans="1:8" ht="26.25" x14ac:dyDescent="0.25">
      <c r="A5503" s="3" t="s">
        <v>16262</v>
      </c>
      <c r="B5503" s="3"/>
      <c r="C5503" s="3" t="str">
        <f>"Materials Handling and Storage Equipment."</f>
        <v>Materials Handling and Storage Equipment.</v>
      </c>
      <c r="D5503" s="3" t="s">
        <v>16034</v>
      </c>
      <c r="E5503" s="3" t="s">
        <v>16035</v>
      </c>
      <c r="F5503" s="3" t="str">
        <f>"7654477400"</f>
        <v>7654477400</v>
      </c>
      <c r="G5503" s="3">
        <v>423830</v>
      </c>
      <c r="H5503" s="3" t="s">
        <v>172</v>
      </c>
    </row>
    <row r="5504" spans="1:8" ht="204.75" x14ac:dyDescent="0.25">
      <c r="A5504" s="3" t="s">
        <v>16263</v>
      </c>
      <c r="B5504" s="3"/>
      <c r="C5504" s="3" t="s">
        <v>16264</v>
      </c>
      <c r="D5504" s="3" t="s">
        <v>16265</v>
      </c>
      <c r="E5504" s="3" t="s">
        <v>16266</v>
      </c>
      <c r="F5504" s="3" t="str">
        <f>"7654498652"</f>
        <v>7654498652</v>
      </c>
      <c r="G5504" s="3">
        <v>532420</v>
      </c>
      <c r="H5504" s="3" t="s">
        <v>5166</v>
      </c>
    </row>
    <row r="5505" spans="1:8" ht="26.25" x14ac:dyDescent="0.25">
      <c r="A5505" s="3" t="s">
        <v>16267</v>
      </c>
      <c r="B5505" s="3"/>
      <c r="C5505" s="3" t="str">
        <f>"Distributor of Texaco Lubricants, Sinclair Oil and Lubricants, and FINA Lubricants"</f>
        <v>Distributor of Texaco Lubricants, Sinclair Oil and Lubricants, and FINA Lubricants</v>
      </c>
      <c r="D5505" s="3" t="s">
        <v>16268</v>
      </c>
      <c r="E5505" s="3" t="s">
        <v>16269</v>
      </c>
      <c r="F5505" s="3" t="str">
        <f>"765-471-7800"</f>
        <v>765-471-7800</v>
      </c>
      <c r="G5505" s="3">
        <v>23599</v>
      </c>
      <c r="H5505" s="3" t="s">
        <v>248</v>
      </c>
    </row>
    <row r="5506" spans="1:8" ht="153.75" x14ac:dyDescent="0.25">
      <c r="A5506" s="3" t="s">
        <v>16270</v>
      </c>
      <c r="B5506" s="3"/>
      <c r="C5506" s="3" t="s">
        <v>16271</v>
      </c>
      <c r="D5506" s="3" t="s">
        <v>16272</v>
      </c>
      <c r="E5506" s="3" t="s">
        <v>46</v>
      </c>
      <c r="F5506" s="3" t="str">
        <f>"317-890-1808"</f>
        <v>317-890-1808</v>
      </c>
      <c r="G5506" s="3">
        <v>424610</v>
      </c>
      <c r="H5506" s="3" t="s">
        <v>12492</v>
      </c>
    </row>
    <row r="5507" spans="1:8" ht="39" x14ac:dyDescent="0.25">
      <c r="A5507" s="3" t="s">
        <v>16273</v>
      </c>
      <c r="B5507" s="3"/>
      <c r="C5507" s="3" t="str">
        <f>"SCUBA training for Individuals and Public Safety Diver Teams. Gear sales, service and rental. Air &amp; Nitrox fills and service."</f>
        <v>SCUBA training for Individuals and Public Safety Diver Teams. Gear sales, service and rental. Air &amp; Nitrox fills and service.</v>
      </c>
      <c r="D5507" s="3" t="s">
        <v>16274</v>
      </c>
      <c r="E5507" s="3" t="s">
        <v>16275</v>
      </c>
      <c r="F5507" s="3" t="str">
        <f>"574-551-0306"</f>
        <v>574-551-0306</v>
      </c>
      <c r="G5507" s="3">
        <v>611620</v>
      </c>
      <c r="H5507" s="3" t="s">
        <v>16276</v>
      </c>
    </row>
    <row r="5508" spans="1:8" ht="26.25" x14ac:dyDescent="0.25">
      <c r="A5508" s="3" t="s">
        <v>16277</v>
      </c>
      <c r="B5508" s="3"/>
      <c r="C5508" s="3" t="str">
        <f>"Scuba Diving Equipment and Training"</f>
        <v>Scuba Diving Equipment and Training</v>
      </c>
      <c r="D5508" s="3" t="s">
        <v>16278</v>
      </c>
      <c r="E5508" s="3" t="s">
        <v>16279</v>
      </c>
      <c r="F5508" s="3" t="str">
        <f>"2199420016"</f>
        <v>2199420016</v>
      </c>
      <c r="G5508" s="3">
        <v>451110</v>
      </c>
      <c r="H5508" s="3" t="s">
        <v>3110</v>
      </c>
    </row>
    <row r="5509" spans="1:8" ht="77.25" x14ac:dyDescent="0.25">
      <c r="A5509" s="3" t="s">
        <v>16280</v>
      </c>
      <c r="B5509" s="3"/>
      <c r="C5509" s="3" t="str">
        <f>"Chief Law Enforcement Agency for Lake County Indiana Local Coordinating Committee for Lake County in the State of Indiana Prevention Treatment and Law Enforcement with respect to substance abuse"</f>
        <v>Chief Law Enforcement Agency for Lake County Indiana Local Coordinating Committee for Lake County in the State of Indiana Prevention Treatment and Law Enforcement with respect to substance abuse</v>
      </c>
      <c r="D5509" s="3" t="s">
        <v>16281</v>
      </c>
      <c r="E5509" s="3" t="s">
        <v>16282</v>
      </c>
      <c r="F5509" s="3" t="str">
        <f>"219-648-6121"</f>
        <v>219-648-6121</v>
      </c>
      <c r="G5509" s="3">
        <v>922120</v>
      </c>
      <c r="H5509" s="3" t="s">
        <v>1293</v>
      </c>
    </row>
    <row r="5510" spans="1:8" ht="77.25" x14ac:dyDescent="0.25">
      <c r="A5510" s="3" t="s">
        <v>16283</v>
      </c>
      <c r="B5510" s="3"/>
      <c r="C5510" s="3" t="str">
        <f>"Lake Effect Embroidery is a custom embroidery shop serving both individual and business customers. Our primary focus is corporate apparel and promotional products. We also do all embroidery and digitizing in-house."</f>
        <v>Lake Effect Embroidery is a custom embroidery shop serving both individual and business customers. Our primary focus is corporate apparel and promotional products. We also do all embroidery and digitizing in-house.</v>
      </c>
      <c r="D5510" s="3" t="s">
        <v>9</v>
      </c>
      <c r="E5510" s="3" t="s">
        <v>16284</v>
      </c>
      <c r="F5510" s="3" t="str">
        <f>"219-872-3045"</f>
        <v>219-872-3045</v>
      </c>
      <c r="G5510" s="3">
        <v>314999</v>
      </c>
      <c r="H5510" s="3" t="s">
        <v>6142</v>
      </c>
    </row>
    <row r="5511" spans="1:8" ht="26.25" x14ac:dyDescent="0.25">
      <c r="A5511" s="3" t="s">
        <v>16285</v>
      </c>
      <c r="B5511" s="3"/>
      <c r="C5511" s="3" t="str">
        <f>"Lake Effect Engineering, LLC, is an electrical engineering design and consulting firm."</f>
        <v>Lake Effect Engineering, LLC, is an electrical engineering design and consulting firm.</v>
      </c>
      <c r="D5511" s="3" t="s">
        <v>9</v>
      </c>
      <c r="E5511" s="3" t="s">
        <v>46</v>
      </c>
      <c r="F5511" s="2"/>
      <c r="G5511" s="3">
        <v>541330</v>
      </c>
      <c r="H5511" s="3" t="s">
        <v>82</v>
      </c>
    </row>
    <row r="5512" spans="1:8" x14ac:dyDescent="0.25">
      <c r="A5512" s="3" t="s">
        <v>16286</v>
      </c>
      <c r="B5512" s="3"/>
      <c r="C5512" s="2"/>
      <c r="D5512" s="3" t="s">
        <v>9</v>
      </c>
      <c r="E5512" s="3" t="s">
        <v>46</v>
      </c>
      <c r="F5512" s="2"/>
      <c r="G5512" s="3">
        <v>922160</v>
      </c>
      <c r="H5512" s="3" t="s">
        <v>2246</v>
      </c>
    </row>
    <row r="5513" spans="1:8" ht="77.25" x14ac:dyDescent="0.25">
      <c r="A5513" s="3" t="s">
        <v>16287</v>
      </c>
      <c r="B5513" s="3"/>
      <c r="C5513" s="3" t="str">
        <f>"We produce and market international award winning wines from dry red and whites, semi-dry red and whites, and semi-sweet red and white wines, grown from local and Indiana fruit as well as imported fruit."</f>
        <v>We produce and market international award winning wines from dry red and whites, semi-dry red and whites, and semi-sweet red and white wines, grown from local and Indiana fruit as well as imported fruit.</v>
      </c>
      <c r="D5513" s="3" t="s">
        <v>16288</v>
      </c>
      <c r="E5513" s="3" t="s">
        <v>16289</v>
      </c>
      <c r="F5513" s="3" t="str">
        <f>"260-495-9463"</f>
        <v>260-495-9463</v>
      </c>
      <c r="G5513" s="3">
        <v>312130</v>
      </c>
      <c r="H5513" s="3" t="s">
        <v>16290</v>
      </c>
    </row>
    <row r="5514" spans="1:8" ht="102.75" x14ac:dyDescent="0.25">
      <c r="A5514" s="3" t="s">
        <v>16291</v>
      </c>
      <c r="B5514" s="3"/>
      <c r="C5514" s="3" t="s">
        <v>16292</v>
      </c>
      <c r="D5514" s="3" t="s">
        <v>16293</v>
      </c>
      <c r="E5514" s="3" t="s">
        <v>16294</v>
      </c>
      <c r="F5514" s="3" t="str">
        <f>"219-374-9661"</f>
        <v>219-374-9661</v>
      </c>
      <c r="G5514" s="3">
        <v>561710</v>
      </c>
      <c r="H5514" s="3" t="s">
        <v>946</v>
      </c>
    </row>
    <row r="5515" spans="1:8" ht="51.75" x14ac:dyDescent="0.25">
      <c r="A5515" s="3" t="s">
        <v>16295</v>
      </c>
      <c r="B5515" s="3"/>
      <c r="C5515" s="3" t="str">
        <f>"Automobile dealership with franchises in Toyota, Scion, Ford, Mercury and used vehicles. We provide service of vehicles as well as a parts department."</f>
        <v>Automobile dealership with franchises in Toyota, Scion, Ford, Mercury and used vehicles. We provide service of vehicles as well as a parts department.</v>
      </c>
      <c r="D5515" s="3" t="s">
        <v>16296</v>
      </c>
      <c r="E5515" s="3" t="s">
        <v>16297</v>
      </c>
      <c r="F5515" s="3" t="str">
        <f>"2197878600"</f>
        <v>2197878600</v>
      </c>
      <c r="G5515" s="3">
        <v>441110</v>
      </c>
      <c r="H5515" s="3" t="s">
        <v>2588</v>
      </c>
    </row>
    <row r="5516" spans="1:8" ht="26.25" x14ac:dyDescent="0.25">
      <c r="A5516" s="3" t="s">
        <v>16298</v>
      </c>
      <c r="B5516" s="3"/>
      <c r="C5516" s="3" t="str">
        <f>"Real Estate and Appraising Services"</f>
        <v>Real Estate and Appraising Services</v>
      </c>
      <c r="D5516" s="3" t="s">
        <v>16299</v>
      </c>
      <c r="E5516" s="3" t="s">
        <v>16300</v>
      </c>
      <c r="F5516" s="3" t="str">
        <f>"877-464-9172"</f>
        <v>877-464-9172</v>
      </c>
      <c r="G5516" s="3">
        <v>531210</v>
      </c>
      <c r="H5516" s="3" t="s">
        <v>1101</v>
      </c>
    </row>
    <row r="5517" spans="1:8" x14ac:dyDescent="0.25">
      <c r="A5517" s="3" t="s">
        <v>16301</v>
      </c>
      <c r="B5517" s="3"/>
      <c r="C5517" s="3" t="str">
        <f>" "</f>
        <v xml:space="preserve"> </v>
      </c>
      <c r="D5517" s="3" t="s">
        <v>9</v>
      </c>
      <c r="E5517" s="3" t="s">
        <v>46</v>
      </c>
      <c r="F5517" s="2"/>
      <c r="G5517" s="3">
        <v>611110</v>
      </c>
      <c r="H5517" s="3" t="s">
        <v>3876</v>
      </c>
    </row>
    <row r="5518" spans="1:8" ht="77.25" x14ac:dyDescent="0.25">
      <c r="A5518" s="3" t="s">
        <v>16302</v>
      </c>
      <c r="B5518" s="3"/>
      <c r="C5518" s="3" t="str">
        <f>"Supplier of Maintenance, Repair &amp; Operations and Construction Products to Residential, Commercial, Industrial, Manufacturing, Construction, Real Estate, Retail, Recreation, Government, Education &amp; Healthcare Industries."</f>
        <v>Supplier of Maintenance, Repair &amp; Operations and Construction Products to Residential, Commercial, Industrial, Manufacturing, Construction, Real Estate, Retail, Recreation, Government, Education &amp; Healthcare Industries.</v>
      </c>
      <c r="D5518" s="3" t="s">
        <v>16303</v>
      </c>
      <c r="E5518" s="3" t="s">
        <v>16304</v>
      </c>
      <c r="F5518" s="3" t="str">
        <f>"317-900-9775"</f>
        <v>317-900-9775</v>
      </c>
      <c r="G5518" s="3">
        <v>444190</v>
      </c>
      <c r="H5518" s="3" t="s">
        <v>1188</v>
      </c>
    </row>
    <row r="5519" spans="1:8" ht="64.5" x14ac:dyDescent="0.25">
      <c r="A5519" s="3" t="s">
        <v>16305</v>
      </c>
      <c r="B5519" s="3"/>
      <c r="C5519" s="3" t="str">
        <f>"Emergency response including: fire suppression, rescue, extrication, water rescue/dive, Advanced Life Support Ambulance, fire prevention education/inspections"</f>
        <v>Emergency response including: fire suppression, rescue, extrication, water rescue/dive, Advanced Life Support Ambulance, fire prevention education/inspections</v>
      </c>
      <c r="D5519" s="3" t="s">
        <v>16306</v>
      </c>
      <c r="E5519" s="3" t="s">
        <v>16307</v>
      </c>
      <c r="F5519" s="3" t="str">
        <f>"219 988-4309"</f>
        <v>219 988-4309</v>
      </c>
      <c r="G5519" s="3">
        <v>922160</v>
      </c>
      <c r="H5519" s="3" t="s">
        <v>2246</v>
      </c>
    </row>
    <row r="5520" spans="1:8" ht="102.75" x14ac:dyDescent="0.25">
      <c r="A5520" s="3" t="s">
        <v>16308</v>
      </c>
      <c r="B5520" s="3"/>
      <c r="C5520" s="3" t="s">
        <v>16309</v>
      </c>
      <c r="D5520" s="3" t="s">
        <v>16310</v>
      </c>
      <c r="E5520" s="3" t="s">
        <v>16311</v>
      </c>
      <c r="F5520" s="3" t="str">
        <f>"260-668-1070"</f>
        <v>260-668-1070</v>
      </c>
      <c r="G5520" s="3">
        <v>2332</v>
      </c>
      <c r="H5520" s="3" t="s">
        <v>3466</v>
      </c>
    </row>
    <row r="5521" spans="1:8" ht="26.25" x14ac:dyDescent="0.25">
      <c r="A5521" s="3" t="s">
        <v>16312</v>
      </c>
      <c r="B5521" s="3"/>
      <c r="C5521" s="3" t="str">
        <f>"Commercial Landscape Architects and Contractors since 1985."</f>
        <v>Commercial Landscape Architects and Contractors since 1985.</v>
      </c>
      <c r="D5521" s="3" t="s">
        <v>16313</v>
      </c>
      <c r="E5521" s="3" t="s">
        <v>16314</v>
      </c>
      <c r="F5521" s="3" t="str">
        <f>"219-462-9555"</f>
        <v>219-462-9555</v>
      </c>
      <c r="G5521" s="3">
        <v>541990</v>
      </c>
      <c r="H5521" s="3" t="s">
        <v>378</v>
      </c>
    </row>
    <row r="5522" spans="1:8" ht="39" x14ac:dyDescent="0.25">
      <c r="A5522" s="3" t="s">
        <v>16315</v>
      </c>
      <c r="B5522" s="3"/>
      <c r="C5522" s="3" t="str">
        <f>"Advertising Specialties and Promotional Products including imprinted items and apparel."</f>
        <v>Advertising Specialties and Promotional Products including imprinted items and apparel.</v>
      </c>
      <c r="D5522" s="3" t="s">
        <v>9</v>
      </c>
      <c r="E5522" s="3" t="s">
        <v>16316</v>
      </c>
      <c r="F5522" s="3" t="str">
        <f>"574-903-6025"</f>
        <v>574-903-6025</v>
      </c>
      <c r="G5522" s="3">
        <v>541890</v>
      </c>
      <c r="H5522" s="3" t="s">
        <v>401</v>
      </c>
    </row>
    <row r="5523" spans="1:8" ht="51.75" x14ac:dyDescent="0.25">
      <c r="A5523" s="3" t="s">
        <v>16317</v>
      </c>
      <c r="B5523" s="3"/>
      <c r="C5523" s="3" t="str">
        <f>"Centrally located marine dealership selling new and used boats, PWCs, and trailers; selling new marine parts and accessories; providing service and storage."</f>
        <v>Centrally located marine dealership selling new and used boats, PWCs, and trailers; selling new marine parts and accessories; providing service and storage.</v>
      </c>
      <c r="D5523" s="3" t="s">
        <v>16318</v>
      </c>
      <c r="E5523" s="3" t="s">
        <v>16319</v>
      </c>
      <c r="F5523" s="3" t="str">
        <f>"317-773-6885"</f>
        <v>317-773-6885</v>
      </c>
      <c r="G5523" s="3">
        <v>44</v>
      </c>
      <c r="H5523" s="3" t="s">
        <v>574</v>
      </c>
    </row>
    <row r="5524" spans="1:8" ht="51.75" x14ac:dyDescent="0.25">
      <c r="A5524" s="3" t="s">
        <v>16320</v>
      </c>
      <c r="B5524" s="3"/>
      <c r="C5524" s="3" t="str">
        <f>"General Construction of single family dwellings. Commercial and residential renovation. Burglar &amp; Fire alarm installations, Access Control, &amp; CCTV."</f>
        <v>General Construction of single family dwellings. Commercial and residential renovation. Burglar &amp; Fire alarm installations, Access Control, &amp; CCTV.</v>
      </c>
      <c r="D5524" s="3" t="s">
        <v>9</v>
      </c>
      <c r="E5524" s="3" t="s">
        <v>46</v>
      </c>
      <c r="F5524" s="3" t="str">
        <f>"765-482-7397"</f>
        <v>765-482-7397</v>
      </c>
      <c r="G5524" s="3">
        <v>2332</v>
      </c>
      <c r="H5524" s="3" t="s">
        <v>3466</v>
      </c>
    </row>
    <row r="5525" spans="1:8" ht="141" x14ac:dyDescent="0.25">
      <c r="A5525" s="3" t="s">
        <v>16321</v>
      </c>
      <c r="B5525" s="3"/>
      <c r="C5525" s="3" t="s">
        <v>16322</v>
      </c>
      <c r="D5525" s="3" t="s">
        <v>16030</v>
      </c>
      <c r="E5525" s="3" t="s">
        <v>16031</v>
      </c>
      <c r="F5525" s="3" t="str">
        <f>"3174234350"</f>
        <v>3174234350</v>
      </c>
      <c r="G5525" s="3">
        <v>541611</v>
      </c>
      <c r="H5525" s="3" t="s">
        <v>278</v>
      </c>
    </row>
    <row r="5526" spans="1:8" ht="77.25" x14ac:dyDescent="0.25">
      <c r="A5526" s="3" t="s">
        <v>16323</v>
      </c>
      <c r="B5526" s="3"/>
      <c r="C5526" s="3" t="str">
        <f>"We are a full service asphalting and sealcoating compmany. We perform, asphalt patching and repair, crack sealing, sealcoating, oil spot cleaning, parking lot sweeping/cleaning, minor concrete repair and paint striping."</f>
        <v>We are a full service asphalting and sealcoating compmany. We perform, asphalt patching and repair, crack sealing, sealcoating, oil spot cleaning, parking lot sweeping/cleaning, minor concrete repair and paint striping.</v>
      </c>
      <c r="D5526" s="3" t="s">
        <v>16324</v>
      </c>
      <c r="E5526" s="3" t="s">
        <v>16325</v>
      </c>
      <c r="F5526" s="3" t="str">
        <f>"317-985-8061"</f>
        <v>317-985-8061</v>
      </c>
      <c r="G5526" s="3">
        <v>238990</v>
      </c>
      <c r="H5526" s="3" t="s">
        <v>481</v>
      </c>
    </row>
    <row r="5527" spans="1:8" ht="26.25" x14ac:dyDescent="0.25">
      <c r="A5527" s="3" t="s">
        <v>16326</v>
      </c>
      <c r="B5527" s="3"/>
      <c r="C5527" s="3" t="str">
        <f>" "</f>
        <v xml:space="preserve"> </v>
      </c>
      <c r="D5527" s="3" t="s">
        <v>9</v>
      </c>
      <c r="E5527" s="3" t="s">
        <v>16327</v>
      </c>
      <c r="F5527" s="3" t="str">
        <f>"317-423-2385"</f>
        <v>317-423-2385</v>
      </c>
      <c r="G5527" s="3">
        <v>23</v>
      </c>
      <c r="H5527" s="3" t="s">
        <v>133</v>
      </c>
    </row>
    <row r="5528" spans="1:8" ht="51.75" x14ac:dyDescent="0.25">
      <c r="A5528" s="3" t="s">
        <v>16328</v>
      </c>
      <c r="B5528" s="3"/>
      <c r="C5528" s="3" t="str">
        <f>"Residential and commercial cabinets, countertops and millwork. Custom laminate millwork and furniture. Laminate and solid surface countertops."</f>
        <v>Residential and commercial cabinets, countertops and millwork. Custom laminate millwork and furniture. Laminate and solid surface countertops.</v>
      </c>
      <c r="D5528" s="3" t="s">
        <v>16329</v>
      </c>
      <c r="E5528" s="3" t="s">
        <v>16330</v>
      </c>
      <c r="F5528" s="3" t="str">
        <f>"765-482-4222"</f>
        <v>765-482-4222</v>
      </c>
      <c r="G5528" s="3">
        <v>337110</v>
      </c>
      <c r="H5528" s="3" t="s">
        <v>6044</v>
      </c>
    </row>
    <row r="5529" spans="1:8" ht="26.25" x14ac:dyDescent="0.25">
      <c r="A5529" s="3" t="s">
        <v>16331</v>
      </c>
      <c r="B5529" s="3"/>
      <c r="C5529" s="2"/>
      <c r="D5529" s="3" t="s">
        <v>16332</v>
      </c>
      <c r="E5529" s="3" t="s">
        <v>16333</v>
      </c>
      <c r="F5529" s="3" t="str">
        <f>"812-471-1776"</f>
        <v>812-471-1776</v>
      </c>
      <c r="G5529" s="3">
        <v>624190</v>
      </c>
      <c r="H5529" s="3" t="s">
        <v>54</v>
      </c>
    </row>
    <row r="5530" spans="1:8" ht="39" x14ac:dyDescent="0.25">
      <c r="A5530" s="3" t="s">
        <v>16334</v>
      </c>
      <c r="B5530" s="3"/>
      <c r="C5530" s="3" t="str">
        <f>"Full service florist. An Indiana Family business since 1923."</f>
        <v>Full service florist. An Indiana Family business since 1923.</v>
      </c>
      <c r="D5530" s="3" t="s">
        <v>16335</v>
      </c>
      <c r="E5530" s="3" t="s">
        <v>46</v>
      </c>
      <c r="F5530" s="3" t="str">
        <f>"219-838-ROSE (7673)"</f>
        <v>219-838-ROSE (7673)</v>
      </c>
      <c r="G5530" s="3">
        <v>453110</v>
      </c>
      <c r="H5530" s="3" t="s">
        <v>2584</v>
      </c>
    </row>
    <row r="5531" spans="1:8" ht="64.5" x14ac:dyDescent="0.25">
      <c r="A5531" s="3" t="s">
        <v>16336</v>
      </c>
      <c r="B5531" s="3"/>
      <c r="C5531" s="3" t="str">
        <f>"Water Supply Distribution, Sales of water supply pumps and supplies, safety consultant for construction sites, software consultant for construction software and applications."</f>
        <v>Water Supply Distribution, Sales of water supply pumps and supplies, safety consultant for construction sites, software consultant for construction software and applications.</v>
      </c>
      <c r="D5531" s="3" t="s">
        <v>9</v>
      </c>
      <c r="E5531" s="3" t="s">
        <v>16337</v>
      </c>
      <c r="F5531" s="3" t="str">
        <f>"574-654-3570"</f>
        <v>574-654-3570</v>
      </c>
      <c r="G5531" s="3">
        <v>237110</v>
      </c>
      <c r="H5531" s="3" t="s">
        <v>901</v>
      </c>
    </row>
    <row r="5532" spans="1:8" ht="90" x14ac:dyDescent="0.25">
      <c r="A5532" s="3" t="s">
        <v>16338</v>
      </c>
      <c r="B5532" s="3"/>
      <c r="C5532" s="3" t="s">
        <v>16339</v>
      </c>
      <c r="D5532" s="3" t="s">
        <v>16340</v>
      </c>
      <c r="E5532" s="3" t="s">
        <v>16341</v>
      </c>
      <c r="F5532" s="3" t="str">
        <f>"812-537-2145"</f>
        <v>812-537-2145</v>
      </c>
      <c r="G5532" s="3">
        <v>541370</v>
      </c>
      <c r="H5532" s="3" t="s">
        <v>160</v>
      </c>
    </row>
    <row r="5533" spans="1:8" ht="90" x14ac:dyDescent="0.25">
      <c r="A5533" s="3" t="s">
        <v>16342</v>
      </c>
      <c r="B5533" s="3"/>
      <c r="C5533" s="3" t="s">
        <v>16343</v>
      </c>
      <c r="D5533" s="3" t="s">
        <v>9</v>
      </c>
      <c r="E5533" s="3" t="s">
        <v>46</v>
      </c>
      <c r="F5533" s="2"/>
      <c r="G5533" s="3">
        <v>23</v>
      </c>
      <c r="H5533" s="3" t="s">
        <v>133</v>
      </c>
    </row>
    <row r="5534" spans="1:8" ht="90" x14ac:dyDescent="0.25">
      <c r="A5534" s="3" t="s">
        <v>16344</v>
      </c>
      <c r="B5534" s="3"/>
      <c r="C5534" s="3" t="s">
        <v>16345</v>
      </c>
      <c r="D5534" s="3" t="s">
        <v>16346</v>
      </c>
      <c r="E5534" s="3" t="s">
        <v>16347</v>
      </c>
      <c r="F5534" s="3" t="str">
        <f>"3178211100"</f>
        <v>3178211100</v>
      </c>
      <c r="G5534" s="3">
        <v>72111</v>
      </c>
      <c r="H5534" s="3" t="s">
        <v>872</v>
      </c>
    </row>
    <row r="5535" spans="1:8" ht="306.75" x14ac:dyDescent="0.25">
      <c r="A5535" s="3" t="s">
        <v>16348</v>
      </c>
      <c r="B5535" s="3"/>
      <c r="C5535" s="3" t="s">
        <v>16349</v>
      </c>
      <c r="D5535" s="3" t="s">
        <v>16350</v>
      </c>
      <c r="E5535" s="3" t="s">
        <v>16351</v>
      </c>
      <c r="F5535" s="3" t="str">
        <f>"(317) 758-9301"</f>
        <v>(317) 758-9301</v>
      </c>
      <c r="G5535" s="3">
        <v>541620</v>
      </c>
      <c r="H5535" s="3" t="s">
        <v>216</v>
      </c>
    </row>
    <row r="5536" spans="1:8" ht="26.25" x14ac:dyDescent="0.25">
      <c r="A5536" s="3" t="s">
        <v>16352</v>
      </c>
      <c r="B5536" s="3"/>
      <c r="C5536" s="3" t="str">
        <f>"Landscaping, lawn maintenance, and irrigation"</f>
        <v>Landscaping, lawn maintenance, and irrigation</v>
      </c>
      <c r="D5536" s="3" t="s">
        <v>9</v>
      </c>
      <c r="E5536" s="3" t="s">
        <v>16353</v>
      </c>
      <c r="F5536" s="3" t="str">
        <f>"574-674-8196"</f>
        <v>574-674-8196</v>
      </c>
      <c r="G5536" s="3">
        <v>541320</v>
      </c>
      <c r="H5536" s="3" t="s">
        <v>2241</v>
      </c>
    </row>
    <row r="5537" spans="1:8" ht="128.25" x14ac:dyDescent="0.25">
      <c r="A5537" s="3" t="s">
        <v>16354</v>
      </c>
      <c r="B5537" s="3"/>
      <c r="C5537" s="3" t="s">
        <v>16355</v>
      </c>
      <c r="D5537" s="3" t="s">
        <v>16356</v>
      </c>
      <c r="E5537" s="3" t="s">
        <v>16357</v>
      </c>
      <c r="F5537" s="3" t="str">
        <f>"219-762-9577"</f>
        <v>219-762-9577</v>
      </c>
      <c r="G5537" s="3">
        <v>339950</v>
      </c>
      <c r="H5537" s="3" t="s">
        <v>68</v>
      </c>
    </row>
    <row r="5538" spans="1:8" ht="26.25" x14ac:dyDescent="0.25">
      <c r="A5538" s="3" t="s">
        <v>16358</v>
      </c>
      <c r="B5538" s="3"/>
      <c r="C5538" s="3" t="str">
        <f>"Facility management, custodial, lawn service, snow removal,maintenance"</f>
        <v>Facility management, custodial, lawn service, snow removal,maintenance</v>
      </c>
      <c r="D5538" s="3" t="s">
        <v>16359</v>
      </c>
      <c r="E5538" s="3" t="s">
        <v>46</v>
      </c>
      <c r="F5538" s="3" t="str">
        <f>"317-228-0780"</f>
        <v>317-228-0780</v>
      </c>
      <c r="G5538" s="3">
        <v>561720</v>
      </c>
      <c r="H5538" s="3" t="s">
        <v>222</v>
      </c>
    </row>
    <row r="5539" spans="1:8" ht="90" x14ac:dyDescent="0.25">
      <c r="A5539" s="3" t="s">
        <v>16360</v>
      </c>
      <c r="B5539" s="3"/>
      <c r="C5539" s="3" t="s">
        <v>16361</v>
      </c>
      <c r="D5539" s="3" t="s">
        <v>9</v>
      </c>
      <c r="E5539" s="3" t="s">
        <v>16362</v>
      </c>
      <c r="F5539" s="3" t="str">
        <f>"317-867-4406"</f>
        <v>317-867-4406</v>
      </c>
      <c r="G5539" s="3">
        <v>561730</v>
      </c>
      <c r="H5539" s="3" t="s">
        <v>65</v>
      </c>
    </row>
    <row r="5540" spans="1:8" ht="77.25" x14ac:dyDescent="0.25">
      <c r="A5540" s="3" t="s">
        <v>16363</v>
      </c>
      <c r="B5540" s="3"/>
      <c r="C5540" s="3" t="str">
        <f>"Landscape LLC is a subcontracting landscape company that does utility cleanup, rough and finish grading, trees, shrubs, mulching , errosion control, and subcontracts cement work related to the clean up project."</f>
        <v>Landscape LLC is a subcontracting landscape company that does utility cleanup, rough and finish grading, trees, shrubs, mulching , errosion control, and subcontracts cement work related to the clean up project.</v>
      </c>
      <c r="D5540" s="3" t="s">
        <v>722</v>
      </c>
      <c r="E5540" s="3" t="s">
        <v>16364</v>
      </c>
      <c r="F5540" s="3" t="str">
        <f>"317-341-1530"</f>
        <v>317-341-1530</v>
      </c>
      <c r="G5540" s="3">
        <v>11</v>
      </c>
      <c r="H5540" s="3" t="s">
        <v>175</v>
      </c>
    </row>
    <row r="5541" spans="1:8" ht="90" x14ac:dyDescent="0.25">
      <c r="A5541" s="3" t="s">
        <v>16365</v>
      </c>
      <c r="B5541" s="3"/>
      <c r="C5541" s="3" t="s">
        <v>16366</v>
      </c>
      <c r="D5541" s="3" t="s">
        <v>9</v>
      </c>
      <c r="E5541" s="3" t="s">
        <v>46</v>
      </c>
      <c r="F5541" s="2"/>
      <c r="G5541" s="3">
        <v>541330</v>
      </c>
      <c r="H5541" s="3" t="s">
        <v>82</v>
      </c>
    </row>
    <row r="5542" spans="1:8" ht="90" x14ac:dyDescent="0.25">
      <c r="A5542" s="3" t="s">
        <v>16367</v>
      </c>
      <c r="B5542" s="3"/>
      <c r="C5542" s="3" t="s">
        <v>16368</v>
      </c>
      <c r="D5542" s="3" t="s">
        <v>16369</v>
      </c>
      <c r="E5542" s="3" t="s">
        <v>16370</v>
      </c>
      <c r="F5542" s="3" t="str">
        <f>"219-510-3580"</f>
        <v>219-510-3580</v>
      </c>
      <c r="G5542" s="3">
        <v>23</v>
      </c>
      <c r="H5542" s="3" t="s">
        <v>133</v>
      </c>
    </row>
    <row r="5543" spans="1:8" ht="102.75" x14ac:dyDescent="0.25">
      <c r="A5543" s="3" t="s">
        <v>16371</v>
      </c>
      <c r="B5543" s="3"/>
      <c r="C5543" s="3" t="s">
        <v>16372</v>
      </c>
      <c r="D5543" s="3" t="s">
        <v>16373</v>
      </c>
      <c r="E5543" s="3" t="s">
        <v>16374</v>
      </c>
      <c r="F5543" s="3" t="str">
        <f>"317-578-4577"</f>
        <v>317-578-4577</v>
      </c>
      <c r="G5543" s="3">
        <v>541930</v>
      </c>
      <c r="H5543" s="3" t="s">
        <v>971</v>
      </c>
    </row>
    <row r="5544" spans="1:8" ht="217.5" x14ac:dyDescent="0.25">
      <c r="A5544" s="3" t="s">
        <v>16375</v>
      </c>
      <c r="B5544" s="3"/>
      <c r="C5544" s="3" t="s">
        <v>16376</v>
      </c>
      <c r="D5544" s="3" t="s">
        <v>16377</v>
      </c>
      <c r="E5544" s="3" t="s">
        <v>16378</v>
      </c>
      <c r="F5544" s="3" t="str">
        <f>"317/872-8844"</f>
        <v>317/872-8844</v>
      </c>
      <c r="G5544" s="3">
        <v>611420</v>
      </c>
      <c r="H5544" s="3" t="s">
        <v>39</v>
      </c>
    </row>
    <row r="5545" spans="1:8" ht="268.5" x14ac:dyDescent="0.25">
      <c r="A5545" s="3" t="s">
        <v>16379</v>
      </c>
      <c r="B5545" s="3"/>
      <c r="C5545" s="3" t="s">
        <v>16380</v>
      </c>
      <c r="D5545" s="3" t="s">
        <v>16381</v>
      </c>
      <c r="E5545" s="3" t="s">
        <v>46</v>
      </c>
      <c r="F5545" s="3" t="str">
        <f>"317.849.6188"</f>
        <v>317.849.6188</v>
      </c>
      <c r="G5545" s="3">
        <v>611430</v>
      </c>
      <c r="H5545" s="3" t="s">
        <v>1224</v>
      </c>
    </row>
    <row r="5546" spans="1:8" ht="64.5" x14ac:dyDescent="0.25">
      <c r="A5546" s="3" t="s">
        <v>16382</v>
      </c>
      <c r="B5546" s="3"/>
      <c r="C5546" s="3" t="str">
        <f>"Civil and Domestic Mediation, Legal Services - Independent Administrative Hearing Officers, Worker's Compensation, Domestic Relations, Guardian Ad Litem and General Civil Litigation"</f>
        <v>Civil and Domestic Mediation, Legal Services - Independent Administrative Hearing Officers, Worker's Compensation, Domestic Relations, Guardian Ad Litem and General Civil Litigation</v>
      </c>
      <c r="D5546" s="3" t="s">
        <v>9</v>
      </c>
      <c r="E5546" s="3" t="s">
        <v>16383</v>
      </c>
      <c r="F5546" s="2"/>
      <c r="G5546" s="3">
        <v>5411</v>
      </c>
      <c r="H5546" s="3" t="s">
        <v>87</v>
      </c>
    </row>
    <row r="5547" spans="1:8" ht="255.75" x14ac:dyDescent="0.25">
      <c r="A5547" s="3" t="s">
        <v>16384</v>
      </c>
      <c r="B5547" s="3"/>
      <c r="C5547" s="3" t="s">
        <v>16385</v>
      </c>
      <c r="D5547" s="3" t="s">
        <v>16386</v>
      </c>
      <c r="E5547" s="3" t="s">
        <v>16387</v>
      </c>
      <c r="F5547" s="3" t="str">
        <f>"812-376-3061"</f>
        <v>812-376-3061</v>
      </c>
      <c r="G5547" s="3">
        <v>541211</v>
      </c>
      <c r="H5547" s="3" t="s">
        <v>337</v>
      </c>
    </row>
    <row r="5548" spans="1:8" ht="26.25" x14ac:dyDescent="0.25">
      <c r="A5548" s="3" t="s">
        <v>16388</v>
      </c>
      <c r="B5548" s="3"/>
      <c r="C5548" s="3" t="str">
        <f>"Real Estate Appraiser/ Consultant"</f>
        <v>Real Estate Appraiser/ Consultant</v>
      </c>
      <c r="D5548" s="3" t="s">
        <v>9</v>
      </c>
      <c r="E5548" s="3" t="s">
        <v>16389</v>
      </c>
      <c r="F5548" s="3" t="str">
        <f>"317-299-0558"</f>
        <v>317-299-0558</v>
      </c>
      <c r="G5548" s="3">
        <v>531320</v>
      </c>
      <c r="H5548" s="3" t="s">
        <v>34</v>
      </c>
    </row>
    <row r="5549" spans="1:8" ht="102.75" x14ac:dyDescent="0.25">
      <c r="A5549" s="3" t="s">
        <v>16390</v>
      </c>
      <c r="B5549" s="3"/>
      <c r="C5549" s="3" t="s">
        <v>16391</v>
      </c>
      <c r="D5549" s="3" t="s">
        <v>16392</v>
      </c>
      <c r="E5549" s="3" t="s">
        <v>16393</v>
      </c>
      <c r="F5549" s="3" t="str">
        <f>"317/293-9979"</f>
        <v>317/293-9979</v>
      </c>
      <c r="G5549" s="3">
        <v>541850</v>
      </c>
      <c r="H5549" s="3" t="s">
        <v>9509</v>
      </c>
    </row>
    <row r="5550" spans="1:8" ht="26.25" x14ac:dyDescent="0.25">
      <c r="A5550" s="3" t="s">
        <v>16394</v>
      </c>
      <c r="B5550" s="3"/>
      <c r="C5550" s="3" t="str">
        <f>"Office equipment and supply sales."</f>
        <v>Office equipment and supply sales.</v>
      </c>
      <c r="D5550" s="3" t="s">
        <v>9</v>
      </c>
      <c r="E5550" s="3" t="s">
        <v>16395</v>
      </c>
      <c r="F5550" s="3" t="str">
        <f>"812-365-3244"</f>
        <v>812-365-3244</v>
      </c>
      <c r="G5550" s="3">
        <v>811212</v>
      </c>
      <c r="H5550" s="3" t="s">
        <v>1632</v>
      </c>
    </row>
    <row r="5551" spans="1:8" ht="141" x14ac:dyDescent="0.25">
      <c r="A5551" s="3" t="s">
        <v>16396</v>
      </c>
      <c r="B5551" s="3"/>
      <c r="C5551" s="3" t="s">
        <v>16397</v>
      </c>
      <c r="D5551" s="3" t="s">
        <v>16398</v>
      </c>
      <c r="E5551" s="3" t="s">
        <v>16399</v>
      </c>
      <c r="F5551" s="3" t="str">
        <f>"219-365-2874"</f>
        <v>219-365-2874</v>
      </c>
      <c r="G5551" s="3">
        <v>81392</v>
      </c>
      <c r="H5551" s="3" t="s">
        <v>8755</v>
      </c>
    </row>
    <row r="5552" spans="1:8" ht="217.5" x14ac:dyDescent="0.25">
      <c r="A5552" s="3" t="s">
        <v>16400</v>
      </c>
      <c r="B5552" s="3"/>
      <c r="C5552" s="3" t="s">
        <v>16401</v>
      </c>
      <c r="D5552" s="3" t="s">
        <v>16402</v>
      </c>
      <c r="E5552" s="3" t="s">
        <v>16403</v>
      </c>
      <c r="F5552" s="3" t="str">
        <f>"317-370-6791"</f>
        <v>317-370-6791</v>
      </c>
      <c r="G5552" s="3">
        <v>5416</v>
      </c>
      <c r="H5552" s="3" t="s">
        <v>194</v>
      </c>
    </row>
    <row r="5553" spans="1:8" ht="179.25" x14ac:dyDescent="0.25">
      <c r="A5553" s="3" t="s">
        <v>16404</v>
      </c>
      <c r="B5553" s="3"/>
      <c r="C5553" s="3" t="s">
        <v>16405</v>
      </c>
      <c r="D5553" s="3" t="s">
        <v>16406</v>
      </c>
      <c r="E5553" s="3" t="s">
        <v>16407</v>
      </c>
      <c r="F5553" s="3" t="str">
        <f>"(317) 875-0667"</f>
        <v>(317) 875-0667</v>
      </c>
      <c r="G5553" s="3">
        <v>541211</v>
      </c>
      <c r="H5553" s="3" t="s">
        <v>337</v>
      </c>
    </row>
    <row r="5554" spans="1:8" ht="64.5" x14ac:dyDescent="0.25">
      <c r="A5554" s="3" t="s">
        <v>16408</v>
      </c>
      <c r="B5554" s="3"/>
      <c r="C5554" s="3" t="str">
        <f>"Install, service and maintain business telephone system and voice mail. Authorized dealer for Comdial, Nortel Networks and Toshiba. Install and certify voice, data and fiber optic cabling."</f>
        <v>Install, service and maintain business telephone system and voice mail. Authorized dealer for Comdial, Nortel Networks and Toshiba. Install and certify voice, data and fiber optic cabling.</v>
      </c>
      <c r="D5554" s="3" t="s">
        <v>16409</v>
      </c>
      <c r="E5554" s="3" t="s">
        <v>16410</v>
      </c>
      <c r="F5554" s="3" t="str">
        <f>"260-493-8500"</f>
        <v>260-493-8500</v>
      </c>
      <c r="G5554" s="3">
        <v>517310</v>
      </c>
      <c r="H5554" s="3" t="s">
        <v>540</v>
      </c>
    </row>
    <row r="5555" spans="1:8" ht="268.5" x14ac:dyDescent="0.25">
      <c r="A5555" s="3" t="s">
        <v>16411</v>
      </c>
      <c r="B5555" s="3"/>
      <c r="C5555" s="3" t="s">
        <v>16412</v>
      </c>
      <c r="D5555" s="3" t="s">
        <v>16413</v>
      </c>
      <c r="E5555" s="3" t="s">
        <v>16414</v>
      </c>
      <c r="F5555" s="3" t="str">
        <f>"317-436-7844"</f>
        <v>317-436-7844</v>
      </c>
      <c r="G5555" s="3">
        <v>541910</v>
      </c>
      <c r="H5555" s="3" t="s">
        <v>510</v>
      </c>
    </row>
    <row r="5556" spans="1:8" ht="128.25" x14ac:dyDescent="0.25">
      <c r="A5556" s="3" t="s">
        <v>16415</v>
      </c>
      <c r="B5556" s="3"/>
      <c r="C5556" s="3" t="s">
        <v>16416</v>
      </c>
      <c r="D5556" s="3" t="s">
        <v>16417</v>
      </c>
      <c r="E5556" s="3" t="s">
        <v>16418</v>
      </c>
      <c r="F5556" s="3" t="str">
        <f>"317-788-7825"</f>
        <v>317-788-7825</v>
      </c>
      <c r="G5556" s="3">
        <v>484110</v>
      </c>
      <c r="H5556" s="3" t="s">
        <v>644</v>
      </c>
    </row>
    <row r="5557" spans="1:8" ht="77.25" x14ac:dyDescent="0.25">
      <c r="A5557" s="3" t="s">
        <v>16419</v>
      </c>
      <c r="B5557" s="3"/>
      <c r="C5557" s="3" t="str">
        <f>"Years of experience and accomplishment in management, planning, grant writing and public education and outreach projects at the federal, tribal and state levels. Specializing in solid waste, Brownfields and the needs of small and rural communities."</f>
        <v>Years of experience and accomplishment in management, planning, grant writing and public education and outreach projects at the federal, tribal and state levels. Specializing in solid waste, Brownfields and the needs of small and rural communities.</v>
      </c>
      <c r="D5557" s="3" t="s">
        <v>9</v>
      </c>
      <c r="E5557" s="3" t="s">
        <v>16420</v>
      </c>
      <c r="F5557" s="3" t="str">
        <f>"605-391-1895"</f>
        <v>605-391-1895</v>
      </c>
      <c r="G5557" s="3">
        <v>541620</v>
      </c>
      <c r="H5557" s="3" t="s">
        <v>216</v>
      </c>
    </row>
    <row r="5558" spans="1:8" ht="39" x14ac:dyDescent="0.25">
      <c r="A5558" s="3" t="s">
        <v>16421</v>
      </c>
      <c r="B5558" s="3"/>
      <c r="C5558" s="3" t="str">
        <f>"wholesale distributor of all tile products; porcelain, ceramic, natural stone, glass, metal, mosaics, pavers, etc."</f>
        <v>wholesale distributor of all tile products; porcelain, ceramic, natural stone, glass, metal, mosaics, pavers, etc.</v>
      </c>
      <c r="D5558" s="3" t="s">
        <v>16422</v>
      </c>
      <c r="E5558" s="3" t="s">
        <v>16423</v>
      </c>
      <c r="F5558" s="3" t="str">
        <f>"3178462660"</f>
        <v>3178462660</v>
      </c>
      <c r="G5558" s="3">
        <v>444190</v>
      </c>
      <c r="H5558" s="3" t="s">
        <v>1188</v>
      </c>
    </row>
    <row r="5559" spans="1:8" ht="26.25" x14ac:dyDescent="0.25">
      <c r="A5559" s="3" t="s">
        <v>16424</v>
      </c>
      <c r="B5559" s="3"/>
      <c r="C5559" s="3" t="str">
        <f>"medical practice - house calls, home based primary care"</f>
        <v>medical practice - house calls, home based primary care</v>
      </c>
      <c r="D5559" s="3" t="s">
        <v>16425</v>
      </c>
      <c r="E5559" s="3" t="s">
        <v>46</v>
      </c>
      <c r="F5559" s="3" t="str">
        <f>"317-335-5189"</f>
        <v>317-335-5189</v>
      </c>
      <c r="G5559" s="3">
        <v>621610</v>
      </c>
      <c r="H5559" s="3" t="s">
        <v>328</v>
      </c>
    </row>
    <row r="5560" spans="1:8" ht="153.75" x14ac:dyDescent="0.25">
      <c r="A5560" s="3" t="s">
        <v>16426</v>
      </c>
      <c r="B5560" s="3"/>
      <c r="C5560" s="3" t="s">
        <v>16427</v>
      </c>
      <c r="D5560" s="3" t="s">
        <v>16428</v>
      </c>
      <c r="E5560" s="3" t="s">
        <v>16429</v>
      </c>
      <c r="F5560" s="3" t="str">
        <f>"812-346-7177"</f>
        <v>812-346-7177</v>
      </c>
      <c r="G5560" s="3">
        <v>445299</v>
      </c>
      <c r="H5560" s="3" t="s">
        <v>7899</v>
      </c>
    </row>
    <row r="5561" spans="1:8" ht="51.75" x14ac:dyDescent="0.25">
      <c r="A5561" s="3" t="s">
        <v>16430</v>
      </c>
      <c r="B5561" s="3"/>
      <c r="C5561" s="3" t="str">
        <f>"We sell barber supplies, repair clippers and trimmers, lather machines, barber poles, vacs, etc. We also sharpen scissors and clipper blades."</f>
        <v>We sell barber supplies, repair clippers and trimmers, lather machines, barber poles, vacs, etc. We also sharpen scissors and clipper blades.</v>
      </c>
      <c r="D5561" s="3" t="s">
        <v>16431</v>
      </c>
      <c r="E5561" s="3" t="s">
        <v>16432</v>
      </c>
      <c r="F5561" s="3" t="str">
        <f>"574-288-7852"</f>
        <v>574-288-7852</v>
      </c>
      <c r="G5561" s="3">
        <v>42185</v>
      </c>
      <c r="H5561" s="3" t="s">
        <v>16433</v>
      </c>
    </row>
    <row r="5562" spans="1:8" ht="26.25" x14ac:dyDescent="0.25">
      <c r="A5562" s="3" t="s">
        <v>16434</v>
      </c>
      <c r="B5562" s="3"/>
      <c r="C5562" s="2"/>
      <c r="D5562" s="3" t="s">
        <v>9</v>
      </c>
      <c r="E5562" s="3" t="s">
        <v>16435</v>
      </c>
      <c r="F5562" s="3" t="str">
        <f>"812-277-9723"</f>
        <v>812-277-9723</v>
      </c>
      <c r="G5562" s="3">
        <v>541990</v>
      </c>
      <c r="H5562" s="3" t="s">
        <v>378</v>
      </c>
    </row>
    <row r="5563" spans="1:8" ht="64.5" x14ac:dyDescent="0.25">
      <c r="A5563" s="3" t="s">
        <v>16436</v>
      </c>
      <c r="B5563" s="3"/>
      <c r="C5563" s="3" t="str">
        <f>"Provide legal representation in the areas of criminal defense and civil practice, concentrating in PERSONAL INJURY, FAMILY LAW, D.W.I. and offer FREE INITIAL CONSULTATIONS"</f>
        <v>Provide legal representation in the areas of criminal defense and civil practice, concentrating in PERSONAL INJURY, FAMILY LAW, D.W.I. and offer FREE INITIAL CONSULTATIONS</v>
      </c>
      <c r="D5563" s="3" t="s">
        <v>16437</v>
      </c>
      <c r="E5563" s="3" t="s">
        <v>16438</v>
      </c>
      <c r="F5563" s="3" t="str">
        <f>"(219) 962-5900"</f>
        <v>(219) 962-5900</v>
      </c>
      <c r="G5563" s="3">
        <v>541110</v>
      </c>
      <c r="H5563" s="3" t="s">
        <v>2978</v>
      </c>
    </row>
    <row r="5564" spans="1:8" ht="115.5" x14ac:dyDescent="0.25">
      <c r="A5564" s="3" t="s">
        <v>16439</v>
      </c>
      <c r="B5564" s="3"/>
      <c r="C5564" s="3" t="s">
        <v>16440</v>
      </c>
      <c r="D5564" s="3" t="s">
        <v>9</v>
      </c>
      <c r="E5564" s="3" t="s">
        <v>16441</v>
      </c>
      <c r="F5564" s="3" t="str">
        <f>"219-793-9000"</f>
        <v>219-793-9000</v>
      </c>
      <c r="G5564" s="3">
        <v>5411</v>
      </c>
      <c r="H5564" s="3" t="s">
        <v>87</v>
      </c>
    </row>
    <row r="5565" spans="1:8" ht="153.75" x14ac:dyDescent="0.25">
      <c r="A5565" s="3" t="s">
        <v>16442</v>
      </c>
      <c r="B5565" s="3"/>
      <c r="C5565" s="3" t="s">
        <v>16443</v>
      </c>
      <c r="D5565" s="3" t="s">
        <v>16444</v>
      </c>
      <c r="E5565" s="3" t="s">
        <v>46</v>
      </c>
      <c r="F5565" s="3" t="str">
        <f>"317-882-3200"</f>
        <v>317-882-3200</v>
      </c>
      <c r="G5565" s="3">
        <v>561730</v>
      </c>
      <c r="H5565" s="3" t="s">
        <v>65</v>
      </c>
    </row>
    <row r="5566" spans="1:8" ht="77.25" x14ac:dyDescent="0.25">
      <c r="A5566" s="3" t="s">
        <v>16445</v>
      </c>
      <c r="B5566" s="3"/>
      <c r="C5566" s="3" t="str">
        <f>"We specialize in lawn maintenance. We can manage everything from installing your new lawn, maintaining it on a weekly basis, creating landscaping scenes, installing drainage tile, to snow removal. Let us know how we can be a service to you."</f>
        <v>We specialize in lawn maintenance. We can manage everything from installing your new lawn, maintaining it on a weekly basis, creating landscaping scenes, installing drainage tile, to snow removal. Let us know how we can be a service to you.</v>
      </c>
      <c r="D5566" s="3" t="s">
        <v>9</v>
      </c>
      <c r="E5566" s="3" t="s">
        <v>16446</v>
      </c>
      <c r="F5566" s="3" t="str">
        <f>"260-749-8611"</f>
        <v>260-749-8611</v>
      </c>
      <c r="G5566" s="3">
        <v>56173</v>
      </c>
      <c r="H5566" s="3" t="s">
        <v>65</v>
      </c>
    </row>
    <row r="5567" spans="1:8" ht="153.75" x14ac:dyDescent="0.25">
      <c r="A5567" s="3" t="s">
        <v>16447</v>
      </c>
      <c r="B5567" s="3"/>
      <c r="C5567" s="3" t="s">
        <v>16448</v>
      </c>
      <c r="D5567" s="3" t="s">
        <v>9</v>
      </c>
      <c r="E5567" s="3" t="s">
        <v>16449</v>
      </c>
      <c r="F5567" s="3" t="str">
        <f>"317-842-8364"</f>
        <v>317-842-8364</v>
      </c>
      <c r="G5567" s="3">
        <v>561730</v>
      </c>
      <c r="H5567" s="3" t="s">
        <v>65</v>
      </c>
    </row>
    <row r="5568" spans="1:8" ht="306.75" x14ac:dyDescent="0.25">
      <c r="A5568" s="3" t="s">
        <v>16450</v>
      </c>
      <c r="B5568" s="3"/>
      <c r="C5568" s="3" t="s">
        <v>16451</v>
      </c>
      <c r="D5568" s="3" t="s">
        <v>16452</v>
      </c>
      <c r="E5568" s="3" t="s">
        <v>16453</v>
      </c>
      <c r="F5568" s="3" t="str">
        <f>"317-509-1621"</f>
        <v>317-509-1621</v>
      </c>
      <c r="G5568" s="3">
        <v>541611</v>
      </c>
      <c r="H5568" s="3" t="s">
        <v>278</v>
      </c>
    </row>
    <row r="5569" spans="1:8" ht="243" x14ac:dyDescent="0.25">
      <c r="A5569" s="3" t="s">
        <v>16454</v>
      </c>
      <c r="B5569" s="3"/>
      <c r="C5569" s="3" t="s">
        <v>16455</v>
      </c>
      <c r="D5569" s="3" t="s">
        <v>9</v>
      </c>
      <c r="E5569" s="3" t="s">
        <v>16456</v>
      </c>
      <c r="F5569" s="3" t="str">
        <f>"317-513-8835"</f>
        <v>317-513-8835</v>
      </c>
      <c r="G5569" s="3">
        <v>61</v>
      </c>
      <c r="H5569" s="3" t="s">
        <v>140</v>
      </c>
    </row>
    <row r="5570" spans="1:8" ht="243" x14ac:dyDescent="0.25">
      <c r="A5570" s="3" t="s">
        <v>16457</v>
      </c>
      <c r="B5570" s="3"/>
      <c r="C5570" s="3" t="s">
        <v>16458</v>
      </c>
      <c r="D5570" s="3" t="s">
        <v>16459</v>
      </c>
      <c r="E5570" s="3" t="s">
        <v>16460</v>
      </c>
      <c r="F5570" s="3" t="str">
        <f>"574-234-3167"</f>
        <v>574-234-3167</v>
      </c>
      <c r="G5570" s="3">
        <v>541330</v>
      </c>
      <c r="H5570" s="3" t="s">
        <v>82</v>
      </c>
    </row>
    <row r="5571" spans="1:8" ht="217.5" x14ac:dyDescent="0.25">
      <c r="A5571" s="3" t="s">
        <v>16461</v>
      </c>
      <c r="B5571" s="3"/>
      <c r="C5571" s="3" t="s">
        <v>16462</v>
      </c>
      <c r="D5571" s="3" t="s">
        <v>16463</v>
      </c>
      <c r="E5571" s="3" t="s">
        <v>16464</v>
      </c>
      <c r="F5571" s="3" t="str">
        <f>"(812)865-3232"</f>
        <v>(812)865-3232</v>
      </c>
      <c r="G5571" s="3">
        <v>237110</v>
      </c>
      <c r="H5571" s="3" t="s">
        <v>901</v>
      </c>
    </row>
    <row r="5572" spans="1:8" ht="51.75" x14ac:dyDescent="0.25">
      <c r="A5572" s="3" t="s">
        <v>16465</v>
      </c>
      <c r="B5572" s="3"/>
      <c r="C5572" s="3" t="str">
        <f>"We create customized perfume for our customers and we also sell already pre-packaged perfumes, antique lamps and food,"</f>
        <v>We create customized perfume for our customers and we also sell already pre-packaged perfumes, antique lamps and food,</v>
      </c>
      <c r="D5572" s="3" t="s">
        <v>16466</v>
      </c>
      <c r="E5572" s="3" t="s">
        <v>16467</v>
      </c>
      <c r="F5572" s="3" t="str">
        <f>"765-292-2059"</f>
        <v>765-292-2059</v>
      </c>
      <c r="G5572" s="3">
        <v>446120</v>
      </c>
      <c r="H5572" s="3" t="s">
        <v>16468</v>
      </c>
    </row>
    <row r="5573" spans="1:8" ht="39" x14ac:dyDescent="0.25">
      <c r="A5573" s="3" t="s">
        <v>16469</v>
      </c>
      <c r="B5573" s="3"/>
      <c r="C5573" s="3" t="str">
        <f>"Tax preparation (individual &amp; business), accounting, payroll, financial &amp; business planning and insurance"</f>
        <v>Tax preparation (individual &amp; business), accounting, payroll, financial &amp; business planning and insurance</v>
      </c>
      <c r="D5573" s="3" t="s">
        <v>9</v>
      </c>
      <c r="E5573" s="3" t="s">
        <v>16470</v>
      </c>
      <c r="F5573" s="3" t="str">
        <f>"(317) 921-9747"</f>
        <v>(317) 921-9747</v>
      </c>
      <c r="G5573" s="3">
        <v>541990</v>
      </c>
      <c r="H5573" s="3" t="s">
        <v>378</v>
      </c>
    </row>
    <row r="5574" spans="1:8" ht="26.25" x14ac:dyDescent="0.25">
      <c r="A5574" s="3" t="s">
        <v>16471</v>
      </c>
      <c r="B5574" s="3"/>
      <c r="C5574" s="3" t="str">
        <f>"construction apprenticeship outreach"</f>
        <v>construction apprenticeship outreach</v>
      </c>
      <c r="D5574" s="3" t="s">
        <v>9</v>
      </c>
      <c r="E5574" s="3" t="s">
        <v>16472</v>
      </c>
      <c r="F5574" s="3" t="str">
        <f>"317-636-0806"</f>
        <v>317-636-0806</v>
      </c>
      <c r="G5574" s="3">
        <v>923110</v>
      </c>
      <c r="H5574" s="3" t="s">
        <v>13621</v>
      </c>
    </row>
    <row r="5575" spans="1:8" ht="166.5" x14ac:dyDescent="0.25">
      <c r="A5575" s="3" t="s">
        <v>16473</v>
      </c>
      <c r="B5575" s="3"/>
      <c r="C5575" s="3" t="s">
        <v>16474</v>
      </c>
      <c r="D5575" s="3" t="s">
        <v>9</v>
      </c>
      <c r="E5575" s="3" t="s">
        <v>16475</v>
      </c>
      <c r="F5575" s="3" t="str">
        <f>"317-714-9050"</f>
        <v>317-714-9050</v>
      </c>
      <c r="G5575" s="3">
        <v>541611</v>
      </c>
      <c r="H5575" s="3" t="s">
        <v>278</v>
      </c>
    </row>
    <row r="5576" spans="1:8" ht="294" x14ac:dyDescent="0.25">
      <c r="A5576" s="3" t="s">
        <v>16476</v>
      </c>
      <c r="B5576" s="3"/>
      <c r="C5576" s="3" t="s">
        <v>16477</v>
      </c>
      <c r="D5576" s="3" t="s">
        <v>16478</v>
      </c>
      <c r="E5576" s="3" t="s">
        <v>16479</v>
      </c>
      <c r="F5576" s="3" t="str">
        <f>"317-755-1084"</f>
        <v>317-755-1084</v>
      </c>
      <c r="G5576" s="3">
        <v>541611</v>
      </c>
      <c r="H5576" s="3" t="s">
        <v>278</v>
      </c>
    </row>
    <row r="5577" spans="1:8" ht="294" x14ac:dyDescent="0.25">
      <c r="A5577" s="3" t="s">
        <v>16480</v>
      </c>
      <c r="B5577" s="3"/>
      <c r="C5577" s="3" t="s">
        <v>16481</v>
      </c>
      <c r="D5577" s="3" t="s">
        <v>16482</v>
      </c>
      <c r="E5577" s="3" t="s">
        <v>16483</v>
      </c>
      <c r="F5577" s="3" t="str">
        <f>"260-441-0551"</f>
        <v>260-441-0551</v>
      </c>
      <c r="G5577" s="3">
        <v>624210</v>
      </c>
      <c r="H5577" s="3" t="s">
        <v>2017</v>
      </c>
    </row>
    <row r="5578" spans="1:8" ht="255.75" x14ac:dyDescent="0.25">
      <c r="A5578" s="3" t="s">
        <v>16484</v>
      </c>
      <c r="B5578" s="3"/>
      <c r="C5578" s="3" t="s">
        <v>16485</v>
      </c>
      <c r="D5578" s="3" t="s">
        <v>16486</v>
      </c>
      <c r="E5578" s="3" t="s">
        <v>16487</v>
      </c>
      <c r="F5578" s="2"/>
      <c r="G5578" s="3">
        <v>541430</v>
      </c>
      <c r="H5578" s="3" t="s">
        <v>78</v>
      </c>
    </row>
    <row r="5579" spans="1:8" ht="204.75" x14ac:dyDescent="0.25">
      <c r="A5579" s="3" t="s">
        <v>16488</v>
      </c>
      <c r="B5579" s="3"/>
      <c r="C5579" s="3" t="s">
        <v>16489</v>
      </c>
      <c r="D5579" s="3" t="s">
        <v>9</v>
      </c>
      <c r="E5579" s="3" t="s">
        <v>16490</v>
      </c>
      <c r="F5579" s="2"/>
      <c r="G5579" s="3">
        <v>519190</v>
      </c>
      <c r="H5579" s="3" t="s">
        <v>13512</v>
      </c>
    </row>
    <row r="5580" spans="1:8" ht="39" x14ac:dyDescent="0.25">
      <c r="A5580" s="3" t="s">
        <v>16491</v>
      </c>
      <c r="B5580" s="3"/>
      <c r="C5580" s="3" t="str">
        <f>"Scout &amp; Zoe's creates the world's most premium antler dog chews and natural treats for the enjoyment of doggies globally."</f>
        <v>Scout &amp; Zoe's creates the world's most premium antler dog chews and natural treats for the enjoyment of doggies globally.</v>
      </c>
      <c r="D5580" s="3" t="s">
        <v>16492</v>
      </c>
      <c r="E5580" s="3" t="s">
        <v>16493</v>
      </c>
      <c r="F5580" s="3" t="str">
        <f>"765-622-1249"</f>
        <v>765-622-1249</v>
      </c>
      <c r="G5580" s="3">
        <v>424990</v>
      </c>
      <c r="H5580" s="3" t="s">
        <v>1019</v>
      </c>
    </row>
    <row r="5581" spans="1:8" ht="51.75" x14ac:dyDescent="0.25">
      <c r="A5581" s="3" t="s">
        <v>16494</v>
      </c>
      <c r="B5581" s="3"/>
      <c r="C5581" s="3" t="str">
        <f>"We specialize in pick pack and shipping, order fulfillment, blister packing, warehouse storage. We offer temporary production labor services."</f>
        <v>We specialize in pick pack and shipping, order fulfillment, blister packing, warehouse storage. We offer temporary production labor services.</v>
      </c>
      <c r="D5581" s="3" t="s">
        <v>16495</v>
      </c>
      <c r="E5581" s="3" t="s">
        <v>16496</v>
      </c>
      <c r="F5581" s="3" t="str">
        <f>"317-387-9413"</f>
        <v>317-387-9413</v>
      </c>
      <c r="G5581" s="3">
        <v>493110</v>
      </c>
      <c r="H5581" s="3" t="s">
        <v>16497</v>
      </c>
    </row>
    <row r="5582" spans="1:8" ht="51.75" x14ac:dyDescent="0.25">
      <c r="A5582" s="3" t="s">
        <v>16498</v>
      </c>
      <c r="B5582" s="3"/>
      <c r="C5582" s="3" t="str">
        <f>"Sales, service and installation of Telecommunications equipment, including voice &amp; data structured cabling &amp; phone systems (phones, modems, voicemail etc.)"</f>
        <v>Sales, service and installation of Telecommunications equipment, including voice &amp; data structured cabling &amp; phone systems (phones, modems, voicemail etc.)</v>
      </c>
      <c r="D5582" s="3" t="s">
        <v>9</v>
      </c>
      <c r="E5582" s="3" t="s">
        <v>46</v>
      </c>
      <c r="F5582" s="2"/>
      <c r="G5582" s="3">
        <v>23829</v>
      </c>
      <c r="H5582" s="3" t="s">
        <v>237</v>
      </c>
    </row>
    <row r="5583" spans="1:8" ht="51.75" x14ac:dyDescent="0.25">
      <c r="A5583" s="3" t="s">
        <v>16499</v>
      </c>
      <c r="B5583" s="3"/>
      <c r="C5583" s="3" t="str">
        <f>"Learning Unlimited provides educational and literacy consulting to schools and corporations and seeks to positively impact children's reading and learning."</f>
        <v>Learning Unlimited provides educational and literacy consulting to schools and corporations and seeks to positively impact children's reading and learning.</v>
      </c>
      <c r="D5583" s="3" t="s">
        <v>16500</v>
      </c>
      <c r="E5583" s="3" t="s">
        <v>16501</v>
      </c>
      <c r="F5583" s="3" t="str">
        <f>"317-846-7344"</f>
        <v>317-846-7344</v>
      </c>
      <c r="G5583" s="3">
        <v>611110</v>
      </c>
      <c r="H5583" s="3" t="s">
        <v>3876</v>
      </c>
    </row>
    <row r="5584" spans="1:8" ht="90" x14ac:dyDescent="0.25">
      <c r="A5584" s="3" t="s">
        <v>16502</v>
      </c>
      <c r="B5584" s="3"/>
      <c r="C5584" s="3" t="s">
        <v>16503</v>
      </c>
      <c r="D5584" s="3" t="s">
        <v>16504</v>
      </c>
      <c r="E5584" s="3" t="s">
        <v>16505</v>
      </c>
      <c r="F5584" s="3" t="str">
        <f>"317-472-1473"</f>
        <v>317-472-1473</v>
      </c>
      <c r="G5584" s="3">
        <v>621999</v>
      </c>
      <c r="H5584" s="3" t="s">
        <v>3480</v>
      </c>
    </row>
    <row r="5585" spans="1:8" ht="153.75" x14ac:dyDescent="0.25">
      <c r="A5585" s="3" t="s">
        <v>16506</v>
      </c>
      <c r="B5585" s="3"/>
      <c r="C5585" s="3" t="s">
        <v>16507</v>
      </c>
      <c r="D5585" s="3" t="s">
        <v>9</v>
      </c>
      <c r="E5585" s="3" t="s">
        <v>16508</v>
      </c>
      <c r="F5585" s="3" t="str">
        <f>"765-483-8150"</f>
        <v>765-483-8150</v>
      </c>
      <c r="G5585" s="3">
        <v>624190</v>
      </c>
      <c r="H5585" s="3" t="s">
        <v>54</v>
      </c>
    </row>
    <row r="5586" spans="1:8" ht="294" x14ac:dyDescent="0.25">
      <c r="A5586" s="3" t="s">
        <v>16509</v>
      </c>
      <c r="B5586" s="3"/>
      <c r="C5586" s="3" t="s">
        <v>16510</v>
      </c>
      <c r="D5586" s="3" t="s">
        <v>16511</v>
      </c>
      <c r="E5586" s="3" t="s">
        <v>16512</v>
      </c>
      <c r="F5586" s="3" t="str">
        <f>"3178290457"</f>
        <v>3178290457</v>
      </c>
      <c r="G5586" s="3">
        <v>541513</v>
      </c>
      <c r="H5586" s="3" t="s">
        <v>2401</v>
      </c>
    </row>
    <row r="5587" spans="1:8" ht="51.75" x14ac:dyDescent="0.25">
      <c r="A5587" s="3" t="s">
        <v>16513</v>
      </c>
      <c r="B5587" s="3"/>
      <c r="C5587" s="3" t="str">
        <f>"Visual Communications - Photography, Video, Graphic Design, Print and Web Design. Also supplier of Ad Speciality Products, Promotional Products"</f>
        <v>Visual Communications - Photography, Video, Graphic Design, Print and Web Design. Also supplier of Ad Speciality Products, Promotional Products</v>
      </c>
      <c r="D5587" s="3" t="s">
        <v>16514</v>
      </c>
      <c r="E5587" s="3" t="s">
        <v>16515</v>
      </c>
      <c r="F5587" s="3" t="str">
        <f>"317-604-1417"</f>
        <v>317-604-1417</v>
      </c>
      <c r="G5587" s="3">
        <v>54143</v>
      </c>
      <c r="H5587" s="3" t="s">
        <v>78</v>
      </c>
    </row>
    <row r="5588" spans="1:8" ht="26.25" x14ac:dyDescent="0.25">
      <c r="A5588" s="3" t="s">
        <v>16516</v>
      </c>
      <c r="B5588" s="3"/>
      <c r="C5588" s="3" t="str">
        <f>"Whoseseller of Plumbing and HVAC"</f>
        <v>Whoseseller of Plumbing and HVAC</v>
      </c>
      <c r="D5588" s="3" t="s">
        <v>16517</v>
      </c>
      <c r="E5588" s="3" t="s">
        <v>46</v>
      </c>
      <c r="F5588" s="3" t="str">
        <f>"317-290-2500"</f>
        <v>317-290-2500</v>
      </c>
      <c r="G5588" s="3">
        <v>42172</v>
      </c>
      <c r="H5588" s="3" t="s">
        <v>3003</v>
      </c>
    </row>
    <row r="5589" spans="1:8" ht="166.5" x14ac:dyDescent="0.25">
      <c r="A5589" s="3" t="s">
        <v>16518</v>
      </c>
      <c r="B5589" s="3"/>
      <c r="C5589" s="3" t="s">
        <v>16519</v>
      </c>
      <c r="D5589" s="3" t="s">
        <v>16520</v>
      </c>
      <c r="E5589" s="3" t="s">
        <v>16521</v>
      </c>
      <c r="F5589" s="3" t="str">
        <f>"1-888-571-0728"</f>
        <v>1-888-571-0728</v>
      </c>
      <c r="G5589" s="3">
        <v>44312</v>
      </c>
      <c r="H5589" s="3" t="s">
        <v>609</v>
      </c>
    </row>
    <row r="5590" spans="1:8" ht="26.25" x14ac:dyDescent="0.25">
      <c r="A5590" s="3" t="s">
        <v>16522</v>
      </c>
      <c r="B5590" s="3"/>
      <c r="C5590" s="3" t="str">
        <f>"For hire trucking company, hauling of aggregates - stone, sand and gravel."</f>
        <v>For hire trucking company, hauling of aggregates - stone, sand and gravel.</v>
      </c>
      <c r="D5590" s="3" t="s">
        <v>4977</v>
      </c>
      <c r="E5590" s="3" t="s">
        <v>4978</v>
      </c>
      <c r="F5590" s="3" t="str">
        <f>"812-346-9767"</f>
        <v>812-346-9767</v>
      </c>
      <c r="G5590" s="3">
        <v>484220</v>
      </c>
      <c r="H5590" s="3" t="s">
        <v>11</v>
      </c>
    </row>
    <row r="5591" spans="1:8" ht="77.25" x14ac:dyDescent="0.25">
      <c r="A5591" s="3" t="s">
        <v>16523</v>
      </c>
      <c r="B5591" s="3"/>
      <c r="C5591" s="3" t="str">
        <f>"Re-key locks,repair locks,cut new keys,duplicate keys,install drawer locks,high security locks , cut keys by code , set up coded lock systems ,recode existing locks,master &amp; grandmaster locks, key control."</f>
        <v>Re-key locks,repair locks,cut new keys,duplicate keys,install drawer locks,high security locks , cut keys by code , set up coded lock systems ,recode existing locks,master &amp; grandmaster locks, key control.</v>
      </c>
      <c r="D5591" s="3" t="s">
        <v>9</v>
      </c>
      <c r="E5591" s="3" t="s">
        <v>16524</v>
      </c>
      <c r="F5591" s="3" t="str">
        <f>"812-866-2537"</f>
        <v>812-866-2537</v>
      </c>
      <c r="G5591" s="3">
        <v>561622</v>
      </c>
      <c r="H5591" s="3" t="s">
        <v>43</v>
      </c>
    </row>
    <row r="5592" spans="1:8" ht="166.5" x14ac:dyDescent="0.25">
      <c r="A5592" s="3" t="s">
        <v>16525</v>
      </c>
      <c r="B5592" s="3"/>
      <c r="C5592" s="3" t="s">
        <v>16526</v>
      </c>
      <c r="D5592" s="3" t="s">
        <v>16527</v>
      </c>
      <c r="E5592" s="3" t="s">
        <v>16528</v>
      </c>
      <c r="F5592" s="3" t="str">
        <f>"(317)842-1931"</f>
        <v>(317)842-1931</v>
      </c>
      <c r="G5592" s="3">
        <v>541310</v>
      </c>
      <c r="H5592" s="3" t="s">
        <v>446</v>
      </c>
    </row>
    <row r="5593" spans="1:8" ht="64.5" x14ac:dyDescent="0.25">
      <c r="A5593" s="3" t="s">
        <v>16529</v>
      </c>
      <c r="B5593" s="3"/>
      <c r="C5593" s="3" t="str">
        <f>"Type of work: Herbaceous and Woody Plant Invasive Species Control Prairie Restoration Tree Plantings Wetland Restoration Prescribed Burning Native Plant/Seed Installations and Management"</f>
        <v>Type of work: Herbaceous and Woody Plant Invasive Species Control Prairie Restoration Tree Plantings Wetland Restoration Prescribed Burning Native Plant/Seed Installations and Management</v>
      </c>
      <c r="D5593" s="3" t="s">
        <v>9</v>
      </c>
      <c r="E5593" s="3" t="s">
        <v>16530</v>
      </c>
      <c r="F5593" s="3" t="str">
        <f>"5742291687"</f>
        <v>5742291687</v>
      </c>
      <c r="G5593" s="3">
        <v>238</v>
      </c>
      <c r="H5593" s="3" t="s">
        <v>397</v>
      </c>
    </row>
    <row r="5594" spans="1:8" x14ac:dyDescent="0.25">
      <c r="A5594" s="3" t="s">
        <v>16531</v>
      </c>
      <c r="B5594" s="3"/>
      <c r="C5594" s="3" t="str">
        <f>"Sell concrete and related concrete supplies"</f>
        <v>Sell concrete and related concrete supplies</v>
      </c>
      <c r="D5594" s="3" t="s">
        <v>9</v>
      </c>
      <c r="E5594" s="3" t="s">
        <v>46</v>
      </c>
      <c r="F5594" s="2"/>
      <c r="G5594" s="3">
        <v>2357</v>
      </c>
      <c r="H5594" s="3" t="s">
        <v>576</v>
      </c>
    </row>
    <row r="5595" spans="1:8" ht="51.75" x14ac:dyDescent="0.25">
      <c r="A5595" s="3" t="s">
        <v>16532</v>
      </c>
      <c r="B5595" s="3"/>
      <c r="C5595" s="3" t="str">
        <f>"Pre filing bankruptcy credit counseling, consumer credit counseling, budget preparation, foreclosure prevention counseling, new homeowner counseling."</f>
        <v>Pre filing bankruptcy credit counseling, consumer credit counseling, budget preparation, foreclosure prevention counseling, new homeowner counseling.</v>
      </c>
      <c r="D5595" s="3" t="s">
        <v>16533</v>
      </c>
      <c r="E5595" s="3" t="s">
        <v>16534</v>
      </c>
      <c r="F5595" s="3" t="str">
        <f>"317-897-5950"</f>
        <v>317-897-5950</v>
      </c>
      <c r="G5595" s="3">
        <v>541990</v>
      </c>
      <c r="H5595" s="3" t="s">
        <v>378</v>
      </c>
    </row>
    <row r="5596" spans="1:8" ht="268.5" x14ac:dyDescent="0.25">
      <c r="A5596" s="3" t="s">
        <v>16535</v>
      </c>
      <c r="B5596" s="3"/>
      <c r="C5596" s="3" t="s">
        <v>16536</v>
      </c>
      <c r="D5596" s="3" t="s">
        <v>16537</v>
      </c>
      <c r="E5596" s="3" t="s">
        <v>16538</v>
      </c>
      <c r="F5596" s="3" t="str">
        <f>"219-644-3690"</f>
        <v>219-644-3690</v>
      </c>
      <c r="G5596" s="3">
        <v>54162</v>
      </c>
      <c r="H5596" s="3" t="s">
        <v>216</v>
      </c>
    </row>
    <row r="5597" spans="1:8" ht="192" x14ac:dyDescent="0.25">
      <c r="A5597" s="3" t="s">
        <v>16539</v>
      </c>
      <c r="B5597" s="3"/>
      <c r="C5597" s="3" t="s">
        <v>16540</v>
      </c>
      <c r="D5597" s="3" t="s">
        <v>16541</v>
      </c>
      <c r="E5597" s="3" t="s">
        <v>16542</v>
      </c>
      <c r="F5597" s="3" t="str">
        <f>"317-570-4575"</f>
        <v>317-570-4575</v>
      </c>
      <c r="G5597" s="3">
        <v>541430</v>
      </c>
      <c r="H5597" s="3" t="s">
        <v>78</v>
      </c>
    </row>
    <row r="5598" spans="1:8" ht="26.25" x14ac:dyDescent="0.25">
      <c r="A5598" s="3" t="s">
        <v>16543</v>
      </c>
      <c r="B5598" s="3"/>
      <c r="C5598" s="3" t="str">
        <f>"Real Estate Brokerage Firm"</f>
        <v>Real Estate Brokerage Firm</v>
      </c>
      <c r="D5598" s="3" t="s">
        <v>9</v>
      </c>
      <c r="E5598" s="3" t="s">
        <v>16544</v>
      </c>
      <c r="F5598" s="3" t="str">
        <f>"317-283-8000"</f>
        <v>317-283-8000</v>
      </c>
      <c r="G5598" s="3">
        <v>531</v>
      </c>
      <c r="H5598" s="3" t="s">
        <v>74</v>
      </c>
    </row>
    <row r="5599" spans="1:8" ht="102.75" x14ac:dyDescent="0.25">
      <c r="A5599" s="3" t="s">
        <v>16545</v>
      </c>
      <c r="B5599" s="3"/>
      <c r="C5599" s="3" t="s">
        <v>16546</v>
      </c>
      <c r="D5599" s="3" t="s">
        <v>16547</v>
      </c>
      <c r="E5599" s="3" t="s">
        <v>16548</v>
      </c>
      <c r="F5599" s="2"/>
      <c r="G5599" s="3">
        <v>541199</v>
      </c>
      <c r="H5599" s="3" t="s">
        <v>1371</v>
      </c>
    </row>
    <row r="5600" spans="1:8" ht="166.5" x14ac:dyDescent="0.25">
      <c r="A5600" s="3" t="s">
        <v>16549</v>
      </c>
      <c r="B5600" s="3"/>
      <c r="C5600" s="3" t="s">
        <v>16550</v>
      </c>
      <c r="D5600" s="3" t="s">
        <v>16551</v>
      </c>
      <c r="E5600" s="3" t="s">
        <v>16552</v>
      </c>
      <c r="F5600" s="3" t="str">
        <f>"219-922-2881"</f>
        <v>219-922-2881</v>
      </c>
      <c r="G5600" s="3">
        <v>541922</v>
      </c>
      <c r="H5600" s="3" t="s">
        <v>1545</v>
      </c>
    </row>
    <row r="5601" spans="1:8" ht="39" x14ac:dyDescent="0.25">
      <c r="A5601" s="3" t="s">
        <v>16553</v>
      </c>
      <c r="B5601" s="3"/>
      <c r="C5601" s="3" t="str">
        <f>"Retailer of safety footwear and apparell via our storefromt in Indianapolis or our network of nationwide shoemobiles."</f>
        <v>Retailer of safety footwear and apparell via our storefromt in Indianapolis or our network of nationwide shoemobiles.</v>
      </c>
      <c r="D5601" s="3" t="s">
        <v>16554</v>
      </c>
      <c r="E5601" s="3" t="s">
        <v>16555</v>
      </c>
      <c r="F5601" s="3" t="str">
        <f>"1-800-444-4086"</f>
        <v>1-800-444-4086</v>
      </c>
      <c r="G5601" s="3">
        <v>316213</v>
      </c>
      <c r="H5601" s="3" t="s">
        <v>16556</v>
      </c>
    </row>
    <row r="5602" spans="1:8" ht="77.25" x14ac:dyDescent="0.25">
      <c r="A5602" s="3" t="s">
        <v>16557</v>
      </c>
      <c r="B5602" s="3"/>
      <c r="C5602" s="3" t="str">
        <f>"We are a full service HVAC company specializing in commercial and residential service and installation. Currently we are an authorized Trane dealer and Heil equipment. We are entering our 75th year of doing business in Indiana."</f>
        <v>We are a full service HVAC company specializing in commercial and residential service and installation. Currently we are an authorized Trane dealer and Heil equipment. We are entering our 75th year of doing business in Indiana.</v>
      </c>
      <c r="D5602" s="3" t="s">
        <v>16558</v>
      </c>
      <c r="E5602" s="3" t="s">
        <v>16559</v>
      </c>
      <c r="F5602" s="3" t="str">
        <f>"765-284-9921"</f>
        <v>765-284-9921</v>
      </c>
      <c r="G5602" s="3">
        <v>2351</v>
      </c>
      <c r="H5602" s="3" t="s">
        <v>892</v>
      </c>
    </row>
    <row r="5603" spans="1:8" ht="39" x14ac:dyDescent="0.25">
      <c r="A5603" s="3" t="s">
        <v>16560</v>
      </c>
      <c r="B5603" s="3"/>
      <c r="C5603" s="3" t="str">
        <f>"Full service interior design business, space planning, full construction documentation, FFE"</f>
        <v>Full service interior design business, space planning, full construction documentation, FFE</v>
      </c>
      <c r="D5603" s="3" t="s">
        <v>16561</v>
      </c>
      <c r="E5603" s="3" t="s">
        <v>16562</v>
      </c>
      <c r="F5603" s="3" t="str">
        <f>"317-888-7086"</f>
        <v>317-888-7086</v>
      </c>
      <c r="G5603" s="3">
        <v>541410</v>
      </c>
      <c r="H5603" s="3" t="s">
        <v>687</v>
      </c>
    </row>
    <row r="5604" spans="1:8" ht="51.75" x14ac:dyDescent="0.25">
      <c r="A5604" s="3" t="s">
        <v>16563</v>
      </c>
      <c r="B5604" s="3"/>
      <c r="C5604" s="3" t="str">
        <f>"We are a new female owned corporation, specializing in concrete. Concrete sidewalks, driveways, parking lots, decorative concrete ."</f>
        <v>We are a new female owned corporation, specializing in concrete. Concrete sidewalks, driveways, parking lots, decorative concrete .</v>
      </c>
      <c r="D5604" s="3" t="s">
        <v>9</v>
      </c>
      <c r="E5604" s="3" t="s">
        <v>16564</v>
      </c>
      <c r="F5604" s="3" t="str">
        <f>"812-634-0822"</f>
        <v>812-634-0822</v>
      </c>
      <c r="G5604" s="3">
        <v>238990</v>
      </c>
      <c r="H5604" s="3" t="s">
        <v>481</v>
      </c>
    </row>
    <row r="5605" spans="1:8" ht="51.75" x14ac:dyDescent="0.25">
      <c r="A5605" s="3" t="s">
        <v>16565</v>
      </c>
      <c r="B5605" s="3"/>
      <c r="C5605" s="3" t="str">
        <f>"Lake and Pond vegetation management, fountain sales, service and storage, Aquatic Spray Boat design, build, sale, and maintenance"</f>
        <v>Lake and Pond vegetation management, fountain sales, service and storage, Aquatic Spray Boat design, build, sale, and maintenance</v>
      </c>
      <c r="D5605" s="3" t="s">
        <v>16566</v>
      </c>
      <c r="E5605" s="3" t="s">
        <v>16567</v>
      </c>
      <c r="F5605" s="3" t="str">
        <f>"317-535-6099"</f>
        <v>317-535-6099</v>
      </c>
      <c r="G5605" s="3">
        <v>23599</v>
      </c>
      <c r="H5605" s="3" t="s">
        <v>248</v>
      </c>
    </row>
    <row r="5606" spans="1:8" ht="26.25" x14ac:dyDescent="0.25">
      <c r="A5606" s="3" t="s">
        <v>16568</v>
      </c>
      <c r="B5606" s="3"/>
      <c r="C5606" s="3" t="str">
        <f>"Aquatic Service &amp; Supply, Commercial Pools."</f>
        <v>Aquatic Service &amp; Supply, Commercial Pools.</v>
      </c>
      <c r="D5606" s="3" t="s">
        <v>16569</v>
      </c>
      <c r="E5606" s="3" t="s">
        <v>16570</v>
      </c>
      <c r="F5606" s="3" t="str">
        <f>"574-457-4532"</f>
        <v>574-457-4532</v>
      </c>
      <c r="G5606" s="3">
        <v>235</v>
      </c>
      <c r="H5606" s="3" t="s">
        <v>259</v>
      </c>
    </row>
    <row r="5607" spans="1:8" ht="39" x14ac:dyDescent="0.25">
      <c r="A5607" s="3" t="s">
        <v>16571</v>
      </c>
      <c r="B5607" s="3"/>
      <c r="C5607" s="3" t="str">
        <f>"I negotiate the puchase of right-of-way and easements for INDOT as well as other agencies."</f>
        <v>I negotiate the puchase of right-of-way and easements for INDOT as well as other agencies.</v>
      </c>
      <c r="D5607" s="3" t="s">
        <v>9</v>
      </c>
      <c r="E5607" s="3" t="s">
        <v>46</v>
      </c>
      <c r="F5607" s="2"/>
      <c r="G5607" s="3">
        <v>5239</v>
      </c>
      <c r="H5607" s="3" t="s">
        <v>16572</v>
      </c>
    </row>
    <row r="5608" spans="1:8" ht="115.5" x14ac:dyDescent="0.25">
      <c r="A5608" s="3" t="s">
        <v>16573</v>
      </c>
      <c r="B5608" s="3"/>
      <c r="C5608" s="3" t="s">
        <v>16574</v>
      </c>
      <c r="D5608" s="3" t="s">
        <v>16575</v>
      </c>
      <c r="E5608" s="3" t="s">
        <v>16576</v>
      </c>
      <c r="F5608" s="3" t="str">
        <f>"(317)257-0041"</f>
        <v>(317)257-0041</v>
      </c>
      <c r="G5608" s="3">
        <v>561720</v>
      </c>
      <c r="H5608" s="3" t="s">
        <v>222</v>
      </c>
    </row>
    <row r="5609" spans="1:8" ht="64.5" x14ac:dyDescent="0.25">
      <c r="A5609" s="3" t="s">
        <v>16577</v>
      </c>
      <c r="B5609" s="3"/>
      <c r="C5609" s="3" t="str">
        <f>"Complete supplier of Oils, Lubricants, Chemicals, and Gases. Creating solutions through engineered products, supply chain management, value-added services, and strong customer service."</f>
        <v>Complete supplier of Oils, Lubricants, Chemicals, and Gases. Creating solutions through engineered products, supply chain management, value-added services, and strong customer service.</v>
      </c>
      <c r="D5609" s="3" t="s">
        <v>16578</v>
      </c>
      <c r="E5609" s="3" t="s">
        <v>16579</v>
      </c>
      <c r="F5609" s="3" t="str">
        <f>"260-906-6433"</f>
        <v>260-906-6433</v>
      </c>
      <c r="G5609" s="3">
        <v>424720</v>
      </c>
      <c r="H5609" s="3" t="s">
        <v>6992</v>
      </c>
    </row>
    <row r="5610" spans="1:8" ht="51.75" x14ac:dyDescent="0.25">
      <c r="A5610" s="3" t="s">
        <v>16580</v>
      </c>
      <c r="B5610" s="3"/>
      <c r="C5610" s="3" t="str">
        <f>"Carpet Cleaning, Spot Dying &amp; Color Repair, Air Duct Cleaning, Wood Floors Repair and Refinishing, Stone, Marble &amp; Grout Care, 24 Hour Emergency Service"</f>
        <v>Carpet Cleaning, Spot Dying &amp; Color Repair, Air Duct Cleaning, Wood Floors Repair and Refinishing, Stone, Marble &amp; Grout Care, 24 Hour Emergency Service</v>
      </c>
      <c r="D5610" s="3" t="s">
        <v>16581</v>
      </c>
      <c r="E5610" s="3" t="s">
        <v>16582</v>
      </c>
      <c r="F5610" s="3" t="str">
        <f>"317-213-5702"</f>
        <v>317-213-5702</v>
      </c>
      <c r="G5610" s="3">
        <v>23552</v>
      </c>
      <c r="H5610" s="3" t="s">
        <v>955</v>
      </c>
    </row>
    <row r="5611" spans="1:8" ht="26.25" x14ac:dyDescent="0.25">
      <c r="A5611" s="3" t="s">
        <v>16583</v>
      </c>
      <c r="B5611" s="3"/>
      <c r="C5611" s="3" t="str">
        <f>"Site Excavating, Site Utilities, Concrete Preparation and Trucking Services"</f>
        <v>Site Excavating, Site Utilities, Concrete Preparation and Trucking Services</v>
      </c>
      <c r="D5611" s="3" t="s">
        <v>9</v>
      </c>
      <c r="E5611" s="3" t="s">
        <v>16584</v>
      </c>
      <c r="F5611" s="3" t="str">
        <f>"260-337-0238"</f>
        <v>260-337-0238</v>
      </c>
      <c r="G5611" s="3">
        <v>238910</v>
      </c>
      <c r="H5611" s="3" t="s">
        <v>886</v>
      </c>
    </row>
    <row r="5612" spans="1:8" ht="64.5" x14ac:dyDescent="0.25">
      <c r="A5612" s="3" t="s">
        <v>16585</v>
      </c>
      <c r="B5612" s="3"/>
      <c r="C5612" s="3" t="str">
        <f>"Providing contracting and subcontracting services in the Indianapolis area for Java/J2EE software development, project management, business analysis, and testing."</f>
        <v>Providing contracting and subcontracting services in the Indianapolis area for Java/J2EE software development, project management, business analysis, and testing.</v>
      </c>
      <c r="D5612" s="3" t="s">
        <v>16586</v>
      </c>
      <c r="E5612" s="3" t="s">
        <v>16587</v>
      </c>
      <c r="F5612" s="3" t="str">
        <f>"317-818-9443"</f>
        <v>317-818-9443</v>
      </c>
      <c r="G5612" s="3">
        <v>5416</v>
      </c>
      <c r="H5612" s="3" t="s">
        <v>194</v>
      </c>
    </row>
    <row r="5613" spans="1:8" ht="128.25" x14ac:dyDescent="0.25">
      <c r="A5613" s="3" t="s">
        <v>16588</v>
      </c>
      <c r="B5613" s="3"/>
      <c r="C5613" s="3" t="s">
        <v>16589</v>
      </c>
      <c r="D5613" s="3" t="s">
        <v>16590</v>
      </c>
      <c r="E5613" s="3" t="s">
        <v>16591</v>
      </c>
      <c r="F5613" s="3" t="str">
        <f>"317-632-3493"</f>
        <v>317-632-3493</v>
      </c>
      <c r="G5613" s="3">
        <v>5418</v>
      </c>
      <c r="H5613" s="3" t="s">
        <v>1337</v>
      </c>
    </row>
    <row r="5614" spans="1:8" ht="77.25" x14ac:dyDescent="0.25">
      <c r="A5614" s="3" t="s">
        <v>16592</v>
      </c>
      <c r="B5614" s="3"/>
      <c r="C5614" s="3" t="str">
        <f>"Booking, contracting, and production services for all types of entertainment, keynote speakers, and celebrities including bands, DJ's, variety acts, comedians, magicians, authors, athletes, etc. Airplane banners in the sky."</f>
        <v>Booking, contracting, and production services for all types of entertainment, keynote speakers, and celebrities including bands, DJ's, variety acts, comedians, magicians, authors, athletes, etc. Airplane banners in the sky.</v>
      </c>
      <c r="D5614" s="3" t="s">
        <v>16094</v>
      </c>
      <c r="E5614" s="3" t="s">
        <v>16095</v>
      </c>
      <c r="F5614" s="3" t="str">
        <f>"317-926-7566"</f>
        <v>317-926-7566</v>
      </c>
      <c r="G5614" s="3">
        <v>711410</v>
      </c>
      <c r="H5614" s="3" t="s">
        <v>16096</v>
      </c>
    </row>
    <row r="5615" spans="1:8" ht="39" x14ac:dyDescent="0.25">
      <c r="A5615" s="3" t="s">
        <v>16593</v>
      </c>
      <c r="B5615" s="3"/>
      <c r="C5615" s="3" t="str">
        <f>"Providing Billing &amp; Consulting services for Doctors and DME companies accross the United States"</f>
        <v>Providing Billing &amp; Consulting services for Doctors and DME companies accross the United States</v>
      </c>
      <c r="D5615" s="3" t="s">
        <v>9</v>
      </c>
      <c r="E5615" s="3" t="s">
        <v>16594</v>
      </c>
      <c r="F5615" s="3" t="str">
        <f>"7653590041"</f>
        <v>7653590041</v>
      </c>
      <c r="G5615" s="3">
        <v>541219</v>
      </c>
      <c r="H5615" s="3" t="s">
        <v>2010</v>
      </c>
    </row>
    <row r="5616" spans="1:8" ht="26.25" x14ac:dyDescent="0.25">
      <c r="A5616" s="3" t="s">
        <v>16595</v>
      </c>
      <c r="B5616" s="3"/>
      <c r="C5616" s="3" t="str">
        <f>"Instructional and course design."</f>
        <v>Instructional and course design.</v>
      </c>
      <c r="D5616" s="3" t="s">
        <v>9</v>
      </c>
      <c r="E5616" s="3" t="s">
        <v>16596</v>
      </c>
      <c r="F5616" s="3" t="str">
        <f>"3178480370"</f>
        <v>3178480370</v>
      </c>
      <c r="G5616" s="3">
        <v>5416</v>
      </c>
      <c r="H5616" s="3" t="s">
        <v>194</v>
      </c>
    </row>
    <row r="5617" spans="1:8" ht="90" x14ac:dyDescent="0.25">
      <c r="A5617" s="3" t="s">
        <v>16597</v>
      </c>
      <c r="B5617" s="3"/>
      <c r="C5617" s="3" t="s">
        <v>16598</v>
      </c>
      <c r="D5617" s="3" t="s">
        <v>9</v>
      </c>
      <c r="E5617" s="3" t="s">
        <v>16599</v>
      </c>
      <c r="F5617" s="3" t="str">
        <f>"317-888-2071"</f>
        <v>317-888-2071</v>
      </c>
      <c r="G5617" s="3">
        <v>424990</v>
      </c>
      <c r="H5617" s="3" t="s">
        <v>1019</v>
      </c>
    </row>
    <row r="5618" spans="1:8" ht="26.25" x14ac:dyDescent="0.25">
      <c r="A5618" s="3" t="s">
        <v>16600</v>
      </c>
      <c r="B5618" s="3"/>
      <c r="C5618" s="3" t="str">
        <f>"General contracting, construction manager, hotel development,"</f>
        <v>General contracting, construction manager, hotel development,</v>
      </c>
      <c r="D5618" s="3" t="s">
        <v>9</v>
      </c>
      <c r="E5618" s="3" t="s">
        <v>16601</v>
      </c>
      <c r="F5618" s="3" t="str">
        <f>"317-356-4000"</f>
        <v>317-356-4000</v>
      </c>
      <c r="G5618" s="3">
        <v>236116</v>
      </c>
      <c r="H5618" s="3" t="s">
        <v>438</v>
      </c>
    </row>
    <row r="5619" spans="1:8" ht="90" x14ac:dyDescent="0.25">
      <c r="A5619" s="3" t="s">
        <v>16602</v>
      </c>
      <c r="B5619" s="3"/>
      <c r="C5619" s="3" t="str">
        <f>"LetterPerfect Services provides administrative support to for-profit companies in addition to fundraising services for non-profit organizations. Our services include database management, transcription services, event management, and website design."</f>
        <v>LetterPerfect Services provides administrative support to for-profit companies in addition to fundraising services for non-profit organizations. Our services include database management, transcription services, event management, and website design.</v>
      </c>
      <c r="D5619" s="3" t="s">
        <v>9</v>
      </c>
      <c r="E5619" s="3" t="s">
        <v>16603</v>
      </c>
      <c r="F5619" s="3" t="str">
        <f>"(260) 710-5557"</f>
        <v>(260) 710-5557</v>
      </c>
      <c r="G5619" s="3">
        <v>561110</v>
      </c>
      <c r="H5619" s="3" t="s">
        <v>4383</v>
      </c>
    </row>
    <row r="5620" spans="1:8" ht="243" x14ac:dyDescent="0.25">
      <c r="A5620" s="3" t="s">
        <v>16604</v>
      </c>
      <c r="B5620" s="3"/>
      <c r="C5620" s="3" t="s">
        <v>16605</v>
      </c>
      <c r="D5620" s="3" t="s">
        <v>16606</v>
      </c>
      <c r="E5620" s="3" t="s">
        <v>16607</v>
      </c>
      <c r="F5620" s="3" t="str">
        <f>"317-579-6400"</f>
        <v>317-579-6400</v>
      </c>
      <c r="G5620" s="3">
        <v>541511</v>
      </c>
      <c r="H5620" s="3" t="s">
        <v>122</v>
      </c>
    </row>
    <row r="5621" spans="1:8" ht="26.25" x14ac:dyDescent="0.25">
      <c r="A5621" s="3" t="s">
        <v>16608</v>
      </c>
      <c r="B5621" s="3"/>
      <c r="C5621" s="3" t="str">
        <f>"Transportation Engineering Design Services and Construction Inspection"</f>
        <v>Transportation Engineering Design Services and Construction Inspection</v>
      </c>
      <c r="D5621" s="3" t="s">
        <v>16609</v>
      </c>
      <c r="E5621" s="3" t="s">
        <v>46</v>
      </c>
      <c r="F5621" s="3" t="str">
        <f>"(317) 686-9900"</f>
        <v>(317) 686-9900</v>
      </c>
      <c r="G5621" s="3">
        <v>541330</v>
      </c>
      <c r="H5621" s="3" t="s">
        <v>82</v>
      </c>
    </row>
    <row r="5622" spans="1:8" ht="26.25" x14ac:dyDescent="0.25">
      <c r="A5622" s="3" t="s">
        <v>16610</v>
      </c>
      <c r="B5622" s="3"/>
      <c r="C5622" s="3" t="str">
        <f>"Level is a full service interior design studio."</f>
        <v>Level is a full service interior design studio.</v>
      </c>
      <c r="D5622" s="3" t="s">
        <v>16611</v>
      </c>
      <c r="E5622" s="3" t="s">
        <v>16612</v>
      </c>
      <c r="F5622" s="3" t="str">
        <f>"317.370.0638"</f>
        <v>317.370.0638</v>
      </c>
      <c r="G5622" s="3">
        <v>541410</v>
      </c>
      <c r="H5622" s="3" t="s">
        <v>687</v>
      </c>
    </row>
    <row r="5623" spans="1:8" ht="153.75" x14ac:dyDescent="0.25">
      <c r="A5623" s="3" t="s">
        <v>16613</v>
      </c>
      <c r="B5623" s="3"/>
      <c r="C5623" s="3" t="s">
        <v>16614</v>
      </c>
      <c r="D5623" s="3" t="s">
        <v>16615</v>
      </c>
      <c r="E5623" s="3" t="s">
        <v>16616</v>
      </c>
      <c r="F5623" s="3" t="str">
        <f>"317.294.2219"</f>
        <v>317.294.2219</v>
      </c>
      <c r="G5623" s="3">
        <v>11</v>
      </c>
      <c r="H5623" s="3" t="s">
        <v>175</v>
      </c>
    </row>
    <row r="5624" spans="1:8" ht="77.25" x14ac:dyDescent="0.25">
      <c r="A5624" s="3" t="s">
        <v>16617</v>
      </c>
      <c r="B5624" s="3"/>
      <c r="C5624" s="3" t="str">
        <f>"We provide maintenance training services to allow individuals to work with electricity in a safe manner. Our instructors all have years of experience of working in different industries. We do public seminars as well as on-site training."</f>
        <v>We provide maintenance training services to allow individuals to work with electricity in a safe manner. Our instructors all have years of experience of working in different industries. We do public seminars as well as on-site training.</v>
      </c>
      <c r="D5624" s="3" t="s">
        <v>16618</v>
      </c>
      <c r="E5624" s="3" t="s">
        <v>16619</v>
      </c>
      <c r="F5624" s="3" t="str">
        <f>"812-847-3525"</f>
        <v>812-847-3525</v>
      </c>
      <c r="G5624" s="3">
        <v>611</v>
      </c>
      <c r="H5624" s="3" t="s">
        <v>140</v>
      </c>
    </row>
    <row r="5625" spans="1:8" ht="26.25" x14ac:dyDescent="0.25">
      <c r="A5625" s="3" t="s">
        <v>16620</v>
      </c>
      <c r="B5625" s="3"/>
      <c r="C5625" s="3" t="str">
        <f>"Provide Electrical Services and replacement bulbs"</f>
        <v>Provide Electrical Services and replacement bulbs</v>
      </c>
      <c r="D5625" s="3" t="s">
        <v>9</v>
      </c>
      <c r="E5625" s="3" t="s">
        <v>16621</v>
      </c>
      <c r="F5625" s="3" t="str">
        <f>"513-309-5444"</f>
        <v>513-309-5444</v>
      </c>
      <c r="G5625" s="3">
        <v>238210</v>
      </c>
      <c r="H5625" s="3" t="s">
        <v>306</v>
      </c>
    </row>
    <row r="5626" spans="1:8" ht="179.25" x14ac:dyDescent="0.25">
      <c r="A5626" s="3" t="s">
        <v>16622</v>
      </c>
      <c r="B5626" s="3"/>
      <c r="C5626" s="3" t="s">
        <v>16623</v>
      </c>
      <c r="D5626" s="3" t="s">
        <v>16624</v>
      </c>
      <c r="E5626" s="3" t="s">
        <v>16625</v>
      </c>
      <c r="F5626" s="3" t="str">
        <f>"317-639-1210"</f>
        <v>317-639-1210</v>
      </c>
      <c r="G5626" s="3">
        <v>541110</v>
      </c>
      <c r="H5626" s="3" t="s">
        <v>2978</v>
      </c>
    </row>
    <row r="5627" spans="1:8" ht="51.75" x14ac:dyDescent="0.25">
      <c r="A5627" s="3" t="s">
        <v>16626</v>
      </c>
      <c r="B5627" s="3"/>
      <c r="C5627" s="3" t="str">
        <f>"personal protective equipment and supplies. fire and police equipment and supplies. highway marking paint. medical supplies."</f>
        <v>personal protective equipment and supplies. fire and police equipment and supplies. highway marking paint. medical supplies.</v>
      </c>
      <c r="D5627" s="3" t="s">
        <v>16627</v>
      </c>
      <c r="E5627" s="3" t="s">
        <v>16628</v>
      </c>
      <c r="F5627" s="3" t="str">
        <f>"812-435-2259"</f>
        <v>812-435-2259</v>
      </c>
      <c r="G5627" s="3">
        <v>541611</v>
      </c>
      <c r="H5627" s="3" t="s">
        <v>278</v>
      </c>
    </row>
    <row r="5628" spans="1:8" ht="204.75" x14ac:dyDescent="0.25">
      <c r="A5628" s="3" t="s">
        <v>16629</v>
      </c>
      <c r="B5628" s="3"/>
      <c r="C5628" s="3" t="s">
        <v>16630</v>
      </c>
      <c r="D5628" s="3" t="s">
        <v>16631</v>
      </c>
      <c r="E5628" s="3" t="s">
        <v>16632</v>
      </c>
      <c r="F5628" s="3" t="str">
        <f>"317-770-7838"</f>
        <v>317-770-7838</v>
      </c>
      <c r="G5628" s="3">
        <v>532</v>
      </c>
      <c r="H5628" s="3" t="s">
        <v>2610</v>
      </c>
    </row>
    <row r="5629" spans="1:8" ht="51.75" x14ac:dyDescent="0.25">
      <c r="A5629" s="3" t="s">
        <v>16633</v>
      </c>
      <c r="B5629" s="3"/>
      <c r="C5629" s="3" t="str">
        <f>"We provide trashout services, cleaning, and lawn care services. Will remove most anything from your property. Email us for a bid."</f>
        <v>We provide trashout services, cleaning, and lawn care services. Will remove most anything from your property. Email us for a bid.</v>
      </c>
      <c r="D5629" s="3" t="s">
        <v>9</v>
      </c>
      <c r="E5629" s="3" t="s">
        <v>16634</v>
      </c>
      <c r="F5629" s="2"/>
      <c r="G5629" s="3">
        <v>561720</v>
      </c>
      <c r="H5629" s="3" t="s">
        <v>222</v>
      </c>
    </row>
    <row r="5630" spans="1:8" ht="128.25" x14ac:dyDescent="0.25">
      <c r="A5630" s="3" t="s">
        <v>16635</v>
      </c>
      <c r="B5630" s="3"/>
      <c r="C5630" s="3" t="s">
        <v>16636</v>
      </c>
      <c r="D5630" s="3" t="s">
        <v>16637</v>
      </c>
      <c r="E5630" s="3" t="s">
        <v>16638</v>
      </c>
      <c r="F5630" s="3" t="str">
        <f>"317-709-3449"</f>
        <v>317-709-3449</v>
      </c>
      <c r="G5630" s="3">
        <v>517310</v>
      </c>
      <c r="H5630" s="3" t="s">
        <v>540</v>
      </c>
    </row>
    <row r="5631" spans="1:8" ht="77.25" x14ac:dyDescent="0.25">
      <c r="A5631" s="3" t="s">
        <v>16639</v>
      </c>
      <c r="B5631" s="3"/>
      <c r="C5631" s="3" t="str">
        <f>"Small dump truck company with large capabilities. Eager and pleased to provide services for anytype of hauling jobs. We have the ability to provide excellent service,"" We're here from the first to the last load""."</f>
        <v>Small dump truck company with large capabilities. Eager and pleased to provide services for anytype of hauling jobs. We have the ability to provide excellent service," We're here from the first to the last load".</v>
      </c>
      <c r="D5631" s="3" t="s">
        <v>9</v>
      </c>
      <c r="E5631" s="3" t="s">
        <v>16640</v>
      </c>
      <c r="F5631" s="3" t="str">
        <f>"317-531-6947"</f>
        <v>317-531-6947</v>
      </c>
      <c r="G5631" s="3">
        <v>484220</v>
      </c>
      <c r="H5631" s="3" t="s">
        <v>11</v>
      </c>
    </row>
    <row r="5632" spans="1:8" ht="39" x14ac:dyDescent="0.25">
      <c r="A5632" s="3" t="s">
        <v>16641</v>
      </c>
      <c r="B5632" s="3"/>
      <c r="C5632" s="3" t="str">
        <f>"Lexington Corporation manufactures RV, Marine, Medical, Transporation, and Intensive Use Office Seating"</f>
        <v>Lexington Corporation manufactures RV, Marine, Medical, Transporation, and Intensive Use Office Seating</v>
      </c>
      <c r="D5632" s="3" t="s">
        <v>16642</v>
      </c>
      <c r="E5632" s="3" t="s">
        <v>16643</v>
      </c>
      <c r="F5632" s="3" t="str">
        <f>"574-295-8166"</f>
        <v>574-295-8166</v>
      </c>
      <c r="G5632" s="3">
        <v>3369</v>
      </c>
      <c r="H5632" s="3" t="s">
        <v>16644</v>
      </c>
    </row>
    <row r="5633" spans="1:8" ht="102.75" x14ac:dyDescent="0.25">
      <c r="A5633" s="3" t="s">
        <v>16645</v>
      </c>
      <c r="B5633" s="3"/>
      <c r="C5633" s="3" t="s">
        <v>16646</v>
      </c>
      <c r="D5633" s="3" t="s">
        <v>16647</v>
      </c>
      <c r="E5633" s="3" t="s">
        <v>16648</v>
      </c>
      <c r="F5633" s="3" t="str">
        <f>"317 331 7496"</f>
        <v>317 331 7496</v>
      </c>
      <c r="G5633" s="3">
        <v>23599</v>
      </c>
      <c r="H5633" s="3" t="s">
        <v>248</v>
      </c>
    </row>
    <row r="5634" spans="1:8" ht="51.75" x14ac:dyDescent="0.25">
      <c r="A5634" s="3" t="s">
        <v>16649</v>
      </c>
      <c r="B5634" s="3"/>
      <c r="C5634" s="3" t="str">
        <f>"Liberty Behavioral Health Corporation is a health care services management organization providing medical and clinical staffing and program management."</f>
        <v>Liberty Behavioral Health Corporation is a health care services management organization providing medical and clinical staffing and program management.</v>
      </c>
      <c r="D5634" s="3" t="s">
        <v>16650</v>
      </c>
      <c r="E5634" s="3" t="s">
        <v>16651</v>
      </c>
      <c r="F5634" s="3" t="str">
        <f>"(800) 331-7122"</f>
        <v>(800) 331-7122</v>
      </c>
      <c r="G5634" s="3">
        <v>62111</v>
      </c>
      <c r="H5634" s="3" t="s">
        <v>9843</v>
      </c>
    </row>
    <row r="5635" spans="1:8" ht="26.25" x14ac:dyDescent="0.25">
      <c r="A5635" s="3" t="s">
        <v>16652</v>
      </c>
      <c r="B5635" s="3"/>
      <c r="C5635" s="3" t="str">
        <f>"Medical and clinical health care services provider."</f>
        <v>Medical and clinical health care services provider.</v>
      </c>
      <c r="D5635" s="3" t="s">
        <v>16653</v>
      </c>
      <c r="E5635" s="3" t="s">
        <v>16654</v>
      </c>
      <c r="F5635" s="3" t="str">
        <f>"800/331-7122"</f>
        <v>800/331-7122</v>
      </c>
      <c r="G5635" s="3">
        <v>62111</v>
      </c>
      <c r="H5635" s="3" t="s">
        <v>9843</v>
      </c>
    </row>
    <row r="5636" spans="1:8" ht="166.5" x14ac:dyDescent="0.25">
      <c r="A5636" s="3" t="s">
        <v>16655</v>
      </c>
      <c r="B5636" s="3"/>
      <c r="C5636" s="3" t="s">
        <v>16656</v>
      </c>
      <c r="D5636" s="3" t="s">
        <v>9</v>
      </c>
      <c r="E5636" s="3" t="s">
        <v>16657</v>
      </c>
      <c r="F5636" s="3" t="str">
        <f>"317-823-0197"</f>
        <v>317-823-0197</v>
      </c>
      <c r="G5636" s="3">
        <v>423610</v>
      </c>
      <c r="H5636" s="3" t="s">
        <v>2414</v>
      </c>
    </row>
    <row r="5637" spans="1:8" ht="128.25" x14ac:dyDescent="0.25">
      <c r="A5637" s="3" t="s">
        <v>16658</v>
      </c>
      <c r="B5637" s="3"/>
      <c r="C5637" s="3" t="s">
        <v>16659</v>
      </c>
      <c r="D5637" s="3" t="s">
        <v>16660</v>
      </c>
      <c r="E5637" s="3" t="s">
        <v>16661</v>
      </c>
      <c r="F5637" s="3" t="str">
        <f>"812.853.0595"</f>
        <v>812.853.0595</v>
      </c>
      <c r="G5637" s="3">
        <v>334220</v>
      </c>
      <c r="H5637" s="3" t="s">
        <v>8456</v>
      </c>
    </row>
    <row r="5638" spans="1:8" ht="153.75" x14ac:dyDescent="0.25">
      <c r="A5638" s="3" t="s">
        <v>16662</v>
      </c>
      <c r="B5638" s="3"/>
      <c r="C5638" s="3" t="s">
        <v>16663</v>
      </c>
      <c r="D5638" s="3" t="s">
        <v>16664</v>
      </c>
      <c r="E5638" s="3" t="s">
        <v>16665</v>
      </c>
      <c r="F5638" s="3" t="str">
        <f>"8883676304"</f>
        <v>8883676304</v>
      </c>
      <c r="G5638" s="3">
        <v>524126</v>
      </c>
      <c r="H5638" s="3" t="s">
        <v>14021</v>
      </c>
    </row>
    <row r="5639" spans="1:8" ht="26.25" x14ac:dyDescent="0.25">
      <c r="A5639" s="3" t="s">
        <v>16666</v>
      </c>
      <c r="B5639" s="3"/>
      <c r="C5639" s="3" t="str">
        <f>"Full service real estate company."</f>
        <v>Full service real estate company.</v>
      </c>
      <c r="D5639" s="3" t="s">
        <v>9</v>
      </c>
      <c r="E5639" s="3" t="s">
        <v>16667</v>
      </c>
      <c r="F5639" s="3" t="str">
        <f>"260-422-1537"</f>
        <v>260-422-1537</v>
      </c>
      <c r="G5639" s="3">
        <v>53131</v>
      </c>
      <c r="H5639" s="3" t="s">
        <v>7550</v>
      </c>
    </row>
    <row r="5640" spans="1:8" ht="51.75" x14ac:dyDescent="0.25">
      <c r="A5640" s="3" t="s">
        <v>16668</v>
      </c>
      <c r="B5640" s="3"/>
      <c r="C5640" s="3" t="str">
        <f>"Business to business consultants, for supply chain, process and technology. Our business is as consultants through technology we solve business problems."</f>
        <v>Business to business consultants, for supply chain, process and technology. Our business is as consultants through technology we solve business problems.</v>
      </c>
      <c r="D5640" s="3" t="s">
        <v>16669</v>
      </c>
      <c r="E5640" s="3" t="s">
        <v>16670</v>
      </c>
      <c r="F5640" s="3" t="str">
        <f>"317-590-6022"</f>
        <v>317-590-6022</v>
      </c>
      <c r="G5640" s="3">
        <v>54143</v>
      </c>
      <c r="H5640" s="3" t="s">
        <v>78</v>
      </c>
    </row>
    <row r="5641" spans="1:8" ht="39" x14ac:dyDescent="0.25">
      <c r="A5641" s="3" t="s">
        <v>16671</v>
      </c>
      <c r="B5641" s="3"/>
      <c r="C5641" s="3" t="str">
        <f>"We currently employ about 45 people at our scrap tire recycling facility located in North Liberty, IN."</f>
        <v>We currently employ about 45 people at our scrap tire recycling facility located in North Liberty, IN.</v>
      </c>
      <c r="D5641" s="3" t="s">
        <v>9</v>
      </c>
      <c r="E5641" s="3" t="s">
        <v>16672</v>
      </c>
      <c r="F5641" s="3" t="str">
        <f>"(574) 656-3429"</f>
        <v>(574) 656-3429</v>
      </c>
      <c r="G5641" s="3">
        <v>562</v>
      </c>
      <c r="H5641" s="3" t="s">
        <v>2798</v>
      </c>
    </row>
    <row r="5642" spans="1:8" ht="64.5" x14ac:dyDescent="0.25">
      <c r="A5642" s="3" t="s">
        <v>16673</v>
      </c>
      <c r="B5642" s="3"/>
      <c r="C5642" s="3" t="str">
        <f>"Liberty of Indiana is a healthcare services management organization. That providing quality assurance and supports to individuals with intellectual and development disabilities"</f>
        <v>Liberty of Indiana is a healthcare services management organization. That providing quality assurance and supports to individuals with intellectual and development disabilities</v>
      </c>
      <c r="D5642" s="3" t="s">
        <v>16650</v>
      </c>
      <c r="E5642" s="3" t="s">
        <v>16651</v>
      </c>
      <c r="F5642" s="3" t="str">
        <f>"800-331-7122"</f>
        <v>800-331-7122</v>
      </c>
      <c r="G5642" s="3">
        <v>62111</v>
      </c>
      <c r="H5642" s="3" t="s">
        <v>9843</v>
      </c>
    </row>
    <row r="5643" spans="1:8" ht="90" x14ac:dyDescent="0.25">
      <c r="A5643" s="3" t="s">
        <v>16674</v>
      </c>
      <c r="B5643" s="3"/>
      <c r="C5643" s="3" t="str">
        <f>"Since incorporation in 2001, Liechty Media has served as northern Indiana's only full-service media planning and buying provider. Our firm provides strategic media planning, research and buying for national, regional and local advertisers and agencies."</f>
        <v>Since incorporation in 2001, Liechty Media has served as northern Indiana's only full-service media planning and buying provider. Our firm provides strategic media planning, research and buying for national, regional and local advertisers and agencies.</v>
      </c>
      <c r="D5643" s="3" t="s">
        <v>16675</v>
      </c>
      <c r="E5643" s="3" t="s">
        <v>16676</v>
      </c>
      <c r="F5643" s="3" t="str">
        <f>"2604221369"</f>
        <v>2604221369</v>
      </c>
      <c r="G5643" s="3">
        <v>541810</v>
      </c>
      <c r="H5643" s="3" t="s">
        <v>976</v>
      </c>
    </row>
    <row r="5644" spans="1:8" ht="26.25" x14ac:dyDescent="0.25">
      <c r="A5644" s="3" t="s">
        <v>16677</v>
      </c>
      <c r="B5644" s="3"/>
      <c r="C5644" s="3" t="str">
        <f>" "</f>
        <v xml:space="preserve"> </v>
      </c>
      <c r="D5644" s="3" t="s">
        <v>16678</v>
      </c>
      <c r="E5644" s="3" t="s">
        <v>16679</v>
      </c>
      <c r="F5644" s="3" t="str">
        <f>"812-428-3055"</f>
        <v>812-428-3055</v>
      </c>
      <c r="G5644" s="3">
        <v>624110</v>
      </c>
      <c r="H5644" s="3" t="s">
        <v>628</v>
      </c>
    </row>
    <row r="5645" spans="1:8" ht="90" x14ac:dyDescent="0.25">
      <c r="A5645" s="3" t="s">
        <v>16680</v>
      </c>
      <c r="B5645" s="3"/>
      <c r="C5645" s="3" t="s">
        <v>16681</v>
      </c>
      <c r="D5645" s="3" t="s">
        <v>16682</v>
      </c>
      <c r="E5645" s="3" t="s">
        <v>16683</v>
      </c>
      <c r="F5645" s="3" t="str">
        <f>"812-948-8330"</f>
        <v>812-948-8330</v>
      </c>
      <c r="G5645" s="3">
        <v>62412</v>
      </c>
      <c r="H5645" s="3" t="s">
        <v>22</v>
      </c>
    </row>
    <row r="5646" spans="1:8" ht="51.75" x14ac:dyDescent="0.25">
      <c r="A5646" s="3" t="s">
        <v>16684</v>
      </c>
      <c r="B5646" s="3"/>
      <c r="C5646" s="3" t="str">
        <f>"LifeSpring provides a comprehensive array of mental health services: education, prevention, information, assessment, intervention, and treatment."</f>
        <v>LifeSpring provides a comprehensive array of mental health services: education, prevention, information, assessment, intervention, and treatment.</v>
      </c>
      <c r="D5646" s="3" t="s">
        <v>16685</v>
      </c>
      <c r="E5646" s="3" t="s">
        <v>46</v>
      </c>
      <c r="F5646" s="3" t="str">
        <f>"812-280-2080"</f>
        <v>812-280-2080</v>
      </c>
      <c r="G5646" s="3">
        <v>621420</v>
      </c>
      <c r="H5646" s="3" t="s">
        <v>990</v>
      </c>
    </row>
    <row r="5647" spans="1:8" ht="39" x14ac:dyDescent="0.25">
      <c r="A5647" s="3" t="s">
        <v>16686</v>
      </c>
      <c r="B5647" s="3"/>
      <c r="C5647" s="3" t="str">
        <f>"Community Mental Health Center which provides behavioral health and substance abuse treatment."</f>
        <v>Community Mental Health Center which provides behavioral health and substance abuse treatment.</v>
      </c>
      <c r="D5647" s="3" t="s">
        <v>16685</v>
      </c>
      <c r="E5647" s="3" t="s">
        <v>16687</v>
      </c>
      <c r="F5647" s="3" t="str">
        <f>"812-280-2080"</f>
        <v>812-280-2080</v>
      </c>
      <c r="G5647" s="3">
        <v>621420</v>
      </c>
      <c r="H5647" s="3" t="s">
        <v>990</v>
      </c>
    </row>
    <row r="5648" spans="1:8" ht="77.25" x14ac:dyDescent="0.25">
      <c r="A5648" s="3" t="s">
        <v>16688</v>
      </c>
      <c r="B5648" s="3"/>
      <c r="C5648" s="3" t="str">
        <f>"Providing smoking cessation programs - using light laser therapy and standard smoking cessation support and education. We are different because we also incorporate healthy eating and physical activity as part of the program."</f>
        <v>Providing smoking cessation programs - using light laser therapy and standard smoking cessation support and education. We are different because we also incorporate healthy eating and physical activity as part of the program.</v>
      </c>
      <c r="D5648" s="3" t="s">
        <v>16689</v>
      </c>
      <c r="E5648" s="3" t="s">
        <v>16690</v>
      </c>
      <c r="F5648" s="3" t="str">
        <f>"317-370-6626"</f>
        <v>317-370-6626</v>
      </c>
      <c r="G5648" s="3">
        <v>621999</v>
      </c>
      <c r="H5648" s="3" t="s">
        <v>3480</v>
      </c>
    </row>
    <row r="5649" spans="1:8" ht="77.25" x14ac:dyDescent="0.25">
      <c r="A5649" s="3" t="s">
        <v>16691</v>
      </c>
      <c r="B5649" s="3"/>
      <c r="C5649" s="3" t="str">
        <f>"Offer group home services for at-risk youth. Provide home-based services designed to preserve and strengthen family units. Provide classsroom instruction to school age youth regarding proper decision making skills."</f>
        <v>Offer group home services for at-risk youth. Provide home-based services designed to preserve and strengthen family units. Provide classsroom instruction to school age youth regarding proper decision making skills.</v>
      </c>
      <c r="D5649" s="3" t="s">
        <v>16692</v>
      </c>
      <c r="E5649" s="3" t="s">
        <v>46</v>
      </c>
      <c r="F5649" s="3" t="str">
        <f>"260-745-3322"</f>
        <v>260-745-3322</v>
      </c>
      <c r="G5649" s="3">
        <v>624110</v>
      </c>
      <c r="H5649" s="3" t="s">
        <v>628</v>
      </c>
    </row>
    <row r="5650" spans="1:8" ht="39" x14ac:dyDescent="0.25">
      <c r="A5650" s="3" t="s">
        <v>16693</v>
      </c>
      <c r="B5650" s="3"/>
      <c r="C5650" s="3" t="str">
        <f>"Offers group home services, home based services, and classroom instruction to at-risk youth."</f>
        <v>Offers group home services, home based services, and classroom instruction to at-risk youth.</v>
      </c>
      <c r="D5650" s="3" t="s">
        <v>16694</v>
      </c>
      <c r="E5650" s="3" t="s">
        <v>46</v>
      </c>
      <c r="F5650" s="2"/>
      <c r="G5650" s="3">
        <v>624110</v>
      </c>
      <c r="H5650" s="3" t="s">
        <v>628</v>
      </c>
    </row>
    <row r="5651" spans="1:8" ht="26.25" x14ac:dyDescent="0.25">
      <c r="A5651" s="3" t="s">
        <v>16695</v>
      </c>
      <c r="B5651" s="3"/>
      <c r="C5651" s="3" t="str">
        <f>"STAFFING NURSES"</f>
        <v>STAFFING NURSES</v>
      </c>
      <c r="D5651" s="3" t="s">
        <v>9</v>
      </c>
      <c r="E5651" s="3" t="s">
        <v>16696</v>
      </c>
      <c r="F5651" s="3" t="str">
        <f>"317-546-6800"</f>
        <v>317-546-6800</v>
      </c>
      <c r="G5651" s="3">
        <v>561310</v>
      </c>
      <c r="H5651" s="3" t="s">
        <v>1720</v>
      </c>
    </row>
    <row r="5652" spans="1:8" ht="102.75" x14ac:dyDescent="0.25">
      <c r="A5652" s="3" t="s">
        <v>16697</v>
      </c>
      <c r="B5652" s="3"/>
      <c r="C5652" s="3" t="s">
        <v>16698</v>
      </c>
      <c r="D5652" s="3" t="s">
        <v>16699</v>
      </c>
      <c r="E5652" s="3" t="s">
        <v>16700</v>
      </c>
      <c r="F5652" s="3" t="str">
        <f>"317-471-1800"</f>
        <v>317-471-1800</v>
      </c>
      <c r="G5652" s="3">
        <v>335129</v>
      </c>
      <c r="H5652" s="3" t="s">
        <v>16701</v>
      </c>
    </row>
    <row r="5653" spans="1:8" ht="26.25" x14ac:dyDescent="0.25">
      <c r="A5653" s="3" t="s">
        <v>16702</v>
      </c>
      <c r="B5653" s="3"/>
      <c r="C5653" s="3" t="str">
        <f>"We provide mowing, landscaping, design, and maint. to all types of properties."</f>
        <v>We provide mowing, landscaping, design, and maint. to all types of properties.</v>
      </c>
      <c r="D5653" s="3" t="s">
        <v>9</v>
      </c>
      <c r="E5653" s="3" t="s">
        <v>46</v>
      </c>
      <c r="F5653" s="2"/>
      <c r="G5653" s="3">
        <v>56173</v>
      </c>
      <c r="H5653" s="3" t="s">
        <v>65</v>
      </c>
    </row>
    <row r="5654" spans="1:8" ht="230.25" x14ac:dyDescent="0.25">
      <c r="A5654" s="3" t="s">
        <v>16703</v>
      </c>
      <c r="B5654" s="3"/>
      <c r="C5654" s="3" t="s">
        <v>16704</v>
      </c>
      <c r="D5654" s="3" t="s">
        <v>16705</v>
      </c>
      <c r="E5654" s="3" t="s">
        <v>16706</v>
      </c>
      <c r="F5654" s="3" t="str">
        <f>"317-259-5050"</f>
        <v>317-259-5050</v>
      </c>
      <c r="G5654" s="3">
        <v>518111</v>
      </c>
      <c r="H5654" s="3" t="s">
        <v>2656</v>
      </c>
    </row>
    <row r="5655" spans="1:8" ht="230.25" x14ac:dyDescent="0.25">
      <c r="A5655" s="3" t="s">
        <v>16707</v>
      </c>
      <c r="B5655" s="3"/>
      <c r="C5655" s="3" t="s">
        <v>16708</v>
      </c>
      <c r="D5655" s="3" t="s">
        <v>16709</v>
      </c>
      <c r="E5655" s="3" t="s">
        <v>16710</v>
      </c>
      <c r="F5655" s="3" t="str">
        <f>"765.588.5702"</f>
        <v>765.588.5702</v>
      </c>
      <c r="G5655" s="3">
        <v>541511</v>
      </c>
      <c r="H5655" s="3" t="s">
        <v>122</v>
      </c>
    </row>
    <row r="5656" spans="1:8" ht="102.75" x14ac:dyDescent="0.25">
      <c r="A5656" s="3" t="s">
        <v>16711</v>
      </c>
      <c r="B5656" s="3"/>
      <c r="C5656" s="3" t="s">
        <v>16712</v>
      </c>
      <c r="D5656" s="3" t="s">
        <v>9</v>
      </c>
      <c r="E5656" s="3" t="s">
        <v>16713</v>
      </c>
      <c r="F5656" s="3" t="str">
        <f>"3179026182"</f>
        <v>3179026182</v>
      </c>
      <c r="G5656" s="3">
        <v>541690</v>
      </c>
      <c r="H5656" s="3" t="s">
        <v>652</v>
      </c>
    </row>
    <row r="5657" spans="1:8" ht="51.75" x14ac:dyDescent="0.25">
      <c r="A5657" s="3" t="s">
        <v>16714</v>
      </c>
      <c r="B5657" s="3"/>
      <c r="C5657" s="3" t="str">
        <f>"Professional, personalized public relations services. SEO, social media. Contact me today, I will speak with you personally about how I can grow your bottom line."</f>
        <v>Professional, personalized public relations services. SEO, social media. Contact me today, I will speak with you personally about how I can grow your bottom line.</v>
      </c>
      <c r="D5657" s="3" t="s">
        <v>16715</v>
      </c>
      <c r="E5657" s="3" t="s">
        <v>16716</v>
      </c>
      <c r="F5657" s="3" t="str">
        <f>"574-524-6625"</f>
        <v>574-524-6625</v>
      </c>
      <c r="G5657" s="3">
        <v>541820</v>
      </c>
      <c r="H5657" s="3" t="s">
        <v>795</v>
      </c>
    </row>
    <row r="5658" spans="1:8" ht="115.5" x14ac:dyDescent="0.25">
      <c r="A5658" s="3" t="s">
        <v>16717</v>
      </c>
      <c r="B5658" s="3"/>
      <c r="C5658" s="3" t="s">
        <v>16718</v>
      </c>
      <c r="D5658" s="3" t="s">
        <v>16719</v>
      </c>
      <c r="E5658" s="3" t="s">
        <v>16720</v>
      </c>
      <c r="F5658" s="3" t="str">
        <f>"317-707-3901"</f>
        <v>317-707-3901</v>
      </c>
      <c r="G5658" s="3">
        <v>541990</v>
      </c>
      <c r="H5658" s="3" t="s">
        <v>378</v>
      </c>
    </row>
    <row r="5659" spans="1:8" ht="115.5" x14ac:dyDescent="0.25">
      <c r="A5659" s="3" t="s">
        <v>16721</v>
      </c>
      <c r="B5659" s="3"/>
      <c r="C5659" s="3" t="s">
        <v>16722</v>
      </c>
      <c r="D5659" s="3" t="s">
        <v>16723</v>
      </c>
      <c r="E5659" s="3" t="s">
        <v>16724</v>
      </c>
      <c r="F5659" s="3" t="str">
        <f>"812-590-3335"</f>
        <v>812-590-3335</v>
      </c>
      <c r="G5659" s="3">
        <v>442291</v>
      </c>
      <c r="H5659" s="3" t="s">
        <v>3812</v>
      </c>
    </row>
    <row r="5660" spans="1:8" ht="26.25" x14ac:dyDescent="0.25">
      <c r="A5660" s="3" t="s">
        <v>16725</v>
      </c>
      <c r="B5660" s="3"/>
      <c r="C5660" s="3" t="str">
        <f>"Tree removal , trimming, deadwooding,stump grinding fully equipped"</f>
        <v>Tree removal , trimming, deadwooding,stump grinding fully equipped</v>
      </c>
      <c r="D5660" s="3" t="s">
        <v>9</v>
      </c>
      <c r="E5660" s="3" t="s">
        <v>16726</v>
      </c>
      <c r="F5660" s="3" t="str">
        <f>"812-738-7247"</f>
        <v>812-738-7247</v>
      </c>
      <c r="G5660" s="3">
        <v>561730</v>
      </c>
      <c r="H5660" s="3" t="s">
        <v>65</v>
      </c>
    </row>
    <row r="5661" spans="1:8" ht="90" x14ac:dyDescent="0.25">
      <c r="A5661" s="3" t="s">
        <v>16727</v>
      </c>
      <c r="B5661" s="3"/>
      <c r="C5661" s="3" t="s">
        <v>16728</v>
      </c>
      <c r="D5661" s="3" t="s">
        <v>16729</v>
      </c>
      <c r="E5661" s="3" t="s">
        <v>16730</v>
      </c>
      <c r="F5661" s="3" t="str">
        <f>"260/894-7161"</f>
        <v>260/894-7161</v>
      </c>
      <c r="G5661" s="3">
        <v>5133</v>
      </c>
      <c r="H5661" s="3" t="s">
        <v>682</v>
      </c>
    </row>
    <row r="5662" spans="1:8" ht="77.25" x14ac:dyDescent="0.25">
      <c r="A5662" s="3" t="s">
        <v>16731</v>
      </c>
      <c r="B5662" s="3"/>
      <c r="C5662" s="3" t="str">
        <f>"Family owned and operated business in Evansville Indiana. Specializing In selling and customizing any size enclosed cargo or open trailer that you might need. We also have the ability to service and repair all trailers."</f>
        <v>Family owned and operated business in Evansville Indiana. Specializing In selling and customizing any size enclosed cargo or open trailer that you might need. We also have the ability to service and repair all trailers.</v>
      </c>
      <c r="D5662" s="3" t="s">
        <v>16732</v>
      </c>
      <c r="E5662" s="3" t="s">
        <v>16733</v>
      </c>
      <c r="F5662" s="3" t="str">
        <f>"812-477-3966"</f>
        <v>812-477-3966</v>
      </c>
      <c r="G5662" s="3">
        <v>44122</v>
      </c>
      <c r="H5662" s="3" t="s">
        <v>4211</v>
      </c>
    </row>
    <row r="5663" spans="1:8" ht="77.25" x14ac:dyDescent="0.25">
      <c r="A5663" s="3" t="s">
        <v>16734</v>
      </c>
      <c r="B5663" s="3"/>
      <c r="C5663" s="3" t="str">
        <f>"Limeberry Lumber is a third generation, family owned, Indiana business. We specialize in building hardware and material, windows and doors, plumbing and electrical, paint, and dimensional lumber and plywood."</f>
        <v>Limeberry Lumber is a third generation, family owned, Indiana business. We specialize in building hardware and material, windows and doors, plumbing and electrical, paint, and dimensional lumber and plywood.</v>
      </c>
      <c r="D5663" s="3" t="s">
        <v>9</v>
      </c>
      <c r="E5663" s="3" t="s">
        <v>16735</v>
      </c>
      <c r="F5663" s="3" t="str">
        <f>"(812) 738-2249"</f>
        <v>(812) 738-2249</v>
      </c>
      <c r="G5663" s="3">
        <v>444190</v>
      </c>
      <c r="H5663" s="3" t="s">
        <v>1188</v>
      </c>
    </row>
    <row r="5664" spans="1:8" ht="51.75" x14ac:dyDescent="0.25">
      <c r="A5664" s="3" t="s">
        <v>16736</v>
      </c>
      <c r="B5664" s="3"/>
      <c r="C5664" s="3" t="str">
        <f>"Professional Engineering, Electrical Engineering, Energy Efficiency Engineering, Energy Conservation, Energy Consulting Services"</f>
        <v>Professional Engineering, Electrical Engineering, Energy Efficiency Engineering, Energy Conservation, Energy Consulting Services</v>
      </c>
      <c r="D5664" s="3" t="s">
        <v>16737</v>
      </c>
      <c r="E5664" s="3" t="s">
        <v>16738</v>
      </c>
      <c r="F5664" s="3" t="str">
        <f>"3176039987"</f>
        <v>3176039987</v>
      </c>
      <c r="G5664" s="3">
        <v>541330</v>
      </c>
      <c r="H5664" s="3" t="s">
        <v>82</v>
      </c>
    </row>
    <row r="5665" spans="1:8" x14ac:dyDescent="0.25">
      <c r="A5665" s="3" t="s">
        <v>16739</v>
      </c>
      <c r="B5665" s="3"/>
      <c r="C5665" s="3" t="str">
        <f>" "</f>
        <v xml:space="preserve"> </v>
      </c>
      <c r="D5665" s="3" t="s">
        <v>9</v>
      </c>
      <c r="E5665" s="3" t="s">
        <v>46</v>
      </c>
      <c r="F5665" s="2"/>
      <c r="G5665" s="3">
        <v>624190</v>
      </c>
      <c r="H5665" s="3" t="s">
        <v>54</v>
      </c>
    </row>
    <row r="5666" spans="1:8" ht="64.5" x14ac:dyDescent="0.25">
      <c r="A5666" s="3" t="s">
        <v>16740</v>
      </c>
      <c r="B5666" s="3"/>
      <c r="C5666" s="3" t="str">
        <f>"Lincoln Consulting Group provides the following services: SAP R/3 Technical Consulting; Real Estate Management and related services. Along with Business and Social Services."</f>
        <v>Lincoln Consulting Group provides the following services: SAP R/3 Technical Consulting; Real Estate Management and related services. Along with Business and Social Services.</v>
      </c>
      <c r="D5666" s="3" t="s">
        <v>9</v>
      </c>
      <c r="E5666" s="3" t="s">
        <v>16741</v>
      </c>
      <c r="F5666" s="3" t="str">
        <f>"317-201-5052"</f>
        <v>317-201-5052</v>
      </c>
      <c r="G5666" s="3">
        <v>541512</v>
      </c>
      <c r="H5666" s="3" t="s">
        <v>19</v>
      </c>
    </row>
    <row r="5667" spans="1:8" ht="51.75" x14ac:dyDescent="0.25">
      <c r="A5667" s="3" t="s">
        <v>16742</v>
      </c>
      <c r="B5667" s="3"/>
      <c r="C5667" s="3" t="str">
        <f>"We produce limestone materials for construction uses in asphalt, concrete, bridges, roads, sub-bases, erosion control. We are an INDOT approved facility."</f>
        <v>We produce limestone materials for construction uses in asphalt, concrete, bridges, roads, sub-bases, erosion control. We are an INDOT approved facility.</v>
      </c>
      <c r="D5667" s="3" t="s">
        <v>9</v>
      </c>
      <c r="E5667" s="3" t="s">
        <v>16743</v>
      </c>
      <c r="F5667" s="3" t="str">
        <f>"812-234-4848"</f>
        <v>812-234-4848</v>
      </c>
      <c r="G5667" s="3">
        <v>212312</v>
      </c>
      <c r="H5667" s="3" t="s">
        <v>3264</v>
      </c>
    </row>
    <row r="5668" spans="1:8" ht="243" x14ac:dyDescent="0.25">
      <c r="A5668" s="3" t="s">
        <v>16744</v>
      </c>
      <c r="B5668" s="3"/>
      <c r="C5668" s="3" t="s">
        <v>16745</v>
      </c>
      <c r="D5668" s="3" t="s">
        <v>2449</v>
      </c>
      <c r="E5668" s="3" t="s">
        <v>16746</v>
      </c>
      <c r="F5668" s="3" t="str">
        <f>"574-535-0780"</f>
        <v>574-535-0780</v>
      </c>
      <c r="G5668" s="3">
        <v>531320</v>
      </c>
      <c r="H5668" s="3" t="s">
        <v>34</v>
      </c>
    </row>
    <row r="5669" spans="1:8" ht="90" x14ac:dyDescent="0.25">
      <c r="A5669" s="3" t="s">
        <v>16747</v>
      </c>
      <c r="B5669" s="3"/>
      <c r="C5669" s="3" t="s">
        <v>16748</v>
      </c>
      <c r="D5669" s="3" t="s">
        <v>9</v>
      </c>
      <c r="E5669" s="3" t="s">
        <v>16749</v>
      </c>
      <c r="F5669" s="3" t="str">
        <f>"574-534-2610"</f>
        <v>574-534-2610</v>
      </c>
      <c r="G5669" s="3">
        <v>561720</v>
      </c>
      <c r="H5669" s="3" t="s">
        <v>222</v>
      </c>
    </row>
    <row r="5670" spans="1:8" ht="26.25" x14ac:dyDescent="0.25">
      <c r="A5670" s="3" t="s">
        <v>16750</v>
      </c>
      <c r="B5670" s="3"/>
      <c r="C5670" s="3" t="str">
        <f>"Womens circuit Training, womens health needs. Tanning and massage"</f>
        <v>Womens circuit Training, womens health needs. Tanning and massage</v>
      </c>
      <c r="D5670" s="3" t="s">
        <v>9</v>
      </c>
      <c r="E5670" s="3" t="s">
        <v>46</v>
      </c>
      <c r="F5670" s="3" t="str">
        <f>"574-243-5626"</f>
        <v>574-243-5626</v>
      </c>
      <c r="G5670" s="3">
        <v>71394</v>
      </c>
      <c r="H5670" s="3" t="s">
        <v>1471</v>
      </c>
    </row>
    <row r="5671" spans="1:8" ht="166.5" x14ac:dyDescent="0.25">
      <c r="A5671" s="3" t="s">
        <v>16751</v>
      </c>
      <c r="B5671" s="3"/>
      <c r="C5671" s="3" t="s">
        <v>16752</v>
      </c>
      <c r="D5671" s="3" t="s">
        <v>16753</v>
      </c>
      <c r="E5671" s="3" t="s">
        <v>16754</v>
      </c>
      <c r="F5671" s="3" t="str">
        <f>"219-795-1448"</f>
        <v>219-795-1448</v>
      </c>
      <c r="G5671" s="3">
        <v>423830</v>
      </c>
      <c r="H5671" s="3" t="s">
        <v>172</v>
      </c>
    </row>
    <row r="5672" spans="1:8" ht="26.25" x14ac:dyDescent="0.25">
      <c r="A5672" s="3" t="s">
        <v>16755</v>
      </c>
      <c r="B5672" s="3"/>
      <c r="C5672" s="2"/>
      <c r="D5672" s="3" t="s">
        <v>9</v>
      </c>
      <c r="E5672" s="3" t="s">
        <v>46</v>
      </c>
      <c r="F5672" s="3" t="str">
        <f>"812-936-9670"</f>
        <v>812-936-9670</v>
      </c>
      <c r="G5672" s="3">
        <v>561990</v>
      </c>
      <c r="H5672" s="3" t="s">
        <v>219</v>
      </c>
    </row>
    <row r="5673" spans="1:8" ht="39" x14ac:dyDescent="0.25">
      <c r="A5673" s="3" t="s">
        <v>16756</v>
      </c>
      <c r="B5673" s="3"/>
      <c r="C5673" s="3" t="str">
        <f>"Mfg. Rep for Jadcore, Inc., manufacturer of high quality recycled low density plastic bags, can liners and recycling bags."</f>
        <v>Mfg. Rep for Jadcore, Inc., manufacturer of high quality recycled low density plastic bags, can liners and recycling bags.</v>
      </c>
      <c r="D5673" s="3" t="s">
        <v>9</v>
      </c>
      <c r="E5673" s="3" t="s">
        <v>16757</v>
      </c>
      <c r="F5673" s="3" t="str">
        <f>"812-240-1818"</f>
        <v>812-240-1818</v>
      </c>
      <c r="G5673" s="3">
        <v>326111</v>
      </c>
      <c r="H5673" s="3" t="s">
        <v>4202</v>
      </c>
    </row>
    <row r="5674" spans="1:8" ht="26.25" x14ac:dyDescent="0.25">
      <c r="A5674" s="3" t="s">
        <v>16758</v>
      </c>
      <c r="B5674" s="3"/>
      <c r="C5674" s="3" t="str">
        <f>"We are distributors of quality solid waste equipment."</f>
        <v>We are distributors of quality solid waste equipment.</v>
      </c>
      <c r="D5674" s="3" t="s">
        <v>16759</v>
      </c>
      <c r="E5674" s="3" t="s">
        <v>16760</v>
      </c>
      <c r="F5674" s="3" t="str">
        <f>"5749466651"</f>
        <v>5749466651</v>
      </c>
      <c r="G5674" s="3">
        <v>562219</v>
      </c>
      <c r="H5674" s="3" t="s">
        <v>13183</v>
      </c>
    </row>
    <row r="5675" spans="1:8" ht="77.25" x14ac:dyDescent="0.25">
      <c r="A5675" s="3" t="s">
        <v>16761</v>
      </c>
      <c r="B5675" s="3"/>
      <c r="C5675" s="3" t="str">
        <f>"Provides professional psychological services and consulting services to the community; 75% psychological and diagnostic evaluations and 25% other psychological services such as therapy and counseling, consulting services, etc.."</f>
        <v>Provides professional psychological services and consulting services to the community; 75% psychological and diagnostic evaluations and 25% other psychological services such as therapy and counseling, consulting services, etc..</v>
      </c>
      <c r="D5675" s="3" t="s">
        <v>9</v>
      </c>
      <c r="E5675" s="3" t="s">
        <v>16762</v>
      </c>
      <c r="F5675" s="3" t="str">
        <f>"219-324-7063"</f>
        <v>219-324-7063</v>
      </c>
      <c r="G5675" s="3">
        <v>621112</v>
      </c>
      <c r="H5675" s="3" t="s">
        <v>1112</v>
      </c>
    </row>
    <row r="5676" spans="1:8" ht="64.5" x14ac:dyDescent="0.25">
      <c r="A5676" s="3" t="s">
        <v>16763</v>
      </c>
      <c r="B5676" s="3"/>
      <c r="C5676" s="3" t="str">
        <f>"Link2 Technologies, Inc. is a local company that provides technology services in two main areas: telecommunications systems and service; and high-speed LAN connectivity, cabling and infrastructure."</f>
        <v>Link2 Technologies, Inc. is a local company that provides technology services in two main areas: telecommunications systems and service; and high-speed LAN connectivity, cabling and infrastructure.</v>
      </c>
      <c r="D5676" s="3" t="s">
        <v>16764</v>
      </c>
      <c r="E5676" s="3" t="s">
        <v>16765</v>
      </c>
      <c r="F5676" s="3" t="str">
        <f>"(317)877-8324"</f>
        <v>(317)877-8324</v>
      </c>
      <c r="G5676" s="3">
        <v>48</v>
      </c>
      <c r="H5676" s="3" t="s">
        <v>104</v>
      </c>
    </row>
    <row r="5677" spans="1:8" ht="192" x14ac:dyDescent="0.25">
      <c r="A5677" s="3" t="s">
        <v>16766</v>
      </c>
      <c r="B5677" s="3"/>
      <c r="C5677" s="3" t="s">
        <v>16767</v>
      </c>
      <c r="D5677" s="3" t="s">
        <v>16768</v>
      </c>
      <c r="E5677" s="3" t="s">
        <v>16769</v>
      </c>
      <c r="F5677" s="3" t="str">
        <f>"3178187655"</f>
        <v>3178187655</v>
      </c>
      <c r="G5677" s="3">
        <v>561720</v>
      </c>
      <c r="H5677" s="3" t="s">
        <v>222</v>
      </c>
    </row>
    <row r="5678" spans="1:8" ht="39" x14ac:dyDescent="0.25">
      <c r="A5678" s="3" t="s">
        <v>16770</v>
      </c>
      <c r="B5678" s="3"/>
      <c r="C5678" s="3" t="str">
        <f>"We are in the fabrication steel business; and have the capabilities to manufacture a variety of steel based parts/products."</f>
        <v>We are in the fabrication steel business; and have the capabilities to manufacture a variety of steel based parts/products.</v>
      </c>
      <c r="D5678" s="3" t="s">
        <v>16771</v>
      </c>
      <c r="E5678" s="3" t="s">
        <v>46</v>
      </c>
      <c r="F5678" s="3" t="str">
        <f>"574-971-4100"</f>
        <v>574-971-4100</v>
      </c>
      <c r="G5678" s="3">
        <v>332111</v>
      </c>
      <c r="H5678" s="3" t="s">
        <v>13155</v>
      </c>
    </row>
    <row r="5679" spans="1:8" ht="115.5" x14ac:dyDescent="0.25">
      <c r="A5679" s="3" t="s">
        <v>16772</v>
      </c>
      <c r="B5679" s="3"/>
      <c r="C5679" s="3" t="s">
        <v>16773</v>
      </c>
      <c r="D5679" s="3" t="s">
        <v>16774</v>
      </c>
      <c r="E5679" s="3" t="s">
        <v>46</v>
      </c>
      <c r="F5679" s="2"/>
      <c r="G5679" s="3">
        <v>512290</v>
      </c>
      <c r="H5679" s="3" t="s">
        <v>16775</v>
      </c>
    </row>
    <row r="5680" spans="1:8" ht="39" x14ac:dyDescent="0.25">
      <c r="A5680" s="3" t="s">
        <v>16776</v>
      </c>
      <c r="B5680" s="3"/>
      <c r="C5680" s="3" t="str">
        <f>"Locate people for debt collection. Collect debts. Process claims. Assets Recovery Service - Collection Agency."</f>
        <v>Locate people for debt collection. Collect debts. Process claims. Assets Recovery Service - Collection Agency.</v>
      </c>
      <c r="D5680" s="3" t="s">
        <v>9</v>
      </c>
      <c r="E5680" s="3" t="s">
        <v>46</v>
      </c>
      <c r="F5680" s="2"/>
      <c r="G5680" s="3">
        <v>561440</v>
      </c>
      <c r="H5680" s="3" t="s">
        <v>473</v>
      </c>
    </row>
    <row r="5681" spans="1:8" ht="166.5" x14ac:dyDescent="0.25">
      <c r="A5681" s="3" t="s">
        <v>16777</v>
      </c>
      <c r="B5681" s="3"/>
      <c r="C5681" s="3" t="s">
        <v>16778</v>
      </c>
      <c r="D5681" s="3" t="s">
        <v>9</v>
      </c>
      <c r="E5681" s="3" t="s">
        <v>16779</v>
      </c>
      <c r="F5681" s="3" t="str">
        <f>"317-255-0537"</f>
        <v>317-255-0537</v>
      </c>
      <c r="G5681" s="3">
        <v>812990</v>
      </c>
      <c r="H5681" s="3" t="s">
        <v>294</v>
      </c>
    </row>
    <row r="5682" spans="1:8" ht="39" x14ac:dyDescent="0.25">
      <c r="A5682" s="3" t="s">
        <v>16780</v>
      </c>
      <c r="B5682" s="3"/>
      <c r="C5682" s="3" t="str">
        <f>"Small Indiana business that sells photographic services to businesses and individuals."</f>
        <v>Small Indiana business that sells photographic services to businesses and individuals.</v>
      </c>
      <c r="D5682" s="3" t="s">
        <v>16781</v>
      </c>
      <c r="E5682" s="3" t="s">
        <v>16782</v>
      </c>
      <c r="F5682" s="3" t="str">
        <f>"317-847-2363"</f>
        <v>317-847-2363</v>
      </c>
      <c r="G5682" s="3">
        <v>541922</v>
      </c>
      <c r="H5682" s="3" t="s">
        <v>1545</v>
      </c>
    </row>
    <row r="5683" spans="1:8" ht="26.25" x14ac:dyDescent="0.25">
      <c r="A5683" s="3" t="s">
        <v>16783</v>
      </c>
      <c r="B5683" s="3"/>
      <c r="C5683" s="3" t="str">
        <f>" "</f>
        <v xml:space="preserve"> </v>
      </c>
      <c r="D5683" s="3" t="s">
        <v>9</v>
      </c>
      <c r="E5683" s="3" t="s">
        <v>16784</v>
      </c>
      <c r="F5683" s="3" t="str">
        <f>"317-485-6848"</f>
        <v>317-485-6848</v>
      </c>
      <c r="G5683" s="3">
        <v>235</v>
      </c>
      <c r="H5683" s="3" t="s">
        <v>259</v>
      </c>
    </row>
    <row r="5684" spans="1:8" ht="26.25" x14ac:dyDescent="0.25">
      <c r="A5684" s="3" t="s">
        <v>16785</v>
      </c>
      <c r="B5684" s="3"/>
      <c r="C5684" s="3" t="str">
        <f>" "</f>
        <v xml:space="preserve"> </v>
      </c>
      <c r="D5684" s="3" t="s">
        <v>9</v>
      </c>
      <c r="E5684" s="3" t="s">
        <v>16786</v>
      </c>
      <c r="F5684" s="3" t="str">
        <f>"8123468500"</f>
        <v>8123468500</v>
      </c>
      <c r="G5684" s="3">
        <v>621320</v>
      </c>
      <c r="H5684" s="3" t="s">
        <v>9878</v>
      </c>
    </row>
    <row r="5685" spans="1:8" ht="26.25" x14ac:dyDescent="0.25">
      <c r="A5685" s="3" t="s">
        <v>16787</v>
      </c>
      <c r="B5685" s="3"/>
      <c r="C5685" s="3" t="str">
        <f>"autobody repair and refinish"</f>
        <v>autobody repair and refinish</v>
      </c>
      <c r="D5685" s="3" t="s">
        <v>16788</v>
      </c>
      <c r="E5685" s="3" t="s">
        <v>46</v>
      </c>
      <c r="F5685" s="3" t="str">
        <f>"219-663-0989"</f>
        <v>219-663-0989</v>
      </c>
      <c r="G5685" s="3">
        <v>811121</v>
      </c>
      <c r="H5685" s="3" t="s">
        <v>1432</v>
      </c>
    </row>
    <row r="5686" spans="1:8" ht="115.5" x14ac:dyDescent="0.25">
      <c r="A5686" s="3" t="s">
        <v>16789</v>
      </c>
      <c r="B5686" s="3"/>
      <c r="C5686" s="3" t="s">
        <v>16790</v>
      </c>
      <c r="D5686" s="3" t="s">
        <v>16791</v>
      </c>
      <c r="E5686" s="3" t="s">
        <v>16792</v>
      </c>
      <c r="F5686" s="3" t="str">
        <f>"317-353-2920"</f>
        <v>317-353-2920</v>
      </c>
      <c r="G5686" s="3">
        <v>4246</v>
      </c>
      <c r="H5686" s="3" t="s">
        <v>3234</v>
      </c>
    </row>
    <row r="5687" spans="1:8" ht="26.25" x14ac:dyDescent="0.25">
      <c r="A5687" s="3" t="s">
        <v>16793</v>
      </c>
      <c r="B5687" s="3"/>
      <c r="C5687" s="3" t="str">
        <f>"Helping people make the most of life and least of cancer."</f>
        <v>Helping people make the most of life and least of cancer.</v>
      </c>
      <c r="D5687" s="3" t="s">
        <v>16794</v>
      </c>
      <c r="E5687" s="3" t="s">
        <v>46</v>
      </c>
      <c r="F5687" s="3" t="str">
        <f>"3179255595"</f>
        <v>3179255595</v>
      </c>
      <c r="G5687" s="3">
        <v>813212</v>
      </c>
      <c r="H5687" s="3" t="s">
        <v>12986</v>
      </c>
    </row>
    <row r="5688" spans="1:8" ht="128.25" x14ac:dyDescent="0.25">
      <c r="A5688" s="3" t="s">
        <v>16795</v>
      </c>
      <c r="B5688" s="3"/>
      <c r="C5688" s="3" t="s">
        <v>16796</v>
      </c>
      <c r="D5688" s="3" t="s">
        <v>16797</v>
      </c>
      <c r="E5688" s="3" t="s">
        <v>16798</v>
      </c>
      <c r="F5688" s="3" t="str">
        <f>"317-702-7291"</f>
        <v>317-702-7291</v>
      </c>
      <c r="G5688" s="3">
        <v>541690</v>
      </c>
      <c r="H5688" s="3" t="s">
        <v>652</v>
      </c>
    </row>
    <row r="5689" spans="1:8" ht="51.75" x14ac:dyDescent="0.25">
      <c r="A5689" s="3" t="s">
        <v>16799</v>
      </c>
      <c r="B5689" s="3"/>
      <c r="C5689" s="3" t="str">
        <f>"We provide residential, commercial building and vehicle window washing servies. 100% satisfaction guaranteed policy and a best price guarantee policy."</f>
        <v>We provide residential, commercial building and vehicle window washing servies. 100% satisfaction guaranteed policy and a best price guarantee policy.</v>
      </c>
      <c r="D5689" s="3" t="s">
        <v>16800</v>
      </c>
      <c r="E5689" s="3" t="s">
        <v>16801</v>
      </c>
      <c r="F5689" s="3" t="str">
        <f>"317-756-7775"</f>
        <v>317-756-7775</v>
      </c>
      <c r="G5689" s="3">
        <v>235</v>
      </c>
      <c r="H5689" s="3" t="s">
        <v>259</v>
      </c>
    </row>
    <row r="5690" spans="1:8" ht="64.5" x14ac:dyDescent="0.25">
      <c r="A5690" s="3" t="s">
        <v>16802</v>
      </c>
      <c r="B5690" s="3"/>
      <c r="C5690" s="3" t="str">
        <f>"Little by Little provides janitorial services to local businesses in the Indianapolis and surrounding areas. We provide top notch, quality and dependable services. ""Free Estimates"""</f>
        <v>Little by Little provides janitorial services to local businesses in the Indianapolis and surrounding areas. We provide top notch, quality and dependable services. "Free Estimates"</v>
      </c>
      <c r="D5690" s="3" t="s">
        <v>9</v>
      </c>
      <c r="E5690" s="3" t="s">
        <v>16803</v>
      </c>
      <c r="F5690" s="3" t="str">
        <f>"317-937-9008"</f>
        <v>317-937-9008</v>
      </c>
      <c r="G5690" s="3">
        <v>561720</v>
      </c>
      <c r="H5690" s="3" t="s">
        <v>222</v>
      </c>
    </row>
    <row r="5691" spans="1:8" ht="39" x14ac:dyDescent="0.25">
      <c r="A5691" s="3" t="s">
        <v>16804</v>
      </c>
      <c r="B5691" s="3"/>
      <c r="C5691" s="3" t="str">
        <f>"LMV Consulting provides association management, procurement services and government affairs consulting."</f>
        <v>LMV Consulting provides association management, procurement services and government affairs consulting.</v>
      </c>
      <c r="D5691" s="3" t="s">
        <v>16805</v>
      </c>
      <c r="E5691" s="3" t="s">
        <v>16806</v>
      </c>
      <c r="F5691" s="3" t="str">
        <f>"(317) 673-4200"</f>
        <v>(317) 673-4200</v>
      </c>
      <c r="G5691" s="3">
        <v>541820</v>
      </c>
      <c r="H5691" s="3" t="s">
        <v>795</v>
      </c>
    </row>
    <row r="5692" spans="1:8" ht="128.25" x14ac:dyDescent="0.25">
      <c r="A5692" s="3" t="s">
        <v>16807</v>
      </c>
      <c r="B5692" s="3"/>
      <c r="C5692" s="3" t="s">
        <v>16808</v>
      </c>
      <c r="D5692" s="3" t="s">
        <v>16809</v>
      </c>
      <c r="E5692" s="3" t="s">
        <v>16810</v>
      </c>
      <c r="F5692" s="3" t="str">
        <f>"260-490-1180"</f>
        <v>260-490-1180</v>
      </c>
      <c r="G5692" s="3">
        <v>621511</v>
      </c>
      <c r="H5692" s="3" t="s">
        <v>1240</v>
      </c>
    </row>
    <row r="5693" spans="1:8" ht="64.5" x14ac:dyDescent="0.25">
      <c r="A5693" s="3" t="s">
        <v>16811</v>
      </c>
      <c r="B5693" s="3"/>
      <c r="C5693" s="3" t="str">
        <f>"Long term care consultants specializing in social service/activity consulting and interim positions, Interim Director of Nursing, Interim Administrators, MDS Coordinators and Dieticians."</f>
        <v>Long term care consultants specializing in social service/activity consulting and interim positions, Interim Director of Nursing, Interim Administrators, MDS Coordinators and Dieticians.</v>
      </c>
      <c r="D5693" s="3" t="s">
        <v>16812</v>
      </c>
      <c r="E5693" s="3" t="s">
        <v>16813</v>
      </c>
      <c r="F5693" s="3" t="str">
        <f>"574 269-2606"</f>
        <v>574 269-2606</v>
      </c>
      <c r="G5693" s="3">
        <v>812990</v>
      </c>
      <c r="H5693" s="3" t="s">
        <v>294</v>
      </c>
    </row>
    <row r="5694" spans="1:8" ht="64.5" x14ac:dyDescent="0.25">
      <c r="A5694" s="3" t="s">
        <v>16814</v>
      </c>
      <c r="B5694" s="3"/>
      <c r="C5694" s="3" t="str">
        <f>"interior design services - with focus on urban development. Experience in Health Care, Hospitality, Retirement Living, Restaurants, Retail, Residential and Multifamily."</f>
        <v>interior design services - with focus on urban development. Experience in Health Care, Hospitality, Retirement Living, Restaurants, Retail, Residential and Multifamily.</v>
      </c>
      <c r="D5694" s="3" t="s">
        <v>16815</v>
      </c>
      <c r="E5694" s="3" t="s">
        <v>16816</v>
      </c>
      <c r="F5694" s="3" t="str">
        <f>"317-417-6689"</f>
        <v>317-417-6689</v>
      </c>
      <c r="G5694" s="3">
        <v>54141</v>
      </c>
      <c r="H5694" s="3" t="s">
        <v>687</v>
      </c>
    </row>
    <row r="5695" spans="1:8" ht="141" x14ac:dyDescent="0.25">
      <c r="A5695" s="3" t="s">
        <v>16817</v>
      </c>
      <c r="B5695" s="3"/>
      <c r="C5695" s="3" t="s">
        <v>16818</v>
      </c>
      <c r="D5695" s="3" t="s">
        <v>9</v>
      </c>
      <c r="E5695" s="3" t="s">
        <v>16819</v>
      </c>
      <c r="F5695" s="3" t="str">
        <f>"317-407-1173"</f>
        <v>317-407-1173</v>
      </c>
      <c r="G5695" s="3">
        <v>611430</v>
      </c>
      <c r="H5695" s="3" t="s">
        <v>1224</v>
      </c>
    </row>
    <row r="5696" spans="1:8" ht="77.25" x14ac:dyDescent="0.25">
      <c r="A5696" s="3" t="s">
        <v>16820</v>
      </c>
      <c r="B5696" s="3"/>
      <c r="C5696" s="3" t="str">
        <f>"Have 18 years experience in the Advertising/Media business. Purchase media placement for comapanies. Supply Advertising/Marketing strategies for companies. Direct production of commercials. Plan marketing events."</f>
        <v>Have 18 years experience in the Advertising/Media business. Purchase media placement for comapanies. Supply Advertising/Marketing strategies for companies. Direct production of commercials. Plan marketing events.</v>
      </c>
      <c r="D5696" s="3" t="s">
        <v>9</v>
      </c>
      <c r="E5696" s="3" t="s">
        <v>16821</v>
      </c>
      <c r="F5696" s="3" t="str">
        <f>"317-697-8503"</f>
        <v>317-697-8503</v>
      </c>
      <c r="G5696" s="3">
        <v>541810</v>
      </c>
      <c r="H5696" s="3" t="s">
        <v>976</v>
      </c>
    </row>
    <row r="5697" spans="1:8" ht="141" x14ac:dyDescent="0.25">
      <c r="A5697" s="3" t="s">
        <v>16822</v>
      </c>
      <c r="B5697" s="3"/>
      <c r="C5697" s="3" t="s">
        <v>16823</v>
      </c>
      <c r="D5697" s="3" t="s">
        <v>16824</v>
      </c>
      <c r="E5697" s="3" t="s">
        <v>16825</v>
      </c>
      <c r="F5697" s="3" t="str">
        <f>"317-773-0753"</f>
        <v>317-773-0753</v>
      </c>
      <c r="G5697" s="3">
        <v>541611</v>
      </c>
      <c r="H5697" s="3" t="s">
        <v>278</v>
      </c>
    </row>
    <row r="5698" spans="1:8" ht="39" x14ac:dyDescent="0.25">
      <c r="A5698" s="3" t="s">
        <v>16826</v>
      </c>
      <c r="B5698" s="3"/>
      <c r="C5698" s="3" t="str">
        <f>"Laminating Equipment and supplies, Identification Equipment and supplies, Book binding equipment and supplies."</f>
        <v>Laminating Equipment and supplies, Identification Equipment and supplies, Book binding equipment and supplies.</v>
      </c>
      <c r="D5698" s="3" t="s">
        <v>16827</v>
      </c>
      <c r="E5698" s="3" t="s">
        <v>16828</v>
      </c>
      <c r="F5698" s="3" t="str">
        <f>"317-251-5430"</f>
        <v>317-251-5430</v>
      </c>
      <c r="G5698" s="3">
        <v>424120</v>
      </c>
      <c r="H5698" s="3" t="s">
        <v>411</v>
      </c>
    </row>
    <row r="5699" spans="1:8" ht="26.25" x14ac:dyDescent="0.25">
      <c r="A5699" s="3" t="s">
        <v>16829</v>
      </c>
      <c r="B5699" s="3"/>
      <c r="C5699" s="3" t="str">
        <f>"Lochmandy Motors ""A tradition of Caring"""</f>
        <v>Lochmandy Motors "A tradition of Caring"</v>
      </c>
      <c r="D5699" s="3" t="s">
        <v>9</v>
      </c>
      <c r="E5699" s="3" t="s">
        <v>16830</v>
      </c>
      <c r="F5699" s="3" t="str">
        <f>"5742641174"</f>
        <v>5742641174</v>
      </c>
      <c r="G5699" s="3">
        <v>42311</v>
      </c>
      <c r="H5699" s="3" t="s">
        <v>3324</v>
      </c>
    </row>
    <row r="5700" spans="1:8" ht="281.25" x14ac:dyDescent="0.25">
      <c r="A5700" s="3" t="s">
        <v>16831</v>
      </c>
      <c r="B5700" s="3"/>
      <c r="C5700" s="3" t="s">
        <v>16832</v>
      </c>
      <c r="D5700" s="3" t="s">
        <v>16833</v>
      </c>
      <c r="E5700" s="3" t="s">
        <v>16834</v>
      </c>
      <c r="F5700" s="3" t="str">
        <f>"8124796200"</f>
        <v>8124796200</v>
      </c>
      <c r="G5700" s="3">
        <v>541330</v>
      </c>
      <c r="H5700" s="3" t="s">
        <v>82</v>
      </c>
    </row>
    <row r="5701" spans="1:8" ht="64.5" x14ac:dyDescent="0.25">
      <c r="A5701" s="3" t="s">
        <v>16835</v>
      </c>
      <c r="B5701" s="3"/>
      <c r="C5701" s="3" t="str">
        <f>"We supply bagged ice melt products for winter services. We also supply Bulk treated and un-treated rock salt for winter roadway and parking lot maintenance. We have liquid anti-icing products also."</f>
        <v>We supply bagged ice melt products for winter services. We also supply Bulk treated and un-treated rock salt for winter roadway and parking lot maintenance. We have liquid anti-icing products also.</v>
      </c>
      <c r="D5701" s="3" t="s">
        <v>16836</v>
      </c>
      <c r="E5701" s="3" t="s">
        <v>16837</v>
      </c>
      <c r="F5701" s="3" t="str">
        <f>"317-422-9824"</f>
        <v>317-422-9824</v>
      </c>
      <c r="G5701" s="3">
        <v>424690</v>
      </c>
      <c r="H5701" s="3" t="s">
        <v>2494</v>
      </c>
    </row>
    <row r="5702" spans="1:8" ht="39" x14ac:dyDescent="0.25">
      <c r="A5702" s="3" t="s">
        <v>16838</v>
      </c>
      <c r="B5702" s="3"/>
      <c r="C5702" s="3" t="str">
        <f>"We offer Tri axle dump truck services including two with conveyors. We also have a single axle dump truck."</f>
        <v>We offer Tri axle dump truck services including two with conveyors. We also have a single axle dump truck.</v>
      </c>
      <c r="D5702" s="3" t="s">
        <v>16836</v>
      </c>
      <c r="E5702" s="3" t="s">
        <v>16837</v>
      </c>
      <c r="F5702" s="3" t="str">
        <f>"317-422-9824"</f>
        <v>317-422-9824</v>
      </c>
      <c r="G5702" s="3">
        <v>484220</v>
      </c>
      <c r="H5702" s="3" t="s">
        <v>11</v>
      </c>
    </row>
    <row r="5703" spans="1:8" ht="64.5" x14ac:dyDescent="0.25">
      <c r="A5703" s="3" t="s">
        <v>16839</v>
      </c>
      <c r="B5703" s="3"/>
      <c r="C5703" s="3" t="str">
        <f>"Lockhart Custom Solutions LLC provides lawn care, fertilization treatments, landscaping services, home maintenance services, and snow removal for Central Indiana."</f>
        <v>Lockhart Custom Solutions LLC provides lawn care, fertilization treatments, landscaping services, home maintenance services, and snow removal for Central Indiana.</v>
      </c>
      <c r="D5703" s="3" t="s">
        <v>16840</v>
      </c>
      <c r="E5703" s="3" t="s">
        <v>16841</v>
      </c>
      <c r="F5703" s="3" t="str">
        <f>"3174965085"</f>
        <v>3174965085</v>
      </c>
      <c r="G5703" s="3">
        <v>561730</v>
      </c>
      <c r="H5703" s="3" t="s">
        <v>65</v>
      </c>
    </row>
    <row r="5704" spans="1:8" ht="26.25" x14ac:dyDescent="0.25">
      <c r="A5704" s="3" t="s">
        <v>16842</v>
      </c>
      <c r="B5704" s="3"/>
      <c r="C5704" s="3" t="str">
        <f>"I offer Photo Booths for Corporate Events, Weddings, Parties, Etc."</f>
        <v>I offer Photo Booths for Corporate Events, Weddings, Parties, Etc.</v>
      </c>
      <c r="D5704" s="3" t="s">
        <v>16843</v>
      </c>
      <c r="E5704" s="3" t="s">
        <v>16844</v>
      </c>
      <c r="F5704" s="3" t="str">
        <f>"317-222-1836"</f>
        <v>317-222-1836</v>
      </c>
      <c r="G5704" s="3">
        <v>54192</v>
      </c>
      <c r="H5704" s="3" t="s">
        <v>2613</v>
      </c>
    </row>
    <row r="5705" spans="1:8" ht="255.75" x14ac:dyDescent="0.25">
      <c r="A5705" s="3" t="s">
        <v>16845</v>
      </c>
      <c r="B5705" s="3"/>
      <c r="C5705" s="3" t="s">
        <v>16846</v>
      </c>
      <c r="D5705" s="3" t="s">
        <v>16847</v>
      </c>
      <c r="E5705" s="3" t="s">
        <v>16848</v>
      </c>
      <c r="F5705" s="3" t="str">
        <f>"574.289.8068"</f>
        <v>574.289.8068</v>
      </c>
      <c r="G5705" s="3">
        <v>238290</v>
      </c>
      <c r="H5705" s="3" t="s">
        <v>237</v>
      </c>
    </row>
    <row r="5706" spans="1:8" x14ac:dyDescent="0.25">
      <c r="A5706" s="3" t="s">
        <v>16849</v>
      </c>
      <c r="B5706" s="3"/>
      <c r="C5706" s="2"/>
      <c r="D5706" s="3" t="s">
        <v>9</v>
      </c>
      <c r="E5706" s="3" t="s">
        <v>46</v>
      </c>
      <c r="F5706" s="2"/>
      <c r="G5706" s="3">
        <v>8111</v>
      </c>
      <c r="H5706" s="3" t="s">
        <v>3587</v>
      </c>
    </row>
    <row r="5707" spans="1:8" ht="77.25" x14ac:dyDescent="0.25">
      <c r="A5707" s="3" t="s">
        <v>16850</v>
      </c>
      <c r="B5707" s="3"/>
      <c r="C5707" s="3" t="str">
        <f>"Full service advertising and design agency that specializes in comprehensive marketing and branding campaigns that include; broadcast, outdoor, print, web site and interactive, writing and media placement."</f>
        <v>Full service advertising and design agency that specializes in comprehensive marketing and branding campaigns that include; broadcast, outdoor, print, web site and interactive, writing and media placement.</v>
      </c>
      <c r="D5707" s="3" t="s">
        <v>16851</v>
      </c>
      <c r="E5707" s="3" t="s">
        <v>16852</v>
      </c>
      <c r="F5707" s="3" t="str">
        <f>"317.375.4399"</f>
        <v>317.375.4399</v>
      </c>
      <c r="G5707" s="3">
        <v>541340</v>
      </c>
      <c r="H5707" s="3" t="s">
        <v>4040</v>
      </c>
    </row>
    <row r="5708" spans="1:8" ht="115.5" x14ac:dyDescent="0.25">
      <c r="A5708" s="3" t="s">
        <v>16853</v>
      </c>
      <c r="B5708" s="3"/>
      <c r="C5708" s="3" t="s">
        <v>16854</v>
      </c>
      <c r="D5708" s="3" t="s">
        <v>16855</v>
      </c>
      <c r="E5708" s="3" t="s">
        <v>16856</v>
      </c>
      <c r="F5708" s="3" t="str">
        <f>"317-352-5822"</f>
        <v>317-352-5822</v>
      </c>
      <c r="G5708" s="3">
        <v>541330</v>
      </c>
      <c r="H5708" s="3" t="s">
        <v>82</v>
      </c>
    </row>
    <row r="5709" spans="1:8" ht="115.5" x14ac:dyDescent="0.25">
      <c r="A5709" s="3" t="s">
        <v>16857</v>
      </c>
      <c r="B5709" s="3"/>
      <c r="C5709" s="3" t="s">
        <v>16858</v>
      </c>
      <c r="D5709" s="3" t="s">
        <v>9</v>
      </c>
      <c r="E5709" s="3" t="s">
        <v>16859</v>
      </c>
      <c r="F5709" s="3" t="str">
        <f>"765-675-7021"</f>
        <v>765-675-7021</v>
      </c>
      <c r="G5709" s="3">
        <v>541211</v>
      </c>
      <c r="H5709" s="3" t="s">
        <v>337</v>
      </c>
    </row>
    <row r="5710" spans="1:8" ht="39" x14ac:dyDescent="0.25">
      <c r="A5710" s="3" t="s">
        <v>16860</v>
      </c>
      <c r="B5710" s="3"/>
      <c r="C5710" s="3" t="str">
        <f>"Architecture: a full scope architectural firm, specialing in renovation and adaptive reuse projects."</f>
        <v>Architecture: a full scope architectural firm, specialing in renovation and adaptive reuse projects.</v>
      </c>
      <c r="D5710" s="3" t="s">
        <v>9</v>
      </c>
      <c r="E5710" s="3" t="s">
        <v>16861</v>
      </c>
      <c r="F5710" s="3" t="str">
        <f>"317/927-0073"</f>
        <v>317/927-0073</v>
      </c>
      <c r="G5710" s="3">
        <v>54131</v>
      </c>
      <c r="H5710" s="3" t="s">
        <v>446</v>
      </c>
    </row>
    <row r="5711" spans="1:8" ht="51.75" x14ac:dyDescent="0.25">
      <c r="A5711" s="3" t="s">
        <v>16862</v>
      </c>
      <c r="B5711" s="3"/>
      <c r="C5711" s="3" t="str">
        <f>"Provide services to children and adults with disabilties through residential, employment, therapy and habilitation programs."</f>
        <v>Provide services to children and adults with disabilties through residential, employment, therapy and habilitation programs.</v>
      </c>
      <c r="D5711" s="3" t="s">
        <v>16863</v>
      </c>
      <c r="E5711" s="3" t="s">
        <v>16864</v>
      </c>
      <c r="F5711" s="3" t="str">
        <f>"574-289-4831"</f>
        <v>574-289-4831</v>
      </c>
      <c r="G5711" s="3">
        <v>561310</v>
      </c>
      <c r="H5711" s="3" t="s">
        <v>1720</v>
      </c>
    </row>
    <row r="5712" spans="1:8" ht="64.5" x14ac:dyDescent="0.25">
      <c r="A5712" s="3" t="s">
        <v>16865</v>
      </c>
      <c r="B5712" s="3"/>
      <c r="C5712" s="3" t="str">
        <f>"Providing full line of signage solutions including, real estate; job site; sandblasted stone, mirror, wood; and normal ""next day"" type signage. Located in Noblesville since 1992."</f>
        <v>Providing full line of signage solutions including, real estate; job site; sandblasted stone, mirror, wood; and normal "next day" type signage. Located in Noblesville since 1992.</v>
      </c>
      <c r="D5712" s="3" t="s">
        <v>16866</v>
      </c>
      <c r="E5712" s="3" t="s">
        <v>16867</v>
      </c>
      <c r="F5712" s="3" t="str">
        <f>"317-773-7200"</f>
        <v>317-773-7200</v>
      </c>
      <c r="G5712" s="3">
        <v>235</v>
      </c>
      <c r="H5712" s="3" t="s">
        <v>259</v>
      </c>
    </row>
    <row r="5713" spans="1:8" ht="26.25" x14ac:dyDescent="0.25">
      <c r="A5713" s="3" t="s">
        <v>16868</v>
      </c>
      <c r="B5713" s="3"/>
      <c r="C5713" s="3" t="str">
        <f>" "</f>
        <v xml:space="preserve"> </v>
      </c>
      <c r="D5713" s="3" t="s">
        <v>16869</v>
      </c>
      <c r="E5713" s="3" t="s">
        <v>16870</v>
      </c>
      <c r="F5713" s="3" t="str">
        <f>"317-773-7391"</f>
        <v>317-773-7391</v>
      </c>
      <c r="G5713" s="3">
        <v>453998</v>
      </c>
      <c r="H5713" s="3" t="s">
        <v>112</v>
      </c>
    </row>
    <row r="5714" spans="1:8" ht="39" x14ac:dyDescent="0.25">
      <c r="A5714" s="3" t="s">
        <v>16871</v>
      </c>
      <c r="B5714" s="3"/>
      <c r="C5714" s="3" t="str">
        <f>"Provider of Internet Services, Web Site Hosting, Networking, System Administration, Computer Sales and Services"</f>
        <v>Provider of Internet Services, Web Site Hosting, Networking, System Administration, Computer Sales and Services</v>
      </c>
      <c r="D5714" s="3" t="s">
        <v>16872</v>
      </c>
      <c r="E5714" s="3" t="s">
        <v>16873</v>
      </c>
      <c r="F5714" s="3" t="str">
        <f>"574-722-6018"</f>
        <v>574-722-6018</v>
      </c>
      <c r="G5714" s="3">
        <v>518111</v>
      </c>
      <c r="H5714" s="3" t="s">
        <v>2656</v>
      </c>
    </row>
    <row r="5715" spans="1:8" ht="39" x14ac:dyDescent="0.25">
      <c r="A5715" s="3" t="s">
        <v>16874</v>
      </c>
      <c r="B5715" s="3"/>
      <c r="C5715" s="3" t="str">
        <f>"Retail Hardare, Lumber &amp; Building Materials plus Wholesale Janitorial, Maintenance and Office Supplies"</f>
        <v>Retail Hardare, Lumber &amp; Building Materials plus Wholesale Janitorial, Maintenance and Office Supplies</v>
      </c>
      <c r="D5715" s="3" t="s">
        <v>16875</v>
      </c>
      <c r="E5715" s="3" t="s">
        <v>16876</v>
      </c>
      <c r="F5715" s="3" t="str">
        <f>"574-722-5200"</f>
        <v>574-722-5200</v>
      </c>
      <c r="G5715" s="3">
        <v>444190</v>
      </c>
      <c r="H5715" s="3" t="s">
        <v>1188</v>
      </c>
    </row>
    <row r="5716" spans="1:8" ht="306.75" x14ac:dyDescent="0.25">
      <c r="A5716" s="3" t="s">
        <v>16877</v>
      </c>
      <c r="B5716" s="3"/>
      <c r="C5716" s="3" t="s">
        <v>16878</v>
      </c>
      <c r="D5716" s="3" t="s">
        <v>16879</v>
      </c>
      <c r="E5716" s="3" t="s">
        <v>16880</v>
      </c>
      <c r="F5716" s="3" t="str">
        <f>"317-704-7215"</f>
        <v>317-704-7215</v>
      </c>
      <c r="G5716" s="3">
        <v>541519</v>
      </c>
      <c r="H5716" s="3" t="s">
        <v>898</v>
      </c>
    </row>
    <row r="5717" spans="1:8" ht="319.5" x14ac:dyDescent="0.25">
      <c r="A5717" s="3" t="s">
        <v>16881</v>
      </c>
      <c r="B5717" s="3"/>
      <c r="C5717" s="3" t="s">
        <v>16882</v>
      </c>
      <c r="D5717" s="3" t="s">
        <v>16883</v>
      </c>
      <c r="E5717" s="3" t="s">
        <v>16884</v>
      </c>
      <c r="F5717" s="3" t="str">
        <f>"317-465-9120 X222"</f>
        <v>317-465-9120 X222</v>
      </c>
      <c r="G5717" s="3">
        <v>23599</v>
      </c>
      <c r="H5717" s="3" t="s">
        <v>248</v>
      </c>
    </row>
    <row r="5718" spans="1:8" ht="268.5" x14ac:dyDescent="0.25">
      <c r="A5718" s="3" t="s">
        <v>16885</v>
      </c>
      <c r="B5718" s="3"/>
      <c r="C5718" s="3" t="s">
        <v>16886</v>
      </c>
      <c r="D5718" s="3" t="s">
        <v>16887</v>
      </c>
      <c r="E5718" s="3" t="s">
        <v>46</v>
      </c>
      <c r="F5718" s="3" t="str">
        <f>"260-483-3638"</f>
        <v>260-483-3638</v>
      </c>
      <c r="G5718" s="3">
        <v>541511</v>
      </c>
      <c r="H5718" s="3" t="s">
        <v>122</v>
      </c>
    </row>
    <row r="5719" spans="1:8" ht="77.25" x14ac:dyDescent="0.25">
      <c r="A5719" s="3" t="s">
        <v>16888</v>
      </c>
      <c r="B5719" s="3"/>
      <c r="C5719" s="3" t="str">
        <f>"Logistics Safety &amp; Security Copr. provides supply chain solutions and complete global and domestic transportation services. We also complete Commercial and Residential Security Solutions, OSHA/ANSI Compliant Training and Quick Lifts sales and services."</f>
        <v>Logistics Safety &amp; Security Copr. provides supply chain solutions and complete global and domestic transportation services. We also complete Commercial and Residential Security Solutions, OSHA/ANSI Compliant Training and Quick Lifts sales and services.</v>
      </c>
      <c r="D5719" s="3" t="s">
        <v>16889</v>
      </c>
      <c r="E5719" s="3" t="s">
        <v>16890</v>
      </c>
      <c r="F5719" s="3" t="str">
        <f>"317-723-6925"</f>
        <v>317-723-6925</v>
      </c>
      <c r="G5719" s="3">
        <v>561621</v>
      </c>
      <c r="H5719" s="3" t="s">
        <v>827</v>
      </c>
    </row>
    <row r="5720" spans="1:8" ht="90" x14ac:dyDescent="0.25">
      <c r="A5720" s="3" t="s">
        <v>16891</v>
      </c>
      <c r="B5720" s="3"/>
      <c r="C5720" s="3" t="s">
        <v>16892</v>
      </c>
      <c r="D5720" s="3" t="s">
        <v>16893</v>
      </c>
      <c r="E5720" s="3" t="s">
        <v>16894</v>
      </c>
      <c r="F5720" s="3" t="str">
        <f>"812-345-0466"</f>
        <v>812-345-0466</v>
      </c>
      <c r="G5720" s="3">
        <v>424310</v>
      </c>
      <c r="H5720" s="3" t="s">
        <v>15600</v>
      </c>
    </row>
    <row r="5721" spans="1:8" ht="51.75" x14ac:dyDescent="0.25">
      <c r="A5721" s="3" t="s">
        <v>16895</v>
      </c>
      <c r="B5721" s="3"/>
      <c r="C5721" s="3" t="str">
        <f>"I'm in custom embroidery. I can take any company logo and embroider it on employee shirts, jackets, uniforms, bags, or various promotional items."</f>
        <v>I'm in custom embroidery. I can take any company logo and embroider it on employee shirts, jackets, uniforms, bags, or various promotional items.</v>
      </c>
      <c r="D5721" s="3" t="s">
        <v>16896</v>
      </c>
      <c r="E5721" s="3" t="s">
        <v>16897</v>
      </c>
      <c r="F5721" s="3" t="str">
        <f>"8123455752"</f>
        <v>8123455752</v>
      </c>
      <c r="G5721" s="3">
        <v>424310</v>
      </c>
      <c r="H5721" s="3" t="s">
        <v>15600</v>
      </c>
    </row>
    <row r="5722" spans="1:8" ht="26.25" x14ac:dyDescent="0.25">
      <c r="A5722" s="3" t="s">
        <v>16898</v>
      </c>
      <c r="B5722" s="3"/>
      <c r="C5722" s="3" t="str">
        <f>"the public comes to wash their laundry"</f>
        <v>the public comes to wash their laundry</v>
      </c>
      <c r="D5722" s="3" t="s">
        <v>9</v>
      </c>
      <c r="E5722" s="3" t="s">
        <v>16899</v>
      </c>
      <c r="F5722" s="3" t="str">
        <f>"7659981260"</f>
        <v>7659981260</v>
      </c>
      <c r="G5722" s="3">
        <v>812310</v>
      </c>
      <c r="H5722" s="3" t="s">
        <v>8014</v>
      </c>
    </row>
    <row r="5723" spans="1:8" ht="153.75" x14ac:dyDescent="0.25">
      <c r="A5723" s="3" t="s">
        <v>16900</v>
      </c>
      <c r="B5723" s="3"/>
      <c r="C5723" s="3" t="s">
        <v>16901</v>
      </c>
      <c r="D5723" s="3" t="s">
        <v>16902</v>
      </c>
      <c r="E5723" s="3" t="s">
        <v>16903</v>
      </c>
      <c r="F5723" s="3" t="str">
        <f>"317 579-6565"</f>
        <v>317 579-6565</v>
      </c>
      <c r="G5723" s="3">
        <v>323</v>
      </c>
      <c r="H5723" s="3" t="s">
        <v>302</v>
      </c>
    </row>
    <row r="5724" spans="1:8" x14ac:dyDescent="0.25">
      <c r="A5724" s="3" t="s">
        <v>16904</v>
      </c>
      <c r="B5724" s="3"/>
      <c r="C5724" s="3" t="str">
        <f>" "</f>
        <v xml:space="preserve"> </v>
      </c>
      <c r="D5724" s="3" t="s">
        <v>9</v>
      </c>
      <c r="E5724" s="3" t="s">
        <v>46</v>
      </c>
      <c r="F5724" s="2"/>
      <c r="G5724" s="3">
        <v>541512</v>
      </c>
      <c r="H5724" s="3" t="s">
        <v>19</v>
      </c>
    </row>
    <row r="5725" spans="1:8" ht="294" x14ac:dyDescent="0.25">
      <c r="A5725" s="3" t="s">
        <v>16905</v>
      </c>
      <c r="B5725" s="3"/>
      <c r="C5725" s="3" t="s">
        <v>16906</v>
      </c>
      <c r="D5725" s="3" t="s">
        <v>16907</v>
      </c>
      <c r="E5725" s="3" t="s">
        <v>16908</v>
      </c>
      <c r="F5725" s="3" t="str">
        <f>"812-232-6243"</f>
        <v>812-232-6243</v>
      </c>
      <c r="G5725" s="3">
        <v>611511</v>
      </c>
      <c r="H5725" s="3" t="s">
        <v>16909</v>
      </c>
    </row>
    <row r="5726" spans="1:8" x14ac:dyDescent="0.25">
      <c r="A5726" s="3" t="s">
        <v>16910</v>
      </c>
      <c r="B5726" s="3"/>
      <c r="C5726" s="3" t="str">
        <f>"Optical goods and services"</f>
        <v>Optical goods and services</v>
      </c>
      <c r="D5726" s="3" t="s">
        <v>9</v>
      </c>
      <c r="E5726" s="3" t="s">
        <v>46</v>
      </c>
      <c r="F5726" s="2"/>
      <c r="G5726" s="3">
        <v>446130</v>
      </c>
      <c r="H5726" s="3" t="s">
        <v>16911</v>
      </c>
    </row>
    <row r="5727" spans="1:8" ht="39" x14ac:dyDescent="0.25">
      <c r="A5727" s="3" t="s">
        <v>16912</v>
      </c>
      <c r="B5727" s="3"/>
      <c r="C5727" s="3" t="str">
        <f>"General practitioner including but is not limited to criminal and civil matters. Also specialize in trial advocacy."</f>
        <v>General practitioner including but is not limited to criminal and civil matters. Also specialize in trial advocacy.</v>
      </c>
      <c r="D5727" s="3" t="s">
        <v>9</v>
      </c>
      <c r="E5727" s="3" t="s">
        <v>16913</v>
      </c>
      <c r="F5727" s="3" t="str">
        <f>"(219) 397-5531"</f>
        <v>(219) 397-5531</v>
      </c>
      <c r="G5727" s="3">
        <v>5411</v>
      </c>
      <c r="H5727" s="3" t="s">
        <v>87</v>
      </c>
    </row>
    <row r="5728" spans="1:8" ht="26.25" x14ac:dyDescent="0.25">
      <c r="A5728" s="3" t="s">
        <v>16914</v>
      </c>
      <c r="B5728" s="3"/>
      <c r="C5728" s="3" t="str">
        <f>"Medicare Education"</f>
        <v>Medicare Education</v>
      </c>
      <c r="D5728" s="3" t="s">
        <v>9</v>
      </c>
      <c r="E5728" s="3" t="s">
        <v>16915</v>
      </c>
      <c r="F5728" s="3" t="str">
        <f>"800-452-4800"</f>
        <v>800-452-4800</v>
      </c>
      <c r="G5728" s="3">
        <v>52429</v>
      </c>
      <c r="H5728" s="3" t="s">
        <v>12222</v>
      </c>
    </row>
    <row r="5729" spans="1:8" ht="230.25" x14ac:dyDescent="0.25">
      <c r="A5729" s="3" t="s">
        <v>16916</v>
      </c>
      <c r="B5729" s="3"/>
      <c r="C5729" s="3" t="s">
        <v>16917</v>
      </c>
      <c r="D5729" s="3" t="s">
        <v>16918</v>
      </c>
      <c r="E5729" s="3" t="s">
        <v>16919</v>
      </c>
      <c r="F5729" s="3" t="str">
        <f>"317.439.4355"</f>
        <v>317.439.4355</v>
      </c>
      <c r="G5729" s="3">
        <v>541410</v>
      </c>
      <c r="H5729" s="3" t="s">
        <v>687</v>
      </c>
    </row>
    <row r="5730" spans="1:8" ht="217.5" x14ac:dyDescent="0.25">
      <c r="A5730" s="3" t="s">
        <v>16920</v>
      </c>
      <c r="B5730" s="3"/>
      <c r="C5730" s="3" t="s">
        <v>16921</v>
      </c>
      <c r="D5730" s="3" t="s">
        <v>16922</v>
      </c>
      <c r="E5730" s="3" t="s">
        <v>46</v>
      </c>
      <c r="F5730" s="3" t="str">
        <f>"7654524425"</f>
        <v>7654524425</v>
      </c>
      <c r="G5730" s="3">
        <v>3261</v>
      </c>
      <c r="H5730" s="3" t="s">
        <v>2127</v>
      </c>
    </row>
    <row r="5731" spans="1:8" ht="26.25" x14ac:dyDescent="0.25">
      <c r="A5731" s="3" t="s">
        <v>16923</v>
      </c>
      <c r="B5731" s="3"/>
      <c r="C5731" s="3" t="str">
        <f>"roofing supply and labor siding-supply and labor gutters- supply and labor"</f>
        <v>roofing supply and labor siding-supply and labor gutters- supply and labor</v>
      </c>
      <c r="D5731" s="3" t="s">
        <v>9</v>
      </c>
      <c r="E5731" s="3" t="s">
        <v>16924</v>
      </c>
      <c r="F5731" s="3" t="str">
        <f>"317-286-0022"</f>
        <v>317-286-0022</v>
      </c>
      <c r="G5731" s="3">
        <v>23816</v>
      </c>
      <c r="H5731" s="3" t="s">
        <v>144</v>
      </c>
    </row>
    <row r="5732" spans="1:8" ht="26.25" x14ac:dyDescent="0.25">
      <c r="A5732" s="3" t="s">
        <v>16925</v>
      </c>
      <c r="B5732" s="3"/>
      <c r="C5732" s="3" t="str">
        <f>"Commercial cleaning service."</f>
        <v>Commercial cleaning service.</v>
      </c>
      <c r="D5732" s="3" t="s">
        <v>9</v>
      </c>
      <c r="E5732" s="3" t="s">
        <v>46</v>
      </c>
      <c r="F5732" s="3" t="str">
        <f>"812-829-0251"</f>
        <v>812-829-0251</v>
      </c>
      <c r="G5732" s="3">
        <v>56172</v>
      </c>
      <c r="H5732" s="3" t="s">
        <v>222</v>
      </c>
    </row>
    <row r="5733" spans="1:8" ht="77.25" x14ac:dyDescent="0.25">
      <c r="A5733" s="3" t="s">
        <v>16926</v>
      </c>
      <c r="B5733" s="3"/>
      <c r="C5733" s="3" t="str">
        <f>"For 28 years, our company has published the annual Indiana Media Directory (listing of all Indiana newspapers and radio/TV stations). We also offer a subscription to the online, downloadable and continually-updated Indiana Media Directory."</f>
        <v>For 28 years, our company has published the annual Indiana Media Directory (listing of all Indiana newspapers and radio/TV stations). We also offer a subscription to the online, downloadable and continually-updated Indiana Media Directory.</v>
      </c>
      <c r="D5733" s="3" t="s">
        <v>16927</v>
      </c>
      <c r="E5733" s="3" t="s">
        <v>16928</v>
      </c>
      <c r="F5733" s="3" t="str">
        <f>"317-913-1675"</f>
        <v>317-913-1675</v>
      </c>
      <c r="G5733" s="3">
        <v>511130</v>
      </c>
      <c r="H5733" s="3" t="s">
        <v>3146</v>
      </c>
    </row>
    <row r="5734" spans="1:8" ht="64.5" x14ac:dyDescent="0.25">
      <c r="A5734" s="3" t="s">
        <v>16929</v>
      </c>
      <c r="B5734" s="3"/>
      <c r="C5734" s="3" t="str">
        <f>"Financial Planning Firm in Elkhart, Indiana; providing vareity of financial planning tools to our clients, including but not limited to retirement planning, wealth transfer, and estate planning."</f>
        <v>Financial Planning Firm in Elkhart, Indiana; providing vareity of financial planning tools to our clients, including but not limited to retirement planning, wealth transfer, and estate planning.</v>
      </c>
      <c r="D5734" s="3" t="s">
        <v>9</v>
      </c>
      <c r="E5734" s="3" t="s">
        <v>46</v>
      </c>
      <c r="F5734" s="3" t="str">
        <f>"574-264-0395"</f>
        <v>574-264-0395</v>
      </c>
      <c r="G5734" s="3">
        <v>523930</v>
      </c>
      <c r="H5734" s="3" t="s">
        <v>2936</v>
      </c>
    </row>
    <row r="5735" spans="1:8" ht="90" x14ac:dyDescent="0.25">
      <c r="A5735" s="3" t="s">
        <v>16930</v>
      </c>
      <c r="B5735" s="3"/>
      <c r="C5735" s="3" t="str">
        <f>"Loudermilk Contracting, Inc., has been in business for nearly two decades. It specializes in coal mine reclamation involving all aspects of dirt work including demolition, land contouring, spillway managment, seeding and revegetation efforts."</f>
        <v>Loudermilk Contracting, Inc., has been in business for nearly two decades. It specializes in coal mine reclamation involving all aspects of dirt work including demolition, land contouring, spillway managment, seeding and revegetation efforts.</v>
      </c>
      <c r="D5735" s="3" t="s">
        <v>16931</v>
      </c>
      <c r="E5735" s="3" t="s">
        <v>46</v>
      </c>
      <c r="F5735" s="3" t="str">
        <f>"8127264808"</f>
        <v>8127264808</v>
      </c>
      <c r="G5735" s="3">
        <v>562910</v>
      </c>
      <c r="H5735" s="3" t="s">
        <v>2278</v>
      </c>
    </row>
    <row r="5736" spans="1:8" ht="319.5" x14ac:dyDescent="0.25">
      <c r="A5736" s="3" t="s">
        <v>16932</v>
      </c>
      <c r="B5736" s="3"/>
      <c r="C5736" s="3" t="s">
        <v>16933</v>
      </c>
      <c r="D5736" s="3" t="s">
        <v>16934</v>
      </c>
      <c r="E5736" s="3" t="s">
        <v>16935</v>
      </c>
      <c r="F5736" s="3" t="str">
        <f>"773-699-6168"</f>
        <v>773-699-6168</v>
      </c>
      <c r="G5736" s="3">
        <v>561720</v>
      </c>
      <c r="H5736" s="3" t="s">
        <v>222</v>
      </c>
    </row>
    <row r="5737" spans="1:8" ht="26.25" x14ac:dyDescent="0.25">
      <c r="A5737" s="3" t="s">
        <v>16936</v>
      </c>
      <c r="B5737" s="3"/>
      <c r="C5737" s="2"/>
      <c r="D5737" s="3" t="s">
        <v>9</v>
      </c>
      <c r="E5737" s="3" t="s">
        <v>16937</v>
      </c>
      <c r="F5737" s="3" t="str">
        <f>"317-299-6068"</f>
        <v>317-299-6068</v>
      </c>
      <c r="G5737" s="3">
        <v>11</v>
      </c>
      <c r="H5737" s="3" t="s">
        <v>175</v>
      </c>
    </row>
    <row r="5738" spans="1:8" ht="306.75" x14ac:dyDescent="0.25">
      <c r="A5738" s="3" t="s">
        <v>16938</v>
      </c>
      <c r="B5738" s="3"/>
      <c r="C5738" s="3" t="s">
        <v>16939</v>
      </c>
      <c r="D5738" s="3" t="s">
        <v>16940</v>
      </c>
      <c r="E5738" s="3" t="s">
        <v>16941</v>
      </c>
      <c r="F5738" s="3" t="str">
        <f>"219-228-1262"</f>
        <v>219-228-1262</v>
      </c>
      <c r="G5738" s="3">
        <v>621610</v>
      </c>
      <c r="H5738" s="3" t="s">
        <v>328</v>
      </c>
    </row>
    <row r="5739" spans="1:8" ht="39" x14ac:dyDescent="0.25">
      <c r="A5739" s="3" t="s">
        <v>16942</v>
      </c>
      <c r="B5739" s="3"/>
      <c r="C5739" s="3" t="str">
        <f>"We provide and install flooring including carpet,vinyl,ceramic,laminate,natural stone and hardwood"</f>
        <v>We provide and install flooring including carpet,vinyl,ceramic,laminate,natural stone and hardwood</v>
      </c>
      <c r="D5739" s="3" t="s">
        <v>9</v>
      </c>
      <c r="E5739" s="3" t="s">
        <v>46</v>
      </c>
      <c r="F5739" s="3" t="str">
        <f>"317-334-9550"</f>
        <v>317-334-9550</v>
      </c>
      <c r="G5739" s="3">
        <v>442210</v>
      </c>
      <c r="H5739" s="3" t="s">
        <v>2301</v>
      </c>
    </row>
    <row r="5740" spans="1:8" ht="39" x14ac:dyDescent="0.25">
      <c r="A5740" s="3" t="s">
        <v>16943</v>
      </c>
      <c r="B5740" s="3"/>
      <c r="C5740" s="3" t="str">
        <f>"Company is 94 years old. Still family owned. We specialize in roofing, siding, windows, gutters and exterior work."</f>
        <v>Company is 94 years old. Still family owned. We specialize in roofing, siding, windows, gutters and exterior work.</v>
      </c>
      <c r="D5740" s="3" t="s">
        <v>9</v>
      </c>
      <c r="E5740" s="3" t="s">
        <v>16944</v>
      </c>
      <c r="F5740" s="3" t="str">
        <f>"765-564-2323"</f>
        <v>765-564-2323</v>
      </c>
      <c r="G5740" s="3">
        <v>23</v>
      </c>
      <c r="H5740" s="3" t="s">
        <v>133</v>
      </c>
    </row>
    <row r="5741" spans="1:8" ht="115.5" x14ac:dyDescent="0.25">
      <c r="A5741" s="3" t="s">
        <v>16945</v>
      </c>
      <c r="B5741" s="3"/>
      <c r="C5741" s="3" t="s">
        <v>16946</v>
      </c>
      <c r="D5741" s="3" t="s">
        <v>9</v>
      </c>
      <c r="E5741" s="3" t="s">
        <v>16947</v>
      </c>
      <c r="F5741" s="3" t="str">
        <f>"574-234-1224"</f>
        <v>574-234-1224</v>
      </c>
      <c r="G5741" s="3">
        <v>52421</v>
      </c>
      <c r="H5741" s="3" t="s">
        <v>1183</v>
      </c>
    </row>
    <row r="5742" spans="1:8" ht="26.25" x14ac:dyDescent="0.25">
      <c r="A5742" s="3" t="s">
        <v>16948</v>
      </c>
      <c r="B5742" s="3"/>
      <c r="C5742" s="3" t="str">
        <f>" "</f>
        <v xml:space="preserve"> </v>
      </c>
      <c r="D5742" s="3" t="s">
        <v>9</v>
      </c>
      <c r="E5742" s="3" t="s">
        <v>16949</v>
      </c>
      <c r="F5742" s="3" t="str">
        <f>"317-297-4838"</f>
        <v>317-297-4838</v>
      </c>
      <c r="G5742" s="3">
        <v>81</v>
      </c>
      <c r="H5742" s="3" t="s">
        <v>751</v>
      </c>
    </row>
    <row r="5743" spans="1:8" ht="26.25" x14ac:dyDescent="0.25">
      <c r="A5743" s="3" t="s">
        <v>16950</v>
      </c>
      <c r="B5743" s="3"/>
      <c r="C5743" s="3" t="str">
        <f>"Construction land surveying business."</f>
        <v>Construction land surveying business.</v>
      </c>
      <c r="D5743" s="3" t="s">
        <v>9</v>
      </c>
      <c r="E5743" s="3" t="s">
        <v>16951</v>
      </c>
      <c r="F5743" s="3" t="str">
        <f>"8127844601"</f>
        <v>8127844601</v>
      </c>
      <c r="G5743" s="3">
        <v>237</v>
      </c>
      <c r="H5743" s="3" t="s">
        <v>11020</v>
      </c>
    </row>
    <row r="5744" spans="1:8" ht="26.25" x14ac:dyDescent="0.25">
      <c r="A5744" s="3" t="s">
        <v>16952</v>
      </c>
      <c r="B5744" s="3"/>
      <c r="C5744" s="3" t="str">
        <f>"Tax services."</f>
        <v>Tax services.</v>
      </c>
      <c r="D5744" s="3" t="s">
        <v>9</v>
      </c>
      <c r="E5744" s="3" t="s">
        <v>46</v>
      </c>
      <c r="F5744" s="3" t="str">
        <f>"317-923-8021"</f>
        <v>317-923-8021</v>
      </c>
      <c r="G5744" s="3">
        <v>541213</v>
      </c>
      <c r="H5744" s="3" t="s">
        <v>209</v>
      </c>
    </row>
    <row r="5745" spans="1:8" ht="39" x14ac:dyDescent="0.25">
      <c r="A5745" s="3" t="s">
        <v>16953</v>
      </c>
      <c r="B5745" s="3"/>
      <c r="C5745" s="3" t="str">
        <f>"Crane Inspection and testing Bucket truck inspection and testing Crane &amp; Rigging safety training Infrared and NDT testing."</f>
        <v>Crane Inspection and testing Bucket truck inspection and testing Crane &amp; Rigging safety training Infrared and NDT testing.</v>
      </c>
      <c r="D5745" s="3" t="s">
        <v>16954</v>
      </c>
      <c r="E5745" s="3" t="s">
        <v>16955</v>
      </c>
      <c r="F5745" s="3" t="str">
        <f>"812-963-5438"</f>
        <v>812-963-5438</v>
      </c>
      <c r="G5745" s="3">
        <v>541380</v>
      </c>
      <c r="H5745" s="3" t="s">
        <v>226</v>
      </c>
    </row>
    <row r="5746" spans="1:8" ht="51.75" x14ac:dyDescent="0.25">
      <c r="A5746" s="3" t="s">
        <v>16956</v>
      </c>
      <c r="B5746" s="3"/>
      <c r="C5746" s="3" t="str">
        <f>"Full Foodservice Distributor, serving Schools, Restaurants and the General Public. Products are available wholesale and/or retail"</f>
        <v>Full Foodservice Distributor, serving Schools, Restaurants and the General Public. Products are available wholesale and/or retail</v>
      </c>
      <c r="D5746" s="3" t="s">
        <v>9</v>
      </c>
      <c r="E5746" s="3" t="s">
        <v>16957</v>
      </c>
      <c r="F5746" s="3" t="str">
        <f>"219-362-2608"</f>
        <v>219-362-2608</v>
      </c>
      <c r="G5746" s="3">
        <v>4224</v>
      </c>
      <c r="H5746" s="3" t="s">
        <v>2311</v>
      </c>
    </row>
    <row r="5747" spans="1:8" ht="26.25" x14ac:dyDescent="0.25">
      <c r="A5747" s="3" t="s">
        <v>16958</v>
      </c>
      <c r="B5747" s="3"/>
      <c r="C5747" s="3" t="str">
        <f>"Custom and commercial picture framing, Aerial Photography service."</f>
        <v>Custom and commercial picture framing, Aerial Photography service.</v>
      </c>
      <c r="D5747" s="3" t="s">
        <v>16959</v>
      </c>
      <c r="E5747" s="3" t="s">
        <v>16960</v>
      </c>
      <c r="F5747" s="3" t="str">
        <f>"812-423-4742"</f>
        <v>812-423-4742</v>
      </c>
      <c r="G5747" s="3">
        <v>442299</v>
      </c>
      <c r="H5747" s="3" t="s">
        <v>951</v>
      </c>
    </row>
    <row r="5748" spans="1:8" ht="26.25" x14ac:dyDescent="0.25">
      <c r="A5748" s="3" t="s">
        <v>16961</v>
      </c>
      <c r="B5748" s="3"/>
      <c r="C5748" s="3" t="str">
        <f>"Small and large animal veterinary clinic. We do laser surgery."</f>
        <v>Small and large animal veterinary clinic. We do laser surgery.</v>
      </c>
      <c r="D5748" s="3" t="s">
        <v>9</v>
      </c>
      <c r="E5748" s="3" t="s">
        <v>46</v>
      </c>
      <c r="F5748" s="3" t="str">
        <f>"812-268-6812"</f>
        <v>812-268-6812</v>
      </c>
      <c r="G5748" s="3">
        <v>54194</v>
      </c>
      <c r="H5748" s="3" t="s">
        <v>593</v>
      </c>
    </row>
    <row r="5749" spans="1:8" ht="268.5" x14ac:dyDescent="0.25">
      <c r="A5749" s="3" t="s">
        <v>16962</v>
      </c>
      <c r="B5749" s="3"/>
      <c r="C5749" s="3" t="s">
        <v>16963</v>
      </c>
      <c r="D5749" s="3" t="s">
        <v>16964</v>
      </c>
      <c r="E5749" s="3" t="s">
        <v>16965</v>
      </c>
      <c r="F5749" s="3" t="str">
        <f>"317844-9171"</f>
        <v>317844-9171</v>
      </c>
      <c r="G5749" s="3">
        <v>3231</v>
      </c>
      <c r="H5749" s="3" t="s">
        <v>302</v>
      </c>
    </row>
    <row r="5750" spans="1:8" ht="26.25" x14ac:dyDescent="0.25">
      <c r="A5750" s="3" t="s">
        <v>16966</v>
      </c>
      <c r="B5750" s="3"/>
      <c r="C5750" s="3" t="str">
        <f>"Wholesale petroleum suppliers and haulers."</f>
        <v>Wholesale petroleum suppliers and haulers.</v>
      </c>
      <c r="D5750" s="3" t="s">
        <v>16967</v>
      </c>
      <c r="E5750" s="3" t="s">
        <v>16968</v>
      </c>
      <c r="F5750" s="3" t="str">
        <f>"2197122719"</f>
        <v>2197122719</v>
      </c>
      <c r="G5750" s="3">
        <v>4227</v>
      </c>
      <c r="H5750" s="3" t="s">
        <v>12656</v>
      </c>
    </row>
    <row r="5751" spans="1:8" ht="141" x14ac:dyDescent="0.25">
      <c r="A5751" s="3" t="s">
        <v>16969</v>
      </c>
      <c r="B5751" s="3"/>
      <c r="C5751" s="3" t="s">
        <v>16970</v>
      </c>
      <c r="D5751" s="3" t="s">
        <v>16971</v>
      </c>
      <c r="E5751" s="3" t="s">
        <v>16972</v>
      </c>
      <c r="F5751" s="3" t="str">
        <f>"8129453375"</f>
        <v>8129453375</v>
      </c>
      <c r="G5751" s="3">
        <v>326199</v>
      </c>
      <c r="H5751" s="3" t="s">
        <v>2129</v>
      </c>
    </row>
    <row r="5752" spans="1:8" ht="153.75" x14ac:dyDescent="0.25">
      <c r="A5752" s="3" t="s">
        <v>16973</v>
      </c>
      <c r="B5752" s="3"/>
      <c r="C5752" s="3" t="s">
        <v>16974</v>
      </c>
      <c r="D5752" s="3" t="s">
        <v>9</v>
      </c>
      <c r="E5752" s="3" t="s">
        <v>16975</v>
      </c>
      <c r="F5752" s="3" t="str">
        <f>"317-590-8171"</f>
        <v>317-590-8171</v>
      </c>
      <c r="G5752" s="3">
        <v>5413</v>
      </c>
      <c r="H5752" s="3" t="s">
        <v>1116</v>
      </c>
    </row>
    <row r="5753" spans="1:8" ht="51.75" x14ac:dyDescent="0.25">
      <c r="A5753" s="3" t="s">
        <v>16976</v>
      </c>
      <c r="B5753" s="3"/>
      <c r="C5753" s="3" t="str">
        <f>"Lighting design, specification and education for commercial and residential buildings including interior and exterior, new and renovation work."</f>
        <v>Lighting design, specification and education for commercial and residential buildings including interior and exterior, new and renovation work.</v>
      </c>
      <c r="D5753" s="3" t="s">
        <v>16977</v>
      </c>
      <c r="E5753" s="3" t="s">
        <v>16978</v>
      </c>
      <c r="F5753" s="3" t="str">
        <f>"(317) 663-0088"</f>
        <v>(317) 663-0088</v>
      </c>
      <c r="G5753" s="3">
        <v>541400</v>
      </c>
      <c r="H5753" s="2"/>
    </row>
    <row r="5754" spans="1:8" ht="319.5" x14ac:dyDescent="0.25">
      <c r="A5754" s="3" t="s">
        <v>16979</v>
      </c>
      <c r="B5754" s="3"/>
      <c r="C5754" s="3" t="s">
        <v>16980</v>
      </c>
      <c r="D5754" s="3" t="s">
        <v>16981</v>
      </c>
      <c r="E5754" s="3" t="s">
        <v>16982</v>
      </c>
      <c r="F5754" s="3" t="str">
        <f>"317-806-2200"</f>
        <v>317-806-2200</v>
      </c>
      <c r="G5754" s="3">
        <v>517</v>
      </c>
      <c r="H5754" s="3" t="s">
        <v>682</v>
      </c>
    </row>
    <row r="5755" spans="1:8" ht="319.5" x14ac:dyDescent="0.25">
      <c r="A5755" s="3" t="s">
        <v>16983</v>
      </c>
      <c r="B5755" s="3"/>
      <c r="C5755" s="3" t="s">
        <v>16984</v>
      </c>
      <c r="D5755" s="3" t="s">
        <v>16985</v>
      </c>
      <c r="E5755" s="3" t="s">
        <v>16986</v>
      </c>
      <c r="F5755" s="3" t="str">
        <f>"317-938-5019"</f>
        <v>317-938-5019</v>
      </c>
      <c r="G5755" s="3">
        <v>541611</v>
      </c>
      <c r="H5755" s="3" t="s">
        <v>278</v>
      </c>
    </row>
    <row r="5756" spans="1:8" ht="26.25" x14ac:dyDescent="0.25">
      <c r="A5756" s="3" t="s">
        <v>16987</v>
      </c>
      <c r="B5756" s="3"/>
      <c r="C5756" s="3" t="str">
        <f>"Local and Interstate Moving and Storage."</f>
        <v>Local and Interstate Moving and Storage.</v>
      </c>
      <c r="D5756" s="3" t="s">
        <v>16988</v>
      </c>
      <c r="E5756" s="3" t="s">
        <v>16989</v>
      </c>
      <c r="F5756" s="3" t="str">
        <f>"765-378-6800"</f>
        <v>765-378-6800</v>
      </c>
      <c r="G5756" s="3">
        <v>484210</v>
      </c>
      <c r="H5756" s="3" t="s">
        <v>8993</v>
      </c>
    </row>
    <row r="5757" spans="1:8" ht="51.75" x14ac:dyDescent="0.25">
      <c r="A5757" s="3" t="s">
        <v>16990</v>
      </c>
      <c r="B5757" s="3"/>
      <c r="C5757" s="3" t="str">
        <f>"Commercial and private insurance for life, business/home, vehicles, and all our insurance needs. Call me for information on a benefit package for your business."</f>
        <v>Commercial and private insurance for life, business/home, vehicles, and all our insurance needs. Call me for information on a benefit package for your business.</v>
      </c>
      <c r="D5757" s="3" t="s">
        <v>9</v>
      </c>
      <c r="E5757" s="3" t="s">
        <v>16991</v>
      </c>
      <c r="F5757" s="3" t="str">
        <f>"(765) 352-0828"</f>
        <v>(765) 352-0828</v>
      </c>
      <c r="G5757" s="3">
        <v>524210</v>
      </c>
      <c r="H5757" s="3" t="s">
        <v>1183</v>
      </c>
    </row>
    <row r="5758" spans="1:8" ht="77.25" x14ac:dyDescent="0.25">
      <c r="A5758" s="3" t="s">
        <v>16992</v>
      </c>
      <c r="B5758" s="3"/>
      <c r="C5758" s="3" t="str">
        <f>"Locally owned Independent Insurance Agency in its third generation, located in Downtown Fort Wayne, selling Commercial and Personal Lines of Insurance, including Specialty Lines, Life, Health and Employee Benefits, and Surety Bonds, since 1917."</f>
        <v>Locally owned Independent Insurance Agency in its third generation, located in Downtown Fort Wayne, selling Commercial and Personal Lines of Insurance, including Specialty Lines, Life, Health and Employee Benefits, and Surety Bonds, since 1917.</v>
      </c>
      <c r="D5758" s="3" t="s">
        <v>16993</v>
      </c>
      <c r="E5758" s="3" t="s">
        <v>46</v>
      </c>
      <c r="F5758" s="3" t="str">
        <f>"260-424-4150"</f>
        <v>260-424-4150</v>
      </c>
      <c r="G5758" s="3">
        <v>52421</v>
      </c>
      <c r="H5758" s="3" t="s">
        <v>1183</v>
      </c>
    </row>
    <row r="5759" spans="1:8" ht="306.75" x14ac:dyDescent="0.25">
      <c r="A5759" s="3" t="s">
        <v>16994</v>
      </c>
      <c r="B5759" s="3"/>
      <c r="C5759" s="3" t="s">
        <v>16995</v>
      </c>
      <c r="D5759" s="3" t="s">
        <v>16996</v>
      </c>
      <c r="E5759" s="3" t="s">
        <v>16997</v>
      </c>
      <c r="F5759" s="3" t="str">
        <f>"317-636-0282"</f>
        <v>317-636-0282</v>
      </c>
      <c r="G5759" s="3">
        <v>541720</v>
      </c>
      <c r="H5759" s="3" t="s">
        <v>1123</v>
      </c>
    </row>
    <row r="5760" spans="1:8" ht="102.75" x14ac:dyDescent="0.25">
      <c r="A5760" s="3" t="s">
        <v>16998</v>
      </c>
      <c r="B5760" s="3"/>
      <c r="C5760" s="3" t="s">
        <v>16999</v>
      </c>
      <c r="D5760" s="3" t="s">
        <v>17000</v>
      </c>
      <c r="E5760" s="3" t="s">
        <v>46</v>
      </c>
      <c r="F5760" s="3" t="str">
        <f>"317.359.5467"</f>
        <v>317.359.5467</v>
      </c>
      <c r="G5760" s="3">
        <v>623220</v>
      </c>
      <c r="H5760" s="3" t="s">
        <v>17001</v>
      </c>
    </row>
    <row r="5761" spans="1:8" ht="51.75" x14ac:dyDescent="0.25">
      <c r="A5761" s="3" t="s">
        <v>17002</v>
      </c>
      <c r="B5761" s="3"/>
      <c r="C5761" s="3" t="str">
        <f>"Lutheran Social Services of Indiana has provided professional social services to children, individuals and families in Northeastern Indiana since 1901"</f>
        <v>Lutheran Social Services of Indiana has provided professional social services to children, individuals and families in Northeastern Indiana since 1901</v>
      </c>
      <c r="D5761" s="3" t="s">
        <v>17003</v>
      </c>
      <c r="E5761" s="3" t="s">
        <v>17004</v>
      </c>
      <c r="F5761" s="3" t="str">
        <f>"260-426-3347"</f>
        <v>260-426-3347</v>
      </c>
      <c r="G5761" s="3">
        <v>6241</v>
      </c>
      <c r="H5761" s="3" t="s">
        <v>2210</v>
      </c>
    </row>
    <row r="5762" spans="1:8" ht="166.5" x14ac:dyDescent="0.25">
      <c r="A5762" s="3" t="s">
        <v>17005</v>
      </c>
      <c r="B5762" s="3"/>
      <c r="C5762" s="3" t="s">
        <v>17006</v>
      </c>
      <c r="D5762" s="3" t="s">
        <v>9</v>
      </c>
      <c r="E5762" s="3" t="s">
        <v>17007</v>
      </c>
      <c r="F5762" s="3" t="str">
        <f>"812-431-0637"</f>
        <v>812-431-0637</v>
      </c>
      <c r="G5762" s="3">
        <v>55111</v>
      </c>
      <c r="H5762" s="3" t="s">
        <v>17008</v>
      </c>
    </row>
    <row r="5763" spans="1:8" ht="26.25" x14ac:dyDescent="0.25">
      <c r="A5763" s="3" t="s">
        <v>17009</v>
      </c>
      <c r="B5763" s="3"/>
      <c r="C5763" s="3" t="str">
        <f>"Full service architectural firm"</f>
        <v>Full service architectural firm</v>
      </c>
      <c r="D5763" s="3" t="s">
        <v>9</v>
      </c>
      <c r="E5763" s="3" t="s">
        <v>17010</v>
      </c>
      <c r="F5763" s="3" t="str">
        <f>"812 944-1876"</f>
        <v>812 944-1876</v>
      </c>
      <c r="G5763" s="3">
        <v>541310</v>
      </c>
      <c r="H5763" s="3" t="s">
        <v>446</v>
      </c>
    </row>
    <row r="5764" spans="1:8" ht="26.25" x14ac:dyDescent="0.25">
      <c r="A5764" s="3" t="s">
        <v>17011</v>
      </c>
      <c r="B5764" s="3"/>
      <c r="C5764" s="3" t="str">
        <f>"HAULING &amp; SELLING OF AGGREGATE MATERIALS. SNOW REMOVAL SERVICES."</f>
        <v>HAULING &amp; SELLING OF AGGREGATE MATERIALS. SNOW REMOVAL SERVICES.</v>
      </c>
      <c r="D5764" s="3" t="s">
        <v>9</v>
      </c>
      <c r="E5764" s="3" t="s">
        <v>17012</v>
      </c>
      <c r="F5764" s="3" t="str">
        <f>"317-839-0318"</f>
        <v>317-839-0318</v>
      </c>
      <c r="G5764" s="3">
        <v>484110</v>
      </c>
      <c r="H5764" s="3" t="s">
        <v>644</v>
      </c>
    </row>
    <row r="5765" spans="1:8" ht="77.25" x14ac:dyDescent="0.25">
      <c r="A5765" s="3" t="s">
        <v>17013</v>
      </c>
      <c r="B5765" s="3"/>
      <c r="C5765" s="3" t="str">
        <f>"Embroidery, screen printing, promotional items for marketing purposes ,trophies, awards, banners, decals, signs. team uniforms,corporate and organizational apparel. Graphic design and print materials."</f>
        <v>Embroidery, screen printing, promotional items for marketing purposes ,trophies, awards, banners, decals, signs. team uniforms,corporate and organizational apparel. Graphic design and print materials.</v>
      </c>
      <c r="D5765" s="3" t="s">
        <v>17014</v>
      </c>
      <c r="E5765" s="3" t="s">
        <v>17015</v>
      </c>
      <c r="F5765" s="3" t="str">
        <f>"574-583-7119"</f>
        <v>574-583-7119</v>
      </c>
      <c r="G5765" s="3">
        <v>453998</v>
      </c>
      <c r="H5765" s="3" t="s">
        <v>112</v>
      </c>
    </row>
    <row r="5766" spans="1:8" ht="26.25" x14ac:dyDescent="0.25">
      <c r="A5766" s="3" t="s">
        <v>17016</v>
      </c>
      <c r="B5766" s="3"/>
      <c r="C5766" s="3" t="str">
        <f>"Woman owned/operated business. Hauling dirt,sand,gravel,aggret., etc"</f>
        <v>Woman owned/operated business. Hauling dirt,sand,gravel,aggret., etc</v>
      </c>
      <c r="D5766" s="3" t="s">
        <v>9</v>
      </c>
      <c r="E5766" s="3" t="s">
        <v>17017</v>
      </c>
      <c r="F5766" s="2"/>
      <c r="G5766" s="3">
        <v>484220</v>
      </c>
      <c r="H5766" s="3" t="s">
        <v>11</v>
      </c>
    </row>
    <row r="5767" spans="1:8" ht="26.25" x14ac:dyDescent="0.25">
      <c r="A5767" s="3" t="s">
        <v>17018</v>
      </c>
      <c r="B5767" s="3"/>
      <c r="C5767" s="3" t="str">
        <f>"AUTO &amp; TRUCK SALES, SERVICE AND REPAIR"</f>
        <v>AUTO &amp; TRUCK SALES, SERVICE AND REPAIR</v>
      </c>
      <c r="D5767" s="3" t="s">
        <v>9</v>
      </c>
      <c r="E5767" s="3" t="s">
        <v>17019</v>
      </c>
      <c r="F5767" s="3" t="str">
        <f>"574-772-2800"</f>
        <v>574-772-2800</v>
      </c>
      <c r="G5767" s="3">
        <v>441120</v>
      </c>
      <c r="H5767" s="3" t="s">
        <v>17020</v>
      </c>
    </row>
    <row r="5768" spans="1:8" ht="64.5" x14ac:dyDescent="0.25">
      <c r="A5768" s="3" t="s">
        <v>17021</v>
      </c>
      <c r="B5768" s="3"/>
      <c r="C5768" s="3" t="str">
        <f>"We are full sales and service dealer of several lines of lawn and garden equipment including: Scag, Snapper, Toro, White Outdoor, Stihl, Echo, Troybilt, Mantis and Eton"</f>
        <v>We are full sales and service dealer of several lines of lawn and garden equipment including: Scag, Snapper, Toro, White Outdoor, Stihl, Echo, Troybilt, Mantis and Eton</v>
      </c>
      <c r="D5768" s="3" t="s">
        <v>17022</v>
      </c>
      <c r="E5768" s="3" t="s">
        <v>17023</v>
      </c>
      <c r="F5768" s="3" t="str">
        <f>"765-832-9355"</f>
        <v>765-832-9355</v>
      </c>
      <c r="G5768" s="3">
        <v>4442</v>
      </c>
      <c r="H5768" s="3" t="s">
        <v>852</v>
      </c>
    </row>
    <row r="5769" spans="1:8" ht="268.5" x14ac:dyDescent="0.25">
      <c r="A5769" s="3" t="s">
        <v>17024</v>
      </c>
      <c r="B5769" s="3"/>
      <c r="C5769" s="3" t="s">
        <v>17025</v>
      </c>
      <c r="D5769" s="3" t="s">
        <v>9</v>
      </c>
      <c r="E5769" s="3" t="s">
        <v>17026</v>
      </c>
      <c r="F5769" s="3" t="str">
        <f>"317-791-7009"</f>
        <v>317-791-7009</v>
      </c>
      <c r="G5769" s="3">
        <v>236116</v>
      </c>
      <c r="H5769" s="3" t="s">
        <v>438</v>
      </c>
    </row>
    <row r="5770" spans="1:8" ht="26.25" x14ac:dyDescent="0.25">
      <c r="A5770" s="3" t="s">
        <v>17027</v>
      </c>
      <c r="B5770" s="3"/>
      <c r="C5770" s="3" t="str">
        <f>"Install snowplowable reflective pavement markers and install signs"</f>
        <v>Install snowplowable reflective pavement markers and install signs</v>
      </c>
      <c r="D5770" s="3" t="s">
        <v>9</v>
      </c>
      <c r="E5770" s="3" t="s">
        <v>46</v>
      </c>
      <c r="F5770" s="3" t="str">
        <f>"317-769-7200"</f>
        <v>317-769-7200</v>
      </c>
      <c r="G5770" s="3">
        <v>237310</v>
      </c>
      <c r="H5770" s="3" t="s">
        <v>768</v>
      </c>
    </row>
    <row r="5771" spans="1:8" ht="77.25" x14ac:dyDescent="0.25">
      <c r="A5771" s="3" t="s">
        <v>17028</v>
      </c>
      <c r="B5771" s="3"/>
      <c r="C5771" s="3" t="str">
        <f>"Induatrial Distributor of : Pumps, Application Equipment, Spray Booths, Air Make-Up Equipment, Powder Application Equipment, Compressors, Agitators, Filtration, Hoses, Fittings, and related products"</f>
        <v>Induatrial Distributor of : Pumps, Application Equipment, Spray Booths, Air Make-Up Equipment, Powder Application Equipment, Compressors, Agitators, Filtration, Hoses, Fittings, and related products</v>
      </c>
      <c r="D5771" s="3" t="s">
        <v>17029</v>
      </c>
      <c r="E5771" s="3" t="s">
        <v>17030</v>
      </c>
      <c r="F5771" s="3" t="str">
        <f>"219 548-5711"</f>
        <v>219 548-5711</v>
      </c>
      <c r="G5771" s="3">
        <v>423830</v>
      </c>
      <c r="H5771" s="3" t="s">
        <v>172</v>
      </c>
    </row>
    <row r="5772" spans="1:8" ht="153.75" x14ac:dyDescent="0.25">
      <c r="A5772" s="3" t="s">
        <v>17031</v>
      </c>
      <c r="B5772" s="3"/>
      <c r="C5772" s="3" t="s">
        <v>17032</v>
      </c>
      <c r="D5772" s="3" t="s">
        <v>17033</v>
      </c>
      <c r="E5772" s="3" t="s">
        <v>17034</v>
      </c>
      <c r="F5772" s="3" t="str">
        <f>"765-789-6572"</f>
        <v>765-789-6572</v>
      </c>
      <c r="G5772" s="3">
        <v>541340</v>
      </c>
      <c r="H5772" s="3" t="s">
        <v>4040</v>
      </c>
    </row>
    <row r="5773" spans="1:8" ht="39" x14ac:dyDescent="0.25">
      <c r="A5773" s="3" t="s">
        <v>17035</v>
      </c>
      <c r="B5773" s="3"/>
      <c r="C5773" s="3" t="str">
        <f>"int/ext framing &amp; trim, remodel, room additions, decks, painting, siding, roofing, drywall, ceramic tile"</f>
        <v>int/ext framing &amp; trim, remodel, room additions, decks, painting, siding, roofing, drywall, ceramic tile</v>
      </c>
      <c r="D5773" s="3" t="s">
        <v>9</v>
      </c>
      <c r="E5773" s="3" t="s">
        <v>17036</v>
      </c>
      <c r="F5773" s="3" t="str">
        <f>"812-603-0079"</f>
        <v>812-603-0079</v>
      </c>
      <c r="G5773" s="3">
        <v>23</v>
      </c>
      <c r="H5773" s="3" t="s">
        <v>133</v>
      </c>
    </row>
    <row r="5774" spans="1:8" ht="77.25" x14ac:dyDescent="0.25">
      <c r="A5774" s="3" t="s">
        <v>17037</v>
      </c>
      <c r="B5774" s="3"/>
      <c r="C5774" s="3" t="str">
        <f>"Electrical Contractor wiring residential, light commercial, and service both in new construction and remodeling. Bucket Truck and Trenching Service, Sign Maintenance, Outside Lighting 220V Circuits, Structured Wiring and Networking."</f>
        <v>Electrical Contractor wiring residential, light commercial, and service both in new construction and remodeling. Bucket Truck and Trenching Service, Sign Maintenance, Outside Lighting 220V Circuits, Structured Wiring and Networking.</v>
      </c>
      <c r="D5774" s="3" t="s">
        <v>9</v>
      </c>
      <c r="E5774" s="3" t="s">
        <v>46</v>
      </c>
      <c r="F5774" s="2"/>
      <c r="G5774" s="3">
        <v>238210</v>
      </c>
      <c r="H5774" s="3" t="s">
        <v>306</v>
      </c>
    </row>
    <row r="5775" spans="1:8" ht="51.75" x14ac:dyDescent="0.25">
      <c r="A5775" s="3" t="s">
        <v>17038</v>
      </c>
      <c r="B5775" s="3"/>
      <c r="C5775" s="3" t="str">
        <f>"Installation, Maintenance, and repair of all Telecommunications Wireless and Landline systems, PBX, Satellite, Microwave, LAN's, and WLAN."</f>
        <v>Installation, Maintenance, and repair of all Telecommunications Wireless and Landline systems, PBX, Satellite, Microwave, LAN's, and WLAN.</v>
      </c>
      <c r="D5775" s="3" t="s">
        <v>9</v>
      </c>
      <c r="E5775" s="3" t="s">
        <v>46</v>
      </c>
      <c r="F5775" s="3" t="str">
        <f>"317-710-0924"</f>
        <v>317-710-0924</v>
      </c>
      <c r="G5775" s="3">
        <v>517</v>
      </c>
      <c r="H5775" s="3" t="s">
        <v>682</v>
      </c>
    </row>
    <row r="5776" spans="1:8" ht="141" x14ac:dyDescent="0.25">
      <c r="A5776" s="3" t="s">
        <v>17039</v>
      </c>
      <c r="B5776" s="3"/>
      <c r="C5776" s="3" t="s">
        <v>17040</v>
      </c>
      <c r="D5776" s="3" t="s">
        <v>9</v>
      </c>
      <c r="E5776" s="3" t="s">
        <v>17041</v>
      </c>
      <c r="F5776" s="3" t="str">
        <f>"1-800-998-8765"</f>
        <v>1-800-998-8765</v>
      </c>
      <c r="G5776" s="3">
        <v>532420</v>
      </c>
      <c r="H5776" s="3" t="s">
        <v>5166</v>
      </c>
    </row>
    <row r="5777" spans="1:8" ht="26.25" x14ac:dyDescent="0.25">
      <c r="A5777" s="3" t="s">
        <v>17042</v>
      </c>
      <c r="B5777" s="3"/>
      <c r="C5777" s="3" t="str">
        <f>"This is a tax and bookkeeping business and we have experience debt collecting."</f>
        <v>This is a tax and bookkeeping business and we have experience debt collecting.</v>
      </c>
      <c r="D5777" s="3" t="s">
        <v>9</v>
      </c>
      <c r="E5777" s="3" t="s">
        <v>17043</v>
      </c>
      <c r="F5777" s="3" t="str">
        <f>"317-541-0602"</f>
        <v>317-541-0602</v>
      </c>
      <c r="G5777" s="3">
        <v>541213</v>
      </c>
      <c r="H5777" s="3" t="s">
        <v>209</v>
      </c>
    </row>
    <row r="5778" spans="1:8" ht="26.25" x14ac:dyDescent="0.25">
      <c r="A5778" s="3" t="s">
        <v>17044</v>
      </c>
      <c r="B5778" s="3"/>
      <c r="C5778" s="3" t="str">
        <f>"Sale of automobiles, design, build and repair drainage and irrigation pumps"</f>
        <v>Sale of automobiles, design, build and repair drainage and irrigation pumps</v>
      </c>
      <c r="D5778" s="3" t="s">
        <v>9</v>
      </c>
      <c r="E5778" s="3" t="s">
        <v>46</v>
      </c>
      <c r="F5778" s="3" t="str">
        <f>"219-987-7855"</f>
        <v>219-987-7855</v>
      </c>
      <c r="G5778" s="3">
        <v>333</v>
      </c>
      <c r="H5778" s="3" t="s">
        <v>9837</v>
      </c>
    </row>
    <row r="5779" spans="1:8" ht="90" x14ac:dyDescent="0.25">
      <c r="A5779" s="3" t="s">
        <v>17045</v>
      </c>
      <c r="B5779" s="3"/>
      <c r="C5779" s="3" t="s">
        <v>17046</v>
      </c>
      <c r="D5779" s="3" t="s">
        <v>17047</v>
      </c>
      <c r="E5779" s="3" t="s">
        <v>46</v>
      </c>
      <c r="F5779" s="3" t="str">
        <f>"(317) 571-5300"</f>
        <v>(317) 571-5300</v>
      </c>
      <c r="G5779" s="3">
        <v>524</v>
      </c>
      <c r="H5779" s="3" t="s">
        <v>5614</v>
      </c>
    </row>
    <row r="5780" spans="1:8" ht="39" x14ac:dyDescent="0.25">
      <c r="A5780" s="3" t="s">
        <v>17048</v>
      </c>
      <c r="B5780" s="3"/>
      <c r="C5780" s="3" t="str">
        <f>"Insurance Agency specializing in insurance and surety bonds for the construction industry."</f>
        <v>Insurance Agency specializing in insurance and surety bonds for the construction industry.</v>
      </c>
      <c r="D5780" s="3" t="s">
        <v>17049</v>
      </c>
      <c r="E5780" s="3" t="s">
        <v>17050</v>
      </c>
      <c r="F5780" s="3" t="str">
        <f>"317-639-5679"</f>
        <v>317-639-5679</v>
      </c>
      <c r="G5780" s="3">
        <v>524210</v>
      </c>
      <c r="H5780" s="3" t="s">
        <v>1183</v>
      </c>
    </row>
    <row r="5781" spans="1:8" ht="51.75" x14ac:dyDescent="0.25">
      <c r="A5781" s="3" t="s">
        <v>17051</v>
      </c>
      <c r="B5781" s="3"/>
      <c r="C5781" s="3" t="str">
        <f>"Printing and Promotional/Advertising Specialty Items. M. Nelson &amp; Associates is a full-line printing company and promotional products company."</f>
        <v>Printing and Promotional/Advertising Specialty Items. M. Nelson &amp; Associates is a full-line printing company and promotional products company.</v>
      </c>
      <c r="D5781" s="3" t="s">
        <v>17052</v>
      </c>
      <c r="E5781" s="3" t="s">
        <v>17053</v>
      </c>
      <c r="F5781" s="3" t="str">
        <f>"317-228-1422"</f>
        <v>317-228-1422</v>
      </c>
      <c r="G5781" s="3">
        <v>32311</v>
      </c>
      <c r="H5781" s="3" t="s">
        <v>531</v>
      </c>
    </row>
    <row r="5782" spans="1:8" ht="26.25" x14ac:dyDescent="0.25">
      <c r="A5782" s="3" t="s">
        <v>17054</v>
      </c>
      <c r="B5782" s="3"/>
      <c r="C5782" s="3" t="str">
        <f>"Sandblasting and commercial coatings"</f>
        <v>Sandblasting and commercial coatings</v>
      </c>
      <c r="D5782" s="3" t="s">
        <v>9</v>
      </c>
      <c r="E5782" s="3" t="s">
        <v>17055</v>
      </c>
      <c r="F5782" s="3" t="str">
        <f>"7656724675"</f>
        <v>7656724675</v>
      </c>
      <c r="G5782" s="3">
        <v>332813</v>
      </c>
      <c r="H5782" s="3" t="s">
        <v>12139</v>
      </c>
    </row>
    <row r="5783" spans="1:8" ht="128.25" x14ac:dyDescent="0.25">
      <c r="A5783" s="3" t="s">
        <v>17056</v>
      </c>
      <c r="B5783" s="3"/>
      <c r="C5783" s="3" t="s">
        <v>17057</v>
      </c>
      <c r="D5783" s="3" t="s">
        <v>9</v>
      </c>
      <c r="E5783" s="3" t="s">
        <v>17058</v>
      </c>
      <c r="F5783" s="3" t="str">
        <f>"312.636.0669"</f>
        <v>312.636.0669</v>
      </c>
      <c r="G5783" s="3">
        <v>238</v>
      </c>
      <c r="H5783" s="3" t="s">
        <v>397</v>
      </c>
    </row>
    <row r="5784" spans="1:8" ht="294" x14ac:dyDescent="0.25">
      <c r="A5784" s="3" t="s">
        <v>17059</v>
      </c>
      <c r="B5784" s="3"/>
      <c r="C5784" s="3" t="s">
        <v>17060</v>
      </c>
      <c r="D5784" s="3" t="s">
        <v>17061</v>
      </c>
      <c r="E5784" s="3" t="s">
        <v>17062</v>
      </c>
      <c r="F5784" s="3" t="str">
        <f>"765-325-2482"</f>
        <v>765-325-2482</v>
      </c>
      <c r="G5784" s="3">
        <v>54161</v>
      </c>
      <c r="H5784" s="3" t="s">
        <v>1221</v>
      </c>
    </row>
    <row r="5785" spans="1:8" ht="230.25" x14ac:dyDescent="0.25">
      <c r="A5785" s="3" t="s">
        <v>17063</v>
      </c>
      <c r="B5785" s="3"/>
      <c r="C5785" s="3" t="s">
        <v>17064</v>
      </c>
      <c r="D5785" s="3" t="s">
        <v>17065</v>
      </c>
      <c r="E5785" s="3" t="s">
        <v>17066</v>
      </c>
      <c r="F5785" s="3" t="str">
        <f>"317-809-5417"</f>
        <v>317-809-5417</v>
      </c>
      <c r="G5785" s="3">
        <v>711510</v>
      </c>
      <c r="H5785" s="3" t="s">
        <v>1980</v>
      </c>
    </row>
    <row r="5786" spans="1:8" ht="39" x14ac:dyDescent="0.25">
      <c r="A5786" s="3" t="s">
        <v>17067</v>
      </c>
      <c r="B5786" s="3"/>
      <c r="C5786" s="3" t="str">
        <f>"Residential and Commercial, New Construction, Renovations, Maintenance, Handicap renovation."</f>
        <v>Residential and Commercial, New Construction, Renovations, Maintenance, Handicap renovation.</v>
      </c>
      <c r="D5786" s="3" t="s">
        <v>17068</v>
      </c>
      <c r="E5786" s="3" t="s">
        <v>17069</v>
      </c>
      <c r="F5786" s="3" t="str">
        <f>"(765) 529-8011"</f>
        <v>(765) 529-8011</v>
      </c>
      <c r="G5786" s="3">
        <v>23</v>
      </c>
      <c r="H5786" s="3" t="s">
        <v>133</v>
      </c>
    </row>
    <row r="5787" spans="1:8" ht="39" x14ac:dyDescent="0.25">
      <c r="A5787" s="3" t="s">
        <v>17070</v>
      </c>
      <c r="B5787" s="3"/>
      <c r="C5787" s="3" t="str">
        <f>"Provide pre-K through grade 12 public education to 15,000+ students on west side of Indianapolis, Indiana"</f>
        <v>Provide pre-K through grade 12 public education to 15,000+ students on west side of Indianapolis, Indiana</v>
      </c>
      <c r="D5787" s="3" t="s">
        <v>17071</v>
      </c>
      <c r="E5787" s="3" t="s">
        <v>46</v>
      </c>
      <c r="F5787" s="3" t="str">
        <f>"317.243.8251"</f>
        <v>317.243.8251</v>
      </c>
      <c r="G5787" s="3">
        <v>611110</v>
      </c>
      <c r="H5787" s="3" t="s">
        <v>3876</v>
      </c>
    </row>
    <row r="5788" spans="1:8" ht="294" x14ac:dyDescent="0.25">
      <c r="A5788" s="3" t="s">
        <v>17072</v>
      </c>
      <c r="B5788" s="3"/>
      <c r="C5788" s="3" t="s">
        <v>17073</v>
      </c>
      <c r="D5788" s="3" t="s">
        <v>17074</v>
      </c>
      <c r="E5788" s="3" t="s">
        <v>17075</v>
      </c>
      <c r="F5788" s="3" t="str">
        <f>"812-468-8022"</f>
        <v>812-468-8022</v>
      </c>
      <c r="G5788" s="3">
        <v>51119</v>
      </c>
      <c r="H5788" s="3" t="s">
        <v>10361</v>
      </c>
    </row>
    <row r="5789" spans="1:8" ht="179.25" x14ac:dyDescent="0.25">
      <c r="A5789" s="3" t="s">
        <v>17076</v>
      </c>
      <c r="B5789" s="3"/>
      <c r="C5789" s="3" t="s">
        <v>17077</v>
      </c>
      <c r="D5789" s="3" t="s">
        <v>17078</v>
      </c>
      <c r="E5789" s="3" t="s">
        <v>17079</v>
      </c>
      <c r="F5789" s="3" t="str">
        <f>"317-695-8600"</f>
        <v>317-695-8600</v>
      </c>
      <c r="G5789" s="3">
        <v>561990</v>
      </c>
      <c r="H5789" s="3" t="s">
        <v>219</v>
      </c>
    </row>
    <row r="5790" spans="1:8" ht="243" x14ac:dyDescent="0.25">
      <c r="A5790" s="3" t="s">
        <v>17080</v>
      </c>
      <c r="B5790" s="3"/>
      <c r="C5790" s="3" t="s">
        <v>17081</v>
      </c>
      <c r="D5790" s="3" t="s">
        <v>9</v>
      </c>
      <c r="E5790" s="3" t="s">
        <v>17082</v>
      </c>
      <c r="F5790" s="3" t="str">
        <f>"502-262-2371"</f>
        <v>502-262-2371</v>
      </c>
      <c r="G5790" s="3">
        <v>541512</v>
      </c>
      <c r="H5790" s="3" t="s">
        <v>19</v>
      </c>
    </row>
    <row r="5791" spans="1:8" ht="319.5" x14ac:dyDescent="0.25">
      <c r="A5791" s="3" t="s">
        <v>17083</v>
      </c>
      <c r="B5791" s="3"/>
      <c r="C5791" s="3" t="s">
        <v>17084</v>
      </c>
      <c r="D5791" s="3" t="s">
        <v>17085</v>
      </c>
      <c r="E5791" s="3" t="s">
        <v>17086</v>
      </c>
      <c r="F5791" s="3" t="str">
        <f>"317-574-0727"</f>
        <v>317-574-0727</v>
      </c>
      <c r="G5791" s="3">
        <v>541620</v>
      </c>
      <c r="H5791" s="3" t="s">
        <v>216</v>
      </c>
    </row>
    <row r="5792" spans="1:8" ht="64.5" x14ac:dyDescent="0.25">
      <c r="A5792" s="3" t="s">
        <v>17087</v>
      </c>
      <c r="B5792" s="3"/>
      <c r="C5792" s="3" t="str">
        <f>"My company provides uniform traffic control, personal dignitary protection and limited police escorts for Marion County, state of Indiana by employing off duty police officers."</f>
        <v>My company provides uniform traffic control, personal dignitary protection and limited police escorts for Marion County, state of Indiana by employing off duty police officers.</v>
      </c>
      <c r="D5792" s="3" t="s">
        <v>17088</v>
      </c>
      <c r="E5792" s="3" t="s">
        <v>17089</v>
      </c>
      <c r="F5792" s="3" t="str">
        <f>"3175383983"</f>
        <v>3175383983</v>
      </c>
      <c r="G5792" s="3">
        <v>561612</v>
      </c>
      <c r="H5792" s="3" t="s">
        <v>362</v>
      </c>
    </row>
    <row r="5793" spans="1:8" ht="26.25" x14ac:dyDescent="0.25">
      <c r="A5793" s="3" t="s">
        <v>17090</v>
      </c>
      <c r="B5793" s="3"/>
      <c r="C5793" s="2"/>
      <c r="D5793" s="3" t="s">
        <v>17091</v>
      </c>
      <c r="E5793" s="3" t="s">
        <v>46</v>
      </c>
      <c r="F5793" s="3" t="str">
        <f>"317 545 2151"</f>
        <v>317 545 2151</v>
      </c>
      <c r="G5793" s="3">
        <v>44</v>
      </c>
      <c r="H5793" s="3" t="s">
        <v>574</v>
      </c>
    </row>
    <row r="5794" spans="1:8" ht="128.25" x14ac:dyDescent="0.25">
      <c r="A5794" s="3" t="s">
        <v>17092</v>
      </c>
      <c r="B5794" s="3"/>
      <c r="C5794" s="3" t="s">
        <v>17093</v>
      </c>
      <c r="D5794" s="3" t="s">
        <v>17094</v>
      </c>
      <c r="E5794" s="3" t="s">
        <v>17095</v>
      </c>
      <c r="F5794" s="3" t="str">
        <f>"(812) 941-7895"</f>
        <v>(812) 941-7895</v>
      </c>
      <c r="G5794" s="3">
        <v>23499</v>
      </c>
      <c r="H5794" s="3" t="s">
        <v>4574</v>
      </c>
    </row>
    <row r="5795" spans="1:8" ht="115.5" x14ac:dyDescent="0.25">
      <c r="A5795" s="3" t="s">
        <v>17096</v>
      </c>
      <c r="B5795" s="3"/>
      <c r="C5795" s="3" t="s">
        <v>17097</v>
      </c>
      <c r="D5795" s="3" t="s">
        <v>9</v>
      </c>
      <c r="E5795" s="3" t="s">
        <v>17098</v>
      </c>
      <c r="F5795" s="3" t="str">
        <f>"812-487-2547"</f>
        <v>812-487-2547</v>
      </c>
      <c r="G5795" s="3">
        <v>5416</v>
      </c>
      <c r="H5795" s="3" t="s">
        <v>194</v>
      </c>
    </row>
    <row r="5796" spans="1:8" ht="26.25" x14ac:dyDescent="0.25">
      <c r="A5796" s="3" t="s">
        <v>17099</v>
      </c>
      <c r="B5796" s="3"/>
      <c r="C5796" s="3" t="str">
        <f>"REPLACEMENT AND REPAIR OF AUTO GLASS, ON AND OFF ROAD EQUIPMENT."</f>
        <v>REPLACEMENT AND REPAIR OF AUTO GLASS, ON AND OFF ROAD EQUIPMENT.</v>
      </c>
      <c r="D5796" s="3" t="s">
        <v>9</v>
      </c>
      <c r="E5796" s="3" t="s">
        <v>46</v>
      </c>
      <c r="F5796" s="3" t="str">
        <f>"765-742-5081"</f>
        <v>765-742-5081</v>
      </c>
      <c r="G5796" s="3">
        <v>811122</v>
      </c>
      <c r="H5796" s="3" t="s">
        <v>7332</v>
      </c>
    </row>
    <row r="5797" spans="1:8" ht="51.75" x14ac:dyDescent="0.25">
      <c r="A5797" s="3" t="s">
        <v>17100</v>
      </c>
      <c r="B5797" s="3"/>
      <c r="C5797" s="3" t="str">
        <f>"Commercial and Residential Cleaning Service. We clean almost anything. We will mop and wax floors, dust, clear restrooms. vaccum carpets."</f>
        <v>Commercial and Residential Cleaning Service. We clean almost anything. We will mop and wax floors, dust, clear restrooms. vaccum carpets.</v>
      </c>
      <c r="D5797" s="3" t="s">
        <v>9</v>
      </c>
      <c r="E5797" s="3" t="s">
        <v>46</v>
      </c>
      <c r="F5797" s="2"/>
      <c r="G5797" s="3">
        <v>56172</v>
      </c>
      <c r="H5797" s="3" t="s">
        <v>222</v>
      </c>
    </row>
    <row r="5798" spans="1:8" ht="26.25" x14ac:dyDescent="0.25">
      <c r="A5798" s="3" t="s">
        <v>17101</v>
      </c>
      <c r="B5798" s="3"/>
      <c r="C5798" s="3" t="str">
        <f>"ELECTRICAL CONTRACTORS"</f>
        <v>ELECTRICAL CONTRACTORS</v>
      </c>
      <c r="D5798" s="3" t="s">
        <v>9</v>
      </c>
      <c r="E5798" s="3" t="s">
        <v>17102</v>
      </c>
      <c r="F5798" s="3" t="str">
        <f>"812-346-2110"</f>
        <v>812-346-2110</v>
      </c>
      <c r="G5798" s="3">
        <v>335122</v>
      </c>
      <c r="H5798" s="3" t="s">
        <v>3895</v>
      </c>
    </row>
    <row r="5799" spans="1:8" ht="26.25" x14ac:dyDescent="0.25">
      <c r="A5799" s="3" t="s">
        <v>17103</v>
      </c>
      <c r="B5799" s="3"/>
      <c r="C5799" s="3" t="str">
        <f>"REAL ESTATE BROKER LAND ACQUISITION CONSULTANT"</f>
        <v>REAL ESTATE BROKER LAND ACQUISITION CONSULTANT</v>
      </c>
      <c r="D5799" s="3" t="s">
        <v>17104</v>
      </c>
      <c r="E5799" s="3" t="s">
        <v>17105</v>
      </c>
      <c r="F5799" s="3" t="str">
        <f>"317-362-2861"</f>
        <v>317-362-2861</v>
      </c>
      <c r="G5799" s="3">
        <v>23599</v>
      </c>
      <c r="H5799" s="3" t="s">
        <v>248</v>
      </c>
    </row>
    <row r="5800" spans="1:8" ht="39" x14ac:dyDescent="0.25">
      <c r="A5800" s="3" t="s">
        <v>17106</v>
      </c>
      <c r="B5800" s="3"/>
      <c r="C5800" s="3" t="str">
        <f>"COMMERCIAL CLEANING COMPANY. OFFICE BLDGS AND APARTMENT COMPLEX. BONDED AND INSURED."</f>
        <v>COMMERCIAL CLEANING COMPANY. OFFICE BLDGS AND APARTMENT COMPLEX. BONDED AND INSURED.</v>
      </c>
      <c r="D5800" s="3" t="s">
        <v>9</v>
      </c>
      <c r="E5800" s="3" t="s">
        <v>17107</v>
      </c>
      <c r="F5800" s="3" t="str">
        <f>"317-258-3809"</f>
        <v>317-258-3809</v>
      </c>
      <c r="G5800" s="3">
        <v>23599</v>
      </c>
      <c r="H5800" s="3" t="s">
        <v>248</v>
      </c>
    </row>
    <row r="5801" spans="1:8" ht="64.5" x14ac:dyDescent="0.25">
      <c r="A5801" s="3" t="s">
        <v>17108</v>
      </c>
      <c r="B5801" s="3"/>
      <c r="C5801" s="3" t="str">
        <f>"Certified Public Accountants Tax Preparation Services Other Accounting Services Study/Cost Benefit Study/Accounting /Financial Mgt Audit Operations Support"</f>
        <v>Certified Public Accountants Tax Preparation Services Other Accounting Services Study/Cost Benefit Study/Accounting /Financial Mgt Audit Operations Support</v>
      </c>
      <c r="D5801" s="3" t="s">
        <v>17109</v>
      </c>
      <c r="E5801" s="3" t="s">
        <v>17110</v>
      </c>
      <c r="F5801" s="3" t="str">
        <f>"260-432-1504"</f>
        <v>260-432-1504</v>
      </c>
      <c r="G5801" s="3">
        <v>541211</v>
      </c>
      <c r="H5801" s="3" t="s">
        <v>337</v>
      </c>
    </row>
    <row r="5802" spans="1:8" ht="26.25" x14ac:dyDescent="0.25">
      <c r="A5802" s="3" t="s">
        <v>17111</v>
      </c>
      <c r="B5802" s="3"/>
      <c r="C5802" s="2"/>
      <c r="D5802" s="3" t="s">
        <v>9</v>
      </c>
      <c r="E5802" s="3" t="s">
        <v>46</v>
      </c>
      <c r="F5802" s="3" t="str">
        <f>"317-887-0933"</f>
        <v>317-887-0933</v>
      </c>
      <c r="G5802" s="3">
        <v>561320</v>
      </c>
      <c r="H5802" s="3" t="s">
        <v>15</v>
      </c>
    </row>
    <row r="5803" spans="1:8" ht="26.25" x14ac:dyDescent="0.25">
      <c r="A5803" s="3" t="s">
        <v>17112</v>
      </c>
      <c r="B5803" s="3"/>
      <c r="C5803" s="3" t="str">
        <f>"HVAC contractor"</f>
        <v>HVAC contractor</v>
      </c>
      <c r="D5803" s="3" t="s">
        <v>17113</v>
      </c>
      <c r="E5803" s="3" t="s">
        <v>17114</v>
      </c>
      <c r="F5803" s="3" t="str">
        <f>"219-362-3150"</f>
        <v>219-362-3150</v>
      </c>
      <c r="G5803" s="3">
        <v>238220</v>
      </c>
      <c r="H5803" s="3" t="s">
        <v>348</v>
      </c>
    </row>
    <row r="5804" spans="1:8" ht="26.25" x14ac:dyDescent="0.25">
      <c r="A5804" s="3" t="s">
        <v>17115</v>
      </c>
      <c r="B5804" s="3"/>
      <c r="C5804" s="3" t="str">
        <f>"PIPE,VALVES,FITTINGS, PLUMBING PRODUCTS AND TOOLS"</f>
        <v>PIPE,VALVES,FITTINGS, PLUMBING PRODUCTS AND TOOLS</v>
      </c>
      <c r="D5804" s="3" t="s">
        <v>9</v>
      </c>
      <c r="E5804" s="3" t="s">
        <v>46</v>
      </c>
      <c r="F5804" s="3" t="str">
        <f>"219-397-7000"</f>
        <v>219-397-7000</v>
      </c>
      <c r="G5804" s="3">
        <v>4217</v>
      </c>
      <c r="H5804" s="3" t="s">
        <v>17116</v>
      </c>
    </row>
    <row r="5805" spans="1:8" ht="26.25" x14ac:dyDescent="0.25">
      <c r="A5805" s="3" t="s">
        <v>17117</v>
      </c>
      <c r="B5805" s="3"/>
      <c r="C5805" s="3" t="str">
        <f>"MJ Suppies also handles office and medical supplies."</f>
        <v>MJ Suppies also handles office and medical supplies.</v>
      </c>
      <c r="D5805" s="3" t="s">
        <v>9</v>
      </c>
      <c r="E5805" s="3" t="s">
        <v>17118</v>
      </c>
      <c r="F5805" s="3" t="str">
        <f>"866 432 7483"</f>
        <v>866 432 7483</v>
      </c>
      <c r="G5805" s="3">
        <v>453998</v>
      </c>
      <c r="H5805" s="3" t="s">
        <v>112</v>
      </c>
    </row>
    <row r="5806" spans="1:8" ht="39" x14ac:dyDescent="0.25">
      <c r="A5806" s="3" t="s">
        <v>17119</v>
      </c>
      <c r="B5806" s="3"/>
      <c r="C5806" s="3" t="str">
        <f>"Translation from English to Spanish, German, Italian, Polish, Japanese. Educational CDs, and DVDs."</f>
        <v>Translation from English to Spanish, German, Italian, Polish, Japanese. Educational CDs, and DVDs.</v>
      </c>
      <c r="D5806" s="3" t="s">
        <v>9</v>
      </c>
      <c r="E5806" s="3" t="s">
        <v>17120</v>
      </c>
      <c r="F5806" s="3" t="str">
        <f>"5555-3333-3536"</f>
        <v>5555-3333-3536</v>
      </c>
      <c r="G5806" s="3">
        <v>611630</v>
      </c>
      <c r="H5806" s="3" t="s">
        <v>17121</v>
      </c>
    </row>
    <row r="5807" spans="1:8" ht="204.75" x14ac:dyDescent="0.25">
      <c r="A5807" s="3" t="s">
        <v>17122</v>
      </c>
      <c r="B5807" s="3"/>
      <c r="C5807" s="3" t="s">
        <v>17123</v>
      </c>
      <c r="D5807" s="3" t="s">
        <v>722</v>
      </c>
      <c r="E5807" s="3" t="s">
        <v>17120</v>
      </c>
      <c r="F5807" s="3" t="str">
        <f>"239-344-7540"</f>
        <v>239-344-7540</v>
      </c>
      <c r="G5807" s="3">
        <v>561410</v>
      </c>
      <c r="H5807" s="3" t="s">
        <v>4164</v>
      </c>
    </row>
    <row r="5808" spans="1:8" ht="39" x14ac:dyDescent="0.25">
      <c r="A5808" s="3" t="s">
        <v>17124</v>
      </c>
      <c r="B5808" s="3"/>
      <c r="C5808" s="3" t="str">
        <f>"Distributor of commercial marine equipment and supplies."</f>
        <v>Distributor of commercial marine equipment and supplies.</v>
      </c>
      <c r="D5808" s="3" t="s">
        <v>17125</v>
      </c>
      <c r="E5808" s="3" t="s">
        <v>17126</v>
      </c>
      <c r="F5808" s="3" t="str">
        <f>"812-283-5603"</f>
        <v>812-283-5603</v>
      </c>
      <c r="G5808" s="3">
        <v>423860</v>
      </c>
      <c r="H5808" s="3" t="s">
        <v>17127</v>
      </c>
    </row>
    <row r="5809" spans="1:8" ht="26.25" x14ac:dyDescent="0.25">
      <c r="A5809" s="3" t="s">
        <v>17128</v>
      </c>
      <c r="B5809" s="3"/>
      <c r="C5809" s="3" t="str">
        <f>"Dump truck services"</f>
        <v>Dump truck services</v>
      </c>
      <c r="D5809" s="3" t="s">
        <v>9</v>
      </c>
      <c r="E5809" s="3" t="s">
        <v>17129</v>
      </c>
      <c r="F5809" s="3" t="str">
        <f>"812-662-0909"</f>
        <v>812-662-0909</v>
      </c>
      <c r="G5809" s="3">
        <v>484220</v>
      </c>
      <c r="H5809" s="3" t="s">
        <v>11</v>
      </c>
    </row>
    <row r="5810" spans="1:8" ht="26.25" x14ac:dyDescent="0.25">
      <c r="A5810" s="3" t="s">
        <v>17130</v>
      </c>
      <c r="B5810" s="3"/>
      <c r="C5810" s="3" t="str">
        <f>"Distributor of safety and environmental products"</f>
        <v>Distributor of safety and environmental products</v>
      </c>
      <c r="D5810" s="3" t="s">
        <v>17131</v>
      </c>
      <c r="E5810" s="3" t="s">
        <v>17132</v>
      </c>
      <c r="F5810" s="3" t="str">
        <f>"812-425-5167"</f>
        <v>812-425-5167</v>
      </c>
      <c r="G5810" s="3">
        <v>42431</v>
      </c>
      <c r="H5810" s="3" t="s">
        <v>15600</v>
      </c>
    </row>
    <row r="5811" spans="1:8" ht="26.25" x14ac:dyDescent="0.25">
      <c r="A5811" s="3" t="s">
        <v>17133</v>
      </c>
      <c r="B5811" s="3"/>
      <c r="C5811" s="3" t="str">
        <f>"COMPLETE DIVISION 10 BUILDING MATERIALS SUPPLIER"</f>
        <v>COMPLETE DIVISION 10 BUILDING MATERIALS SUPPLIER</v>
      </c>
      <c r="D5811" s="3" t="s">
        <v>17134</v>
      </c>
      <c r="E5811" s="3" t="s">
        <v>17135</v>
      </c>
      <c r="F5811" s="3" t="str">
        <f>"317-635-3888"</f>
        <v>317-635-3888</v>
      </c>
      <c r="G5811" s="3">
        <v>23</v>
      </c>
      <c r="H5811" s="3" t="s">
        <v>133</v>
      </c>
    </row>
    <row r="5812" spans="1:8" ht="115.5" x14ac:dyDescent="0.25">
      <c r="A5812" s="3" t="s">
        <v>17136</v>
      </c>
      <c r="B5812" s="3"/>
      <c r="C5812" s="3" t="s">
        <v>17137</v>
      </c>
      <c r="D5812" s="3" t="s">
        <v>9</v>
      </c>
      <c r="E5812" s="3" t="s">
        <v>17138</v>
      </c>
      <c r="F5812" s="2"/>
      <c r="G5812" s="3">
        <v>23</v>
      </c>
      <c r="H5812" s="3" t="s">
        <v>133</v>
      </c>
    </row>
    <row r="5813" spans="1:8" ht="64.5" x14ac:dyDescent="0.25">
      <c r="A5813" s="3" t="s">
        <v>17139</v>
      </c>
      <c r="B5813" s="3"/>
      <c r="C5813" s="3" t="str">
        <f>"GENERAL EYECARE: GLASSES, CONTACTS, TREATMENT OF INFECTIONS AND DISEASES OF THE EYE. LASIK AND CATARACT SURGERY CONSULTATIONS. PEDIATRIC AND LOW VISION EXAMS."</f>
        <v>GENERAL EYECARE: GLASSES, CONTACTS, TREATMENT OF INFECTIONS AND DISEASES OF THE EYE. LASIK AND CATARACT SURGERY CONSULTATIONS. PEDIATRIC AND LOW VISION EXAMS.</v>
      </c>
      <c r="D5813" s="3" t="s">
        <v>17140</v>
      </c>
      <c r="E5813" s="3" t="s">
        <v>46</v>
      </c>
      <c r="F5813" s="3" t="str">
        <f>"260-416-0800"</f>
        <v>260-416-0800</v>
      </c>
      <c r="G5813" s="3">
        <v>621320</v>
      </c>
      <c r="H5813" s="3" t="s">
        <v>9878</v>
      </c>
    </row>
    <row r="5814" spans="1:8" ht="26.25" x14ac:dyDescent="0.25">
      <c r="A5814" s="3" t="s">
        <v>17141</v>
      </c>
      <c r="B5814" s="3"/>
      <c r="C5814" s="3" t="str">
        <f>"Automotive collision repair."</f>
        <v>Automotive collision repair.</v>
      </c>
      <c r="D5814" s="3" t="s">
        <v>17142</v>
      </c>
      <c r="E5814" s="3" t="s">
        <v>17143</v>
      </c>
      <c r="F5814" s="3" t="str">
        <f>"812-347-2937"</f>
        <v>812-347-2937</v>
      </c>
      <c r="G5814" s="3">
        <v>81112</v>
      </c>
      <c r="H5814" s="3" t="s">
        <v>3041</v>
      </c>
    </row>
    <row r="5815" spans="1:8" ht="128.25" x14ac:dyDescent="0.25">
      <c r="A5815" s="3" t="s">
        <v>17144</v>
      </c>
      <c r="B5815" s="3"/>
      <c r="C5815" s="3" t="s">
        <v>17145</v>
      </c>
      <c r="D5815" s="3" t="s">
        <v>9</v>
      </c>
      <c r="E5815" s="3" t="s">
        <v>17146</v>
      </c>
      <c r="F5815" s="3" t="str">
        <f>"219-677-6050"</f>
        <v>219-677-6050</v>
      </c>
      <c r="G5815" s="3">
        <v>2354</v>
      </c>
      <c r="H5815" s="3" t="s">
        <v>17147</v>
      </c>
    </row>
    <row r="5816" spans="1:8" ht="115.5" x14ac:dyDescent="0.25">
      <c r="A5816" s="3" t="s">
        <v>17148</v>
      </c>
      <c r="B5816" s="3"/>
      <c r="C5816" s="3" t="s">
        <v>17149</v>
      </c>
      <c r="D5816" s="3" t="s">
        <v>17150</v>
      </c>
      <c r="E5816" s="3" t="s">
        <v>17151</v>
      </c>
      <c r="F5816" s="3" t="str">
        <f>"1-800-992-8918"</f>
        <v>1-800-992-8918</v>
      </c>
      <c r="G5816" s="3">
        <v>423820</v>
      </c>
      <c r="H5816" s="3" t="s">
        <v>2902</v>
      </c>
    </row>
    <row r="5817" spans="1:8" ht="243" x14ac:dyDescent="0.25">
      <c r="A5817" s="3" t="s">
        <v>17152</v>
      </c>
      <c r="B5817" s="3"/>
      <c r="C5817" s="3" t="s">
        <v>17153</v>
      </c>
      <c r="D5817" s="3" t="s">
        <v>17154</v>
      </c>
      <c r="E5817" s="3" t="s">
        <v>17155</v>
      </c>
      <c r="F5817" s="3" t="str">
        <f>"812-634-1550"</f>
        <v>812-634-1550</v>
      </c>
      <c r="G5817" s="3">
        <v>5415</v>
      </c>
      <c r="H5817" s="3" t="s">
        <v>188</v>
      </c>
    </row>
    <row r="5818" spans="1:8" ht="26.25" x14ac:dyDescent="0.25">
      <c r="A5818" s="3" t="s">
        <v>17156</v>
      </c>
      <c r="B5818" s="3"/>
      <c r="C5818" s="3" t="str">
        <f>"MOTORYCLE, ATV, SNOWMOBILE SALES AND SERVICE"</f>
        <v>MOTORYCLE, ATV, SNOWMOBILE SALES AND SERVICE</v>
      </c>
      <c r="D5818" s="3" t="s">
        <v>17157</v>
      </c>
      <c r="E5818" s="3" t="s">
        <v>17158</v>
      </c>
      <c r="F5818" s="3" t="str">
        <f>"765-472-2423"</f>
        <v>765-472-2423</v>
      </c>
      <c r="G5818" s="3">
        <v>2359</v>
      </c>
      <c r="H5818" s="3" t="s">
        <v>631</v>
      </c>
    </row>
    <row r="5819" spans="1:8" ht="26.25" x14ac:dyDescent="0.25">
      <c r="A5819" s="3" t="s">
        <v>17159</v>
      </c>
      <c r="B5819" s="3"/>
      <c r="C5819" s="2"/>
      <c r="D5819" s="3" t="s">
        <v>17160</v>
      </c>
      <c r="E5819" s="3" t="s">
        <v>17161</v>
      </c>
      <c r="F5819" s="3" t="str">
        <f>"317-585-1691"</f>
        <v>317-585-1691</v>
      </c>
      <c r="G5819" s="3">
        <v>561310</v>
      </c>
      <c r="H5819" s="3" t="s">
        <v>1720</v>
      </c>
    </row>
    <row r="5820" spans="1:8" ht="26.25" x14ac:dyDescent="0.25">
      <c r="A5820" s="3" t="s">
        <v>17162</v>
      </c>
      <c r="B5820" s="3"/>
      <c r="C5820" s="2"/>
      <c r="D5820" s="3" t="s">
        <v>9</v>
      </c>
      <c r="E5820" s="3" t="s">
        <v>46</v>
      </c>
      <c r="F5820" s="2"/>
      <c r="G5820" s="3">
        <v>238220</v>
      </c>
      <c r="H5820" s="3" t="s">
        <v>348</v>
      </c>
    </row>
    <row r="5821" spans="1:8" ht="102.75" x14ac:dyDescent="0.25">
      <c r="A5821" s="3" t="s">
        <v>17163</v>
      </c>
      <c r="B5821" s="3"/>
      <c r="C5821" s="3" t="s">
        <v>17164</v>
      </c>
      <c r="D5821" s="3" t="s">
        <v>17165</v>
      </c>
      <c r="E5821" s="3" t="s">
        <v>17166</v>
      </c>
      <c r="F5821" s="3" t="str">
        <f>"812-235-8171"</f>
        <v>812-235-8171</v>
      </c>
      <c r="G5821" s="3">
        <v>221310</v>
      </c>
      <c r="H5821" s="3" t="s">
        <v>1833</v>
      </c>
    </row>
    <row r="5822" spans="1:8" ht="319.5" x14ac:dyDescent="0.25">
      <c r="A5822" s="3" t="s">
        <v>17167</v>
      </c>
      <c r="B5822" s="3"/>
      <c r="C5822" s="3" t="s">
        <v>17168</v>
      </c>
      <c r="D5822" s="3" t="s">
        <v>17169</v>
      </c>
      <c r="E5822" s="3" t="s">
        <v>17170</v>
      </c>
      <c r="F5822" s="3" t="str">
        <f>"317-297-7842"</f>
        <v>317-297-7842</v>
      </c>
      <c r="G5822" s="3">
        <v>561320</v>
      </c>
      <c r="H5822" s="3" t="s">
        <v>15</v>
      </c>
    </row>
    <row r="5823" spans="1:8" ht="51.75" x14ac:dyDescent="0.25">
      <c r="A5823" s="3" t="s">
        <v>17171</v>
      </c>
      <c r="B5823" s="3"/>
      <c r="C5823" s="3" t="str">
        <f>"MBD Services LLC provides painting, interior design and staging services to the industrial, commerical and residential arenas."</f>
        <v>MBD Services LLC provides painting, interior design and staging services to the industrial, commerical and residential arenas.</v>
      </c>
      <c r="D5823" s="3" t="s">
        <v>17172</v>
      </c>
      <c r="E5823" s="3" t="s">
        <v>17173</v>
      </c>
      <c r="F5823" s="3" t="str">
        <f>"2195549003"</f>
        <v>2195549003</v>
      </c>
      <c r="G5823" s="3">
        <v>238320</v>
      </c>
      <c r="H5823" s="3" t="s">
        <v>462</v>
      </c>
    </row>
    <row r="5824" spans="1:8" ht="26.25" x14ac:dyDescent="0.25">
      <c r="A5824" s="3" t="s">
        <v>17174</v>
      </c>
      <c r="B5824" s="3"/>
      <c r="C5824" s="3" t="str">
        <f>"Print, graphics, finishing, distribution and mailing services"</f>
        <v>Print, graphics, finishing, distribution and mailing services</v>
      </c>
      <c r="D5824" s="3" t="s">
        <v>17175</v>
      </c>
      <c r="E5824" s="3" t="s">
        <v>17176</v>
      </c>
      <c r="F5824" s="3" t="str">
        <f>"866-433-7424"</f>
        <v>866-433-7424</v>
      </c>
      <c r="G5824" s="3">
        <v>323110</v>
      </c>
      <c r="H5824" s="3" t="s">
        <v>1900</v>
      </c>
    </row>
    <row r="5825" spans="1:8" ht="192" x14ac:dyDescent="0.25">
      <c r="A5825" s="3" t="s">
        <v>17177</v>
      </c>
      <c r="B5825" s="3"/>
      <c r="C5825" s="3" t="s">
        <v>17178</v>
      </c>
      <c r="D5825" s="3" t="s">
        <v>17179</v>
      </c>
      <c r="E5825" s="3" t="s">
        <v>17180</v>
      </c>
      <c r="F5825" s="3" t="str">
        <f>"317-636-4444"</f>
        <v>317-636-4444</v>
      </c>
      <c r="G5825" s="3">
        <v>722320</v>
      </c>
      <c r="H5825" s="3" t="s">
        <v>266</v>
      </c>
    </row>
    <row r="5826" spans="1:8" x14ac:dyDescent="0.25">
      <c r="A5826" s="3" t="s">
        <v>17181</v>
      </c>
      <c r="B5826" s="3"/>
      <c r="C5826" s="3" t="str">
        <f>" "</f>
        <v xml:space="preserve"> </v>
      </c>
      <c r="D5826" s="3" t="s">
        <v>9</v>
      </c>
      <c r="E5826" s="3" t="s">
        <v>46</v>
      </c>
      <c r="F5826" s="2"/>
      <c r="G5826" s="3">
        <v>238990</v>
      </c>
      <c r="H5826" s="3" t="s">
        <v>481</v>
      </c>
    </row>
    <row r="5827" spans="1:8" ht="26.25" x14ac:dyDescent="0.25">
      <c r="A5827" s="3" t="s">
        <v>17182</v>
      </c>
      <c r="B5827" s="3"/>
      <c r="C5827" s="3" t="str">
        <f>"Secondary aluminum smelter"</f>
        <v>Secondary aluminum smelter</v>
      </c>
      <c r="D5827" s="3" t="s">
        <v>17183</v>
      </c>
      <c r="E5827" s="3" t="s">
        <v>17184</v>
      </c>
      <c r="F5827" s="3" t="str">
        <f>"812-342-1141"</f>
        <v>812-342-1141</v>
      </c>
      <c r="G5827" s="3">
        <v>331314</v>
      </c>
      <c r="H5827" s="3" t="s">
        <v>17185</v>
      </c>
    </row>
    <row r="5828" spans="1:8" ht="90" x14ac:dyDescent="0.25">
      <c r="A5828" s="3" t="s">
        <v>17186</v>
      </c>
      <c r="B5828" s="3"/>
      <c r="C5828" s="3" t="s">
        <v>17187</v>
      </c>
      <c r="D5828" s="3" t="s">
        <v>17188</v>
      </c>
      <c r="E5828" s="3" t="s">
        <v>17189</v>
      </c>
      <c r="F5828" s="3" t="str">
        <f>"219-512-5238"</f>
        <v>219-512-5238</v>
      </c>
      <c r="G5828" s="3">
        <v>624110</v>
      </c>
      <c r="H5828" s="3" t="s">
        <v>628</v>
      </c>
    </row>
    <row r="5829" spans="1:8" ht="77.25" x14ac:dyDescent="0.25">
      <c r="A5829" s="3" t="s">
        <v>17190</v>
      </c>
      <c r="B5829" s="3"/>
      <c r="C5829" s="3" t="str">
        <f>"We are a double franchise dealership selling new Ford, Lincoln, Mercury, Chrysler, Dodge and Jeep products along with all makes and models of program and good used cars and trucks. We also have a parts, service and bodyshop department."</f>
        <v>We are a double franchise dealership selling new Ford, Lincoln, Mercury, Chrysler, Dodge and Jeep products along with all makes and models of program and good used cars and trucks. We also have a parts, service and bodyshop department.</v>
      </c>
      <c r="D5829" s="3" t="s">
        <v>17191</v>
      </c>
      <c r="E5829" s="3" t="s">
        <v>17192</v>
      </c>
      <c r="F5829" s="3" t="str">
        <f>"812/273-5411"</f>
        <v>812/273-5411</v>
      </c>
      <c r="G5829" s="3">
        <v>4411</v>
      </c>
      <c r="H5829" s="3" t="s">
        <v>1015</v>
      </c>
    </row>
    <row r="5830" spans="1:8" ht="77.25" x14ac:dyDescent="0.25">
      <c r="A5830" s="3" t="s">
        <v>17193</v>
      </c>
      <c r="B5830" s="3"/>
      <c r="C5830" s="3" t="str">
        <f>"Specialized industrial cleaning as follows; Exhaust Hood Cleaning, Exhaust Hood Consulting, HVAC Cleaning, Window Cleaning, Carpet/Floor Cleaning, Concrete Cleaning, and Commercial Kitchen Equipment Detailing."</f>
        <v>Specialized industrial cleaning as follows; Exhaust Hood Cleaning, Exhaust Hood Consulting, HVAC Cleaning, Window Cleaning, Carpet/Floor Cleaning, Concrete Cleaning, and Commercial Kitchen Equipment Detailing.</v>
      </c>
      <c r="D5830" s="3" t="s">
        <v>17194</v>
      </c>
      <c r="E5830" s="3" t="s">
        <v>17195</v>
      </c>
      <c r="F5830" s="3" t="str">
        <f>"317-202-0360"</f>
        <v>317-202-0360</v>
      </c>
      <c r="G5830" s="3">
        <v>561790</v>
      </c>
      <c r="H5830" s="3" t="s">
        <v>2113</v>
      </c>
    </row>
    <row r="5831" spans="1:8" ht="26.25" x14ac:dyDescent="0.25">
      <c r="A5831" s="3" t="s">
        <v>17196</v>
      </c>
      <c r="B5831" s="3"/>
      <c r="C5831" s="3" t="str">
        <f>"Wholesale distribution of silicone sealants and other related products."</f>
        <v>Wholesale distribution of silicone sealants and other related products.</v>
      </c>
      <c r="D5831" s="3" t="s">
        <v>17197</v>
      </c>
      <c r="E5831" s="3" t="s">
        <v>17198</v>
      </c>
      <c r="F5831" s="3" t="str">
        <f>"317-813-0023"</f>
        <v>317-813-0023</v>
      </c>
      <c r="G5831" s="3">
        <v>422</v>
      </c>
      <c r="H5831" s="3" t="s">
        <v>16038</v>
      </c>
    </row>
    <row r="5832" spans="1:8" ht="51.75" x14ac:dyDescent="0.25">
      <c r="A5832" s="3" t="s">
        <v>17199</v>
      </c>
      <c r="B5832" s="3"/>
      <c r="C5832" s="3" t="str">
        <f>"full line wholesale distributor of food products. Grocery, frozen, dry goods, seafood, poultry, meat, produce and other items"</f>
        <v>full line wholesale distributor of food products. Grocery, frozen, dry goods, seafood, poultry, meat, produce and other items</v>
      </c>
      <c r="D5832" s="3" t="s">
        <v>17200</v>
      </c>
      <c r="E5832" s="3" t="s">
        <v>17201</v>
      </c>
      <c r="F5832" s="3" t="str">
        <f>"317-635-2633"</f>
        <v>317-635-2633</v>
      </c>
      <c r="G5832" s="3">
        <v>4244</v>
      </c>
      <c r="H5832" s="3" t="s">
        <v>2311</v>
      </c>
    </row>
    <row r="5833" spans="1:8" ht="166.5" x14ac:dyDescent="0.25">
      <c r="A5833" s="3" t="s">
        <v>17202</v>
      </c>
      <c r="B5833" s="3"/>
      <c r="C5833" s="3" t="s">
        <v>17203</v>
      </c>
      <c r="D5833" s="3" t="s">
        <v>17204</v>
      </c>
      <c r="E5833" s="3" t="s">
        <v>17205</v>
      </c>
      <c r="F5833" s="3" t="str">
        <f>"317-502-6763"</f>
        <v>317-502-6763</v>
      </c>
      <c r="G5833" s="3">
        <v>541410</v>
      </c>
      <c r="H5833" s="3" t="s">
        <v>687</v>
      </c>
    </row>
    <row r="5834" spans="1:8" ht="51.75" x14ac:dyDescent="0.25">
      <c r="A5834" s="3" t="s">
        <v>17206</v>
      </c>
      <c r="B5834" s="3"/>
      <c r="C5834" s="3" t="str">
        <f>"Business provides professional commercial property management services, asset management, brokerage and site inspection services."</f>
        <v>Business provides professional commercial property management services, asset management, brokerage and site inspection services.</v>
      </c>
      <c r="D5834" s="3" t="s">
        <v>17207</v>
      </c>
      <c r="E5834" s="3" t="s">
        <v>17208</v>
      </c>
      <c r="F5834" s="3" t="str">
        <f>"317-414-6663"</f>
        <v>317-414-6663</v>
      </c>
      <c r="G5834" s="3">
        <v>531312</v>
      </c>
      <c r="H5834" s="3" t="s">
        <v>136</v>
      </c>
    </row>
    <row r="5835" spans="1:8" ht="26.25" x14ac:dyDescent="0.25">
      <c r="A5835" s="3" t="s">
        <v>17209</v>
      </c>
      <c r="B5835" s="3"/>
      <c r="C5835" s="3" t="str">
        <f>"Management Consulting, Engineering engineering and inspection services."</f>
        <v>Management Consulting, Engineering engineering and inspection services.</v>
      </c>
      <c r="D5835" s="3" t="s">
        <v>9</v>
      </c>
      <c r="E5835" s="3" t="s">
        <v>46</v>
      </c>
      <c r="F5835" s="3" t="str">
        <f>"317-328-9564"</f>
        <v>317-328-9564</v>
      </c>
      <c r="G5835" s="3">
        <v>541330</v>
      </c>
      <c r="H5835" s="3" t="s">
        <v>82</v>
      </c>
    </row>
    <row r="5836" spans="1:8" ht="26.25" x14ac:dyDescent="0.25">
      <c r="A5836" s="3" t="s">
        <v>17210</v>
      </c>
      <c r="B5836" s="3"/>
      <c r="C5836" s="3" t="str">
        <f>"Electrical Supplies and Products"</f>
        <v>Electrical Supplies and Products</v>
      </c>
      <c r="D5836" s="3" t="s">
        <v>9</v>
      </c>
      <c r="E5836" s="3" t="s">
        <v>17211</v>
      </c>
      <c r="F5836" s="2"/>
      <c r="G5836" s="3">
        <v>423690</v>
      </c>
      <c r="H5836" s="3" t="s">
        <v>6724</v>
      </c>
    </row>
    <row r="5837" spans="1:8" ht="51.75" x14ac:dyDescent="0.25">
      <c r="A5837" s="3" t="s">
        <v>17212</v>
      </c>
      <c r="B5837" s="3"/>
      <c r="C5837" s="3" t="str">
        <f>"Excavating contractor performing, drain tile repair, residential drain tile installation, rough grading, land clearing, gravel parking lots and driveways, building pad prep."</f>
        <v>Excavating contractor performing, drain tile repair, residential drain tile installation, rough grading, land clearing, gravel parking lots and driveways, building pad prep.</v>
      </c>
      <c r="D5837" s="3" t="s">
        <v>17213</v>
      </c>
      <c r="E5837" s="3" t="s">
        <v>17214</v>
      </c>
      <c r="F5837" s="3" t="str">
        <f>"765-601-2124"</f>
        <v>765-601-2124</v>
      </c>
      <c r="G5837" s="3">
        <v>238910</v>
      </c>
      <c r="H5837" s="3" t="s">
        <v>886</v>
      </c>
    </row>
    <row r="5838" spans="1:8" ht="64.5" x14ac:dyDescent="0.25">
      <c r="A5838" s="3" t="s">
        <v>17215</v>
      </c>
      <c r="B5838" s="3"/>
      <c r="C5838" s="3" t="str">
        <f>"Networking,Purchasing &amp; setup of Computer and related hardware/software. Office relocations. Telecommunications. Troubleshooting. Training. Web Design, hosting and connectivity."</f>
        <v>Networking,Purchasing &amp; setup of Computer and related hardware/software. Office relocations. Telecommunications. Troubleshooting. Training. Web Design, hosting and connectivity.</v>
      </c>
      <c r="D5838" s="3" t="s">
        <v>17216</v>
      </c>
      <c r="E5838" s="3" t="s">
        <v>17217</v>
      </c>
      <c r="F5838" s="3" t="str">
        <f>"502-773-3451"</f>
        <v>502-773-3451</v>
      </c>
      <c r="G5838" s="3">
        <v>541512</v>
      </c>
      <c r="H5838" s="3" t="s">
        <v>19</v>
      </c>
    </row>
    <row r="5839" spans="1:8" ht="294" x14ac:dyDescent="0.25">
      <c r="A5839" s="3" t="s">
        <v>17218</v>
      </c>
      <c r="B5839" s="3"/>
      <c r="C5839" s="3" t="s">
        <v>17219</v>
      </c>
      <c r="D5839" s="3" t="s">
        <v>17220</v>
      </c>
      <c r="E5839" s="3" t="s">
        <v>17221</v>
      </c>
      <c r="F5839" s="3" t="str">
        <f>"317.558.2822"</f>
        <v>317.558.2822</v>
      </c>
      <c r="G5839" s="3">
        <v>541310</v>
      </c>
      <c r="H5839" s="3" t="s">
        <v>446</v>
      </c>
    </row>
    <row r="5840" spans="1:8" ht="77.25" x14ac:dyDescent="0.25">
      <c r="A5840" s="3" t="s">
        <v>17222</v>
      </c>
      <c r="B5840" s="3"/>
      <c r="C5840" s="3" t="str">
        <f>"Affinis is proud to present a premium assortment of commercial food service products. We specialize in ice cream, shake and frozen beverage machines, commercial heater/proofer and transport cabinets, commercial ovens and plastic wares."</f>
        <v>Affinis is proud to present a premium assortment of commercial food service products. We specialize in ice cream, shake and frozen beverage machines, commercial heater/proofer and transport cabinets, commercial ovens and plastic wares.</v>
      </c>
      <c r="D5840" s="3" t="s">
        <v>17223</v>
      </c>
      <c r="E5840" s="3" t="s">
        <v>17224</v>
      </c>
      <c r="F5840" s="3" t="str">
        <f>"317-831-7030"</f>
        <v>317-831-7030</v>
      </c>
      <c r="G5840" s="3">
        <v>333294</v>
      </c>
      <c r="H5840" s="3" t="s">
        <v>17225</v>
      </c>
    </row>
    <row r="5841" spans="1:8" ht="26.25" x14ac:dyDescent="0.25">
      <c r="A5841" s="3" t="s">
        <v>17226</v>
      </c>
      <c r="B5841" s="3"/>
      <c r="C5841" s="2"/>
      <c r="D5841" s="3" t="s">
        <v>9</v>
      </c>
      <c r="E5841" s="3" t="s">
        <v>46</v>
      </c>
      <c r="F5841" s="3" t="str">
        <f>"317-578-2737"</f>
        <v>317-578-2737</v>
      </c>
      <c r="G5841" s="3">
        <v>23331</v>
      </c>
      <c r="H5841" s="3" t="s">
        <v>5828</v>
      </c>
    </row>
    <row r="5842" spans="1:8" ht="26.25" x14ac:dyDescent="0.25">
      <c r="A5842" s="3" t="s">
        <v>17227</v>
      </c>
      <c r="B5842" s="3"/>
      <c r="C5842" s="3" t="str">
        <f>" "</f>
        <v xml:space="preserve"> </v>
      </c>
      <c r="D5842" s="3" t="s">
        <v>17228</v>
      </c>
      <c r="E5842" s="3" t="s">
        <v>17229</v>
      </c>
      <c r="F5842" s="3" t="str">
        <f>"9312373719"</f>
        <v>9312373719</v>
      </c>
      <c r="G5842" s="3">
        <v>339112</v>
      </c>
      <c r="H5842" s="3" t="s">
        <v>6022</v>
      </c>
    </row>
    <row r="5843" spans="1:8" ht="332.25" x14ac:dyDescent="0.25">
      <c r="A5843" s="3" t="s">
        <v>17230</v>
      </c>
      <c r="B5843" s="3"/>
      <c r="C5843" s="3" t="s">
        <v>17231</v>
      </c>
      <c r="D5843" s="3" t="s">
        <v>17232</v>
      </c>
      <c r="E5843" s="3" t="s">
        <v>17233</v>
      </c>
      <c r="F5843" s="3" t="str">
        <f>"317-568-1953"</f>
        <v>317-568-1953</v>
      </c>
      <c r="G5843" s="3">
        <v>54161</v>
      </c>
      <c r="H5843" s="3" t="s">
        <v>1221</v>
      </c>
    </row>
    <row r="5844" spans="1:8" ht="51.75" x14ac:dyDescent="0.25">
      <c r="A5844" s="3" t="s">
        <v>17234</v>
      </c>
      <c r="B5844" s="3"/>
      <c r="C5844" s="3" t="str">
        <f>"Small Indiana business specializing in pond management, pond construction, dredging, stream restoration, erosion control and related activities."</f>
        <v>Small Indiana business specializing in pond management, pond construction, dredging, stream restoration, erosion control and related activities.</v>
      </c>
      <c r="D5844" s="3" t="s">
        <v>17235</v>
      </c>
      <c r="E5844" s="3" t="s">
        <v>17236</v>
      </c>
      <c r="F5844" s="3" t="str">
        <f>"574-596-0829"</f>
        <v>574-596-0829</v>
      </c>
      <c r="G5844" s="3">
        <v>237990</v>
      </c>
      <c r="H5844" s="3" t="s">
        <v>2631</v>
      </c>
    </row>
    <row r="5845" spans="1:8" ht="77.25" x14ac:dyDescent="0.25">
      <c r="A5845" s="3" t="s">
        <v>17237</v>
      </c>
      <c r="B5845" s="3"/>
      <c r="C5845" s="3" t="str">
        <f>"Specializing as a WBE based buisness for selling and delivery of contruction materials such as aggregates ,concrete supply aggregates and concrete pipe products with price and quality being number one priority."</f>
        <v>Specializing as a WBE based buisness for selling and delivery of contruction materials such as aggregates ,concrete supply aggregates and concrete pipe products with price and quality being number one priority.</v>
      </c>
      <c r="D5845" s="3" t="s">
        <v>9</v>
      </c>
      <c r="E5845" s="3" t="s">
        <v>17238</v>
      </c>
      <c r="F5845" s="3" t="str">
        <f>"219-866-8028"</f>
        <v>219-866-8028</v>
      </c>
      <c r="G5845" s="3">
        <v>561730</v>
      </c>
      <c r="H5845" s="3" t="s">
        <v>65</v>
      </c>
    </row>
    <row r="5846" spans="1:8" ht="64.5" x14ac:dyDescent="0.25">
      <c r="A5846" s="3" t="s">
        <v>17239</v>
      </c>
      <c r="B5846" s="3"/>
      <c r="C5846" s="3" t="str">
        <f>"MDS ENVIRONMENTAL SERVICES, Inc offers services such as: ASBESTOS AIR QUALITY MONITORING, ASBESTOS JOB MANAGEMENT, ASBESTOS SURVEYS, LEAD SURVEYS, MOLD REMEDIATION."</f>
        <v>MDS ENVIRONMENTAL SERVICES, Inc offers services such as: ASBESTOS AIR QUALITY MONITORING, ASBESTOS JOB MANAGEMENT, ASBESTOS SURVEYS, LEAD SURVEYS, MOLD REMEDIATION.</v>
      </c>
      <c r="D5846" s="3" t="s">
        <v>9</v>
      </c>
      <c r="E5846" s="3" t="s">
        <v>17240</v>
      </c>
      <c r="F5846" s="3" t="str">
        <f>"317/430-0378 &amp; 430-8221"</f>
        <v>317/430-0378 &amp; 430-8221</v>
      </c>
      <c r="G5846" s="3">
        <v>562910</v>
      </c>
      <c r="H5846" s="3" t="s">
        <v>2278</v>
      </c>
    </row>
    <row r="5847" spans="1:8" ht="26.25" x14ac:dyDescent="0.25">
      <c r="A5847" s="3" t="s">
        <v>17241</v>
      </c>
      <c r="B5847" s="3"/>
      <c r="C5847" s="3" t="str">
        <f>"Assist business grow across Pacific between Asia and the U.S."</f>
        <v>Assist business grow across Pacific between Asia and the U.S.</v>
      </c>
      <c r="D5847" s="3" t="s">
        <v>9</v>
      </c>
      <c r="E5847" s="3" t="s">
        <v>17242</v>
      </c>
      <c r="F5847" s="2"/>
      <c r="G5847" s="3">
        <v>541611</v>
      </c>
      <c r="H5847" s="3" t="s">
        <v>278</v>
      </c>
    </row>
    <row r="5848" spans="1:8" ht="26.25" x14ac:dyDescent="0.25">
      <c r="A5848" s="3" t="s">
        <v>17243</v>
      </c>
      <c r="B5848" s="3"/>
      <c r="C5848" s="3" t="str">
        <f>"Medicaid only, non-for-profit, health maintenance organization"</f>
        <v>Medicaid only, non-for-profit, health maintenance organization</v>
      </c>
      <c r="D5848" s="3" t="s">
        <v>17244</v>
      </c>
      <c r="E5848" s="3" t="s">
        <v>17245</v>
      </c>
      <c r="F5848" s="3" t="str">
        <f>"317-822-7300"</f>
        <v>317-822-7300</v>
      </c>
      <c r="G5848" s="3">
        <v>624190</v>
      </c>
      <c r="H5848" s="3" t="s">
        <v>54</v>
      </c>
    </row>
    <row r="5849" spans="1:8" ht="39" x14ac:dyDescent="0.25">
      <c r="A5849" s="3" t="s">
        <v>17246</v>
      </c>
      <c r="B5849" s="3"/>
      <c r="C5849" s="3" t="str">
        <f>"Cleaning service suited to serve small to medium size businesses, flexible hours and services offered, and very detail oriented."</f>
        <v>Cleaning service suited to serve small to medium size businesses, flexible hours and services offered, and very detail oriented.</v>
      </c>
      <c r="D5849" s="3" t="s">
        <v>9</v>
      </c>
      <c r="E5849" s="3" t="s">
        <v>17247</v>
      </c>
      <c r="F5849" s="3" t="str">
        <f>"765-362-4849"</f>
        <v>765-362-4849</v>
      </c>
      <c r="G5849" s="3">
        <v>812990</v>
      </c>
      <c r="H5849" s="3" t="s">
        <v>294</v>
      </c>
    </row>
    <row r="5850" spans="1:8" ht="51.75" x14ac:dyDescent="0.25">
      <c r="A5850" s="3" t="s">
        <v>17248</v>
      </c>
      <c r="B5850" s="3"/>
      <c r="C5850" s="3" t="str">
        <f>"Sale,rental, lease, reserve-rental of emergency equipment. A &amp; E Consulting Engineering Firm and Facility Management Firm."</f>
        <v>Sale,rental, lease, reserve-rental of emergency equipment. A &amp; E Consulting Engineering Firm and Facility Management Firm.</v>
      </c>
      <c r="D5850" s="3" t="s">
        <v>9</v>
      </c>
      <c r="E5850" s="3" t="s">
        <v>17249</v>
      </c>
      <c r="F5850" s="3" t="str">
        <f>"937-484-3017"</f>
        <v>937-484-3017</v>
      </c>
      <c r="G5850" s="3">
        <v>22132</v>
      </c>
      <c r="H5850" s="3" t="s">
        <v>734</v>
      </c>
    </row>
    <row r="5851" spans="1:8" ht="102.75" x14ac:dyDescent="0.25">
      <c r="A5851" s="3" t="s">
        <v>17250</v>
      </c>
      <c r="B5851" s="3"/>
      <c r="C5851" s="3" t="s">
        <v>17251</v>
      </c>
      <c r="D5851" s="3" t="s">
        <v>9</v>
      </c>
      <c r="E5851" s="3" t="s">
        <v>17252</v>
      </c>
      <c r="F5851" s="3" t="str">
        <f>"317-308-8228"</f>
        <v>317-308-8228</v>
      </c>
      <c r="G5851" s="3">
        <v>561720</v>
      </c>
      <c r="H5851" s="3" t="s">
        <v>222</v>
      </c>
    </row>
    <row r="5852" spans="1:8" ht="39" x14ac:dyDescent="0.25">
      <c r="A5852" s="3" t="s">
        <v>17253</v>
      </c>
      <c r="B5852" s="3"/>
      <c r="C5852" s="3" t="str">
        <f>"Provides health information consulting and educational services. Sells health record forms."</f>
        <v>Provides health information consulting and educational services. Sells health record forms.</v>
      </c>
      <c r="D5852" s="3" t="s">
        <v>9</v>
      </c>
      <c r="E5852" s="3" t="s">
        <v>46</v>
      </c>
      <c r="F5852" s="2"/>
      <c r="G5852" s="3">
        <v>621399</v>
      </c>
      <c r="H5852" s="3" t="s">
        <v>2306</v>
      </c>
    </row>
    <row r="5853" spans="1:8" ht="115.5" x14ac:dyDescent="0.25">
      <c r="A5853" s="3" t="s">
        <v>17254</v>
      </c>
      <c r="B5853" s="3"/>
      <c r="C5853" s="3" t="s">
        <v>17255</v>
      </c>
      <c r="D5853" s="3" t="s">
        <v>9</v>
      </c>
      <c r="E5853" s="3" t="s">
        <v>46</v>
      </c>
      <c r="F5853" s="3" t="str">
        <f>"765 284-4411"</f>
        <v>765 284-4411</v>
      </c>
      <c r="G5853" s="3">
        <v>812320</v>
      </c>
      <c r="H5853" s="3" t="s">
        <v>204</v>
      </c>
    </row>
    <row r="5854" spans="1:8" ht="26.25" x14ac:dyDescent="0.25">
      <c r="A5854" s="3" t="s">
        <v>17256</v>
      </c>
      <c r="B5854" s="3"/>
      <c r="C5854" s="3" t="str">
        <f>"Rapid Medical Care, Urgent Care, Family Health Care, Laboratory"</f>
        <v>Rapid Medical Care, Urgent Care, Family Health Care, Laboratory</v>
      </c>
      <c r="D5854" s="3" t="s">
        <v>17257</v>
      </c>
      <c r="E5854" s="3" t="s">
        <v>17258</v>
      </c>
      <c r="F5854" s="3" t="str">
        <f>"260-486-3581"</f>
        <v>260-486-3581</v>
      </c>
      <c r="G5854" s="3">
        <v>62</v>
      </c>
      <c r="H5854" s="3" t="s">
        <v>1168</v>
      </c>
    </row>
    <row r="5855" spans="1:8" ht="128.25" x14ac:dyDescent="0.25">
      <c r="A5855" s="3" t="s">
        <v>17259</v>
      </c>
      <c r="B5855" s="3"/>
      <c r="C5855" s="3" t="s">
        <v>17260</v>
      </c>
      <c r="D5855" s="3" t="s">
        <v>17261</v>
      </c>
      <c r="E5855" s="3" t="s">
        <v>17262</v>
      </c>
      <c r="F5855" s="3" t="str">
        <f>"317-852-5112"</f>
        <v>317-852-5112</v>
      </c>
      <c r="G5855" s="3">
        <v>423430</v>
      </c>
      <c r="H5855" s="3" t="s">
        <v>127</v>
      </c>
    </row>
    <row r="5856" spans="1:8" ht="90" x14ac:dyDescent="0.25">
      <c r="A5856" s="3" t="s">
        <v>17263</v>
      </c>
      <c r="B5856" s="3"/>
      <c r="C5856" s="3" t="s">
        <v>17264</v>
      </c>
      <c r="D5856" s="3" t="s">
        <v>17265</v>
      </c>
      <c r="E5856" s="3" t="s">
        <v>17266</v>
      </c>
      <c r="F5856" s="3" t="str">
        <f>"317-841-7171"</f>
        <v>317-841-7171</v>
      </c>
      <c r="G5856" s="3">
        <v>541611</v>
      </c>
      <c r="H5856" s="3" t="s">
        <v>278</v>
      </c>
    </row>
    <row r="5857" spans="1:8" ht="255.75" x14ac:dyDescent="0.25">
      <c r="A5857" s="3" t="s">
        <v>17267</v>
      </c>
      <c r="B5857" s="3"/>
      <c r="C5857" s="3" t="s">
        <v>17268</v>
      </c>
      <c r="D5857" s="3" t="s">
        <v>17269</v>
      </c>
      <c r="E5857" s="3" t="s">
        <v>17270</v>
      </c>
      <c r="F5857" s="3" t="str">
        <f>"317-490-7573"</f>
        <v>317-490-7573</v>
      </c>
      <c r="G5857" s="3">
        <v>541611</v>
      </c>
      <c r="H5857" s="3" t="s">
        <v>278</v>
      </c>
    </row>
    <row r="5858" spans="1:8" ht="77.25" x14ac:dyDescent="0.25">
      <c r="A5858" s="3" t="s">
        <v>17271</v>
      </c>
      <c r="B5858" s="3"/>
      <c r="C5858" s="3" t="str">
        <f>"MEG &amp; Associates is a full service marketing, promotional, event planning, fundraising, media and sponsorship company. We provide a variety of services to enhance visibility and raise money for organizations. We connect people!"</f>
        <v>MEG &amp; Associates is a full service marketing, promotional, event planning, fundraising, media and sponsorship company. We provide a variety of services to enhance visibility and raise money for organizations. We connect people!</v>
      </c>
      <c r="D5858" s="3" t="s">
        <v>17272</v>
      </c>
      <c r="E5858" s="3" t="s">
        <v>17273</v>
      </c>
      <c r="F5858" s="3" t="str">
        <f>"317-590-7522"</f>
        <v>317-590-7522</v>
      </c>
      <c r="G5858" s="3">
        <v>561499</v>
      </c>
      <c r="H5858" s="3" t="s">
        <v>3092</v>
      </c>
    </row>
    <row r="5859" spans="1:8" ht="281.25" x14ac:dyDescent="0.25">
      <c r="A5859" s="3" t="s">
        <v>17274</v>
      </c>
      <c r="B5859" s="3"/>
      <c r="C5859" s="3" t="s">
        <v>17275</v>
      </c>
      <c r="D5859" s="3" t="s">
        <v>17276</v>
      </c>
      <c r="E5859" s="3" t="s">
        <v>17277</v>
      </c>
      <c r="F5859" s="3" t="str">
        <f>"812-868-2500"</f>
        <v>812-868-2500</v>
      </c>
      <c r="G5859" s="3">
        <v>5615</v>
      </c>
      <c r="H5859" s="3" t="s">
        <v>4175</v>
      </c>
    </row>
    <row r="5860" spans="1:8" ht="26.25" x14ac:dyDescent="0.25">
      <c r="A5860" s="3" t="s">
        <v>17278</v>
      </c>
      <c r="B5860" s="3"/>
      <c r="C5860" s="3" t="str">
        <f>" "</f>
        <v xml:space="preserve"> </v>
      </c>
      <c r="D5860" s="3" t="s">
        <v>9</v>
      </c>
      <c r="E5860" s="3" t="s">
        <v>17279</v>
      </c>
      <c r="F5860" s="3" t="str">
        <f>"3174137098"</f>
        <v>3174137098</v>
      </c>
      <c r="G5860" s="3">
        <v>541330</v>
      </c>
      <c r="H5860" s="3" t="s">
        <v>82</v>
      </c>
    </row>
    <row r="5861" spans="1:8" ht="64.5" x14ac:dyDescent="0.25">
      <c r="A5861" s="3" t="s">
        <v>17280</v>
      </c>
      <c r="B5861" s="3"/>
      <c r="C5861" s="3" t="str">
        <f>"sales &amp; service on fleetwood folding trailers, towing products i.e. trailer hitches, fifth wheel hitches &amp; gooseneck hitches, sales &amp; installation of truck tops &amp; tonneal covers &amp; other truck accessories."</f>
        <v>sales &amp; service on fleetwood folding trailers, towing products i.e. trailer hitches, fifth wheel hitches &amp; gooseneck hitches, sales &amp; installation of truck tops &amp; tonneal covers &amp; other truck accessories.</v>
      </c>
      <c r="D5861" s="3" t="s">
        <v>9</v>
      </c>
      <c r="E5861" s="3" t="s">
        <v>17281</v>
      </c>
      <c r="F5861" s="3" t="str">
        <f>"812-476-6814"</f>
        <v>812-476-6814</v>
      </c>
      <c r="G5861" s="3">
        <v>11</v>
      </c>
      <c r="H5861" s="3" t="s">
        <v>175</v>
      </c>
    </row>
    <row r="5862" spans="1:8" ht="26.25" x14ac:dyDescent="0.25">
      <c r="A5862" s="3" t="s">
        <v>17282</v>
      </c>
      <c r="B5862" s="3"/>
      <c r="C5862" s="2"/>
      <c r="D5862" s="3" t="s">
        <v>17283</v>
      </c>
      <c r="E5862" s="3" t="s">
        <v>17284</v>
      </c>
      <c r="F5862" s="3" t="str">
        <f>"317-686-3253"</f>
        <v>317-686-3253</v>
      </c>
      <c r="G5862" s="3">
        <v>561410</v>
      </c>
      <c r="H5862" s="3" t="s">
        <v>4164</v>
      </c>
    </row>
    <row r="5863" spans="1:8" ht="90" x14ac:dyDescent="0.25">
      <c r="A5863" s="3" t="s">
        <v>17285</v>
      </c>
      <c r="B5863" s="3"/>
      <c r="C5863" s="3" t="str">
        <f>"WE PROVIDE: MOBILE IMAGING SERVICES (X-RAY, ULTRASOUND, ECHOCARDIOGRAPHY) MOBILE PHYSICIAN VISITS TO ASSISTED LIVING, INDEPENDENT LIVING AND HOME VISITS, MOBILE PULMONARY FUNCTION TESTING, DLCO TESTING AND LABORATORY SERVICES"</f>
        <v>WE PROVIDE: MOBILE IMAGING SERVICES (X-RAY, ULTRASOUND, ECHOCARDIOGRAPHY) MOBILE PHYSICIAN VISITS TO ASSISTED LIVING, INDEPENDENT LIVING AND HOME VISITS, MOBILE PULMONARY FUNCTION TESTING, DLCO TESTING AND LABORATORY SERVICES</v>
      </c>
      <c r="D5863" s="3" t="s">
        <v>17286</v>
      </c>
      <c r="E5863" s="3" t="s">
        <v>17287</v>
      </c>
      <c r="F5863" s="3" t="str">
        <f>"317-926-0653"</f>
        <v>317-926-0653</v>
      </c>
      <c r="G5863" s="3">
        <v>621512</v>
      </c>
      <c r="H5863" s="3" t="s">
        <v>17288</v>
      </c>
    </row>
    <row r="5864" spans="1:8" ht="39" x14ac:dyDescent="0.25">
      <c r="A5864" s="3" t="s">
        <v>17289</v>
      </c>
      <c r="B5864" s="3"/>
      <c r="C5864" s="3" t="str">
        <f>"5 stone quarries, 3 hot mix asphalt plants in Adams, Jay, Delaware and Randolph County"</f>
        <v>5 stone quarries, 3 hot mix asphalt plants in Adams, Jay, Delaware and Randolph County</v>
      </c>
      <c r="D5864" s="3" t="s">
        <v>17290</v>
      </c>
      <c r="E5864" s="3" t="s">
        <v>17291</v>
      </c>
      <c r="F5864" s="3" t="str">
        <f>"260-334-5311"</f>
        <v>260-334-5311</v>
      </c>
      <c r="G5864" s="3">
        <v>212312</v>
      </c>
      <c r="H5864" s="3" t="s">
        <v>3264</v>
      </c>
    </row>
    <row r="5865" spans="1:8" ht="141" x14ac:dyDescent="0.25">
      <c r="A5865" s="3" t="s">
        <v>17292</v>
      </c>
      <c r="B5865" s="3"/>
      <c r="C5865" s="3" t="s">
        <v>17293</v>
      </c>
      <c r="D5865" s="3" t="s">
        <v>17294</v>
      </c>
      <c r="E5865" s="3" t="s">
        <v>14072</v>
      </c>
      <c r="F5865" s="3" t="str">
        <f>"317-514-7284"</f>
        <v>317-514-7284</v>
      </c>
      <c r="G5865" s="3">
        <v>541611</v>
      </c>
      <c r="H5865" s="3" t="s">
        <v>278</v>
      </c>
    </row>
    <row r="5866" spans="1:8" ht="306.75" x14ac:dyDescent="0.25">
      <c r="A5866" s="3" t="s">
        <v>17295</v>
      </c>
      <c r="B5866" s="3"/>
      <c r="C5866" s="3" t="s">
        <v>17296</v>
      </c>
      <c r="D5866" s="3" t="s">
        <v>17297</v>
      </c>
      <c r="E5866" s="3" t="s">
        <v>17298</v>
      </c>
      <c r="F5866" s="3" t="str">
        <f>"317-926-1820"</f>
        <v>317-926-1820</v>
      </c>
      <c r="G5866" s="3">
        <v>541310</v>
      </c>
      <c r="H5866" s="3" t="s">
        <v>446</v>
      </c>
    </row>
    <row r="5867" spans="1:8" ht="230.25" x14ac:dyDescent="0.25">
      <c r="A5867" s="3" t="s">
        <v>17299</v>
      </c>
      <c r="B5867" s="3"/>
      <c r="C5867" s="3" t="s">
        <v>17300</v>
      </c>
      <c r="D5867" s="3" t="s">
        <v>17301</v>
      </c>
      <c r="E5867" s="3" t="s">
        <v>17302</v>
      </c>
      <c r="F5867" s="3" t="str">
        <f>"800-899-1648"</f>
        <v>800-899-1648</v>
      </c>
      <c r="G5867" s="3">
        <v>423830</v>
      </c>
      <c r="H5867" s="3" t="s">
        <v>172</v>
      </c>
    </row>
    <row r="5868" spans="1:8" ht="90" x14ac:dyDescent="0.25">
      <c r="A5868" s="3" t="s">
        <v>17303</v>
      </c>
      <c r="B5868" s="3"/>
      <c r="C5868" s="3" t="str">
        <f>"We provide fee-based financial services including active portfolio management, financial planning, estate planning, and business continuation planning. Our firm has a wealth of experience in dealing with clients from all walks of life and income levels."</f>
        <v>We provide fee-based financial services including active portfolio management, financial planning, estate planning, and business continuation planning. Our firm has a wealth of experience in dealing with clients from all walks of life and income levels.</v>
      </c>
      <c r="D5868" s="3" t="s">
        <v>17304</v>
      </c>
      <c r="E5868" s="3" t="s">
        <v>17305</v>
      </c>
      <c r="F5868" s="3" t="str">
        <f>"317-780-1006"</f>
        <v>317-780-1006</v>
      </c>
      <c r="G5868" s="3">
        <v>523930</v>
      </c>
      <c r="H5868" s="3" t="s">
        <v>2936</v>
      </c>
    </row>
    <row r="5869" spans="1:8" ht="39" x14ac:dyDescent="0.25">
      <c r="A5869" s="3" t="s">
        <v>17306</v>
      </c>
      <c r="B5869" s="3"/>
      <c r="C5869" s="3" t="str">
        <f>"Boiler Room Equipment"</f>
        <v>Boiler Room Equipment</v>
      </c>
      <c r="D5869" s="3" t="s">
        <v>17307</v>
      </c>
      <c r="E5869" s="3" t="s">
        <v>46</v>
      </c>
      <c r="F5869" s="3" t="str">
        <f>"317-848-4720"</f>
        <v>317-848-4720</v>
      </c>
      <c r="G5869" s="3">
        <v>8113</v>
      </c>
      <c r="H5869" s="3" t="s">
        <v>1895</v>
      </c>
    </row>
    <row r="5870" spans="1:8" ht="77.25" x14ac:dyDescent="0.25">
      <c r="A5870" s="3" t="s">
        <v>17308</v>
      </c>
      <c r="B5870" s="3"/>
      <c r="C5870" s="3" t="str">
        <f>"MGMedia Group is web design and Internet consulting firm, specializing in small- to medium-sized business and organizations Our clients range from performing artists, retail stores, nonprofit organizations, sports leagues to churches and more."</f>
        <v>MGMedia Group is web design and Internet consulting firm, specializing in small- to medium-sized business and organizations Our clients range from performing artists, retail stores, nonprofit organizations, sports leagues to churches and more.</v>
      </c>
      <c r="D5870" s="3" t="s">
        <v>17309</v>
      </c>
      <c r="E5870" s="3" t="s">
        <v>17310</v>
      </c>
      <c r="F5870" s="3" t="str">
        <f>"317-273-8030"</f>
        <v>317-273-8030</v>
      </c>
      <c r="G5870" s="3">
        <v>541511</v>
      </c>
      <c r="H5870" s="3" t="s">
        <v>122</v>
      </c>
    </row>
    <row r="5871" spans="1:8" ht="39" x14ac:dyDescent="0.25">
      <c r="A5871" s="3" t="s">
        <v>17311</v>
      </c>
      <c r="B5871" s="3"/>
      <c r="C5871" s="3" t="str">
        <f>"We install and service residential and commercial security and fire alarm systems, cctv, access control."</f>
        <v>We install and service residential and commercial security and fire alarm systems, cctv, access control.</v>
      </c>
      <c r="D5871" s="3" t="s">
        <v>17312</v>
      </c>
      <c r="E5871" s="3" t="s">
        <v>17313</v>
      </c>
      <c r="F5871" s="3" t="str">
        <f>"317-925-8915"</f>
        <v>317-925-8915</v>
      </c>
      <c r="G5871" s="3">
        <v>561621</v>
      </c>
      <c r="H5871" s="3" t="s">
        <v>827</v>
      </c>
    </row>
    <row r="5872" spans="1:8" ht="204.75" x14ac:dyDescent="0.25">
      <c r="A5872" s="3" t="s">
        <v>17314</v>
      </c>
      <c r="B5872" s="3"/>
      <c r="C5872" s="3" t="s">
        <v>17315</v>
      </c>
      <c r="D5872" s="3" t="s">
        <v>17316</v>
      </c>
      <c r="E5872" s="3" t="s">
        <v>17317</v>
      </c>
      <c r="F5872" s="3" t="str">
        <f>"574-291-4793"</f>
        <v>574-291-4793</v>
      </c>
      <c r="G5872" s="3">
        <v>5413</v>
      </c>
      <c r="H5872" s="3" t="s">
        <v>1116</v>
      </c>
    </row>
    <row r="5873" spans="1:8" ht="102.75" x14ac:dyDescent="0.25">
      <c r="A5873" s="3" t="s">
        <v>17318</v>
      </c>
      <c r="B5873" s="3"/>
      <c r="C5873" s="3" t="s">
        <v>17319</v>
      </c>
      <c r="D5873" s="3" t="s">
        <v>17320</v>
      </c>
      <c r="E5873" s="3" t="s">
        <v>17321</v>
      </c>
      <c r="F5873" s="3" t="str">
        <f>"815-729-2270"</f>
        <v>815-729-2270</v>
      </c>
      <c r="G5873" s="3">
        <v>238290</v>
      </c>
      <c r="H5873" s="3" t="s">
        <v>237</v>
      </c>
    </row>
    <row r="5874" spans="1:8" ht="64.5" x14ac:dyDescent="0.25">
      <c r="A5874" s="3" t="s">
        <v>17322</v>
      </c>
      <c r="B5874" s="3"/>
      <c r="C5874" s="3" t="str">
        <f>"I am a small business that provides clerical and accounting services to other small businesses. I process mailings, maintain databases, clerical and accounting services."</f>
        <v>I am a small business that provides clerical and accounting services to other small businesses. I process mailings, maintain databases, clerical and accounting services.</v>
      </c>
      <c r="D5874" s="3" t="s">
        <v>9</v>
      </c>
      <c r="E5874" s="3" t="s">
        <v>17323</v>
      </c>
      <c r="F5874" s="3" t="str">
        <f>"812-988-8595"</f>
        <v>812-988-8595</v>
      </c>
      <c r="G5874" s="3">
        <v>561110</v>
      </c>
      <c r="H5874" s="3" t="s">
        <v>4383</v>
      </c>
    </row>
    <row r="5875" spans="1:8" ht="268.5" x14ac:dyDescent="0.25">
      <c r="A5875" s="3" t="s">
        <v>17324</v>
      </c>
      <c r="B5875" s="3"/>
      <c r="C5875" s="3" t="s">
        <v>17325</v>
      </c>
      <c r="D5875" s="3" t="s">
        <v>17326</v>
      </c>
      <c r="E5875" s="3" t="s">
        <v>17327</v>
      </c>
      <c r="F5875" s="3" t="str">
        <f>"317 334-5640"</f>
        <v>317 334-5640</v>
      </c>
      <c r="G5875" s="3">
        <v>423430</v>
      </c>
      <c r="H5875" s="3" t="s">
        <v>127</v>
      </c>
    </row>
    <row r="5876" spans="1:8" ht="102.75" x14ac:dyDescent="0.25">
      <c r="A5876" s="3" t="s">
        <v>17328</v>
      </c>
      <c r="B5876" s="3"/>
      <c r="C5876" s="3" t="s">
        <v>17329</v>
      </c>
      <c r="D5876" s="3" t="s">
        <v>17330</v>
      </c>
      <c r="E5876" s="3" t="s">
        <v>17331</v>
      </c>
      <c r="F5876" s="3" t="str">
        <f>"812-475-1644"</f>
        <v>812-475-1644</v>
      </c>
      <c r="G5876" s="3">
        <v>325992</v>
      </c>
      <c r="H5876" s="3" t="s">
        <v>381</v>
      </c>
    </row>
    <row r="5877" spans="1:8" ht="102.75" x14ac:dyDescent="0.25">
      <c r="A5877" s="3" t="s">
        <v>17332</v>
      </c>
      <c r="B5877" s="3"/>
      <c r="C5877" s="3" t="s">
        <v>17333</v>
      </c>
      <c r="D5877" s="3" t="s">
        <v>9</v>
      </c>
      <c r="E5877" s="3" t="s">
        <v>17334</v>
      </c>
      <c r="F5877" s="3" t="str">
        <f>"8664883050"</f>
        <v>8664883050</v>
      </c>
      <c r="G5877" s="3">
        <v>423510</v>
      </c>
      <c r="H5877" s="3" t="s">
        <v>10869</v>
      </c>
    </row>
    <row r="5878" spans="1:8" ht="26.25" x14ac:dyDescent="0.25">
      <c r="A5878" s="3" t="s">
        <v>17335</v>
      </c>
      <c r="B5878" s="3"/>
      <c r="C5878" s="2"/>
      <c r="D5878" s="3" t="s">
        <v>9</v>
      </c>
      <c r="E5878" s="3" t="s">
        <v>46</v>
      </c>
      <c r="F5878" s="3" t="str">
        <f>"260-824-6340"</f>
        <v>260-824-6340</v>
      </c>
      <c r="G5878" s="3">
        <v>532</v>
      </c>
      <c r="H5878" s="3" t="s">
        <v>2610</v>
      </c>
    </row>
    <row r="5879" spans="1:8" ht="128.25" x14ac:dyDescent="0.25">
      <c r="A5879" s="3" t="s">
        <v>17336</v>
      </c>
      <c r="B5879" s="3"/>
      <c r="C5879" s="3" t="s">
        <v>17337</v>
      </c>
      <c r="D5879" s="3" t="s">
        <v>9</v>
      </c>
      <c r="E5879" s="3" t="s">
        <v>46</v>
      </c>
      <c r="F5879" s="3" t="str">
        <f>"812-522-5199"</f>
        <v>812-522-5199</v>
      </c>
      <c r="G5879" s="3">
        <v>42</v>
      </c>
      <c r="H5879" s="3" t="s">
        <v>674</v>
      </c>
    </row>
    <row r="5880" spans="1:8" ht="39" x14ac:dyDescent="0.25">
      <c r="A5880" s="3" t="s">
        <v>17338</v>
      </c>
      <c r="B5880" s="3"/>
      <c r="C5880" s="3" t="str">
        <f>"Doing business since 1982 with large and small businesses. Computer room furniture, KVM and ergonomic seating."</f>
        <v>Doing business since 1982 with large and small businesses. Computer room furniture, KVM and ergonomic seating.</v>
      </c>
      <c r="D5880" s="3" t="s">
        <v>17339</v>
      </c>
      <c r="E5880" s="3" t="s">
        <v>17340</v>
      </c>
      <c r="F5880" s="3" t="str">
        <f>"317-632-4393"</f>
        <v>317-632-4393</v>
      </c>
      <c r="G5880" s="3">
        <v>442110</v>
      </c>
      <c r="H5880" s="3" t="s">
        <v>117</v>
      </c>
    </row>
    <row r="5881" spans="1:8" ht="39" x14ac:dyDescent="0.25">
      <c r="A5881" s="3" t="s">
        <v>17341</v>
      </c>
      <c r="B5881" s="3"/>
      <c r="C5881" s="3" t="str">
        <f>"Midwest Credit Service is a Collection Agency dealing with unpaid Consumer and Comercial debt."</f>
        <v>Midwest Credit Service is a Collection Agency dealing with unpaid Consumer and Comercial debt.</v>
      </c>
      <c r="D5881" s="3" t="s">
        <v>9</v>
      </c>
      <c r="E5881" s="3" t="s">
        <v>46</v>
      </c>
      <c r="F5881" s="3" t="str">
        <f>"317-786-0900"</f>
        <v>317-786-0900</v>
      </c>
      <c r="G5881" s="3">
        <v>56144</v>
      </c>
      <c r="H5881" s="3" t="s">
        <v>473</v>
      </c>
    </row>
    <row r="5882" spans="1:8" ht="306.75" x14ac:dyDescent="0.25">
      <c r="A5882" s="3" t="s">
        <v>17342</v>
      </c>
      <c r="B5882" s="3"/>
      <c r="C5882" s="3" t="s">
        <v>17343</v>
      </c>
      <c r="D5882" s="3" t="s">
        <v>17344</v>
      </c>
      <c r="E5882" s="3" t="s">
        <v>17345</v>
      </c>
      <c r="F5882" s="3" t="str">
        <f>"812-537-4448"</f>
        <v>812-537-4448</v>
      </c>
      <c r="G5882" s="3">
        <v>54151</v>
      </c>
      <c r="H5882" s="3" t="s">
        <v>188</v>
      </c>
    </row>
    <row r="5883" spans="1:8" ht="39" x14ac:dyDescent="0.25">
      <c r="A5883" s="3" t="s">
        <v>17346</v>
      </c>
      <c r="B5883" s="3"/>
      <c r="C5883" s="3" t="str">
        <f>"fire protection including: boots, gloves, gear, helmets, hose, nozzles, air packs, air masks, fire trucks."</f>
        <v>fire protection including: boots, gloves, gear, helmets, hose, nozzles, air packs, air masks, fire trucks.</v>
      </c>
      <c r="D5883" s="3" t="s">
        <v>17347</v>
      </c>
      <c r="E5883" s="3" t="s">
        <v>17348</v>
      </c>
      <c r="F5883" s="3" t="str">
        <f>"(317) 632-9336"</f>
        <v>(317) 632-9336</v>
      </c>
      <c r="G5883" s="3">
        <v>92216</v>
      </c>
      <c r="H5883" s="3" t="s">
        <v>2246</v>
      </c>
    </row>
    <row r="5884" spans="1:8" ht="153.75" x14ac:dyDescent="0.25">
      <c r="A5884" s="3" t="s">
        <v>17349</v>
      </c>
      <c r="B5884" s="3"/>
      <c r="C5884" s="3" t="s">
        <v>17350</v>
      </c>
      <c r="D5884" s="3" t="s">
        <v>17351</v>
      </c>
      <c r="E5884" s="3" t="s">
        <v>17352</v>
      </c>
      <c r="F5884" s="3" t="str">
        <f>"574-257-0020"</f>
        <v>574-257-0020</v>
      </c>
      <c r="G5884" s="3">
        <v>1142</v>
      </c>
      <c r="H5884" s="3" t="s">
        <v>17353</v>
      </c>
    </row>
    <row r="5885" spans="1:8" ht="51.75" x14ac:dyDescent="0.25">
      <c r="A5885" s="3" t="s">
        <v>17354</v>
      </c>
      <c r="B5885" s="3"/>
      <c r="C5885" s="3" t="str">
        <f>"Mental Health Services, Psychiatric Services, Psychological Services, Case Management, Social Services and Adult Education"</f>
        <v>Mental Health Services, Psychiatric Services, Psychological Services, Case Management, Social Services and Adult Education</v>
      </c>
      <c r="D5885" s="3" t="s">
        <v>17355</v>
      </c>
      <c r="E5885" s="3" t="s">
        <v>17356</v>
      </c>
      <c r="F5885" s="3" t="str">
        <f>"317-923-3930"</f>
        <v>317-923-3930</v>
      </c>
      <c r="G5885" s="3">
        <v>621330</v>
      </c>
      <c r="H5885" s="3" t="s">
        <v>2643</v>
      </c>
    </row>
    <row r="5886" spans="1:8" ht="51.75" x14ac:dyDescent="0.25">
      <c r="A5886" s="3" t="s">
        <v>17357</v>
      </c>
      <c r="B5886" s="3"/>
      <c r="C5886" s="3" t="str">
        <f>"MFG. &amp; SALES OF CONCRETE PRODUCTS, E.G. MANHOLES, INLETS, SEPTIC TANKS, ETC. SALES OF PLASTIC PIPE, FITTINGS AND ALL SEWER &amp; WATER LINE SUPPLIES."</f>
        <v>MFG. &amp; SALES OF CONCRETE PRODUCTS, E.G. MANHOLES, INLETS, SEPTIC TANKS, ETC. SALES OF PLASTIC PIPE, FITTINGS AND ALL SEWER &amp; WATER LINE SUPPLIES.</v>
      </c>
      <c r="D5886" s="3" t="s">
        <v>17358</v>
      </c>
      <c r="E5886" s="3" t="s">
        <v>17359</v>
      </c>
      <c r="F5886" s="3" t="str">
        <f>"260-749-5173"</f>
        <v>260-749-5173</v>
      </c>
      <c r="G5886" s="3">
        <v>444190</v>
      </c>
      <c r="H5886" s="3" t="s">
        <v>1188</v>
      </c>
    </row>
    <row r="5887" spans="1:8" ht="77.25" x14ac:dyDescent="0.25">
      <c r="A5887" s="3" t="s">
        <v>17360</v>
      </c>
      <c r="B5887" s="3"/>
      <c r="C5887" s="3" t="str">
        <f>"Wholesale Distributor for HVAC Filters, Pneumatic, Hydraulic and Electrical Components, Controls, Valves, Cylinders, Tools, Conveyors, Safety Sensors, PLC controllers, Fittings, Vacuum Pumps and components, Blowers, automation design"</f>
        <v>Wholesale Distributor for HVAC Filters, Pneumatic, Hydraulic and Electrical Components, Controls, Valves, Cylinders, Tools, Conveyors, Safety Sensors, PLC controllers, Fittings, Vacuum Pumps and components, Blowers, automation design</v>
      </c>
      <c r="D5887" s="3" t="s">
        <v>17361</v>
      </c>
      <c r="E5887" s="3" t="s">
        <v>17362</v>
      </c>
      <c r="F5887" s="3" t="str">
        <f>"317-852-5920"</f>
        <v>317-852-5920</v>
      </c>
      <c r="G5887" s="3">
        <v>423840</v>
      </c>
      <c r="H5887" s="3" t="s">
        <v>553</v>
      </c>
    </row>
    <row r="5888" spans="1:8" ht="90" x14ac:dyDescent="0.25">
      <c r="A5888" s="3" t="s">
        <v>17363</v>
      </c>
      <c r="B5888" s="3"/>
      <c r="C5888" s="3" t="s">
        <v>17364</v>
      </c>
      <c r="D5888" s="3" t="s">
        <v>17365</v>
      </c>
      <c r="E5888" s="3" t="s">
        <v>17366</v>
      </c>
      <c r="F5888" s="3" t="str">
        <f>"260-358-0266"</f>
        <v>260-358-0266</v>
      </c>
      <c r="G5888" s="3">
        <v>32311</v>
      </c>
      <c r="H5888" s="3" t="s">
        <v>531</v>
      </c>
    </row>
    <row r="5889" spans="1:8" ht="90" x14ac:dyDescent="0.25">
      <c r="A5889" s="3" t="s">
        <v>17367</v>
      </c>
      <c r="B5889" s="3"/>
      <c r="C5889" s="3" t="str">
        <f>"maintenance and repairs, tune ups, alignmnets, tire and battery installation, brakes, exhaust, engine, transmission, tire rotation and balance, oil service, air conditioning, cooling system, electrical, suspension all aspects of reairs and service."</f>
        <v>maintenance and repairs, tune ups, alignmnets, tire and battery installation, brakes, exhaust, engine, transmission, tire rotation and balance, oil service, air conditioning, cooling system, electrical, suspension all aspects of reairs and service.</v>
      </c>
      <c r="D5889" s="3" t="s">
        <v>9</v>
      </c>
      <c r="E5889" s="3" t="s">
        <v>46</v>
      </c>
      <c r="F5889" s="3" t="str">
        <f>"317-575-8282"</f>
        <v>317-575-8282</v>
      </c>
      <c r="G5889" s="3">
        <v>811118</v>
      </c>
      <c r="H5889" s="3" t="s">
        <v>7678</v>
      </c>
    </row>
    <row r="5890" spans="1:8" ht="26.25" x14ac:dyDescent="0.25">
      <c r="A5890" s="3" t="s">
        <v>17368</v>
      </c>
      <c r="B5890" s="3"/>
      <c r="C5890" s="3" t="str">
        <f>"Consulting, support, transportation, education and construction"</f>
        <v>Consulting, support, transportation, education and construction</v>
      </c>
      <c r="D5890" s="3" t="s">
        <v>17369</v>
      </c>
      <c r="E5890" s="3" t="s">
        <v>17370</v>
      </c>
      <c r="F5890" s="3" t="str">
        <f>"7656060513"</f>
        <v>7656060513</v>
      </c>
      <c r="G5890" s="3">
        <v>23</v>
      </c>
      <c r="H5890" s="3" t="s">
        <v>133</v>
      </c>
    </row>
    <row r="5891" spans="1:8" ht="141" x14ac:dyDescent="0.25">
      <c r="A5891" s="3" t="s">
        <v>17371</v>
      </c>
      <c r="B5891" s="3"/>
      <c r="C5891" s="3" t="s">
        <v>17372</v>
      </c>
      <c r="D5891" s="3" t="s">
        <v>17373</v>
      </c>
      <c r="E5891" s="3" t="s">
        <v>17374</v>
      </c>
      <c r="F5891" s="3" t="str">
        <f>"317.293.6617"</f>
        <v>317.293.6617</v>
      </c>
      <c r="G5891" s="3">
        <v>512110</v>
      </c>
      <c r="H5891" s="3" t="s">
        <v>406</v>
      </c>
    </row>
    <row r="5892" spans="1:8" ht="26.25" x14ac:dyDescent="0.25">
      <c r="A5892" s="3" t="s">
        <v>17375</v>
      </c>
      <c r="B5892" s="3"/>
      <c r="C5892" s="3" t="str">
        <f>"General warehousing and storage; inventory control, physical distribution, and logistics"</f>
        <v>General warehousing and storage; inventory control, physical distribution, and logistics</v>
      </c>
      <c r="D5892" s="3" t="s">
        <v>17376</v>
      </c>
      <c r="E5892" s="3" t="s">
        <v>17377</v>
      </c>
      <c r="F5892" s="3" t="str">
        <f>"3177169647"</f>
        <v>3177169647</v>
      </c>
      <c r="G5892" s="3">
        <v>493110</v>
      </c>
      <c r="H5892" s="3" t="s">
        <v>16497</v>
      </c>
    </row>
    <row r="5893" spans="1:8" ht="115.5" x14ac:dyDescent="0.25">
      <c r="A5893" s="3" t="s">
        <v>17378</v>
      </c>
      <c r="B5893" s="3"/>
      <c r="C5893" s="3" t="s">
        <v>17379</v>
      </c>
      <c r="D5893" s="3" t="s">
        <v>9</v>
      </c>
      <c r="E5893" s="3" t="s">
        <v>17380</v>
      </c>
      <c r="F5893" s="3" t="str">
        <f>"317-984-3744"</f>
        <v>317-984-3744</v>
      </c>
      <c r="G5893" s="3">
        <v>23833</v>
      </c>
      <c r="H5893" s="3" t="s">
        <v>2995</v>
      </c>
    </row>
    <row r="5894" spans="1:8" ht="26.25" x14ac:dyDescent="0.25">
      <c r="A5894" s="3" t="s">
        <v>17381</v>
      </c>
      <c r="B5894" s="3"/>
      <c r="C5894" s="3" t="str">
        <f>"RETAIL CARPET SALES AND INSTALL"</f>
        <v>RETAIL CARPET SALES AND INSTALL</v>
      </c>
      <c r="D5894" s="3" t="s">
        <v>9</v>
      </c>
      <c r="E5894" s="3" t="s">
        <v>46</v>
      </c>
      <c r="F5894" s="3" t="str">
        <f>"574-422-4155"</f>
        <v>574-422-4155</v>
      </c>
      <c r="G5894" s="3">
        <v>423220</v>
      </c>
      <c r="H5894" s="3" t="s">
        <v>3550</v>
      </c>
    </row>
    <row r="5895" spans="1:8" ht="51.75" x14ac:dyDescent="0.25">
      <c r="A5895" s="3" t="s">
        <v>17382</v>
      </c>
      <c r="B5895" s="3"/>
      <c r="C5895" s="3" t="str">
        <f>"Milor Supply provides gloves, lavatory/housekeeping, safety, and facilities/maintenance supplies. We are a certified M/WBE with the State of Indiana."</f>
        <v>Milor Supply provides gloves, lavatory/housekeeping, safety, and facilities/maintenance supplies. We are a certified M/WBE with the State of Indiana.</v>
      </c>
      <c r="D5895" s="3" t="s">
        <v>17383</v>
      </c>
      <c r="E5895" s="3" t="s">
        <v>17384</v>
      </c>
      <c r="F5895" s="3" t="str">
        <f>"317-822-8133"</f>
        <v>317-822-8133</v>
      </c>
      <c r="G5895" s="3">
        <v>42145</v>
      </c>
      <c r="H5895" s="3" t="s">
        <v>4608</v>
      </c>
    </row>
    <row r="5896" spans="1:8" ht="141" x14ac:dyDescent="0.25">
      <c r="A5896" s="3" t="s">
        <v>17385</v>
      </c>
      <c r="B5896" s="3"/>
      <c r="C5896" s="3" t="s">
        <v>17386</v>
      </c>
      <c r="D5896" s="3" t="s">
        <v>17387</v>
      </c>
      <c r="E5896" s="3" t="s">
        <v>17388</v>
      </c>
      <c r="F5896" s="3" t="str">
        <f>"317-542-8425"</f>
        <v>317-542-8425</v>
      </c>
      <c r="G5896" s="3">
        <v>561990</v>
      </c>
      <c r="H5896" s="3" t="s">
        <v>219</v>
      </c>
    </row>
    <row r="5897" spans="1:8" ht="39" x14ac:dyDescent="0.25">
      <c r="A5897" s="3" t="s">
        <v>17389</v>
      </c>
      <c r="B5897" s="3"/>
      <c r="C5897" s="3" t="str">
        <f>"Mittler Supply, Inc. is a distributor of bulk and cylinder gases, medical gases, specialty gases and welding supplies."</f>
        <v>Mittler Supply, Inc. is a distributor of bulk and cylinder gases, medical gases, specialty gases and welding supplies.</v>
      </c>
      <c r="D5897" s="3" t="s">
        <v>17390</v>
      </c>
      <c r="E5897" s="3" t="s">
        <v>17391</v>
      </c>
      <c r="F5897" s="3" t="str">
        <f>"574-291-5100"</f>
        <v>574-291-5100</v>
      </c>
      <c r="G5897" s="3">
        <v>454312</v>
      </c>
      <c r="H5897" s="3" t="s">
        <v>918</v>
      </c>
    </row>
    <row r="5898" spans="1:8" ht="51.75" x14ac:dyDescent="0.25">
      <c r="A5898" s="3" t="s">
        <v>17392</v>
      </c>
      <c r="B5898" s="3"/>
      <c r="C5898" s="3" t="str">
        <f>"MIYU Furniture designs, manufactures, and sells high-quality aluminum outdoor furniture.  MIYU Furniture is rust-free, and carries a 5 year warranty."</f>
        <v>MIYU Furniture designs, manufactures, and sells high-quality aluminum outdoor furniture.  MIYU Furniture is rust-free, and carries a 5 year warranty.</v>
      </c>
      <c r="D5898" s="3" t="s">
        <v>17393</v>
      </c>
      <c r="E5898" s="3" t="s">
        <v>17394</v>
      </c>
      <c r="F5898" s="3" t="str">
        <f>"317-300-1311"</f>
        <v>317-300-1311</v>
      </c>
      <c r="G5898" s="3">
        <v>337</v>
      </c>
      <c r="H5898" s="3" t="s">
        <v>6695</v>
      </c>
    </row>
    <row r="5899" spans="1:8" ht="51.75" x14ac:dyDescent="0.25">
      <c r="A5899" s="3" t="s">
        <v>17395</v>
      </c>
      <c r="B5899" s="3"/>
      <c r="C5899" s="3" t="str">
        <f>"We specialize in rehab services. We provide our clients with a wide array of services ranging from remodels, roofing, to house repairs and demos."</f>
        <v>We specialize in rehab services. We provide our clients with a wide array of services ranging from remodels, roofing, to house repairs and demos.</v>
      </c>
      <c r="D5899" s="3" t="s">
        <v>9</v>
      </c>
      <c r="E5899" s="3" t="s">
        <v>17396</v>
      </c>
      <c r="F5899" s="3" t="str">
        <f>"8122970532"</f>
        <v>8122970532</v>
      </c>
      <c r="G5899" s="3">
        <v>2332</v>
      </c>
      <c r="H5899" s="3" t="s">
        <v>3466</v>
      </c>
    </row>
    <row r="5900" spans="1:8" ht="115.5" x14ac:dyDescent="0.25">
      <c r="A5900" s="3" t="s">
        <v>17397</v>
      </c>
      <c r="B5900" s="3"/>
      <c r="C5900" s="3" t="s">
        <v>17398</v>
      </c>
      <c r="D5900" s="3" t="s">
        <v>9</v>
      </c>
      <c r="E5900" s="3" t="s">
        <v>17399</v>
      </c>
      <c r="F5900" s="3" t="str">
        <f>"260-489-2075"</f>
        <v>260-489-2075</v>
      </c>
      <c r="G5900" s="3">
        <v>332321</v>
      </c>
      <c r="H5900" s="3" t="s">
        <v>7074</v>
      </c>
    </row>
    <row r="5901" spans="1:8" ht="39" x14ac:dyDescent="0.25">
      <c r="A5901" s="3" t="s">
        <v>17400</v>
      </c>
      <c r="B5901" s="3"/>
      <c r="C5901" s="3" t="str">
        <f>"Interior and Exterior Facilities Services including janitorial, lot sweeping, painting, and miscellaneous light maintenance."</f>
        <v>Interior and Exterior Facilities Services including janitorial, lot sweeping, painting, and miscellaneous light maintenance.</v>
      </c>
      <c r="D5901" s="3" t="s">
        <v>9</v>
      </c>
      <c r="E5901" s="3" t="s">
        <v>17401</v>
      </c>
      <c r="F5901" s="3" t="str">
        <f>"765-426-6481"</f>
        <v>765-426-6481</v>
      </c>
      <c r="G5901" s="3">
        <v>561790</v>
      </c>
      <c r="H5901" s="3" t="s">
        <v>2113</v>
      </c>
    </row>
    <row r="5902" spans="1:8" ht="64.5" x14ac:dyDescent="0.25">
      <c r="A5902" s="3" t="s">
        <v>17402</v>
      </c>
      <c r="B5902" s="3"/>
      <c r="C5902" s="3" t="str">
        <f>"We a janitorial company we have been servicing our commercial and residential clients for over 13 years, we are prompt, honest, fair pricing and our work is guaranteed."</f>
        <v>We a janitorial company we have been servicing our commercial and residential clients for over 13 years, we are prompt, honest, fair pricing and our work is guaranteed.</v>
      </c>
      <c r="D5902" s="3" t="s">
        <v>9</v>
      </c>
      <c r="E5902" s="3" t="s">
        <v>17403</v>
      </c>
      <c r="F5902" s="3" t="str">
        <f>"7657418360"</f>
        <v>7657418360</v>
      </c>
      <c r="G5902" s="3">
        <v>561720</v>
      </c>
      <c r="H5902" s="3" t="s">
        <v>222</v>
      </c>
    </row>
    <row r="5903" spans="1:8" ht="115.5" x14ac:dyDescent="0.25">
      <c r="A5903" s="3" t="s">
        <v>17404</v>
      </c>
      <c r="B5903" s="3"/>
      <c r="C5903" s="3" t="s">
        <v>17405</v>
      </c>
      <c r="D5903" s="3" t="s">
        <v>17406</v>
      </c>
      <c r="E5903" s="3" t="s">
        <v>17407</v>
      </c>
      <c r="F5903" s="3" t="str">
        <f>"812-282-6627"</f>
        <v>812-282-6627</v>
      </c>
      <c r="G5903" s="3">
        <v>3327</v>
      </c>
      <c r="H5903" s="3" t="s">
        <v>17408</v>
      </c>
    </row>
    <row r="5904" spans="1:8" ht="255.75" x14ac:dyDescent="0.25">
      <c r="A5904" s="3" t="s">
        <v>17409</v>
      </c>
      <c r="B5904" s="3"/>
      <c r="C5904" s="3" t="s">
        <v>17410</v>
      </c>
      <c r="D5904" s="3" t="s">
        <v>17411</v>
      </c>
      <c r="E5904" s="3" t="s">
        <v>17412</v>
      </c>
      <c r="F5904" s="3" t="str">
        <f>"260/422-0783"</f>
        <v>260/422-0783</v>
      </c>
      <c r="G5904" s="3">
        <v>541310</v>
      </c>
      <c r="H5904" s="3" t="s">
        <v>446</v>
      </c>
    </row>
    <row r="5905" spans="1:8" ht="39" x14ac:dyDescent="0.25">
      <c r="A5905" s="3" t="s">
        <v>17413</v>
      </c>
      <c r="B5905" s="3"/>
      <c r="C5905" s="3" t="str">
        <f>"Woman owned, General contractor and construction management business specializing in government contracts."</f>
        <v>Woman owned, General contractor and construction management business specializing in government contracts.</v>
      </c>
      <c r="D5905" s="3" t="s">
        <v>9</v>
      </c>
      <c r="E5905" s="3" t="s">
        <v>17414</v>
      </c>
      <c r="F5905" s="3" t="str">
        <f>"812-244-0625"</f>
        <v>812-244-0625</v>
      </c>
      <c r="G5905" s="3">
        <v>236220</v>
      </c>
      <c r="H5905" s="3" t="s">
        <v>598</v>
      </c>
    </row>
    <row r="5906" spans="1:8" ht="179.25" x14ac:dyDescent="0.25">
      <c r="A5906" s="3" t="s">
        <v>17415</v>
      </c>
      <c r="B5906" s="3"/>
      <c r="C5906" s="3" t="s">
        <v>17416</v>
      </c>
      <c r="D5906" s="3" t="s">
        <v>17417</v>
      </c>
      <c r="E5906" s="3" t="s">
        <v>17418</v>
      </c>
      <c r="F5906" s="3" t="str">
        <f>"8122440625"</f>
        <v>8122440625</v>
      </c>
      <c r="G5906" s="3">
        <v>236220</v>
      </c>
      <c r="H5906" s="3" t="s">
        <v>598</v>
      </c>
    </row>
    <row r="5907" spans="1:8" ht="51.75" x14ac:dyDescent="0.25">
      <c r="A5907" s="3" t="s">
        <v>17419</v>
      </c>
      <c r="B5907" s="3"/>
      <c r="C5907" s="3" t="str">
        <f>"21st Century Protection of Information and Informations systems; Traditional Security Guard and Investigatory services; Security Consultant."</f>
        <v>21st Century Protection of Information and Informations systems; Traditional Security Guard and Investigatory services; Security Consultant.</v>
      </c>
      <c r="D5907" s="3" t="s">
        <v>17420</v>
      </c>
      <c r="E5907" s="3" t="s">
        <v>17421</v>
      </c>
      <c r="F5907" s="3" t="str">
        <f>"2197501223"</f>
        <v>2197501223</v>
      </c>
      <c r="G5907" s="3">
        <v>561612</v>
      </c>
      <c r="H5907" s="3" t="s">
        <v>362</v>
      </c>
    </row>
    <row r="5908" spans="1:8" ht="39" x14ac:dyDescent="0.25">
      <c r="A5908" s="3" t="s">
        <v>17422</v>
      </c>
      <c r="B5908" s="3"/>
      <c r="C5908" s="3" t="str">
        <f>"Our company is a woman owned business, weare an over the road regional trucking company."</f>
        <v>Our company is a woman owned business, weare an over the road regional trucking company.</v>
      </c>
      <c r="D5908" s="3" t="s">
        <v>9</v>
      </c>
      <c r="E5908" s="3" t="s">
        <v>17423</v>
      </c>
      <c r="F5908" s="3" t="str">
        <f>"260-347-1664"</f>
        <v>260-347-1664</v>
      </c>
      <c r="G5908" s="3">
        <v>48</v>
      </c>
      <c r="H5908" s="3" t="s">
        <v>104</v>
      </c>
    </row>
    <row r="5909" spans="1:8" ht="115.5" x14ac:dyDescent="0.25">
      <c r="A5909" s="3" t="s">
        <v>17424</v>
      </c>
      <c r="B5909" s="3"/>
      <c r="C5909" s="3" t="s">
        <v>17425</v>
      </c>
      <c r="D5909" s="3" t="s">
        <v>17426</v>
      </c>
      <c r="E5909" s="3" t="s">
        <v>17427</v>
      </c>
      <c r="F5909" s="3" t="str">
        <f>"317-728-1959"</f>
        <v>317-728-1959</v>
      </c>
      <c r="G5909" s="3">
        <v>541519</v>
      </c>
      <c r="H5909" s="3" t="s">
        <v>898</v>
      </c>
    </row>
    <row r="5910" spans="1:8" ht="51.75" x14ac:dyDescent="0.25">
      <c r="A5910" s="3" t="s">
        <v>17428</v>
      </c>
      <c r="B5910" s="3"/>
      <c r="C5910" s="3" t="str">
        <f>"Commercial masonry construction including the installation of concrete block, brick and stone. Masonry renovation and repair."</f>
        <v>Commercial masonry construction including the installation of concrete block, brick and stone. Masonry renovation and repair.</v>
      </c>
      <c r="D5910" s="3" t="s">
        <v>17429</v>
      </c>
      <c r="E5910" s="3" t="s">
        <v>17430</v>
      </c>
      <c r="F5910" s="3" t="str">
        <f>"3177818199"</f>
        <v>3177818199</v>
      </c>
      <c r="G5910" s="3">
        <v>238140</v>
      </c>
      <c r="H5910" s="3" t="s">
        <v>1830</v>
      </c>
    </row>
    <row r="5911" spans="1:8" ht="153.75" x14ac:dyDescent="0.25">
      <c r="A5911" s="3" t="s">
        <v>17431</v>
      </c>
      <c r="B5911" s="3"/>
      <c r="C5911" s="3" t="s">
        <v>17432</v>
      </c>
      <c r="D5911" s="3" t="s">
        <v>9</v>
      </c>
      <c r="E5911" s="3" t="s">
        <v>17433</v>
      </c>
      <c r="F5911" s="3" t="str">
        <f>"(317)329-1541"</f>
        <v>(317)329-1541</v>
      </c>
      <c r="G5911" s="3">
        <v>23</v>
      </c>
      <c r="H5911" s="3" t="s">
        <v>133</v>
      </c>
    </row>
    <row r="5912" spans="1:8" ht="204.75" x14ac:dyDescent="0.25">
      <c r="A5912" s="3" t="s">
        <v>17434</v>
      </c>
      <c r="B5912" s="3"/>
      <c r="C5912" s="3" t="s">
        <v>17435</v>
      </c>
      <c r="D5912" s="3" t="s">
        <v>9</v>
      </c>
      <c r="E5912" s="3" t="s">
        <v>17436</v>
      </c>
      <c r="F5912" s="3" t="str">
        <f>"3175881039"</f>
        <v>3175881039</v>
      </c>
      <c r="G5912" s="3">
        <v>621399</v>
      </c>
      <c r="H5912" s="3" t="s">
        <v>2306</v>
      </c>
    </row>
    <row r="5913" spans="1:8" ht="51.75" x14ac:dyDescent="0.25">
      <c r="A5913" s="3" t="s">
        <v>17437</v>
      </c>
      <c r="B5913" s="3"/>
      <c r="C5913" s="3" t="str">
        <f>"Moffett Inc. is a Minority Business Enterprise (MBE) that have (39) years experience in wrecking, buildings,houses , bridges ,clearing and excavation."</f>
        <v>Moffett Inc. is a Minority Business Enterprise (MBE) that have (39) years experience in wrecking, buildings,houses , bridges ,clearing and excavation.</v>
      </c>
      <c r="D5913" s="3" t="s">
        <v>8195</v>
      </c>
      <c r="E5913" s="3" t="s">
        <v>17438</v>
      </c>
      <c r="F5913" s="3" t="str">
        <f>"317-610-6722"</f>
        <v>317-610-6722</v>
      </c>
      <c r="G5913" s="3">
        <v>23594</v>
      </c>
      <c r="H5913" s="3" t="s">
        <v>17439</v>
      </c>
    </row>
    <row r="5914" spans="1:8" ht="26.25" x14ac:dyDescent="0.25">
      <c r="A5914" s="3" t="s">
        <v>17440</v>
      </c>
      <c r="B5914" s="3"/>
      <c r="C5914" s="3" t="str">
        <f>"WELDING, REPAIR, &amp; FABRICATION, STEEL ERECTION"</f>
        <v>WELDING, REPAIR, &amp; FABRICATION, STEEL ERECTION</v>
      </c>
      <c r="D5914" s="3" t="s">
        <v>9</v>
      </c>
      <c r="E5914" s="3" t="s">
        <v>17441</v>
      </c>
      <c r="F5914" s="3" t="str">
        <f>"7655382090"</f>
        <v>7655382090</v>
      </c>
      <c r="G5914" s="3">
        <v>23812</v>
      </c>
      <c r="H5914" s="3" t="s">
        <v>5668</v>
      </c>
    </row>
    <row r="5915" spans="1:8" ht="51.75" x14ac:dyDescent="0.25">
      <c r="A5915" s="3" t="s">
        <v>17442</v>
      </c>
      <c r="B5915" s="3"/>
      <c r="C5915" s="3" t="str">
        <f>"Cheetah Building Products manufactures concrete block, pavers, and retaining wall products for use in various construction related projects."</f>
        <v>Cheetah Building Products manufactures concrete block, pavers, and retaining wall products for use in various construction related projects.</v>
      </c>
      <c r="D5915" s="3" t="s">
        <v>9</v>
      </c>
      <c r="E5915" s="3" t="s">
        <v>17443</v>
      </c>
      <c r="F5915" s="3" t="str">
        <f>"812-466-1234"</f>
        <v>812-466-1234</v>
      </c>
      <c r="G5915" s="3">
        <v>327331</v>
      </c>
      <c r="H5915" s="3" t="s">
        <v>5357</v>
      </c>
    </row>
    <row r="5916" spans="1:8" ht="90" x14ac:dyDescent="0.25">
      <c r="A5916" s="3" t="s">
        <v>17444</v>
      </c>
      <c r="B5916" s="3"/>
      <c r="C5916" s="3" t="str">
        <f>"WE ARE AN AUTHORIZED DEALER FOR KAWASAKI MOTORCYCLES, ATV'S AND UTILITY VEHICLES. WE ARE ALSO AN AUTHORIZED KAWASAKI REPAIR FACILITY. WE WORK ON OTHER MAJOR BRANDS OF RECREATIONAL VEHICLES. WE SELL PARTS AND ACCESSORIES FOR ALL TYPES OF MAKES AND MODELS."</f>
        <v>WE ARE AN AUTHORIZED DEALER FOR KAWASAKI MOTORCYCLES, ATV'S AND UTILITY VEHICLES. WE ARE ALSO AN AUTHORIZED KAWASAKI REPAIR FACILITY. WE WORK ON OTHER MAJOR BRANDS OF RECREATIONAL VEHICLES. WE SELL PARTS AND ACCESSORIES FOR ALL TYPES OF MAKES AND MODELS.</v>
      </c>
      <c r="D5916" s="3" t="s">
        <v>17445</v>
      </c>
      <c r="E5916" s="3" t="s">
        <v>17446</v>
      </c>
      <c r="F5916" s="3" t="str">
        <f>"765-349-0620"</f>
        <v>765-349-0620</v>
      </c>
      <c r="G5916" s="3">
        <v>441229</v>
      </c>
      <c r="H5916" s="3" t="s">
        <v>3721</v>
      </c>
    </row>
    <row r="5917" spans="1:8" ht="51.75" x14ac:dyDescent="0.25">
      <c r="A5917" s="3" t="s">
        <v>17447</v>
      </c>
      <c r="B5917" s="3"/>
      <c r="C5917" s="3" t="str">
        <f>"It's time to act on better information. Demographic, labor and economic/workforce analysis, grant writing, strategic planning, and evaluation."</f>
        <v>It's time to act on better information. Demographic, labor and economic/workforce analysis, grant writing, strategic planning, and evaluation.</v>
      </c>
      <c r="D5917" s="3" t="s">
        <v>17448</v>
      </c>
      <c r="E5917" s="3" t="s">
        <v>17449</v>
      </c>
      <c r="F5917" s="3" t="str">
        <f>"317-490-8292"</f>
        <v>317-490-8292</v>
      </c>
      <c r="G5917" s="3">
        <v>54161</v>
      </c>
      <c r="H5917" s="3" t="s">
        <v>1221</v>
      </c>
    </row>
    <row r="5918" spans="1:8" ht="26.25" x14ac:dyDescent="0.25">
      <c r="A5918" s="3" t="s">
        <v>17450</v>
      </c>
      <c r="B5918" s="3"/>
      <c r="C5918" s="3" t="str">
        <f>"Material handling dealership."</f>
        <v>Material handling dealership.</v>
      </c>
      <c r="D5918" s="3" t="s">
        <v>17451</v>
      </c>
      <c r="E5918" s="3" t="s">
        <v>17452</v>
      </c>
      <c r="F5918" s="3" t="str">
        <f>"616-361-6672"</f>
        <v>616-361-6672</v>
      </c>
      <c r="G5918" s="3">
        <v>45399</v>
      </c>
      <c r="H5918" s="3" t="s">
        <v>3215</v>
      </c>
    </row>
    <row r="5919" spans="1:8" ht="153.75" x14ac:dyDescent="0.25">
      <c r="A5919" s="3" t="s">
        <v>17453</v>
      </c>
      <c r="B5919" s="3"/>
      <c r="C5919" s="3" t="s">
        <v>17454</v>
      </c>
      <c r="D5919" s="3" t="s">
        <v>17455</v>
      </c>
      <c r="E5919" s="3" t="s">
        <v>17456</v>
      </c>
      <c r="F5919" s="3" t="str">
        <f>"317-745-8295"</f>
        <v>317-745-8295</v>
      </c>
      <c r="G5919" s="3">
        <v>423850</v>
      </c>
      <c r="H5919" s="3" t="s">
        <v>419</v>
      </c>
    </row>
    <row r="5920" spans="1:8" ht="39" x14ac:dyDescent="0.25">
      <c r="A5920" s="3" t="s">
        <v>17457</v>
      </c>
      <c r="B5920" s="3"/>
      <c r="C5920" s="3" t="str">
        <f>"General machine shop with cnc turing and milling, also provide fabricating and welding."</f>
        <v>General machine shop with cnc turing and milling, also provide fabricating and welding.</v>
      </c>
      <c r="D5920" s="3" t="s">
        <v>9</v>
      </c>
      <c r="E5920" s="3" t="s">
        <v>17458</v>
      </c>
      <c r="F5920" s="3" t="str">
        <f>"260-839-2005"</f>
        <v>260-839-2005</v>
      </c>
      <c r="G5920" s="3">
        <v>336991</v>
      </c>
      <c r="H5920" s="3" t="s">
        <v>17459</v>
      </c>
    </row>
    <row r="5921" spans="1:8" ht="26.25" x14ac:dyDescent="0.25">
      <c r="A5921" s="3" t="s">
        <v>17460</v>
      </c>
      <c r="B5921" s="3"/>
      <c r="C5921" s="3" t="str">
        <f>"Quick and small commerical printing &amp; copying services."</f>
        <v>Quick and small commerical printing &amp; copying services.</v>
      </c>
      <c r="D5921" s="3" t="s">
        <v>17461</v>
      </c>
      <c r="E5921" s="3" t="s">
        <v>17462</v>
      </c>
      <c r="F5921" s="3" t="str">
        <f>"812-273-4446"</f>
        <v>812-273-4446</v>
      </c>
      <c r="G5921" s="3">
        <v>323114</v>
      </c>
      <c r="H5921" s="3" t="s">
        <v>1068</v>
      </c>
    </row>
    <row r="5922" spans="1:8" ht="51.75" x14ac:dyDescent="0.25">
      <c r="A5922" s="3" t="s">
        <v>17463</v>
      </c>
      <c r="B5922" s="3"/>
      <c r="C5922" s="3" t="str">
        <f>"Bakery Cafe offering food &amp; beverage. Fresh baked breads &amp; pastry. soups, salads, &amp; sandwiches. Gourmet coffee, cappuccino, &amp; other specialty beverages"</f>
        <v>Bakery Cafe offering food &amp; beverage. Fresh baked breads &amp; pastry. soups, salads, &amp; sandwiches. Gourmet coffee, cappuccino, &amp; other specialty beverages</v>
      </c>
      <c r="D5922" s="3" t="s">
        <v>9</v>
      </c>
      <c r="E5922" s="3" t="s">
        <v>46</v>
      </c>
      <c r="F5922" s="2"/>
      <c r="G5922" s="3">
        <v>722211</v>
      </c>
      <c r="H5922" s="3" t="s">
        <v>527</v>
      </c>
    </row>
    <row r="5923" spans="1:8" ht="26.25" x14ac:dyDescent="0.25">
      <c r="A5923" s="3" t="s">
        <v>17464</v>
      </c>
      <c r="B5923" s="3"/>
      <c r="C5923" s="3" t="str">
        <f>" "</f>
        <v xml:space="preserve"> </v>
      </c>
      <c r="D5923" s="3" t="s">
        <v>17465</v>
      </c>
      <c r="E5923" s="3" t="s">
        <v>46</v>
      </c>
      <c r="F5923" s="2"/>
      <c r="G5923" s="3">
        <v>611430</v>
      </c>
      <c r="H5923" s="3" t="s">
        <v>1224</v>
      </c>
    </row>
    <row r="5924" spans="1:8" ht="90" x14ac:dyDescent="0.25">
      <c r="A5924" s="3" t="s">
        <v>17466</v>
      </c>
      <c r="B5924" s="3"/>
      <c r="C5924" s="3" t="str">
        <f>"MS-IL provides OutSourcing Services for Automotive Manufactures in containment, rework, cleaning, inspection of parts. Including but not limited to Employee Contracting, Logistics, Warehousing, Storage, Outsourcing, Sub Assemblies and Packaging Services."</f>
        <v>MS-IL provides OutSourcing Services for Automotive Manufactures in containment, rework, cleaning, inspection of parts. Including but not limited to Employee Contracting, Logistics, Warehousing, Storage, Outsourcing, Sub Assemblies and Packaging Services.</v>
      </c>
      <c r="D5924" s="3" t="s">
        <v>17467</v>
      </c>
      <c r="E5924" s="3" t="s">
        <v>46</v>
      </c>
      <c r="F5924" s="3" t="str">
        <f>"317-322-9311"</f>
        <v>317-322-9311</v>
      </c>
      <c r="G5924" s="3">
        <v>561910</v>
      </c>
      <c r="H5924" s="3" t="s">
        <v>7461</v>
      </c>
    </row>
    <row r="5925" spans="1:8" ht="102.75" x14ac:dyDescent="0.25">
      <c r="A5925" s="3" t="s">
        <v>17468</v>
      </c>
      <c r="B5925" s="3"/>
      <c r="C5925" s="3" t="s">
        <v>17469</v>
      </c>
      <c r="D5925" s="3" t="s">
        <v>17470</v>
      </c>
      <c r="E5925" s="3" t="s">
        <v>17471</v>
      </c>
      <c r="F5925" s="3" t="str">
        <f>"317-334-0600"</f>
        <v>317-334-0600</v>
      </c>
      <c r="G5925" s="3">
        <v>561910</v>
      </c>
      <c r="H5925" s="3" t="s">
        <v>7461</v>
      </c>
    </row>
    <row r="5926" spans="1:8" ht="204.75" x14ac:dyDescent="0.25">
      <c r="A5926" s="3" t="s">
        <v>17472</v>
      </c>
      <c r="B5926" s="3"/>
      <c r="C5926" s="3" t="s">
        <v>17473</v>
      </c>
      <c r="D5926" s="3" t="s">
        <v>17474</v>
      </c>
      <c r="E5926" s="3" t="s">
        <v>17475</v>
      </c>
      <c r="F5926" s="3" t="str">
        <f>"317-894-8055"</f>
        <v>317-894-8055</v>
      </c>
      <c r="G5926" s="3">
        <v>23599</v>
      </c>
      <c r="H5926" s="3" t="s">
        <v>248</v>
      </c>
    </row>
    <row r="5927" spans="1:8" x14ac:dyDescent="0.25">
      <c r="A5927" s="3" t="s">
        <v>17476</v>
      </c>
      <c r="B5927" s="3"/>
      <c r="C5927" s="3" t="str">
        <f>" "</f>
        <v xml:space="preserve"> </v>
      </c>
      <c r="D5927" s="3" t="s">
        <v>9</v>
      </c>
      <c r="E5927" s="3" t="s">
        <v>46</v>
      </c>
      <c r="F5927" s="2"/>
      <c r="G5927" s="3">
        <v>611110</v>
      </c>
      <c r="H5927" s="3" t="s">
        <v>3876</v>
      </c>
    </row>
    <row r="5928" spans="1:8" ht="26.25" x14ac:dyDescent="0.25">
      <c r="A5928" s="3" t="s">
        <v>17477</v>
      </c>
      <c r="B5928" s="3"/>
      <c r="C5928" s="3" t="str">
        <f>"Indiana School District"</f>
        <v>Indiana School District</v>
      </c>
      <c r="D5928" s="3" t="s">
        <v>17478</v>
      </c>
      <c r="E5928" s="3" t="s">
        <v>17479</v>
      </c>
      <c r="F5928" s="3" t="str">
        <f>"219-996-4771"</f>
        <v>219-996-4771</v>
      </c>
      <c r="G5928" s="3">
        <v>611110</v>
      </c>
      <c r="H5928" s="3" t="s">
        <v>3876</v>
      </c>
    </row>
    <row r="5929" spans="1:8" ht="26.25" x14ac:dyDescent="0.25">
      <c r="A5929" s="3" t="s">
        <v>17480</v>
      </c>
      <c r="B5929" s="3"/>
      <c r="C5929" s="3" t="str">
        <f>"Commerical Office Building"</f>
        <v>Commerical Office Building</v>
      </c>
      <c r="D5929" s="3" t="s">
        <v>17481</v>
      </c>
      <c r="E5929" s="3" t="s">
        <v>17482</v>
      </c>
      <c r="F5929" s="3" t="str">
        <f>"317-464-8230"</f>
        <v>317-464-8230</v>
      </c>
      <c r="G5929" s="3">
        <v>53</v>
      </c>
      <c r="H5929" s="3" t="s">
        <v>2336</v>
      </c>
    </row>
    <row r="5930" spans="1:8" ht="77.25" x14ac:dyDescent="0.25">
      <c r="A5930" s="3" t="s">
        <v>17483</v>
      </c>
      <c r="B5930" s="3"/>
      <c r="C5930" s="3" t="str">
        <f>"Mulhaupt's Inc. has been in business for over 140 years. Today, Mulhaupt's Inc. is a premier provider and installer of commercial doors, frames, hardware, burglary and fire protection systems, and access control systems."</f>
        <v>Mulhaupt's Inc. has been in business for over 140 years. Today, Mulhaupt's Inc. is a premier provider and installer of commercial doors, frames, hardware, burglary and fire protection systems, and access control systems.</v>
      </c>
      <c r="D5930" s="3" t="s">
        <v>17484</v>
      </c>
      <c r="E5930" s="3" t="s">
        <v>17485</v>
      </c>
      <c r="F5930" s="3" t="str">
        <f>"765-423-2610"</f>
        <v>765-423-2610</v>
      </c>
      <c r="G5930" s="3">
        <v>444130</v>
      </c>
      <c r="H5930" s="3" t="s">
        <v>2597</v>
      </c>
    </row>
    <row r="5931" spans="1:8" ht="64.5" x14ac:dyDescent="0.25">
      <c r="A5931" s="3" t="s">
        <v>17486</v>
      </c>
      <c r="B5931" s="3"/>
      <c r="C5931" s="3" t="str">
        <f>"Electronic Security &amp; Life Safety Systems. Including, Fire Alarms, Intrusion Alarm, Access Control Systems, Video Surveillance, CCTV Systems, Alarm Monitoring, Fire Extinguishers, and Fire Inspections."</f>
        <v>Electronic Security &amp; Life Safety Systems. Including, Fire Alarms, Intrusion Alarm, Access Control Systems, Video Surveillance, CCTV Systems, Alarm Monitoring, Fire Extinguishers, and Fire Inspections.</v>
      </c>
      <c r="D5931" s="3" t="s">
        <v>17487</v>
      </c>
      <c r="E5931" s="3" t="s">
        <v>17488</v>
      </c>
      <c r="F5931" s="3" t="str">
        <f>"317-844-8116"</f>
        <v>317-844-8116</v>
      </c>
      <c r="G5931" s="3">
        <v>561621</v>
      </c>
      <c r="H5931" s="3" t="s">
        <v>827</v>
      </c>
    </row>
    <row r="5932" spans="1:8" ht="26.25" x14ac:dyDescent="0.25">
      <c r="A5932" s="3" t="s">
        <v>17489</v>
      </c>
      <c r="B5932" s="3"/>
      <c r="C5932" s="3" t="str">
        <f>"Mining and retail sales of sand, gravel and limestone"</f>
        <v>Mining and retail sales of sand, gravel and limestone</v>
      </c>
      <c r="D5932" s="3" t="s">
        <v>17490</v>
      </c>
      <c r="E5932" s="3" t="s">
        <v>17491</v>
      </c>
      <c r="F5932" s="3" t="str">
        <f>"812-547-7921"</f>
        <v>812-547-7921</v>
      </c>
      <c r="G5932" s="3">
        <v>212312</v>
      </c>
      <c r="H5932" s="3" t="s">
        <v>3264</v>
      </c>
    </row>
    <row r="5933" spans="1:8" ht="64.5" x14ac:dyDescent="0.25">
      <c r="A5933" s="3" t="s">
        <v>17492</v>
      </c>
      <c r="B5933" s="3"/>
      <c r="C5933" s="3" t="str">
        <f>"WE MINE AND PROCESS SAND AND GRAVEL PRODUCTS. WE LOAD THE FINISHED PRODUCT ONTO CUSTOMER TRUCKS OR WE CAN ARRANGE DELIVERY. WE ARE CAPP CERTIFIED FOR SAND PRODUCTS."</f>
        <v>WE MINE AND PROCESS SAND AND GRAVEL PRODUCTS. WE LOAD THE FINISHED PRODUCT ONTO CUSTOMER TRUCKS OR WE CAN ARRANGE DELIVERY. WE ARE CAPP CERTIFIED FOR SAND PRODUCTS.</v>
      </c>
      <c r="D5933" s="3" t="s">
        <v>9</v>
      </c>
      <c r="E5933" s="3" t="s">
        <v>46</v>
      </c>
      <c r="F5933" s="3" t="str">
        <f>"765-282-6422"</f>
        <v>765-282-6422</v>
      </c>
      <c r="G5933" s="3">
        <v>212321</v>
      </c>
      <c r="H5933" s="3" t="s">
        <v>4979</v>
      </c>
    </row>
    <row r="5934" spans="1:8" ht="26.25" x14ac:dyDescent="0.25">
      <c r="A5934" s="3" t="s">
        <v>17493</v>
      </c>
      <c r="B5934" s="3"/>
      <c r="C5934" s="2"/>
      <c r="D5934" s="3" t="s">
        <v>17494</v>
      </c>
      <c r="E5934" s="3" t="s">
        <v>17495</v>
      </c>
      <c r="F5934" s="3" t="str">
        <f>"317-630-9060"</f>
        <v>317-630-9060</v>
      </c>
      <c r="G5934" s="3">
        <v>541620</v>
      </c>
      <c r="H5934" s="3" t="s">
        <v>216</v>
      </c>
    </row>
    <row r="5935" spans="1:8" ht="26.25" x14ac:dyDescent="0.25">
      <c r="A5935" s="3" t="s">
        <v>17496</v>
      </c>
      <c r="B5935" s="3"/>
      <c r="C5935" s="3" t="str">
        <f>"Sale of firefighting equipment including SCBA, PPE &amp; Misc. Tools"</f>
        <v>Sale of firefighting equipment including SCBA, PPE &amp; Misc. Tools</v>
      </c>
      <c r="D5935" s="3" t="s">
        <v>17497</v>
      </c>
      <c r="E5935" s="3" t="s">
        <v>46</v>
      </c>
      <c r="F5935" s="3" t="str">
        <f>"317-596-1700"</f>
        <v>317-596-1700</v>
      </c>
      <c r="G5935" s="3">
        <v>92216</v>
      </c>
      <c r="H5935" s="3" t="s">
        <v>2246</v>
      </c>
    </row>
    <row r="5936" spans="1:8" ht="115.5" x14ac:dyDescent="0.25">
      <c r="A5936" s="3" t="s">
        <v>17498</v>
      </c>
      <c r="B5936" s="3"/>
      <c r="C5936" s="3" t="s">
        <v>17499</v>
      </c>
      <c r="D5936" s="3" t="s">
        <v>9</v>
      </c>
      <c r="E5936" s="3" t="s">
        <v>17500</v>
      </c>
      <c r="F5936" s="3" t="str">
        <f>"812-944-7760"</f>
        <v>812-944-7760</v>
      </c>
      <c r="G5936" s="3">
        <v>561410</v>
      </c>
      <c r="H5936" s="3" t="s">
        <v>4164</v>
      </c>
    </row>
    <row r="5937" spans="1:8" ht="64.5" x14ac:dyDescent="0.25">
      <c r="A5937" s="3" t="s">
        <v>17501</v>
      </c>
      <c r="B5937" s="3"/>
      <c r="C5937" s="3" t="str">
        <f>"Information Technology: New computer sales. Computer repair. Computer hardware sales. Small business networking installation and support. Wireless networking installation and support."</f>
        <v>Information Technology: New computer sales. Computer repair. Computer hardware sales. Small business networking installation and support. Wireless networking installation and support.</v>
      </c>
      <c r="D5937" s="3" t="s">
        <v>17502</v>
      </c>
      <c r="E5937" s="3" t="s">
        <v>17503</v>
      </c>
      <c r="F5937" s="3" t="str">
        <f>"812-284-5938"</f>
        <v>812-284-5938</v>
      </c>
      <c r="G5937" s="3">
        <v>443120</v>
      </c>
      <c r="H5937" s="3" t="s">
        <v>609</v>
      </c>
    </row>
    <row r="5938" spans="1:8" ht="243" x14ac:dyDescent="0.25">
      <c r="A5938" s="3" t="s">
        <v>17504</v>
      </c>
      <c r="B5938" s="3"/>
      <c r="C5938" s="3" t="s">
        <v>17505</v>
      </c>
      <c r="D5938" s="3" t="s">
        <v>17506</v>
      </c>
      <c r="E5938" s="3" t="s">
        <v>17507</v>
      </c>
      <c r="F5938" s="3" t="str">
        <f>"574-370-7797"</f>
        <v>574-370-7797</v>
      </c>
      <c r="G5938" s="3">
        <v>488490</v>
      </c>
      <c r="H5938" s="3" t="s">
        <v>4862</v>
      </c>
    </row>
    <row r="5939" spans="1:8" ht="51.75" x14ac:dyDescent="0.25">
      <c r="A5939" s="3" t="s">
        <v>17508</v>
      </c>
      <c r="B5939" s="3"/>
      <c r="C5939" s="3" t="str">
        <f>"Wholesales of goods and services in Indiana. Goods maybe from toothbrushes and papertowels to televisions and speakers. Also specializing in Dish TV."</f>
        <v>Wholesales of goods and services in Indiana. Goods maybe from toothbrushes and papertowels to televisions and speakers. Also specializing in Dish TV.</v>
      </c>
      <c r="D5939" s="3" t="s">
        <v>9</v>
      </c>
      <c r="E5939" s="3" t="s">
        <v>17509</v>
      </c>
      <c r="F5939" s="3" t="str">
        <f>"3174084877"</f>
        <v>3174084877</v>
      </c>
      <c r="G5939" s="3">
        <v>423990</v>
      </c>
      <c r="H5939" s="3" t="s">
        <v>983</v>
      </c>
    </row>
    <row r="5940" spans="1:8" ht="26.25" x14ac:dyDescent="0.25">
      <c r="A5940" s="3" t="s">
        <v>17510</v>
      </c>
      <c r="B5940" s="3"/>
      <c r="C5940" s="3" t="str">
        <f>"All phases of asphalt paving contruction."</f>
        <v>All phases of asphalt paving contruction.</v>
      </c>
      <c r="D5940" s="3" t="s">
        <v>9</v>
      </c>
      <c r="E5940" s="3" t="s">
        <v>17511</v>
      </c>
      <c r="F5940" s="3" t="str">
        <f>"812-591-3742"</f>
        <v>812-591-3742</v>
      </c>
      <c r="G5940" s="3">
        <v>32412</v>
      </c>
      <c r="H5940" s="3" t="s">
        <v>17512</v>
      </c>
    </row>
    <row r="5941" spans="1:8" ht="26.25" x14ac:dyDescent="0.25">
      <c r="A5941" s="3" t="s">
        <v>17513</v>
      </c>
      <c r="B5941" s="3"/>
      <c r="C5941" s="3" t="str">
        <f>" "</f>
        <v xml:space="preserve"> </v>
      </c>
      <c r="D5941" s="3" t="s">
        <v>17514</v>
      </c>
      <c r="E5941" s="3" t="s">
        <v>17515</v>
      </c>
      <c r="F5941" s="3" t="str">
        <f>"317-924-6271"</f>
        <v>317-924-6271</v>
      </c>
      <c r="G5941" s="3">
        <v>541810</v>
      </c>
      <c r="H5941" s="3" t="s">
        <v>976</v>
      </c>
    </row>
    <row r="5942" spans="1:8" ht="306.75" x14ac:dyDescent="0.25">
      <c r="A5942" s="3" t="s">
        <v>17516</v>
      </c>
      <c r="B5942" s="3"/>
      <c r="C5942" s="3" t="s">
        <v>17517</v>
      </c>
      <c r="D5942" s="3" t="s">
        <v>17518</v>
      </c>
      <c r="E5942" s="3" t="s">
        <v>17519</v>
      </c>
      <c r="F5942" s="3" t="str">
        <f>"219-865-1441"</f>
        <v>219-865-1441</v>
      </c>
      <c r="G5942" s="3">
        <v>811121</v>
      </c>
      <c r="H5942" s="3" t="s">
        <v>1432</v>
      </c>
    </row>
    <row r="5943" spans="1:8" ht="26.25" x14ac:dyDescent="0.25">
      <c r="A5943" s="3" t="s">
        <v>17520</v>
      </c>
      <c r="B5943" s="3"/>
      <c r="C5943" s="3" t="str">
        <f>"Residential, Commercial and Industrial Electrical Contractor."</f>
        <v>Residential, Commercial and Industrial Electrical Contractor.</v>
      </c>
      <c r="D5943" s="3" t="s">
        <v>9</v>
      </c>
      <c r="E5943" s="3" t="s">
        <v>17521</v>
      </c>
      <c r="F5943" s="3" t="str">
        <f>"260-638-4627"</f>
        <v>260-638-4627</v>
      </c>
      <c r="G5943" s="3">
        <v>23531</v>
      </c>
      <c r="H5943" s="3" t="s">
        <v>306</v>
      </c>
    </row>
    <row r="5944" spans="1:8" ht="39" x14ac:dyDescent="0.25">
      <c r="A5944" s="3" t="s">
        <v>17522</v>
      </c>
      <c r="B5944" s="3"/>
      <c r="C5944" s="3" t="str">
        <f>"We do business and residential construction, site development and road construction"</f>
        <v>We do business and residential construction, site development and road construction</v>
      </c>
      <c r="D5944" s="3" t="s">
        <v>9</v>
      </c>
      <c r="E5944" s="3" t="s">
        <v>17523</v>
      </c>
      <c r="F5944" s="3" t="str">
        <f>"812-458-6286"</f>
        <v>812-458-6286</v>
      </c>
      <c r="G5944" s="3">
        <v>23891</v>
      </c>
      <c r="H5944" s="3" t="s">
        <v>886</v>
      </c>
    </row>
    <row r="5945" spans="1:8" ht="26.25" x14ac:dyDescent="0.25">
      <c r="A5945" s="3" t="s">
        <v>17524</v>
      </c>
      <c r="B5945" s="3"/>
      <c r="C5945" s="3" t="str">
        <f>"Property Preservation and Maintenance"</f>
        <v>Property Preservation and Maintenance</v>
      </c>
      <c r="D5945" s="3" t="s">
        <v>17525</v>
      </c>
      <c r="E5945" s="3" t="s">
        <v>17526</v>
      </c>
      <c r="F5945" s="3" t="str">
        <f>"3179372835"</f>
        <v>3179372835</v>
      </c>
      <c r="G5945" s="3">
        <v>561720</v>
      </c>
      <c r="H5945" s="3" t="s">
        <v>222</v>
      </c>
    </row>
    <row r="5946" spans="1:8" ht="26.25" x14ac:dyDescent="0.25">
      <c r="A5946" s="3" t="s">
        <v>17527</v>
      </c>
      <c r="B5946" s="3"/>
      <c r="C5946" s="3" t="str">
        <f>"Construction Equipment Dealer; Sales, Parts, Service &amp; Rental"</f>
        <v>Construction Equipment Dealer; Sales, Parts, Service &amp; Rental</v>
      </c>
      <c r="D5946" s="3" t="s">
        <v>17528</v>
      </c>
      <c r="E5946" s="3" t="s">
        <v>46</v>
      </c>
      <c r="F5946" s="3" t="str">
        <f>"2607471561"</f>
        <v>2607471561</v>
      </c>
      <c r="G5946" s="3">
        <v>23595</v>
      </c>
      <c r="H5946" s="3" t="s">
        <v>17529</v>
      </c>
    </row>
    <row r="5947" spans="1:8" ht="26.25" x14ac:dyDescent="0.25">
      <c r="A5947" s="3" t="s">
        <v>17530</v>
      </c>
      <c r="B5947" s="3"/>
      <c r="C5947" s="3" t="str">
        <f>" "</f>
        <v xml:space="preserve"> </v>
      </c>
      <c r="D5947" s="3" t="s">
        <v>17531</v>
      </c>
      <c r="E5947" s="3" t="s">
        <v>17532</v>
      </c>
      <c r="F5947" s="3" t="str">
        <f>"317-596-6371"</f>
        <v>317-596-6371</v>
      </c>
      <c r="G5947" s="3">
        <v>2362</v>
      </c>
      <c r="H5947" s="3" t="s">
        <v>423</v>
      </c>
    </row>
    <row r="5948" spans="1:8" ht="26.25" x14ac:dyDescent="0.25">
      <c r="A5948" s="3" t="s">
        <v>17533</v>
      </c>
      <c r="B5948" s="3"/>
      <c r="C5948" s="3" t="str">
        <f>"IT Resources Management and Consulting Software Developing, Testing and Training"</f>
        <v>IT Resources Management and Consulting Software Developing, Testing and Training</v>
      </c>
      <c r="D5948" s="3" t="s">
        <v>9</v>
      </c>
      <c r="E5948" s="3" t="s">
        <v>46</v>
      </c>
      <c r="F5948" s="3" t="str">
        <f>"317-413-0951"</f>
        <v>317-413-0951</v>
      </c>
      <c r="G5948" s="3">
        <v>54</v>
      </c>
      <c r="H5948" s="3" t="s">
        <v>179</v>
      </c>
    </row>
    <row r="5949" spans="1:8" ht="26.25" x14ac:dyDescent="0.25">
      <c r="A5949" s="3" t="s">
        <v>17534</v>
      </c>
      <c r="B5949" s="3"/>
      <c r="C5949" s="3" t="str">
        <f>"Remodeling and new construction of residential and commercial properties."</f>
        <v>Remodeling and new construction of residential and commercial properties.</v>
      </c>
      <c r="D5949" s="3" t="s">
        <v>17535</v>
      </c>
      <c r="E5949" s="3" t="s">
        <v>17536</v>
      </c>
      <c r="F5949" s="3" t="str">
        <f>"812 935-6669"</f>
        <v>812 935-6669</v>
      </c>
      <c r="G5949" s="3">
        <v>236118</v>
      </c>
      <c r="H5949" s="3" t="s">
        <v>465</v>
      </c>
    </row>
    <row r="5950" spans="1:8" ht="115.5" x14ac:dyDescent="0.25">
      <c r="A5950" s="3" t="s">
        <v>17537</v>
      </c>
      <c r="B5950" s="3"/>
      <c r="C5950" s="3" t="s">
        <v>17538</v>
      </c>
      <c r="D5950" s="3" t="s">
        <v>9</v>
      </c>
      <c r="E5950" s="3" t="s">
        <v>17539</v>
      </c>
      <c r="F5950" s="3" t="str">
        <f>"317-888-6078"</f>
        <v>317-888-6078</v>
      </c>
      <c r="G5950" s="3">
        <v>333513</v>
      </c>
      <c r="H5950" s="3" t="s">
        <v>12465</v>
      </c>
    </row>
    <row r="5951" spans="1:8" ht="39" x14ac:dyDescent="0.25">
      <c r="A5951" s="3" t="s">
        <v>17540</v>
      </c>
      <c r="B5951" s="3"/>
      <c r="C5951" s="3" t="str">
        <f>" "</f>
        <v xml:space="preserve"> </v>
      </c>
      <c r="D5951" s="3" t="s">
        <v>9</v>
      </c>
      <c r="E5951" s="3" t="s">
        <v>46</v>
      </c>
      <c r="F5951" s="2"/>
      <c r="G5951" s="3">
        <v>8113</v>
      </c>
      <c r="H5951" s="3" t="s">
        <v>1895</v>
      </c>
    </row>
    <row r="5952" spans="1:8" ht="39" x14ac:dyDescent="0.25">
      <c r="A5952" s="3" t="s">
        <v>17541</v>
      </c>
      <c r="B5952" s="3"/>
      <c r="C5952" s="3" t="str">
        <f>"Trucking, Excavating, underground utilities, septic systems, concrete, asphalt, Lawn and Landscape."</f>
        <v>Trucking, Excavating, underground utilities, septic systems, concrete, asphalt, Lawn and Landscape.</v>
      </c>
      <c r="D5952" s="3" t="s">
        <v>9</v>
      </c>
      <c r="E5952" s="3" t="s">
        <v>17542</v>
      </c>
      <c r="F5952" s="3" t="str">
        <f>"8126372600"</f>
        <v>8126372600</v>
      </c>
      <c r="G5952" s="3">
        <v>4841</v>
      </c>
      <c r="H5952" s="3" t="s">
        <v>3598</v>
      </c>
    </row>
    <row r="5953" spans="1:8" ht="128.25" x14ac:dyDescent="0.25">
      <c r="A5953" s="3" t="s">
        <v>17543</v>
      </c>
      <c r="B5953" s="3"/>
      <c r="C5953" s="3" t="s">
        <v>17544</v>
      </c>
      <c r="D5953" s="3" t="s">
        <v>17545</v>
      </c>
      <c r="E5953" s="3" t="s">
        <v>17546</v>
      </c>
      <c r="F5953" s="3" t="str">
        <f>"317-846-5567"</f>
        <v>317-846-5567</v>
      </c>
      <c r="G5953" s="3">
        <v>323110</v>
      </c>
      <c r="H5953" s="3" t="s">
        <v>1900</v>
      </c>
    </row>
    <row r="5954" spans="1:8" ht="128.25" x14ac:dyDescent="0.25">
      <c r="A5954" s="3" t="s">
        <v>17547</v>
      </c>
      <c r="B5954" s="3"/>
      <c r="C5954" s="3" t="s">
        <v>17548</v>
      </c>
      <c r="D5954" s="3" t="s">
        <v>17549</v>
      </c>
      <c r="E5954" s="3" t="s">
        <v>17550</v>
      </c>
      <c r="F5954" s="3" t="str">
        <f>"8123694082"</f>
        <v>8123694082</v>
      </c>
      <c r="G5954" s="3">
        <v>813110</v>
      </c>
      <c r="H5954" s="3" t="s">
        <v>15729</v>
      </c>
    </row>
    <row r="5955" spans="1:8" ht="166.5" x14ac:dyDescent="0.25">
      <c r="A5955" s="3" t="s">
        <v>17551</v>
      </c>
      <c r="B5955" s="3"/>
      <c r="C5955" s="3" t="s">
        <v>17552</v>
      </c>
      <c r="D5955" s="3" t="s">
        <v>17553</v>
      </c>
      <c r="E5955" s="3" t="s">
        <v>17554</v>
      </c>
      <c r="F5955" s="3" t="str">
        <f>"812-349-3000"</f>
        <v>812-349-3000</v>
      </c>
      <c r="G5955" s="3">
        <v>31</v>
      </c>
      <c r="H5955" s="3" t="s">
        <v>999</v>
      </c>
    </row>
    <row r="5956" spans="1:8" ht="51.75" x14ac:dyDescent="0.25">
      <c r="A5956" s="3" t="s">
        <v>17555</v>
      </c>
      <c r="B5956" s="3"/>
      <c r="C5956" s="3" t="str">
        <f>"I am an independent contractor. I provide consultation services regarding all areas pertaining to speech-language within my expertise."</f>
        <v>I am an independent contractor. I provide consultation services regarding all areas pertaining to speech-language within my expertise.</v>
      </c>
      <c r="D5956" s="3" t="s">
        <v>9</v>
      </c>
      <c r="E5956" s="3" t="s">
        <v>46</v>
      </c>
      <c r="F5956" s="2"/>
      <c r="G5956" s="3">
        <v>621340</v>
      </c>
      <c r="H5956" s="3" t="s">
        <v>987</v>
      </c>
    </row>
    <row r="5957" spans="1:8" ht="102.75" x14ac:dyDescent="0.25">
      <c r="A5957" s="3" t="s">
        <v>17556</v>
      </c>
      <c r="B5957" s="3"/>
      <c r="C5957" s="3" t="s">
        <v>17557</v>
      </c>
      <c r="D5957" s="3" t="s">
        <v>17558</v>
      </c>
      <c r="E5957" s="3" t="s">
        <v>17559</v>
      </c>
      <c r="F5957" s="3" t="str">
        <f>"317-889-1775"</f>
        <v>317-889-1775</v>
      </c>
      <c r="G5957" s="3">
        <v>541320</v>
      </c>
      <c r="H5957" s="3" t="s">
        <v>2241</v>
      </c>
    </row>
    <row r="5958" spans="1:8" ht="128.25" x14ac:dyDescent="0.25">
      <c r="A5958" s="3" t="s">
        <v>17560</v>
      </c>
      <c r="B5958" s="3"/>
      <c r="C5958" s="3" t="s">
        <v>17561</v>
      </c>
      <c r="D5958" s="3" t="s">
        <v>17562</v>
      </c>
      <c r="E5958" s="3" t="s">
        <v>17563</v>
      </c>
      <c r="F5958" s="3" t="str">
        <f>"219-476-7234"</f>
        <v>219-476-7234</v>
      </c>
      <c r="G5958" s="3">
        <v>541430</v>
      </c>
      <c r="H5958" s="3" t="s">
        <v>78</v>
      </c>
    </row>
    <row r="5959" spans="1:8" ht="281.25" x14ac:dyDescent="0.25">
      <c r="A5959" s="3" t="s">
        <v>17564</v>
      </c>
      <c r="B5959" s="3"/>
      <c r="C5959" s="3" t="s">
        <v>17565</v>
      </c>
      <c r="D5959" s="3" t="s">
        <v>17566</v>
      </c>
      <c r="E5959" s="3" t="s">
        <v>17567</v>
      </c>
      <c r="F5959" s="3" t="str">
        <f>"812-273-6000"</f>
        <v>812-273-6000</v>
      </c>
      <c r="G5959" s="3">
        <v>325611</v>
      </c>
      <c r="H5959" s="3" t="s">
        <v>4219</v>
      </c>
    </row>
    <row r="5960" spans="1:8" ht="90" x14ac:dyDescent="0.25">
      <c r="A5960" s="3" t="s">
        <v>17568</v>
      </c>
      <c r="B5960" s="3"/>
      <c r="C5960" s="3" t="s">
        <v>17569</v>
      </c>
      <c r="D5960" s="3" t="s">
        <v>9</v>
      </c>
      <c r="E5960" s="3" t="s">
        <v>17570</v>
      </c>
      <c r="F5960" s="3" t="str">
        <f>"765-778-3555"</f>
        <v>765-778-3555</v>
      </c>
      <c r="G5960" s="3">
        <v>23592</v>
      </c>
      <c r="H5960" s="3" t="s">
        <v>2530</v>
      </c>
    </row>
    <row r="5961" spans="1:8" ht="26.25" x14ac:dyDescent="0.25">
      <c r="A5961" s="3" t="s">
        <v>17571</v>
      </c>
      <c r="B5961" s="3"/>
      <c r="C5961" s="3" t="str">
        <f>"Industrial and Construction Supplies"</f>
        <v>Industrial and Construction Supplies</v>
      </c>
      <c r="D5961" s="3" t="s">
        <v>17572</v>
      </c>
      <c r="E5961" s="3" t="s">
        <v>17573</v>
      </c>
      <c r="F5961" s="3" t="str">
        <f>"888-567-1883"</f>
        <v>888-567-1883</v>
      </c>
      <c r="G5961" s="3">
        <v>42184</v>
      </c>
      <c r="H5961" s="3" t="s">
        <v>1601</v>
      </c>
    </row>
    <row r="5962" spans="1:8" ht="102.75" x14ac:dyDescent="0.25">
      <c r="A5962" s="3" t="s">
        <v>17574</v>
      </c>
      <c r="B5962" s="3"/>
      <c r="C5962" s="3" t="s">
        <v>17575</v>
      </c>
      <c r="D5962" s="3" t="s">
        <v>17576</v>
      </c>
      <c r="E5962" s="3" t="s">
        <v>17577</v>
      </c>
      <c r="F5962" s="3" t="str">
        <f>"847 772 5550"</f>
        <v>847 772 5550</v>
      </c>
      <c r="G5962" s="3">
        <v>483212</v>
      </c>
      <c r="H5962" s="3" t="s">
        <v>17578</v>
      </c>
    </row>
    <row r="5963" spans="1:8" ht="90" x14ac:dyDescent="0.25">
      <c r="A5963" s="3" t="s">
        <v>17579</v>
      </c>
      <c r="B5963" s="3"/>
      <c r="C5963" s="3" t="str">
        <f>"Dixie Chopper sales &amp; service. We are certified to perform Dixie Chopper warranty repairs. Lawn and garden sales &amp; service from small residential hand tools to large commercial mowing equipment. Our staff has over 60 years of mechanical repair experience."</f>
        <v>Dixie Chopper sales &amp; service. We are certified to perform Dixie Chopper warranty repairs. Lawn and garden sales &amp; service from small residential hand tools to large commercial mowing equipment. Our staff has over 60 years of mechanical repair experience.</v>
      </c>
      <c r="D5963" s="3" t="s">
        <v>17580</v>
      </c>
      <c r="E5963" s="3" t="s">
        <v>17581</v>
      </c>
      <c r="F5963" s="3" t="str">
        <f>"812-265-9990"</f>
        <v>812-265-9990</v>
      </c>
      <c r="G5963" s="3">
        <v>4442</v>
      </c>
      <c r="H5963" s="3" t="s">
        <v>852</v>
      </c>
    </row>
    <row r="5964" spans="1:8" x14ac:dyDescent="0.25">
      <c r="A5964" s="3" t="s">
        <v>17582</v>
      </c>
      <c r="B5964" s="3"/>
      <c r="C5964" s="3" t="str">
        <f>" "</f>
        <v xml:space="preserve"> </v>
      </c>
      <c r="D5964" s="3" t="s">
        <v>9</v>
      </c>
      <c r="E5964" s="3" t="s">
        <v>46</v>
      </c>
      <c r="F5964" s="2"/>
      <c r="G5964" s="3">
        <v>531311</v>
      </c>
      <c r="H5964" s="3" t="s">
        <v>2959</v>
      </c>
    </row>
    <row r="5965" spans="1:8" x14ac:dyDescent="0.25">
      <c r="A5965" s="3" t="s">
        <v>17583</v>
      </c>
      <c r="B5965" s="3"/>
      <c r="C5965" s="3" t="str">
        <f>"vol fire dept."</f>
        <v>vol fire dept.</v>
      </c>
      <c r="D5965" s="3" t="s">
        <v>9</v>
      </c>
      <c r="E5965" s="3" t="s">
        <v>46</v>
      </c>
      <c r="F5965" s="2"/>
      <c r="G5965" s="3">
        <v>238</v>
      </c>
      <c r="H5965" s="3" t="s">
        <v>397</v>
      </c>
    </row>
    <row r="5966" spans="1:8" x14ac:dyDescent="0.25">
      <c r="A5966" s="3" t="s">
        <v>17584</v>
      </c>
      <c r="B5966" s="3"/>
      <c r="C5966" s="3" t="str">
        <f>" "</f>
        <v xml:space="preserve"> </v>
      </c>
      <c r="D5966" s="3" t="s">
        <v>9</v>
      </c>
      <c r="E5966" s="3" t="s">
        <v>46</v>
      </c>
      <c r="F5966" s="2"/>
      <c r="G5966" s="3">
        <v>42</v>
      </c>
      <c r="H5966" s="3" t="s">
        <v>674</v>
      </c>
    </row>
    <row r="5967" spans="1:8" ht="26.25" x14ac:dyDescent="0.25">
      <c r="A5967" s="3" t="s">
        <v>17585</v>
      </c>
      <c r="B5967" s="3"/>
      <c r="C5967" s="2"/>
      <c r="D5967" s="3" t="s">
        <v>17586</v>
      </c>
      <c r="E5967" s="3" t="s">
        <v>46</v>
      </c>
      <c r="F5967" s="3" t="str">
        <f>"765-246-7737"</f>
        <v>765-246-7737</v>
      </c>
      <c r="G5967" s="3">
        <v>333112</v>
      </c>
      <c r="H5967" s="3" t="s">
        <v>17587</v>
      </c>
    </row>
    <row r="5968" spans="1:8" ht="64.5" x14ac:dyDescent="0.25">
      <c r="A5968" s="3" t="s">
        <v>17588</v>
      </c>
      <c r="B5968" s="3"/>
      <c r="C5968" s="3" t="str">
        <f>"Repair diesel fuel injection pumps, injectors, turbo chargers. Drive in service available for repair of fuel system components, diagnostics etc. on most diesel engines,"</f>
        <v>Repair diesel fuel injection pumps, injectors, turbo chargers. Drive in service available for repair of fuel system components, diagnostics etc. on most diesel engines,</v>
      </c>
      <c r="D5968" s="3" t="s">
        <v>17589</v>
      </c>
      <c r="E5968" s="3" t="s">
        <v>17590</v>
      </c>
      <c r="F5968" s="3" t="str">
        <f>"219-663-7286"</f>
        <v>219-663-7286</v>
      </c>
      <c r="G5968" s="3">
        <v>811198</v>
      </c>
      <c r="H5968" s="3" t="s">
        <v>2171</v>
      </c>
    </row>
    <row r="5969" spans="1:8" ht="115.5" x14ac:dyDescent="0.25">
      <c r="A5969" s="3" t="s">
        <v>17591</v>
      </c>
      <c r="B5969" s="3"/>
      <c r="C5969" s="3" t="s">
        <v>17592</v>
      </c>
      <c r="D5969" s="3" t="s">
        <v>17593</v>
      </c>
      <c r="E5969" s="3" t="s">
        <v>17594</v>
      </c>
      <c r="F5969" s="3" t="str">
        <f>"800-347-9928"</f>
        <v>800-347-9928</v>
      </c>
      <c r="G5969" s="3">
        <v>33911</v>
      </c>
      <c r="H5969" s="3" t="s">
        <v>2119</v>
      </c>
    </row>
    <row r="5970" spans="1:8" ht="64.5" x14ac:dyDescent="0.25">
      <c r="A5970" s="3" t="s">
        <v>17595</v>
      </c>
      <c r="B5970" s="3"/>
      <c r="C5970" s="3" t="str">
        <f>"Magnum Express, Inc. is a full service transportation solution provider offering logistics, trucking, warehousing, and brokerage services. Magnum prides itself on providing top notch service to its clients."</f>
        <v>Magnum Express, Inc. is a full service transportation solution provider offering logistics, trucking, warehousing, and brokerage services. Magnum prides itself on providing top notch service to its clients.</v>
      </c>
      <c r="D5970" s="3" t="s">
        <v>17596</v>
      </c>
      <c r="E5970" s="3" t="s">
        <v>46</v>
      </c>
      <c r="F5970" s="3" t="str">
        <f>"888-357-4544"</f>
        <v>888-357-4544</v>
      </c>
      <c r="G5970" s="3">
        <v>484121</v>
      </c>
      <c r="H5970" s="3" t="s">
        <v>342</v>
      </c>
    </row>
    <row r="5971" spans="1:8" ht="64.5" x14ac:dyDescent="0.25">
      <c r="A5971" s="3" t="s">
        <v>17597</v>
      </c>
      <c r="B5971" s="3"/>
      <c r="C5971" s="3" t="str">
        <f>"Magnum Logistics, Inc. provides on-site transportation, dedicated carriage, warehousing, benchmarking, and an array of other supply chain management services to manufacturers and distributors."</f>
        <v>Magnum Logistics, Inc. provides on-site transportation, dedicated carriage, warehousing, benchmarking, and an array of other supply chain management services to manufacturers and distributors.</v>
      </c>
      <c r="D5971" s="3" t="s">
        <v>17596</v>
      </c>
      <c r="E5971" s="3" t="s">
        <v>46</v>
      </c>
      <c r="F5971" s="3" t="str">
        <f>"888-357-4544"</f>
        <v>888-357-4544</v>
      </c>
      <c r="G5971" s="3">
        <v>488510</v>
      </c>
      <c r="H5971" s="3" t="s">
        <v>562</v>
      </c>
    </row>
    <row r="5972" spans="1:8" ht="39" x14ac:dyDescent="0.25">
      <c r="A5972" s="3" t="s">
        <v>17598</v>
      </c>
      <c r="B5972" s="3"/>
      <c r="C5972" s="3" t="str">
        <f>"state and federal vendor in Indiana bidder and procurement system for all bid NAICS, woman and veteran owned small business."</f>
        <v>state and federal vendor in Indiana bidder and procurement system for all bid NAICS, woman and veteran owned small business.</v>
      </c>
      <c r="D5972" s="3" t="s">
        <v>17599</v>
      </c>
      <c r="E5972" s="3" t="s">
        <v>17600</v>
      </c>
      <c r="F5972" s="3" t="str">
        <f>"812-734-5991"</f>
        <v>812-734-5991</v>
      </c>
      <c r="G5972" s="3">
        <v>211112</v>
      </c>
      <c r="H5972" s="3" t="s">
        <v>17601</v>
      </c>
    </row>
    <row r="5973" spans="1:8" ht="141" x14ac:dyDescent="0.25">
      <c r="A5973" s="3" t="s">
        <v>17602</v>
      </c>
      <c r="B5973" s="3"/>
      <c r="C5973" s="3" t="s">
        <v>17603</v>
      </c>
      <c r="D5973" s="3" t="s">
        <v>17604</v>
      </c>
      <c r="E5973" s="3" t="s">
        <v>17605</v>
      </c>
      <c r="F5973" s="3" t="str">
        <f>"574-232-9653"</f>
        <v>574-232-9653</v>
      </c>
      <c r="G5973" s="3">
        <v>561612</v>
      </c>
      <c r="H5973" s="3" t="s">
        <v>362</v>
      </c>
    </row>
    <row r="5974" spans="1:8" ht="51.75" x14ac:dyDescent="0.25">
      <c r="A5974" s="3" t="s">
        <v>17606</v>
      </c>
      <c r="B5974" s="3"/>
      <c r="C5974" s="3" t="str">
        <f>"Audio engineering firm with 20 years experience specializing in audio production, mixing, mastering, archival and preservation, sound system design."</f>
        <v>Audio engineering firm with 20 years experience specializing in audio production, mixing, mastering, archival and preservation, sound system design.</v>
      </c>
      <c r="D5974" s="3" t="s">
        <v>17607</v>
      </c>
      <c r="E5974" s="3" t="s">
        <v>17608</v>
      </c>
      <c r="F5974" s="3" t="str">
        <f>"812-320-2437"</f>
        <v>812-320-2437</v>
      </c>
      <c r="G5974" s="3">
        <v>519120</v>
      </c>
      <c r="H5974" s="3" t="s">
        <v>13455</v>
      </c>
    </row>
    <row r="5975" spans="1:8" ht="26.25" x14ac:dyDescent="0.25">
      <c r="A5975" s="3" t="s">
        <v>17609</v>
      </c>
      <c r="B5975" s="3"/>
      <c r="C5975" s="2"/>
      <c r="D5975" s="3" t="s">
        <v>17610</v>
      </c>
      <c r="E5975" s="3" t="s">
        <v>17611</v>
      </c>
      <c r="F5975" s="3" t="str">
        <f>"317-472-5800"</f>
        <v>317-472-5800</v>
      </c>
      <c r="G5975" s="3">
        <v>561910</v>
      </c>
      <c r="H5975" s="3" t="s">
        <v>7461</v>
      </c>
    </row>
    <row r="5976" spans="1:8" ht="26.25" x14ac:dyDescent="0.25">
      <c r="A5976" s="3" t="s">
        <v>17612</v>
      </c>
      <c r="B5976" s="3"/>
      <c r="C5976" s="3" t="str">
        <f>"cleaning business -lunchrooms, bathroom, hallways, office cleaning, etc."</f>
        <v>cleaning business -lunchrooms, bathroom, hallways, office cleaning, etc.</v>
      </c>
      <c r="D5976" s="3" t="s">
        <v>9</v>
      </c>
      <c r="E5976" s="3" t="s">
        <v>17613</v>
      </c>
      <c r="F5976" s="3" t="str">
        <f>"317-891-1453"</f>
        <v>317-891-1453</v>
      </c>
      <c r="G5976" s="3">
        <v>561720</v>
      </c>
      <c r="H5976" s="3" t="s">
        <v>222</v>
      </c>
    </row>
    <row r="5977" spans="1:8" ht="268.5" x14ac:dyDescent="0.25">
      <c r="A5977" s="3" t="s">
        <v>17614</v>
      </c>
      <c r="B5977" s="3"/>
      <c r="C5977" s="3" t="s">
        <v>17615</v>
      </c>
      <c r="D5977" s="3" t="s">
        <v>17616</v>
      </c>
      <c r="E5977" s="3" t="s">
        <v>17617</v>
      </c>
      <c r="F5977" s="3" t="str">
        <f>"260.436.6243"</f>
        <v>260.436.6243</v>
      </c>
      <c r="G5977" s="3">
        <v>561720</v>
      </c>
      <c r="H5977" s="3" t="s">
        <v>222</v>
      </c>
    </row>
    <row r="5978" spans="1:8" ht="128.25" x14ac:dyDescent="0.25">
      <c r="A5978" s="3" t="s">
        <v>17618</v>
      </c>
      <c r="B5978" s="3"/>
      <c r="C5978" s="3" t="s">
        <v>17619</v>
      </c>
      <c r="D5978" s="3" t="s">
        <v>17620</v>
      </c>
      <c r="E5978" s="3" t="s">
        <v>17621</v>
      </c>
      <c r="F5978" s="3" t="str">
        <f>"317-605-1627"</f>
        <v>317-605-1627</v>
      </c>
      <c r="G5978" s="3">
        <v>561720</v>
      </c>
      <c r="H5978" s="3" t="s">
        <v>222</v>
      </c>
    </row>
    <row r="5979" spans="1:8" ht="153.75" x14ac:dyDescent="0.25">
      <c r="A5979" s="3" t="s">
        <v>17622</v>
      </c>
      <c r="B5979" s="3"/>
      <c r="C5979" s="3" t="s">
        <v>17623</v>
      </c>
      <c r="D5979" s="3" t="s">
        <v>9</v>
      </c>
      <c r="E5979" s="3" t="s">
        <v>17624</v>
      </c>
      <c r="F5979" s="3" t="str">
        <f>"317-375-7930"</f>
        <v>317-375-7930</v>
      </c>
      <c r="G5979" s="3">
        <v>561499</v>
      </c>
      <c r="H5979" s="3" t="s">
        <v>3092</v>
      </c>
    </row>
    <row r="5980" spans="1:8" ht="255.75" x14ac:dyDescent="0.25">
      <c r="A5980" s="3" t="s">
        <v>17625</v>
      </c>
      <c r="B5980" s="3"/>
      <c r="C5980" s="3" t="s">
        <v>17626</v>
      </c>
      <c r="D5980" s="3" t="s">
        <v>17627</v>
      </c>
      <c r="E5980" s="3" t="s">
        <v>17628</v>
      </c>
      <c r="F5980" s="3" t="str">
        <f>"317-547-9937, EXT 905"</f>
        <v>317-547-9937, EXT 905</v>
      </c>
      <c r="G5980" s="3">
        <v>561499</v>
      </c>
      <c r="H5980" s="3" t="s">
        <v>3092</v>
      </c>
    </row>
    <row r="5981" spans="1:8" ht="39" x14ac:dyDescent="0.25">
      <c r="A5981" s="3" t="s">
        <v>17629</v>
      </c>
      <c r="B5981" s="3"/>
      <c r="C5981" s="3" t="str">
        <f>"Full Service Marina, New and Used Boat, Motor, Trailer Sales &amp; Service. Summer Piers, &amp; Winter Storage also available."</f>
        <v>Full Service Marina, New and Used Boat, Motor, Trailer Sales &amp; Service. Summer Piers, &amp; Winter Storage also available.</v>
      </c>
      <c r="D5981" s="3" t="s">
        <v>17630</v>
      </c>
      <c r="E5981" s="3" t="s">
        <v>17631</v>
      </c>
      <c r="F5981" s="3" t="str">
        <f>"574-457-4200"</f>
        <v>574-457-4200</v>
      </c>
      <c r="G5981" s="3">
        <v>441222</v>
      </c>
      <c r="H5981" s="3" t="s">
        <v>3175</v>
      </c>
    </row>
    <row r="5982" spans="1:8" ht="77.25" x14ac:dyDescent="0.25">
      <c r="A5982" s="3" t="s">
        <v>17632</v>
      </c>
      <c r="B5982" s="3"/>
      <c r="C5982" s="3" t="str">
        <f>"Main Event Merchandise Group provides these services: Corporate Merchandise Programs, Embroidery and Screen Printing, E-Commerce and Fulfillment, Promotional Products, Custom Sourcing and Product Development, and Rush Services."</f>
        <v>Main Event Merchandise Group provides these services: Corporate Merchandise Programs, Embroidery and Screen Printing, E-Commerce and Fulfillment, Promotional Products, Custom Sourcing and Product Development, and Rush Services.</v>
      </c>
      <c r="D5982" s="3" t="s">
        <v>17633</v>
      </c>
      <c r="E5982" s="3" t="s">
        <v>17634</v>
      </c>
      <c r="F5982" s="3" t="str">
        <f>"317.570.8900"</f>
        <v>317.570.8900</v>
      </c>
      <c r="G5982" s="3">
        <v>315999</v>
      </c>
      <c r="H5982" s="3" t="s">
        <v>4357</v>
      </c>
    </row>
    <row r="5983" spans="1:8" ht="102.75" x14ac:dyDescent="0.25">
      <c r="A5983" s="3" t="s">
        <v>17635</v>
      </c>
      <c r="B5983" s="3"/>
      <c r="C5983" s="3" t="s">
        <v>17636</v>
      </c>
      <c r="D5983" s="3" t="s">
        <v>17637</v>
      </c>
      <c r="E5983" s="3" t="s">
        <v>17638</v>
      </c>
      <c r="F5983" s="3" t="str">
        <f>"574-772-7890"</f>
        <v>574-772-7890</v>
      </c>
      <c r="G5983" s="3">
        <v>811212</v>
      </c>
      <c r="H5983" s="3" t="s">
        <v>1632</v>
      </c>
    </row>
    <row r="5984" spans="1:8" ht="26.25" x14ac:dyDescent="0.25">
      <c r="A5984" s="3" t="s">
        <v>17639</v>
      </c>
      <c r="B5984" s="3"/>
      <c r="C5984" s="3" t="str">
        <f>"Civil Engineering &amp; Land Surveying &amp; Consulting Services"</f>
        <v>Civil Engineering &amp; Land Surveying &amp; Consulting Services</v>
      </c>
      <c r="D5984" s="3" t="s">
        <v>17640</v>
      </c>
      <c r="E5984" s="3" t="s">
        <v>17641</v>
      </c>
      <c r="F5984" s="3" t="str">
        <f>"317.736.0579"</f>
        <v>317.736.0579</v>
      </c>
      <c r="G5984" s="3">
        <v>2331</v>
      </c>
      <c r="H5984" s="3" t="s">
        <v>408</v>
      </c>
    </row>
    <row r="5985" spans="1:8" ht="51.75" x14ac:dyDescent="0.25">
      <c r="A5985" s="3" t="s">
        <v>17642</v>
      </c>
      <c r="B5985" s="3"/>
      <c r="C5985" s="3" t="str">
        <f>"We are an apparel and athletic uniform distributor. We provide athltic uniforms, corporate apparel, screenprinting, embroidery, t-shirts, and other apparel."</f>
        <v>We are an apparel and athletic uniform distributor. We provide athltic uniforms, corporate apparel, screenprinting, embroidery, t-shirts, and other apparel.</v>
      </c>
      <c r="D5985" s="3" t="s">
        <v>17643</v>
      </c>
      <c r="E5985" s="3" t="s">
        <v>17644</v>
      </c>
      <c r="F5985" s="3" t="str">
        <f>"8887485525"</f>
        <v>8887485525</v>
      </c>
      <c r="G5985" s="3">
        <v>3159</v>
      </c>
      <c r="H5985" s="3" t="s">
        <v>12581</v>
      </c>
    </row>
    <row r="5986" spans="1:8" ht="26.25" x14ac:dyDescent="0.25">
      <c r="A5986" s="3" t="s">
        <v>17645</v>
      </c>
      <c r="B5986" s="3"/>
      <c r="C5986" s="3" t="str">
        <f>"Commercial, Industrial, Retail electrical contractor."</f>
        <v>Commercial, Industrial, Retail electrical contractor.</v>
      </c>
      <c r="D5986" s="3" t="s">
        <v>17646</v>
      </c>
      <c r="E5986" s="3" t="s">
        <v>17647</v>
      </c>
      <c r="F5986" s="3" t="str">
        <f>"812-376-0007"</f>
        <v>812-376-0007</v>
      </c>
      <c r="G5986" s="3">
        <v>238210</v>
      </c>
      <c r="H5986" s="3" t="s">
        <v>306</v>
      </c>
    </row>
    <row r="5987" spans="1:8" ht="39" x14ac:dyDescent="0.25">
      <c r="A5987" s="3" t="s">
        <v>17648</v>
      </c>
      <c r="B5987" s="3"/>
      <c r="C5987" s="3" t="str">
        <f>"Wholesale supplier of heating and air conditioning equipment, parts and supplies"</f>
        <v>Wholesale supplier of heating and air conditioning equipment, parts and supplies</v>
      </c>
      <c r="D5987" s="3" t="s">
        <v>9</v>
      </c>
      <c r="E5987" s="3" t="s">
        <v>17649</v>
      </c>
      <c r="F5987" s="3" t="str">
        <f>"765/935-5519"</f>
        <v>765/935-5519</v>
      </c>
      <c r="G5987" s="3">
        <v>423730</v>
      </c>
      <c r="H5987" s="3" t="s">
        <v>17650</v>
      </c>
    </row>
    <row r="5988" spans="1:8" ht="26.25" x14ac:dyDescent="0.25">
      <c r="A5988" s="3" t="s">
        <v>17651</v>
      </c>
      <c r="B5988" s="3"/>
      <c r="C5988" s="3" t="str">
        <f>"We fabricate and install stone countertops."</f>
        <v>We fabricate and install stone countertops.</v>
      </c>
      <c r="D5988" s="3" t="s">
        <v>17652</v>
      </c>
      <c r="E5988" s="3" t="s">
        <v>46</v>
      </c>
      <c r="F5988" s="3" t="str">
        <f>"317-237-4400"</f>
        <v>317-237-4400</v>
      </c>
      <c r="G5988" s="3">
        <v>327991</v>
      </c>
      <c r="H5988" s="3" t="s">
        <v>13525</v>
      </c>
    </row>
    <row r="5989" spans="1:8" ht="26.25" x14ac:dyDescent="0.25">
      <c r="A5989" s="3" t="s">
        <v>17653</v>
      </c>
      <c r="B5989" s="3"/>
      <c r="C5989" s="3" t="str">
        <f>"provides armed and unarmed security officers"</f>
        <v>provides armed and unarmed security officers</v>
      </c>
      <c r="D5989" s="3" t="s">
        <v>17654</v>
      </c>
      <c r="E5989" s="3" t="s">
        <v>17655</v>
      </c>
      <c r="F5989" s="3" t="str">
        <f>"574-294-1181"</f>
        <v>574-294-1181</v>
      </c>
      <c r="G5989" s="3">
        <v>561612</v>
      </c>
      <c r="H5989" s="3" t="s">
        <v>362</v>
      </c>
    </row>
    <row r="5990" spans="1:8" ht="39" x14ac:dyDescent="0.25">
      <c r="A5990" s="3" t="s">
        <v>17656</v>
      </c>
      <c r="B5990" s="3"/>
      <c r="C5990" s="3" t="str">
        <f>"Provider of revenue optimization for programs and services operated by State, County, City and other local governments"</f>
        <v>Provider of revenue optimization for programs and services operated by State, County, City and other local governments</v>
      </c>
      <c r="D5990" s="3" t="s">
        <v>17657</v>
      </c>
      <c r="E5990" s="3" t="s">
        <v>17658</v>
      </c>
      <c r="F5990" s="3" t="str">
        <f>"317-818-1876"</f>
        <v>317-818-1876</v>
      </c>
      <c r="G5990" s="3">
        <v>541219</v>
      </c>
      <c r="H5990" s="3" t="s">
        <v>2010</v>
      </c>
    </row>
    <row r="5991" spans="1:8" ht="39" x14ac:dyDescent="0.25">
      <c r="A5991" s="3" t="s">
        <v>17659</v>
      </c>
      <c r="B5991" s="3"/>
      <c r="C5991" s="3" t="str">
        <f>"We create partnerships between brands and the people who sell them to connect with the people who buy them."</f>
        <v>We create partnerships between brands and the people who sell them to connect with the people who buy them.</v>
      </c>
      <c r="D5991" s="3" t="s">
        <v>17660</v>
      </c>
      <c r="E5991" s="3" t="s">
        <v>46</v>
      </c>
      <c r="F5991" s="3" t="str">
        <f>"317-686-7800"</f>
        <v>317-686-7800</v>
      </c>
      <c r="G5991" s="3">
        <v>541810</v>
      </c>
      <c r="H5991" s="3" t="s">
        <v>976</v>
      </c>
    </row>
    <row r="5992" spans="1:8" ht="77.25" x14ac:dyDescent="0.25">
      <c r="A5992" s="3" t="s">
        <v>17661</v>
      </c>
      <c r="B5992" s="3"/>
      <c r="C5992" s="3" t="str">
        <f>"Full line, industrial supply distributor for industrial controls, hydraulic &amp; pneumatic equipment and supplies, general mill supplies, industrial hand tools, powered production tools, precision measuring tools, and facility improvement products."</f>
        <v>Full line, industrial supply distributor for industrial controls, hydraulic &amp; pneumatic equipment and supplies, general mill supplies, industrial hand tools, powered production tools, precision measuring tools, and facility improvement products.</v>
      </c>
      <c r="D5992" s="3" t="s">
        <v>17662</v>
      </c>
      <c r="E5992" s="3" t="s">
        <v>17663</v>
      </c>
      <c r="F5992" s="3" t="str">
        <f>"812-423-2596"</f>
        <v>812-423-2596</v>
      </c>
      <c r="G5992" s="3">
        <v>423840</v>
      </c>
      <c r="H5992" s="3" t="s">
        <v>553</v>
      </c>
    </row>
    <row r="5993" spans="1:8" ht="39" x14ac:dyDescent="0.25">
      <c r="A5993" s="3" t="s">
        <v>17664</v>
      </c>
      <c r="B5993" s="3"/>
      <c r="C5993" s="3" t="str">
        <f>"Coordinate and provide assessment services for people who may be eligible for specific benefits."</f>
        <v>Coordinate and provide assessment services for people who may be eligible for specific benefits.</v>
      </c>
      <c r="D5993" s="3" t="s">
        <v>9</v>
      </c>
      <c r="E5993" s="3" t="s">
        <v>17665</v>
      </c>
      <c r="F5993" s="3" t="str">
        <f>"765-569-5148"</f>
        <v>765-569-5148</v>
      </c>
      <c r="G5993" s="3">
        <v>611710</v>
      </c>
      <c r="H5993" s="3" t="s">
        <v>508</v>
      </c>
    </row>
    <row r="5994" spans="1:8" ht="102.75" x14ac:dyDescent="0.25">
      <c r="A5994" s="3" t="s">
        <v>17666</v>
      </c>
      <c r="B5994" s="3"/>
      <c r="C5994" s="3" t="s">
        <v>17667</v>
      </c>
      <c r="D5994" s="3" t="s">
        <v>17668</v>
      </c>
      <c r="E5994" s="3" t="s">
        <v>17669</v>
      </c>
      <c r="F5994" s="3" t="str">
        <f>"260-480-7885"</f>
        <v>260-480-7885</v>
      </c>
      <c r="G5994" s="3">
        <v>3342</v>
      </c>
      <c r="H5994" s="3" t="s">
        <v>4205</v>
      </c>
    </row>
    <row r="5995" spans="1:8" ht="192" x14ac:dyDescent="0.25">
      <c r="A5995" s="3" t="s">
        <v>17666</v>
      </c>
      <c r="B5995" s="3"/>
      <c r="C5995" s="3" t="s">
        <v>17670</v>
      </c>
      <c r="D5995" s="3" t="s">
        <v>17671</v>
      </c>
      <c r="E5995" s="3" t="s">
        <v>17672</v>
      </c>
      <c r="F5995" s="3" t="str">
        <f>"2604807885"</f>
        <v>2604807885</v>
      </c>
      <c r="G5995" s="3">
        <v>238</v>
      </c>
      <c r="H5995" s="3" t="s">
        <v>397</v>
      </c>
    </row>
    <row r="5996" spans="1:8" ht="64.5" x14ac:dyDescent="0.25">
      <c r="A5996" s="3" t="s">
        <v>17673</v>
      </c>
      <c r="B5996" s="3"/>
      <c r="C5996" s="3" t="str">
        <f>"Consulting services to nonprofit agencies: strategic planning, board development, executive mentoring, fund planning, facilitating. Expertise in youth serving agencies, arts agencies, and education."</f>
        <v>Consulting services to nonprofit agencies: strategic planning, board development, executive mentoring, fund planning, facilitating. Expertise in youth serving agencies, arts agencies, and education.</v>
      </c>
      <c r="D5996" s="3" t="s">
        <v>9</v>
      </c>
      <c r="E5996" s="3" t="s">
        <v>46</v>
      </c>
      <c r="F5996" s="2"/>
      <c r="G5996" s="3">
        <v>62411</v>
      </c>
      <c r="H5996" s="3" t="s">
        <v>628</v>
      </c>
    </row>
    <row r="5997" spans="1:8" ht="166.5" x14ac:dyDescent="0.25">
      <c r="A5997" s="3" t="s">
        <v>17674</v>
      </c>
      <c r="B5997" s="3"/>
      <c r="C5997" s="3" t="s">
        <v>17675</v>
      </c>
      <c r="D5997" s="3" t="s">
        <v>17676</v>
      </c>
      <c r="E5997" s="3" t="s">
        <v>17677</v>
      </c>
      <c r="F5997" s="3" t="str">
        <f>"(630) 441-8308"</f>
        <v>(630) 441-8308</v>
      </c>
      <c r="G5997" s="3">
        <v>238</v>
      </c>
      <c r="H5997" s="3" t="s">
        <v>397</v>
      </c>
    </row>
    <row r="5998" spans="1:8" ht="255.75" x14ac:dyDescent="0.25">
      <c r="A5998" s="3" t="s">
        <v>17678</v>
      </c>
      <c r="B5998" s="3"/>
      <c r="C5998" s="3" t="s">
        <v>17679</v>
      </c>
      <c r="D5998" s="3" t="s">
        <v>17680</v>
      </c>
      <c r="E5998" s="3" t="s">
        <v>17681</v>
      </c>
      <c r="F5998" s="3" t="str">
        <f>"(317) 222-3100"</f>
        <v>(317) 222-3100</v>
      </c>
      <c r="G5998" s="3">
        <v>541513</v>
      </c>
      <c r="H5998" s="3" t="s">
        <v>2401</v>
      </c>
    </row>
    <row r="5999" spans="1:8" ht="230.25" x14ac:dyDescent="0.25">
      <c r="A5999" s="3" t="s">
        <v>17682</v>
      </c>
      <c r="B5999" s="3"/>
      <c r="C5999" s="3" t="s">
        <v>17683</v>
      </c>
      <c r="D5999" s="3" t="s">
        <v>17684</v>
      </c>
      <c r="E5999" s="3" t="s">
        <v>17685</v>
      </c>
      <c r="F5999" s="3" t="str">
        <f>"317-295-4200"</f>
        <v>317-295-4200</v>
      </c>
      <c r="G5999" s="3">
        <v>541512</v>
      </c>
      <c r="H5999" s="3" t="s">
        <v>19</v>
      </c>
    </row>
    <row r="6000" spans="1:8" ht="64.5" x14ac:dyDescent="0.25">
      <c r="A6000" s="3" t="s">
        <v>17686</v>
      </c>
      <c r="B6000" s="3"/>
      <c r="C6000" s="3" t="str">
        <f>"Management Registry, is a Executive Search and Recruitment Staffing Company providing staffing services for Healthcare, Administrative, Logistics, and Light Industrial."</f>
        <v>Management Registry, is a Executive Search and Recruitment Staffing Company providing staffing services for Healthcare, Administrative, Logistics, and Light Industrial.</v>
      </c>
      <c r="D6000" s="3" t="s">
        <v>17687</v>
      </c>
      <c r="E6000" s="3" t="s">
        <v>17688</v>
      </c>
      <c r="F6000" s="3" t="str">
        <f>"888-851-3588"</f>
        <v>888-851-3588</v>
      </c>
      <c r="G6000" s="3">
        <v>561320</v>
      </c>
      <c r="H6000" s="3" t="s">
        <v>15</v>
      </c>
    </row>
    <row r="6001" spans="1:8" ht="115.5" x14ac:dyDescent="0.25">
      <c r="A6001" s="3" t="s">
        <v>17689</v>
      </c>
      <c r="B6001" s="3"/>
      <c r="C6001" s="3" t="s">
        <v>17690</v>
      </c>
      <c r="D6001" s="3" t="s">
        <v>17691</v>
      </c>
      <c r="E6001" s="3" t="s">
        <v>17692</v>
      </c>
      <c r="F6001" s="3" t="str">
        <f>"1-800-416-2434"</f>
        <v>1-800-416-2434</v>
      </c>
      <c r="G6001" s="3">
        <v>325412</v>
      </c>
      <c r="H6001" s="3" t="s">
        <v>2091</v>
      </c>
    </row>
    <row r="6002" spans="1:8" ht="90" x14ac:dyDescent="0.25">
      <c r="A6002" s="3" t="s">
        <v>17693</v>
      </c>
      <c r="B6002" s="3"/>
      <c r="C6002" s="3" t="str">
        <f>"Provide product, installation and repair for commercial and residential doors, frames and architectural hardware. We also provide locksmithing services, including access control, building security, cctv, master keying, rekeying, repair and installation."</f>
        <v>Provide product, installation and repair for commercial and residential doors, frames and architectural hardware. We also provide locksmithing services, including access control, building security, cctv, master keying, rekeying, repair and installation.</v>
      </c>
      <c r="D6002" s="3" t="s">
        <v>9</v>
      </c>
      <c r="E6002" s="3" t="s">
        <v>17694</v>
      </c>
      <c r="F6002" s="3" t="str">
        <f>"574 773 5825"</f>
        <v>574 773 5825</v>
      </c>
      <c r="G6002" s="3">
        <v>238990</v>
      </c>
      <c r="H6002" s="3" t="s">
        <v>481</v>
      </c>
    </row>
    <row r="6003" spans="1:8" ht="102.75" x14ac:dyDescent="0.25">
      <c r="A6003" s="3" t="s">
        <v>17695</v>
      </c>
      <c r="B6003" s="3"/>
      <c r="C6003" s="3" t="s">
        <v>17696</v>
      </c>
      <c r="D6003" s="3" t="s">
        <v>17697</v>
      </c>
      <c r="E6003" s="3" t="s">
        <v>17698</v>
      </c>
      <c r="F6003" s="3" t="str">
        <f>"765-714-6615"</f>
        <v>765-714-6615</v>
      </c>
      <c r="G6003" s="3">
        <v>562111</v>
      </c>
      <c r="H6003" s="3" t="s">
        <v>1818</v>
      </c>
    </row>
    <row r="6004" spans="1:8" ht="26.25" x14ac:dyDescent="0.25">
      <c r="A6004" s="3" t="s">
        <v>17699</v>
      </c>
      <c r="B6004" s="3"/>
      <c r="C6004" s="2"/>
      <c r="D6004" s="3" t="s">
        <v>9</v>
      </c>
      <c r="E6004" s="3" t="s">
        <v>46</v>
      </c>
      <c r="F6004" s="2"/>
      <c r="G6004" s="3">
        <v>621111</v>
      </c>
      <c r="H6004" s="3" t="s">
        <v>2002</v>
      </c>
    </row>
    <row r="6005" spans="1:8" x14ac:dyDescent="0.25">
      <c r="A6005" s="3" t="s">
        <v>17700</v>
      </c>
      <c r="B6005" s="3"/>
      <c r="C6005" s="3" t="str">
        <f>" "</f>
        <v xml:space="preserve"> </v>
      </c>
      <c r="D6005" s="3" t="s">
        <v>9</v>
      </c>
      <c r="E6005" s="3" t="s">
        <v>46</v>
      </c>
      <c r="F6005" s="2"/>
      <c r="G6005" s="3">
        <v>491110</v>
      </c>
      <c r="H6005" s="3" t="s">
        <v>92</v>
      </c>
    </row>
    <row r="6006" spans="1:8" ht="64.5" x14ac:dyDescent="0.25">
      <c r="A6006" s="3" t="s">
        <v>17701</v>
      </c>
      <c r="B6006" s="3"/>
      <c r="C6006" s="3" t="str">
        <f>"Public Safety Sales &amp; Service, Emergency Lighting, 2-Way Radios, Sirens, Tactical Gadgets. Also, full graphics ability. Vinyl decaling for vehicles, screen printing, embroidery, banners, signs, business cards."</f>
        <v>Public Safety Sales &amp; Service, Emergency Lighting, 2-Way Radios, Sirens, Tactical Gadgets. Also, full graphics ability. Vinyl decaling for vehicles, screen printing, embroidery, banners, signs, business cards.</v>
      </c>
      <c r="D6006" s="3" t="s">
        <v>9</v>
      </c>
      <c r="E6006" s="3" t="s">
        <v>17702</v>
      </c>
      <c r="F6006" s="3" t="str">
        <f>"812-523-8505"</f>
        <v>812-523-8505</v>
      </c>
      <c r="G6006" s="3">
        <v>51332</v>
      </c>
      <c r="H6006" s="3" t="s">
        <v>5470</v>
      </c>
    </row>
    <row r="6007" spans="1:8" ht="102.75" x14ac:dyDescent="0.25">
      <c r="A6007" s="3" t="s">
        <v>17703</v>
      </c>
      <c r="B6007" s="3"/>
      <c r="C6007" s="3" t="s">
        <v>17704</v>
      </c>
      <c r="D6007" s="3" t="s">
        <v>9</v>
      </c>
      <c r="E6007" s="3" t="s">
        <v>17702</v>
      </c>
      <c r="F6007" s="3" t="str">
        <f>"812-523-8505"</f>
        <v>812-523-8505</v>
      </c>
      <c r="G6007" s="3">
        <v>5172</v>
      </c>
      <c r="H6007" s="3" t="s">
        <v>5470</v>
      </c>
    </row>
    <row r="6008" spans="1:8" ht="179.25" x14ac:dyDescent="0.25">
      <c r="A6008" s="3" t="s">
        <v>17705</v>
      </c>
      <c r="B6008" s="3"/>
      <c r="C6008" s="3" t="s">
        <v>17706</v>
      </c>
      <c r="D6008" s="3" t="s">
        <v>17707</v>
      </c>
      <c r="E6008" s="3" t="s">
        <v>17708</v>
      </c>
      <c r="F6008" s="3" t="str">
        <f>"317-633-2936"</f>
        <v>317-633-2936</v>
      </c>
      <c r="G6008" s="3">
        <v>541810</v>
      </c>
      <c r="H6008" s="3" t="s">
        <v>976</v>
      </c>
    </row>
    <row r="6009" spans="1:8" ht="26.25" x14ac:dyDescent="0.25">
      <c r="A6009" s="3" t="s">
        <v>17709</v>
      </c>
      <c r="B6009" s="3"/>
      <c r="C6009" s="3" t="str">
        <f>"Providing geospatial solutions using GPS data to create GIS, PDF and AutoCAD maps."</f>
        <v>Providing geospatial solutions using GPS data to create GIS, PDF and AutoCAD maps.</v>
      </c>
      <c r="D6009" s="3" t="s">
        <v>9</v>
      </c>
      <c r="E6009" s="3" t="s">
        <v>17710</v>
      </c>
      <c r="F6009" s="3" t="str">
        <f>"317-379-1171"</f>
        <v>317-379-1171</v>
      </c>
      <c r="G6009" s="3">
        <v>54</v>
      </c>
      <c r="H6009" s="3" t="s">
        <v>179</v>
      </c>
    </row>
    <row r="6010" spans="1:8" ht="26.25" x14ac:dyDescent="0.25">
      <c r="A6010" s="3" t="s">
        <v>17711</v>
      </c>
      <c r="B6010" s="3"/>
      <c r="C6010" s="3" t="str">
        <f>"National supplier of small engine, lawnmower and outdoor equipment parts."</f>
        <v>National supplier of small engine, lawnmower and outdoor equipment parts.</v>
      </c>
      <c r="D6010" s="3" t="s">
        <v>9</v>
      </c>
      <c r="E6010" s="3" t="s">
        <v>46</v>
      </c>
      <c r="F6010" s="3" t="str">
        <f>"574-699-6571"</f>
        <v>574-699-6571</v>
      </c>
      <c r="G6010" s="3">
        <v>4442</v>
      </c>
      <c r="H6010" s="3" t="s">
        <v>852</v>
      </c>
    </row>
    <row r="6011" spans="1:8" ht="39" x14ac:dyDescent="0.25">
      <c r="A6011" s="3" t="s">
        <v>17712</v>
      </c>
      <c r="B6011" s="3"/>
      <c r="C6011" s="3" t="str">
        <f>"Helping companies maximize business efficiency through process improvements and facility layout."</f>
        <v>Helping companies maximize business efficiency through process improvements and facility layout.</v>
      </c>
      <c r="D6011" s="3" t="s">
        <v>17713</v>
      </c>
      <c r="E6011" s="3" t="s">
        <v>17714</v>
      </c>
      <c r="F6011" s="3" t="str">
        <f>"812-604-1172"</f>
        <v>812-604-1172</v>
      </c>
      <c r="G6011" s="3">
        <v>541320</v>
      </c>
      <c r="H6011" s="3" t="s">
        <v>2241</v>
      </c>
    </row>
    <row r="6012" spans="1:8" ht="90" x14ac:dyDescent="0.25">
      <c r="A6012" s="3" t="s">
        <v>17715</v>
      </c>
      <c r="B6012" s="3"/>
      <c r="C6012" s="3" t="s">
        <v>17716</v>
      </c>
      <c r="D6012" s="3" t="s">
        <v>17717</v>
      </c>
      <c r="E6012" s="3" t="s">
        <v>17718</v>
      </c>
      <c r="F6012" s="3" t="str">
        <f>"800-358-7447"</f>
        <v>800-358-7447</v>
      </c>
      <c r="G6012" s="3">
        <v>33411</v>
      </c>
      <c r="H6012" s="3" t="s">
        <v>12409</v>
      </c>
    </row>
    <row r="6013" spans="1:8" ht="26.25" x14ac:dyDescent="0.25">
      <c r="A6013" s="3" t="s">
        <v>17719</v>
      </c>
      <c r="B6013" s="3"/>
      <c r="C6013" s="3" t="str">
        <f>" "</f>
        <v xml:space="preserve"> </v>
      </c>
      <c r="D6013" s="3" t="s">
        <v>17720</v>
      </c>
      <c r="E6013" s="3" t="s">
        <v>17721</v>
      </c>
      <c r="F6013" s="3" t="str">
        <f>"317-670-1180"</f>
        <v>317-670-1180</v>
      </c>
      <c r="G6013" s="3">
        <v>541511</v>
      </c>
      <c r="H6013" s="3" t="s">
        <v>122</v>
      </c>
    </row>
    <row r="6014" spans="1:8" ht="230.25" x14ac:dyDescent="0.25">
      <c r="A6014" s="3" t="s">
        <v>17722</v>
      </c>
      <c r="B6014" s="3"/>
      <c r="C6014" s="3" t="s">
        <v>17723</v>
      </c>
      <c r="D6014" s="3" t="s">
        <v>17724</v>
      </c>
      <c r="E6014" s="3" t="s">
        <v>17725</v>
      </c>
      <c r="F6014" s="3" t="str">
        <f>"574-266-1010"</f>
        <v>574-266-1010</v>
      </c>
      <c r="G6014" s="3">
        <v>54137</v>
      </c>
      <c r="H6014" s="3" t="s">
        <v>160</v>
      </c>
    </row>
    <row r="6015" spans="1:8" ht="26.25" x14ac:dyDescent="0.25">
      <c r="A6015" s="3" t="s">
        <v>17726</v>
      </c>
      <c r="B6015" s="3"/>
      <c r="C6015" s="3" t="str">
        <f>"Repair, Maintenance and Installation of HVAC equipment"</f>
        <v>Repair, Maintenance and Installation of HVAC equipment</v>
      </c>
      <c r="D6015" s="3" t="s">
        <v>9</v>
      </c>
      <c r="E6015" s="3" t="s">
        <v>46</v>
      </c>
      <c r="F6015" s="2"/>
      <c r="G6015" s="3">
        <v>238220</v>
      </c>
      <c r="H6015" s="3" t="s">
        <v>348</v>
      </c>
    </row>
    <row r="6016" spans="1:8" ht="141" x14ac:dyDescent="0.25">
      <c r="A6016" s="3" t="s">
        <v>17727</v>
      </c>
      <c r="B6016" s="3"/>
      <c r="C6016" s="3" t="s">
        <v>17728</v>
      </c>
      <c r="D6016" s="3" t="s">
        <v>17729</v>
      </c>
      <c r="E6016" s="3" t="s">
        <v>17730</v>
      </c>
      <c r="F6016" s="3" t="str">
        <f>"317-721-1829"</f>
        <v>317-721-1829</v>
      </c>
      <c r="G6016" s="3">
        <v>541990</v>
      </c>
      <c r="H6016" s="3" t="s">
        <v>378</v>
      </c>
    </row>
    <row r="6017" spans="1:8" ht="64.5" x14ac:dyDescent="0.25">
      <c r="A6017" s="3" t="s">
        <v>17731</v>
      </c>
      <c r="B6017" s="3"/>
      <c r="C6017" s="3" t="str">
        <f>"Information management and publishing; web-based databases; research; writing and editing of technical and legal publications; problem solving and special projects. Woman-owned, HUB-Zone, all-Indiana."</f>
        <v>Information management and publishing; web-based databases; research; writing and editing of technical and legal publications; problem solving and special projects. Woman-owned, HUB-Zone, all-Indiana.</v>
      </c>
      <c r="D6017" s="3" t="s">
        <v>17732</v>
      </c>
      <c r="E6017" s="3" t="s">
        <v>17733</v>
      </c>
      <c r="F6017" s="3" t="str">
        <f>"317-266-0805"</f>
        <v>317-266-0805</v>
      </c>
      <c r="G6017" s="3">
        <v>51</v>
      </c>
      <c r="H6017" s="3" t="s">
        <v>252</v>
      </c>
    </row>
    <row r="6018" spans="1:8" ht="192" x14ac:dyDescent="0.25">
      <c r="A6018" s="3" t="s">
        <v>17734</v>
      </c>
      <c r="B6018" s="3"/>
      <c r="C6018" s="3" t="s">
        <v>17735</v>
      </c>
      <c r="D6018" s="3" t="s">
        <v>9</v>
      </c>
      <c r="E6018" s="3" t="s">
        <v>17736</v>
      </c>
      <c r="F6018" s="3" t="str">
        <f>"765-763-7279"</f>
        <v>765-763-7279</v>
      </c>
      <c r="G6018" s="3">
        <v>332999</v>
      </c>
      <c r="H6018" s="3" t="s">
        <v>9757</v>
      </c>
    </row>
    <row r="6019" spans="1:8" ht="26.25" x14ac:dyDescent="0.25">
      <c r="A6019" s="3" t="s">
        <v>17737</v>
      </c>
      <c r="B6019" s="3"/>
      <c r="C6019" s="3" t="str">
        <f>"Retired Admin Assistant 5 returning to assist the Oral Health Program at ISDH"</f>
        <v>Retired Admin Assistant 5 returning to assist the Oral Health Program at ISDH</v>
      </c>
      <c r="D6019" s="3" t="s">
        <v>9</v>
      </c>
      <c r="E6019" s="3" t="s">
        <v>46</v>
      </c>
      <c r="F6019" s="2"/>
      <c r="G6019" s="3">
        <v>519</v>
      </c>
      <c r="H6019" s="3" t="s">
        <v>1455</v>
      </c>
    </row>
    <row r="6020" spans="1:8" ht="26.25" x14ac:dyDescent="0.25">
      <c r="A6020" s="3" t="s">
        <v>17738</v>
      </c>
      <c r="B6020" s="3"/>
      <c r="C6020" s="2"/>
      <c r="D6020" s="3" t="s">
        <v>9</v>
      </c>
      <c r="E6020" s="3" t="s">
        <v>17739</v>
      </c>
      <c r="F6020" s="3" t="str">
        <f>"812-934-6624"</f>
        <v>812-934-6624</v>
      </c>
      <c r="G6020" s="3">
        <v>622</v>
      </c>
      <c r="H6020" s="3" t="s">
        <v>5145</v>
      </c>
    </row>
    <row r="6021" spans="1:8" ht="39" x14ac:dyDescent="0.25">
      <c r="A6021" s="3" t="s">
        <v>17740</v>
      </c>
      <c r="B6021" s="3"/>
      <c r="C6021" s="3" t="str">
        <f>"Margaret, LLC provides water and sewer line replacement, as well as site utilities, and demolition."</f>
        <v>Margaret, LLC provides water and sewer line replacement, as well as site utilities, and demolition.</v>
      </c>
      <c r="D6021" s="3" t="s">
        <v>9</v>
      </c>
      <c r="E6021" s="3" t="s">
        <v>17741</v>
      </c>
      <c r="F6021" s="3" t="str">
        <f>"219/803-4514"</f>
        <v>219/803-4514</v>
      </c>
      <c r="G6021" s="3">
        <v>23491</v>
      </c>
      <c r="H6021" s="3" t="s">
        <v>1107</v>
      </c>
    </row>
    <row r="6022" spans="1:8" ht="77.25" x14ac:dyDescent="0.25">
      <c r="A6022" s="3" t="s">
        <v>17742</v>
      </c>
      <c r="B6022" s="3"/>
      <c r="C6022" s="3" t="str">
        <f>"Provides Relocation Consulting Services on Federally-funded right-of-way projects and on locally funded right-of-way projects using the State Relocation Law as well as the Federal Uniform Relocation Act with over 25 years of experience."</f>
        <v>Provides Relocation Consulting Services on Federally-funded right-of-way projects and on locally funded right-of-way projects using the State Relocation Law as well as the Federal Uniform Relocation Act with over 25 years of experience.</v>
      </c>
      <c r="D6022" s="3" t="s">
        <v>9</v>
      </c>
      <c r="E6022" s="3" t="s">
        <v>17743</v>
      </c>
      <c r="F6022" s="3" t="str">
        <f>"317-297-1716"</f>
        <v>317-297-1716</v>
      </c>
      <c r="G6022" s="3">
        <v>531390</v>
      </c>
      <c r="H6022" s="3" t="s">
        <v>623</v>
      </c>
    </row>
    <row r="6023" spans="1:8" ht="64.5" x14ac:dyDescent="0.25">
      <c r="A6023" s="3" t="s">
        <v>17744</v>
      </c>
      <c r="B6023" s="3"/>
      <c r="C6023" s="3" t="str">
        <f>"The focus of this buisness is to assist agencies in the development and evaluation of energy conservation programs including: weatherization, energy education, and energy assistance."</f>
        <v>The focus of this buisness is to assist agencies in the development and evaluation of energy conservation programs including: weatherization, energy education, and energy assistance.</v>
      </c>
      <c r="D6023" s="3" t="s">
        <v>9</v>
      </c>
      <c r="E6023" s="3" t="s">
        <v>17745</v>
      </c>
      <c r="F6023" s="3" t="str">
        <f>"812-372-1204"</f>
        <v>812-372-1204</v>
      </c>
      <c r="G6023" s="3">
        <v>541990</v>
      </c>
      <c r="H6023" s="3" t="s">
        <v>378</v>
      </c>
    </row>
    <row r="6024" spans="1:8" ht="306.75" x14ac:dyDescent="0.25">
      <c r="A6024" s="3" t="s">
        <v>17746</v>
      </c>
      <c r="B6024" s="3"/>
      <c r="C6024" s="3" t="s">
        <v>17747</v>
      </c>
      <c r="D6024" s="3" t="s">
        <v>17748</v>
      </c>
      <c r="E6024" s="3" t="s">
        <v>17749</v>
      </c>
      <c r="F6024" s="3" t="str">
        <f>"317-512-7687"</f>
        <v>317-512-7687</v>
      </c>
      <c r="G6024" s="3">
        <v>541512</v>
      </c>
      <c r="H6024" s="3" t="s">
        <v>19</v>
      </c>
    </row>
    <row r="6025" spans="1:8" ht="319.5" x14ac:dyDescent="0.25">
      <c r="A6025" s="3" t="s">
        <v>17750</v>
      </c>
      <c r="B6025" s="3"/>
      <c r="C6025" s="3" t="s">
        <v>17751</v>
      </c>
      <c r="D6025" s="3" t="s">
        <v>17752</v>
      </c>
      <c r="E6025" s="3" t="s">
        <v>17753</v>
      </c>
      <c r="F6025" s="3" t="str">
        <f>"317-464-9389"</f>
        <v>317-464-9389</v>
      </c>
      <c r="G6025" s="3">
        <v>812990</v>
      </c>
      <c r="H6025" s="3" t="s">
        <v>294</v>
      </c>
    </row>
    <row r="6026" spans="1:8" ht="77.25" x14ac:dyDescent="0.25">
      <c r="A6026" s="3" t="s">
        <v>17754</v>
      </c>
      <c r="B6026" s="3"/>
      <c r="C6026" s="3" t="str">
        <f>"Arborist tree care company, prune,deadwood, thin, raise shade. 3A, 3B, 6 chemical license, licensed in city of Evansville for tree work. Landscape maintainence, diagnos tree insects, disease, construction consultant."</f>
        <v>Arborist tree care company, prune,deadwood, thin, raise shade. 3A, 3B, 6 chemical license, licensed in city of Evansville for tree work. Landscape maintainence, diagnos tree insects, disease, construction consultant.</v>
      </c>
      <c r="D6026" s="3" t="s">
        <v>2153</v>
      </c>
      <c r="E6026" s="3" t="s">
        <v>2154</v>
      </c>
      <c r="F6026" s="3" t="str">
        <f>"812-247-3003"</f>
        <v>812-247-3003</v>
      </c>
      <c r="G6026" s="3">
        <v>561730</v>
      </c>
      <c r="H6026" s="3" t="s">
        <v>65</v>
      </c>
    </row>
    <row r="6027" spans="1:8" ht="39" x14ac:dyDescent="0.25">
      <c r="A6027" s="3" t="s">
        <v>17755</v>
      </c>
      <c r="B6027" s="3"/>
      <c r="C6027" s="3" t="str">
        <f>"Hauling gravel, asphalt, rock, and other non-hazardous materials to and from construction and building sites."</f>
        <v>Hauling gravel, asphalt, rock, and other non-hazardous materials to and from construction and building sites.</v>
      </c>
      <c r="D6027" s="3" t="s">
        <v>9</v>
      </c>
      <c r="E6027" s="3" t="s">
        <v>17756</v>
      </c>
      <c r="F6027" s="3" t="str">
        <f>"8129893723"</f>
        <v>8129893723</v>
      </c>
      <c r="G6027" s="3">
        <v>484220</v>
      </c>
      <c r="H6027" s="3" t="s">
        <v>11</v>
      </c>
    </row>
    <row r="6028" spans="1:8" x14ac:dyDescent="0.25">
      <c r="A6028" s="3" t="s">
        <v>17757</v>
      </c>
      <c r="B6028" s="3"/>
      <c r="C6028" s="3" t="str">
        <f>" "</f>
        <v xml:space="preserve"> </v>
      </c>
      <c r="D6028" s="3" t="s">
        <v>9</v>
      </c>
      <c r="E6028" s="3" t="s">
        <v>46</v>
      </c>
      <c r="F6028" s="2"/>
      <c r="G6028" s="3">
        <v>922160</v>
      </c>
      <c r="H6028" s="3" t="s">
        <v>2246</v>
      </c>
    </row>
    <row r="6029" spans="1:8" ht="64.5" x14ac:dyDescent="0.25">
      <c r="A6029" s="3" t="s">
        <v>17758</v>
      </c>
      <c r="B6029" s="3"/>
      <c r="C6029" s="3" t="str">
        <f>"Mariga, Chan &amp; Associates, LLC is dedicated to providing timely, accurate, and confidential accounting and auditing services to government and non-profit entites."</f>
        <v>Mariga, Chan &amp; Associates, LLC is dedicated to providing timely, accurate, and confidential accounting and auditing services to government and non-profit entites.</v>
      </c>
      <c r="D6029" s="3" t="s">
        <v>9</v>
      </c>
      <c r="E6029" s="3" t="s">
        <v>17759</v>
      </c>
      <c r="F6029" s="3" t="str">
        <f>"(773) 793-6856"</f>
        <v>(773) 793-6856</v>
      </c>
      <c r="G6029" s="3">
        <v>541211</v>
      </c>
      <c r="H6029" s="3" t="s">
        <v>337</v>
      </c>
    </row>
    <row r="6030" spans="1:8" ht="39" x14ac:dyDescent="0.25">
      <c r="A6030" s="3" t="s">
        <v>17760</v>
      </c>
      <c r="B6030" s="3"/>
      <c r="C6030" s="3" t="str">
        <f>"Leading watercraft dealer in the state. Lines of boats carried include Regal, Stingray, Rinker, Berkshire, and Formula."</f>
        <v>Leading watercraft dealer in the state. Lines of boats carried include Regal, Stingray, Rinker, Berkshire, and Formula.</v>
      </c>
      <c r="D6030" s="3" t="s">
        <v>17761</v>
      </c>
      <c r="E6030" s="3" t="s">
        <v>17762</v>
      </c>
      <c r="F6030" s="3" t="str">
        <f>"317-781-5535"</f>
        <v>317-781-5535</v>
      </c>
      <c r="G6030" s="3">
        <v>441222</v>
      </c>
      <c r="H6030" s="3" t="s">
        <v>3175</v>
      </c>
    </row>
    <row r="6031" spans="1:8" ht="26.25" x14ac:dyDescent="0.25">
      <c r="A6031" s="3" t="s">
        <v>17763</v>
      </c>
      <c r="B6031" s="3"/>
      <c r="C6031" s="3" t="str">
        <f>"Leading Importer/Distributor of Stainless Steel and Non-Ferrous Fasteners"</f>
        <v>Leading Importer/Distributor of Stainless Steel and Non-Ferrous Fasteners</v>
      </c>
      <c r="D6031" s="3" t="s">
        <v>17764</v>
      </c>
      <c r="E6031" s="3" t="s">
        <v>17765</v>
      </c>
      <c r="F6031" s="3" t="str">
        <f>"574-264-2274"</f>
        <v>574-264-2274</v>
      </c>
      <c r="G6031" s="3">
        <v>339993</v>
      </c>
      <c r="H6031" s="3" t="s">
        <v>17766</v>
      </c>
    </row>
    <row r="6032" spans="1:8" ht="26.25" x14ac:dyDescent="0.25">
      <c r="A6032" s="3" t="s">
        <v>17767</v>
      </c>
      <c r="B6032" s="3"/>
      <c r="C6032" s="3" t="str">
        <f>"Manufacturer of Mario's Sweet Garden Salad Dressing"</f>
        <v>Manufacturer of Mario's Sweet Garden Salad Dressing</v>
      </c>
      <c r="D6032" s="3" t="s">
        <v>17768</v>
      </c>
      <c r="E6032" s="3" t="s">
        <v>17769</v>
      </c>
      <c r="F6032" s="3" t="str">
        <f>"574-293-7069"</f>
        <v>574-293-7069</v>
      </c>
      <c r="G6032" s="3">
        <v>311941</v>
      </c>
      <c r="H6032" s="3" t="s">
        <v>12010</v>
      </c>
    </row>
    <row r="6033" spans="1:8" ht="77.25" x14ac:dyDescent="0.25">
      <c r="A6033" s="3" t="s">
        <v>17770</v>
      </c>
      <c r="B6033" s="3"/>
      <c r="C6033" s="3" t="str">
        <f>"Mark Swanson Associates is an architecture and construction firm that has been designing and constructing buildings for the past 17 years. Their work includes a diverse portfolio of both public and private projects."</f>
        <v>Mark Swanson Associates is an architecture and construction firm that has been designing and constructing buildings for the past 17 years. Their work includes a diverse portfolio of both public and private projects.</v>
      </c>
      <c r="D6033" s="3" t="s">
        <v>9</v>
      </c>
      <c r="E6033" s="3" t="s">
        <v>17771</v>
      </c>
      <c r="F6033" s="3" t="str">
        <f>"317-844-1315"</f>
        <v>317-844-1315</v>
      </c>
      <c r="G6033" s="3">
        <v>541310</v>
      </c>
      <c r="H6033" s="3" t="s">
        <v>446</v>
      </c>
    </row>
    <row r="6034" spans="1:8" ht="26.25" x14ac:dyDescent="0.25">
      <c r="A6034" s="3" t="s">
        <v>17772</v>
      </c>
      <c r="B6034" s="3"/>
      <c r="C6034" s="3" t="str">
        <f>"Mark International, LLC is a provider of manned security guard services."</f>
        <v>Mark International, LLC is a provider of manned security guard services.</v>
      </c>
      <c r="D6034" s="3" t="s">
        <v>9</v>
      </c>
      <c r="E6034" s="3" t="s">
        <v>17773</v>
      </c>
      <c r="F6034" s="3" t="str">
        <f>"800-996-5744"</f>
        <v>800-996-5744</v>
      </c>
      <c r="G6034" s="3">
        <v>561612</v>
      </c>
      <c r="H6034" s="3" t="s">
        <v>362</v>
      </c>
    </row>
    <row r="6035" spans="1:8" ht="39" x14ac:dyDescent="0.25">
      <c r="A6035" s="3" t="s">
        <v>17774</v>
      </c>
      <c r="B6035" s="3"/>
      <c r="C6035" s="3" t="str">
        <f>"Provider of security guard services to commercial, retail, construction as well as governmental and residential clients."</f>
        <v>Provider of security guard services to commercial, retail, construction as well as governmental and residential clients.</v>
      </c>
      <c r="D6035" s="3" t="s">
        <v>9</v>
      </c>
      <c r="E6035" s="3" t="s">
        <v>17775</v>
      </c>
      <c r="F6035" s="3" t="str">
        <f>"877-404-6275"</f>
        <v>877-404-6275</v>
      </c>
      <c r="G6035" s="3">
        <v>561612</v>
      </c>
      <c r="H6035" s="3" t="s">
        <v>362</v>
      </c>
    </row>
    <row r="6036" spans="1:8" x14ac:dyDescent="0.25">
      <c r="A6036" s="3" t="s">
        <v>17776</v>
      </c>
      <c r="B6036" s="3"/>
      <c r="C6036" s="3" t="str">
        <f>"Real Estate Appraisal services"</f>
        <v>Real Estate Appraisal services</v>
      </c>
      <c r="D6036" s="3" t="s">
        <v>9</v>
      </c>
      <c r="E6036" s="3" t="s">
        <v>46</v>
      </c>
      <c r="F6036" s="2"/>
      <c r="G6036" s="3">
        <v>531320</v>
      </c>
      <c r="H6036" s="3" t="s">
        <v>34</v>
      </c>
    </row>
    <row r="6037" spans="1:8" ht="26.25" x14ac:dyDescent="0.25">
      <c r="A6037" s="3" t="s">
        <v>17777</v>
      </c>
      <c r="B6037" s="3"/>
      <c r="C6037" s="3" t="str">
        <f>"Lawn Care"</f>
        <v>Lawn Care</v>
      </c>
      <c r="D6037" s="3" t="s">
        <v>9</v>
      </c>
      <c r="E6037" s="3" t="s">
        <v>17778</v>
      </c>
      <c r="F6037" s="3" t="str">
        <f>"317) 748-6137"</f>
        <v>317) 748-6137</v>
      </c>
      <c r="G6037" s="3">
        <v>561730</v>
      </c>
      <c r="H6037" s="3" t="s">
        <v>65</v>
      </c>
    </row>
    <row r="6038" spans="1:8" ht="26.25" x14ac:dyDescent="0.25">
      <c r="A6038" s="3" t="s">
        <v>17779</v>
      </c>
      <c r="B6038" s="3"/>
      <c r="C6038" s="3" t="str">
        <f>"Indiana Licensed Family Medicine Physician"</f>
        <v>Indiana Licensed Family Medicine Physician</v>
      </c>
      <c r="D6038" s="3" t="s">
        <v>9</v>
      </c>
      <c r="E6038" s="3" t="s">
        <v>17780</v>
      </c>
      <c r="F6038" s="3" t="str">
        <f>"(317)504-0478"</f>
        <v>(317)504-0478</v>
      </c>
      <c r="G6038" s="3">
        <v>621399</v>
      </c>
      <c r="H6038" s="3" t="s">
        <v>2306</v>
      </c>
    </row>
    <row r="6039" spans="1:8" ht="26.25" x14ac:dyDescent="0.25">
      <c r="A6039" s="3" t="s">
        <v>17781</v>
      </c>
      <c r="B6039" s="3"/>
      <c r="C6039" s="3" t="str">
        <f>"Commercial/Residential Contractors"</f>
        <v>Commercial/Residential Contractors</v>
      </c>
      <c r="D6039" s="3" t="s">
        <v>17782</v>
      </c>
      <c r="E6039" s="3" t="s">
        <v>17783</v>
      </c>
      <c r="F6039" s="3" t="str">
        <f>"317-535-0004"</f>
        <v>317-535-0004</v>
      </c>
      <c r="G6039" s="3">
        <v>238220</v>
      </c>
      <c r="H6039" s="3" t="s">
        <v>348</v>
      </c>
    </row>
    <row r="6040" spans="1:8" ht="102.75" x14ac:dyDescent="0.25">
      <c r="A6040" s="3" t="s">
        <v>17784</v>
      </c>
      <c r="B6040" s="3"/>
      <c r="C6040" s="3" t="s">
        <v>17785</v>
      </c>
      <c r="D6040" s="3" t="s">
        <v>17786</v>
      </c>
      <c r="E6040" s="3" t="s">
        <v>17787</v>
      </c>
      <c r="F6040" s="3" t="str">
        <f>"260-724-2615"</f>
        <v>260-724-2615</v>
      </c>
      <c r="G6040" s="3">
        <v>238220</v>
      </c>
      <c r="H6040" s="3" t="s">
        <v>348</v>
      </c>
    </row>
    <row r="6041" spans="1:8" ht="77.25" x14ac:dyDescent="0.25">
      <c r="A6041" s="3" t="s">
        <v>17788</v>
      </c>
      <c r="B6041" s="3"/>
      <c r="C6041" s="3" t="str">
        <f>"We are a Janitorial Supply Company. We carry a wide variety of paper and chemicals. We also specialize in floor maintenance equipment, New and Reconditioned. We service all brands either in house or at your job site."</f>
        <v>We are a Janitorial Supply Company. We carry a wide variety of paper and chemicals. We also specialize in floor maintenance equipment, New and Reconditioned. We service all brands either in house or at your job site.</v>
      </c>
      <c r="D6041" s="3" t="s">
        <v>17789</v>
      </c>
      <c r="E6041" s="3" t="s">
        <v>17790</v>
      </c>
      <c r="F6041" s="3" t="str">
        <f>"317-888-4155"</f>
        <v>317-888-4155</v>
      </c>
      <c r="G6041" s="3">
        <v>423850</v>
      </c>
      <c r="H6041" s="3" t="s">
        <v>419</v>
      </c>
    </row>
    <row r="6042" spans="1:8" ht="128.25" x14ac:dyDescent="0.25">
      <c r="A6042" s="3" t="s">
        <v>17791</v>
      </c>
      <c r="B6042" s="3"/>
      <c r="C6042" s="3" t="s">
        <v>17792</v>
      </c>
      <c r="D6042" s="3" t="s">
        <v>9</v>
      </c>
      <c r="E6042" s="3" t="s">
        <v>17793</v>
      </c>
      <c r="F6042" s="3" t="str">
        <f>"574-537-0183"</f>
        <v>574-537-0183</v>
      </c>
      <c r="G6042" s="3">
        <v>541990</v>
      </c>
      <c r="H6042" s="3" t="s">
        <v>378</v>
      </c>
    </row>
    <row r="6043" spans="1:8" ht="64.5" x14ac:dyDescent="0.25">
      <c r="A6043" s="3" t="s">
        <v>17794</v>
      </c>
      <c r="B6043" s="3"/>
      <c r="C6043" s="3" t="str">
        <f>"Attorneys at Law specializing in real estate law. title searches, title insurance, closings, document and contract preparation, real estate litigation, condemnaiton proceedings, with public and private clients"</f>
        <v>Attorneys at Law specializing in real estate law. title searches, title insurance, closings, document and contract preparation, real estate litigation, condemnaiton proceedings, with public and private clients</v>
      </c>
      <c r="D6043" s="3" t="s">
        <v>14693</v>
      </c>
      <c r="E6043" s="3" t="s">
        <v>17795</v>
      </c>
      <c r="F6043" s="3" t="str">
        <f>"8123583200"</f>
        <v>8123583200</v>
      </c>
      <c r="G6043" s="3">
        <v>541110</v>
      </c>
      <c r="H6043" s="3" t="s">
        <v>2978</v>
      </c>
    </row>
    <row r="6044" spans="1:8" ht="102.75" x14ac:dyDescent="0.25">
      <c r="A6044" s="3" t="s">
        <v>17796</v>
      </c>
      <c r="B6044" s="3"/>
      <c r="C6044" s="3" t="s">
        <v>17797</v>
      </c>
      <c r="D6044" s="3" t="s">
        <v>17798</v>
      </c>
      <c r="E6044" s="3" t="s">
        <v>46</v>
      </c>
      <c r="F6044" s="3" t="str">
        <f>"(765) 458-7229"</f>
        <v>(765) 458-7229</v>
      </c>
      <c r="G6044" s="3">
        <v>444210</v>
      </c>
      <c r="H6044" s="3" t="s">
        <v>392</v>
      </c>
    </row>
    <row r="6045" spans="1:8" ht="51.75" x14ac:dyDescent="0.25">
      <c r="A6045" s="3" t="s">
        <v>17799</v>
      </c>
      <c r="B6045" s="3"/>
      <c r="C6045" s="3" t="str">
        <f>"Market*TING is a full Service marketing/communication firm specializing in branding strategy, Graphic Design, Website Design, and Social Media."</f>
        <v>Market*TING is a full Service marketing/communication firm specializing in branding strategy, Graphic Design, Website Design, and Social Media.</v>
      </c>
      <c r="D6045" s="3" t="s">
        <v>17800</v>
      </c>
      <c r="E6045" s="3" t="s">
        <v>46</v>
      </c>
      <c r="F6045" s="3" t="str">
        <f>"317.847.3904"</f>
        <v>317.847.3904</v>
      </c>
      <c r="G6045" s="3">
        <v>541613</v>
      </c>
      <c r="H6045" s="3" t="s">
        <v>558</v>
      </c>
    </row>
    <row r="6046" spans="1:8" ht="102.75" x14ac:dyDescent="0.25">
      <c r="A6046" s="3" t="s">
        <v>17801</v>
      </c>
      <c r="B6046" s="3"/>
      <c r="C6046" s="3" t="s">
        <v>17802</v>
      </c>
      <c r="D6046" s="3" t="s">
        <v>17803</v>
      </c>
      <c r="E6046" s="3" t="s">
        <v>17804</v>
      </c>
      <c r="F6046" s="3" t="str">
        <f>"317-635-9640"</f>
        <v>317-635-9640</v>
      </c>
      <c r="G6046" s="3">
        <v>541910</v>
      </c>
      <c r="H6046" s="3" t="s">
        <v>510</v>
      </c>
    </row>
    <row r="6047" spans="1:8" ht="128.25" x14ac:dyDescent="0.25">
      <c r="A6047" s="3" t="s">
        <v>17805</v>
      </c>
      <c r="B6047" s="3"/>
      <c r="C6047" s="3" t="s">
        <v>17806</v>
      </c>
      <c r="D6047" s="3" t="s">
        <v>17807</v>
      </c>
      <c r="E6047" s="3" t="s">
        <v>17808</v>
      </c>
      <c r="F6047" s="3" t="str">
        <f>"(317) 788-4440"</f>
        <v>(317) 788-4440</v>
      </c>
      <c r="G6047" s="3">
        <v>541613</v>
      </c>
      <c r="H6047" s="3" t="s">
        <v>558</v>
      </c>
    </row>
    <row r="6048" spans="1:8" ht="90" x14ac:dyDescent="0.25">
      <c r="A6048" s="3" t="s">
        <v>17809</v>
      </c>
      <c r="B6048" s="3"/>
      <c r="C6048" s="3" t="str">
        <f>"Marketpath provides website design and custom application development services, as well as, a hosted web content management system that allows non-programmers to easily update their website and an e-commerce product for conducting online sales."</f>
        <v>Marketpath provides website design and custom application development services, as well as, a hosted web content management system that allows non-programmers to easily update their website and an e-commerce product for conducting online sales.</v>
      </c>
      <c r="D6048" s="3" t="s">
        <v>17810</v>
      </c>
      <c r="E6048" s="3" t="s">
        <v>17811</v>
      </c>
      <c r="F6048" s="3" t="str">
        <f>"(800) 657-7786"</f>
        <v>(800) 657-7786</v>
      </c>
      <c r="G6048" s="3">
        <v>541511</v>
      </c>
      <c r="H6048" s="3" t="s">
        <v>122</v>
      </c>
    </row>
    <row r="6049" spans="1:8" ht="26.25" x14ac:dyDescent="0.25">
      <c r="A6049" s="3" t="s">
        <v>17812</v>
      </c>
      <c r="B6049" s="3"/>
      <c r="C6049" s="3" t="str">
        <f>"Marketing and Promotional Products and Services"</f>
        <v>Marketing and Promotional Products and Services</v>
      </c>
      <c r="D6049" s="3" t="s">
        <v>17813</v>
      </c>
      <c r="E6049" s="3" t="s">
        <v>17814</v>
      </c>
      <c r="F6049" s="3" t="str">
        <f>"317.579.9780"</f>
        <v>317.579.9780</v>
      </c>
      <c r="G6049" s="3">
        <v>422</v>
      </c>
      <c r="H6049" s="3" t="s">
        <v>16038</v>
      </c>
    </row>
    <row r="6050" spans="1:8" ht="39" x14ac:dyDescent="0.25">
      <c r="A6050" s="3" t="s">
        <v>17815</v>
      </c>
      <c r="B6050" s="3"/>
      <c r="C6050" s="3" t="str">
        <f>"Providing the latest audio, video, lighting and computer equipment for rental and staging."</f>
        <v>Providing the latest audio, video, lighting and computer equipment for rental and staging.</v>
      </c>
      <c r="D6050" s="3" t="s">
        <v>17816</v>
      </c>
      <c r="E6050" s="3" t="s">
        <v>17817</v>
      </c>
      <c r="F6050" s="3" t="str">
        <f>"317-783-1155"</f>
        <v>317-783-1155</v>
      </c>
      <c r="G6050" s="3">
        <v>532490</v>
      </c>
      <c r="H6050" s="3" t="s">
        <v>1673</v>
      </c>
    </row>
    <row r="6051" spans="1:8" ht="39" x14ac:dyDescent="0.25">
      <c r="A6051" s="3" t="s">
        <v>17818</v>
      </c>
      <c r="B6051" s="3"/>
      <c r="C6051" s="3" t="str">
        <f>"Video Conference, Audio/Visual equipment room design, installation, and service. Video Conference bridging services."</f>
        <v>Video Conference, Audio/Visual equipment room design, installation, and service. Video Conference bridging services.</v>
      </c>
      <c r="D6051" s="3" t="s">
        <v>17819</v>
      </c>
      <c r="E6051" s="3" t="s">
        <v>17820</v>
      </c>
      <c r="F6051" s="3" t="str">
        <f>"317-347-5252"</f>
        <v>317-347-5252</v>
      </c>
      <c r="G6051" s="3">
        <v>423440</v>
      </c>
      <c r="H6051" s="3" t="s">
        <v>12364</v>
      </c>
    </row>
    <row r="6052" spans="1:8" ht="153.75" x14ac:dyDescent="0.25">
      <c r="A6052" s="3" t="s">
        <v>17821</v>
      </c>
      <c r="B6052" s="3"/>
      <c r="C6052" s="3" t="s">
        <v>17822</v>
      </c>
      <c r="D6052" s="3" t="s">
        <v>9</v>
      </c>
      <c r="E6052" s="3" t="s">
        <v>17823</v>
      </c>
      <c r="F6052" s="3" t="str">
        <f>"317-299-5211"</f>
        <v>317-299-5211</v>
      </c>
      <c r="G6052" s="3">
        <v>23829</v>
      </c>
      <c r="H6052" s="3" t="s">
        <v>237</v>
      </c>
    </row>
    <row r="6053" spans="1:8" ht="51.75" x14ac:dyDescent="0.25">
      <c r="A6053" s="3" t="s">
        <v>17824</v>
      </c>
      <c r="B6053" s="3"/>
      <c r="C6053" s="3" t="str">
        <f>"A masonry and concrete construction company, in both residental and commerce . We do both new construction and repair work."</f>
        <v>A masonry and concrete construction company, in both residental and commerce . We do both new construction and repair work.</v>
      </c>
      <c r="D6053" s="3" t="s">
        <v>9</v>
      </c>
      <c r="E6053" s="3" t="s">
        <v>17825</v>
      </c>
      <c r="F6053" s="3" t="str">
        <f>"765-649-1175"</f>
        <v>765-649-1175</v>
      </c>
      <c r="G6053" s="3">
        <v>2381</v>
      </c>
      <c r="H6053" s="3" t="s">
        <v>6672</v>
      </c>
    </row>
    <row r="6054" spans="1:8" ht="26.25" x14ac:dyDescent="0.25">
      <c r="A6054" s="3" t="s">
        <v>17826</v>
      </c>
      <c r="B6054" s="3"/>
      <c r="C6054" s="3" t="str">
        <f>"Civil Engineering, Environmental Engineering, Transportation Engineering"</f>
        <v>Civil Engineering, Environmental Engineering, Transportation Engineering</v>
      </c>
      <c r="D6054" s="3" t="s">
        <v>17827</v>
      </c>
      <c r="E6054" s="3" t="s">
        <v>17828</v>
      </c>
      <c r="F6054" s="3" t="str">
        <f>"317-828-0707"</f>
        <v>317-828-0707</v>
      </c>
      <c r="G6054" s="3">
        <v>541330</v>
      </c>
      <c r="H6054" s="3" t="s">
        <v>82</v>
      </c>
    </row>
    <row r="6055" spans="1:8" ht="26.25" x14ac:dyDescent="0.25">
      <c r="A6055" s="3" t="s">
        <v>17829</v>
      </c>
      <c r="B6055" s="3"/>
      <c r="C6055" s="3" t="str">
        <f>"Vending Management Company"</f>
        <v>Vending Management Company</v>
      </c>
      <c r="D6055" s="3" t="s">
        <v>9</v>
      </c>
      <c r="E6055" s="3" t="s">
        <v>46</v>
      </c>
      <c r="F6055" s="3" t="str">
        <f>"310.314.4462"</f>
        <v>310.314.4462</v>
      </c>
      <c r="G6055" s="3">
        <v>454210</v>
      </c>
      <c r="H6055" s="3" t="s">
        <v>2889</v>
      </c>
    </row>
    <row r="6056" spans="1:8" ht="39" x14ac:dyDescent="0.25">
      <c r="A6056" s="3" t="s">
        <v>17830</v>
      </c>
      <c r="B6056" s="3"/>
      <c r="C6056" s="3" t="str">
        <f>"Provider of DMV applications and service. Also provider of large scale identification card systems."</f>
        <v>Provider of DMV applications and service. Also provider of large scale identification card systems.</v>
      </c>
      <c r="D6056" s="3" t="s">
        <v>17831</v>
      </c>
      <c r="E6056" s="3" t="s">
        <v>17832</v>
      </c>
      <c r="F6056" s="3" t="str">
        <f>"260-497-6437"</f>
        <v>260-497-6437</v>
      </c>
      <c r="G6056" s="3">
        <v>541511</v>
      </c>
      <c r="H6056" s="3" t="s">
        <v>122</v>
      </c>
    </row>
    <row r="6057" spans="1:8" ht="26.25" x14ac:dyDescent="0.25">
      <c r="A6057" s="3" t="s">
        <v>17833</v>
      </c>
      <c r="B6057" s="3"/>
      <c r="C6057" s="3" t="str">
        <f>"Specialize in Concrete Commerical and Residential Construction"</f>
        <v>Specialize in Concrete Commerical and Residential Construction</v>
      </c>
      <c r="D6057" s="3" t="s">
        <v>9</v>
      </c>
      <c r="E6057" s="3" t="s">
        <v>17834</v>
      </c>
      <c r="F6057" s="3" t="str">
        <f>"812-277-8772"</f>
        <v>812-277-8772</v>
      </c>
      <c r="G6057" s="3">
        <v>23</v>
      </c>
      <c r="H6057" s="3" t="s">
        <v>133</v>
      </c>
    </row>
    <row r="6058" spans="1:8" ht="26.25" x14ac:dyDescent="0.25">
      <c r="A6058" s="3" t="s">
        <v>17835</v>
      </c>
      <c r="B6058" s="3"/>
      <c r="C6058" s="3" t="str">
        <f>"construction, concrete, roofing and millwork,"</f>
        <v>construction, concrete, roofing and millwork,</v>
      </c>
      <c r="D6058" s="3" t="s">
        <v>17836</v>
      </c>
      <c r="E6058" s="3" t="s">
        <v>17834</v>
      </c>
      <c r="F6058" s="3" t="str">
        <f>"8122778772"</f>
        <v>8122778772</v>
      </c>
      <c r="G6058" s="3">
        <v>238990</v>
      </c>
      <c r="H6058" s="3" t="s">
        <v>481</v>
      </c>
    </row>
    <row r="6059" spans="1:8" ht="26.25" x14ac:dyDescent="0.25">
      <c r="A6059" s="3" t="s">
        <v>17837</v>
      </c>
      <c r="B6059" s="3"/>
      <c r="C6059" s="3" t="str">
        <f>"Chemicals Air Filtration Equipment Filters"</f>
        <v>Chemicals Air Filtration Equipment Filters</v>
      </c>
      <c r="D6059" s="3" t="s">
        <v>9</v>
      </c>
      <c r="E6059" s="3" t="s">
        <v>17838</v>
      </c>
      <c r="F6059" s="3" t="str">
        <f>"317-251-4300"</f>
        <v>317-251-4300</v>
      </c>
      <c r="G6059" s="3">
        <v>424690</v>
      </c>
      <c r="H6059" s="3" t="s">
        <v>2494</v>
      </c>
    </row>
    <row r="6060" spans="1:8" ht="306.75" x14ac:dyDescent="0.25">
      <c r="A6060" s="3" t="s">
        <v>17839</v>
      </c>
      <c r="B6060" s="3"/>
      <c r="C6060" s="3" t="s">
        <v>17840</v>
      </c>
      <c r="D6060" s="3" t="s">
        <v>17841</v>
      </c>
      <c r="E6060" s="3" t="s">
        <v>17842</v>
      </c>
      <c r="F6060" s="3" t="str">
        <f>"317-691-6399"</f>
        <v>317-691-6399</v>
      </c>
      <c r="G6060" s="3">
        <v>711510</v>
      </c>
      <c r="H6060" s="3" t="s">
        <v>1980</v>
      </c>
    </row>
    <row r="6061" spans="1:8" ht="39" x14ac:dyDescent="0.25">
      <c r="A6061" s="3" t="s">
        <v>17843</v>
      </c>
      <c r="B6061" s="3"/>
      <c r="C6061" s="3" t="str">
        <f>"Installs voice/data cabling, fiber optics, security cameras, telephone systems, and Point of sale cabling."</f>
        <v>Installs voice/data cabling, fiber optics, security cameras, telephone systems, and Point of sale cabling.</v>
      </c>
      <c r="D6061" s="3" t="s">
        <v>17844</v>
      </c>
      <c r="E6061" s="3" t="s">
        <v>17845</v>
      </c>
      <c r="F6061" s="3" t="str">
        <f>"765-522-1968"</f>
        <v>765-522-1968</v>
      </c>
      <c r="G6061" s="3">
        <v>23</v>
      </c>
      <c r="H6061" s="3" t="s">
        <v>133</v>
      </c>
    </row>
    <row r="6062" spans="1:8" ht="64.5" x14ac:dyDescent="0.25">
      <c r="A6062" s="3" t="s">
        <v>17846</v>
      </c>
      <c r="B6062" s="3"/>
      <c r="C6062" s="3" t="str">
        <f>"M&amp;T's provides specialty desserts and catering. We specialize in wedding cakes, sculpted cakes, corporate catering, and any other special event you may have. Call us today for a price quote!"</f>
        <v>M&amp;T's provides specialty desserts and catering. We specialize in wedding cakes, sculpted cakes, corporate catering, and any other special event you may have. Call us today for a price quote!</v>
      </c>
      <c r="D6062" s="3" t="s">
        <v>17847</v>
      </c>
      <c r="E6062" s="3" t="s">
        <v>17848</v>
      </c>
      <c r="F6062" s="3" t="str">
        <f>"317-271-8300"</f>
        <v>317-271-8300</v>
      </c>
      <c r="G6062" s="3">
        <v>722320</v>
      </c>
      <c r="H6062" s="3" t="s">
        <v>266</v>
      </c>
    </row>
    <row r="6063" spans="1:8" ht="102.75" x14ac:dyDescent="0.25">
      <c r="A6063" s="3" t="s">
        <v>17849</v>
      </c>
      <c r="B6063" s="3"/>
      <c r="C6063" s="3" t="s">
        <v>17850</v>
      </c>
      <c r="D6063" s="3" t="s">
        <v>17851</v>
      </c>
      <c r="E6063" s="3" t="s">
        <v>17852</v>
      </c>
      <c r="F6063" s="3" t="str">
        <f>"317-806-1180"</f>
        <v>317-806-1180</v>
      </c>
      <c r="G6063" s="3">
        <v>423710</v>
      </c>
      <c r="H6063" s="3" t="s">
        <v>6956</v>
      </c>
    </row>
    <row r="6064" spans="1:8" ht="26.25" x14ac:dyDescent="0.25">
      <c r="A6064" s="3" t="s">
        <v>17853</v>
      </c>
      <c r="B6064" s="3"/>
      <c r="C6064" s="3" t="str">
        <f>"Heating, Cooling, Refrigeration, Electrical Sales service and installation"</f>
        <v>Heating, Cooling, Refrigeration, Electrical Sales service and installation</v>
      </c>
      <c r="D6064" s="3" t="s">
        <v>17854</v>
      </c>
      <c r="E6064" s="3" t="s">
        <v>17855</v>
      </c>
      <c r="F6064" s="3" t="str">
        <f>"317-738-5940"</f>
        <v>317-738-5940</v>
      </c>
      <c r="G6064" s="3">
        <v>238220</v>
      </c>
      <c r="H6064" s="3" t="s">
        <v>348</v>
      </c>
    </row>
    <row r="6065" spans="1:8" ht="26.25" x14ac:dyDescent="0.25">
      <c r="A6065" s="3" t="s">
        <v>17856</v>
      </c>
      <c r="B6065" s="3"/>
      <c r="C6065" s="3" t="str">
        <f>"Roofing, siding,window and door instalation, framing, and finish carpentry,"</f>
        <v>Roofing, siding,window and door instalation, framing, and finish carpentry,</v>
      </c>
      <c r="D6065" s="3" t="s">
        <v>17857</v>
      </c>
      <c r="E6065" s="3" t="s">
        <v>17858</v>
      </c>
      <c r="F6065" s="3" t="str">
        <f>"574-753-7663"</f>
        <v>574-753-7663</v>
      </c>
      <c r="G6065" s="3">
        <v>238</v>
      </c>
      <c r="H6065" s="3" t="s">
        <v>397</v>
      </c>
    </row>
    <row r="6066" spans="1:8" ht="141" x14ac:dyDescent="0.25">
      <c r="A6066" s="3" t="s">
        <v>17859</v>
      </c>
      <c r="B6066" s="3"/>
      <c r="C6066" s="3" t="s">
        <v>17860</v>
      </c>
      <c r="D6066" s="3" t="s">
        <v>17861</v>
      </c>
      <c r="E6066" s="3" t="s">
        <v>17862</v>
      </c>
      <c r="F6066" s="3" t="str">
        <f>"574-271-5000"</f>
        <v>574-271-5000</v>
      </c>
      <c r="G6066" s="3">
        <v>238210</v>
      </c>
      <c r="H6066" s="3" t="s">
        <v>306</v>
      </c>
    </row>
    <row r="6067" spans="1:8" ht="115.5" x14ac:dyDescent="0.25">
      <c r="A6067" s="3" t="s">
        <v>17863</v>
      </c>
      <c r="B6067" s="3"/>
      <c r="C6067" s="3" t="s">
        <v>17864</v>
      </c>
      <c r="D6067" s="3" t="s">
        <v>17865</v>
      </c>
      <c r="E6067" s="3" t="s">
        <v>17866</v>
      </c>
      <c r="F6067" s="3" t="str">
        <f>"(310) 210-4674"</f>
        <v>(310) 210-4674</v>
      </c>
      <c r="G6067" s="3">
        <v>711510</v>
      </c>
      <c r="H6067" s="3" t="s">
        <v>1980</v>
      </c>
    </row>
    <row r="6068" spans="1:8" ht="64.5" x14ac:dyDescent="0.25">
      <c r="A6068" s="3" t="s">
        <v>17867</v>
      </c>
      <c r="B6068" s="3"/>
      <c r="C6068" s="3" t="str">
        <f>"Martin Design Service provides: Mechanical Design Services CNC Patternmaking and CNC Moldmaking Prototyping Advanced Composite Laminates and Fabrication CNC Routing Contract CAD CAM Services"</f>
        <v>Martin Design Service provides: Mechanical Design Services CNC Patternmaking and CNC Moldmaking Prototyping Advanced Composite Laminates and Fabrication CNC Routing Contract CAD CAM Services</v>
      </c>
      <c r="D6068" s="3" t="s">
        <v>17868</v>
      </c>
      <c r="E6068" s="3" t="s">
        <v>17869</v>
      </c>
      <c r="F6068" s="3" t="str">
        <f>"317-227-0577"</f>
        <v>317-227-0577</v>
      </c>
      <c r="G6068" s="3">
        <v>33</v>
      </c>
      <c r="H6068" s="3" t="s">
        <v>999</v>
      </c>
    </row>
    <row r="6069" spans="1:8" ht="77.25" x14ac:dyDescent="0.25">
      <c r="A6069" s="3" t="s">
        <v>17870</v>
      </c>
      <c r="B6069" s="3"/>
      <c r="C6069" s="3" t="str">
        <f>"Martin Electrical Services LLC is a small business contracting electrical services to the residential, commercial and small industrial marketplace. We specialize in food processing facilities and cold storage facilities."</f>
        <v>Martin Electrical Services LLC is a small business contracting electrical services to the residential, commercial and small industrial marketplace. We specialize in food processing facilities and cold storage facilities.</v>
      </c>
      <c r="D6069" s="3" t="s">
        <v>9</v>
      </c>
      <c r="E6069" s="3" t="s">
        <v>17871</v>
      </c>
      <c r="F6069" s="3" t="str">
        <f>"513-805-6369"</f>
        <v>513-805-6369</v>
      </c>
      <c r="G6069" s="3">
        <v>23821</v>
      </c>
      <c r="H6069" s="3" t="s">
        <v>306</v>
      </c>
    </row>
    <row r="6070" spans="1:8" ht="166.5" x14ac:dyDescent="0.25">
      <c r="A6070" s="3" t="s">
        <v>17872</v>
      </c>
      <c r="B6070" s="3"/>
      <c r="C6070" s="3" t="s">
        <v>17873</v>
      </c>
      <c r="D6070" s="3" t="s">
        <v>17874</v>
      </c>
      <c r="E6070" s="3" t="s">
        <v>17875</v>
      </c>
      <c r="F6070" s="3" t="str">
        <f>"260-422-7994"</f>
        <v>260-422-7994</v>
      </c>
      <c r="G6070" s="3">
        <v>5413</v>
      </c>
      <c r="H6070" s="3" t="s">
        <v>1116</v>
      </c>
    </row>
    <row r="6071" spans="1:8" ht="102.75" x14ac:dyDescent="0.25">
      <c r="A6071" s="3" t="s">
        <v>17876</v>
      </c>
      <c r="B6071" s="3"/>
      <c r="C6071" s="3" t="s">
        <v>17877</v>
      </c>
      <c r="D6071" s="3" t="s">
        <v>17878</v>
      </c>
      <c r="E6071" s="3" t="s">
        <v>17879</v>
      </c>
      <c r="F6071" s="3" t="str">
        <f>"1-866-426-4410"</f>
        <v>1-866-426-4410</v>
      </c>
      <c r="G6071" s="3">
        <v>812990</v>
      </c>
      <c r="H6071" s="3" t="s">
        <v>294</v>
      </c>
    </row>
    <row r="6072" spans="1:8" ht="115.5" x14ac:dyDescent="0.25">
      <c r="A6072" s="3" t="s">
        <v>17880</v>
      </c>
      <c r="B6072" s="3"/>
      <c r="C6072" s="3" t="s">
        <v>17881</v>
      </c>
      <c r="D6072" s="3" t="s">
        <v>17882</v>
      </c>
      <c r="E6072" s="3" t="s">
        <v>17883</v>
      </c>
      <c r="F6072" s="3" t="str">
        <f>"812-670-0226"</f>
        <v>812-670-0226</v>
      </c>
      <c r="G6072" s="3">
        <v>236118</v>
      </c>
      <c r="H6072" s="3" t="s">
        <v>465</v>
      </c>
    </row>
    <row r="6073" spans="1:8" ht="141" x14ac:dyDescent="0.25">
      <c r="A6073" s="3" t="s">
        <v>17884</v>
      </c>
      <c r="B6073" s="3"/>
      <c r="C6073" s="3" t="s">
        <v>17885</v>
      </c>
      <c r="D6073" s="3" t="s">
        <v>17886</v>
      </c>
      <c r="E6073" s="3" t="s">
        <v>17887</v>
      </c>
      <c r="F6073" s="3" t="str">
        <f>"812-424-7200"</f>
        <v>812-424-7200</v>
      </c>
      <c r="G6073" s="3">
        <v>722320</v>
      </c>
      <c r="H6073" s="3" t="s">
        <v>266</v>
      </c>
    </row>
    <row r="6074" spans="1:8" ht="51.75" x14ac:dyDescent="0.25">
      <c r="A6074" s="3" t="s">
        <v>17888</v>
      </c>
      <c r="B6074" s="3"/>
      <c r="C6074" s="3" t="str">
        <f>"Commercial real estate brokerage services. Represent clients in the sale, leasing and portfolio management of their commercial properties."</f>
        <v>Commercial real estate brokerage services. Represent clients in the sale, leasing and portfolio management of their commercial properties.</v>
      </c>
      <c r="D6074" s="3" t="s">
        <v>17889</v>
      </c>
      <c r="E6074" s="3" t="s">
        <v>17890</v>
      </c>
      <c r="F6074" s="3" t="str">
        <f>"3176390487"</f>
        <v>3176390487</v>
      </c>
      <c r="G6074" s="3">
        <v>531210</v>
      </c>
      <c r="H6074" s="3" t="s">
        <v>1101</v>
      </c>
    </row>
    <row r="6075" spans="1:8" x14ac:dyDescent="0.25">
      <c r="A6075" s="3" t="s">
        <v>17891</v>
      </c>
      <c r="B6075" s="3"/>
      <c r="C6075" s="2"/>
      <c r="D6075" s="3" t="s">
        <v>9</v>
      </c>
      <c r="E6075" s="3" t="s">
        <v>46</v>
      </c>
      <c r="F6075" s="2"/>
      <c r="G6075" s="3">
        <v>541211</v>
      </c>
      <c r="H6075" s="3" t="s">
        <v>337</v>
      </c>
    </row>
    <row r="6076" spans="1:8" ht="115.5" x14ac:dyDescent="0.25">
      <c r="A6076" s="3" t="s">
        <v>17892</v>
      </c>
      <c r="B6076" s="3"/>
      <c r="C6076" s="3" t="s">
        <v>17893</v>
      </c>
      <c r="D6076" s="3" t="s">
        <v>17894</v>
      </c>
      <c r="E6076" s="3" t="s">
        <v>17895</v>
      </c>
      <c r="F6076" s="3" t="str">
        <f>"219-934-1855"</f>
        <v>219-934-1855</v>
      </c>
      <c r="G6076" s="3">
        <v>541430</v>
      </c>
      <c r="H6076" s="3" t="s">
        <v>78</v>
      </c>
    </row>
    <row r="6077" spans="1:8" ht="26.25" x14ac:dyDescent="0.25">
      <c r="A6077" s="3" t="s">
        <v>17896</v>
      </c>
      <c r="B6077" s="3"/>
      <c r="C6077" s="3" t="str">
        <f>"Lawncare, landscaping, janitorial and other general building services"</f>
        <v>Lawncare, landscaping, janitorial and other general building services</v>
      </c>
      <c r="D6077" s="3" t="s">
        <v>17897</v>
      </c>
      <c r="E6077" s="3" t="s">
        <v>17898</v>
      </c>
      <c r="F6077" s="3" t="str">
        <f>"219-263-9132"</f>
        <v>219-263-9132</v>
      </c>
      <c r="G6077" s="3">
        <v>561730</v>
      </c>
      <c r="H6077" s="3" t="s">
        <v>65</v>
      </c>
    </row>
    <row r="6078" spans="1:8" ht="102.75" x14ac:dyDescent="0.25">
      <c r="A6078" s="3" t="s">
        <v>17899</v>
      </c>
      <c r="B6078" s="3"/>
      <c r="C6078" s="3" t="s">
        <v>17900</v>
      </c>
      <c r="D6078" s="3" t="s">
        <v>17901</v>
      </c>
      <c r="E6078" s="3" t="s">
        <v>17902</v>
      </c>
      <c r="F6078" s="3" t="str">
        <f>"317-639-6106"</f>
        <v>317-639-6106</v>
      </c>
      <c r="G6078" s="3">
        <v>624190</v>
      </c>
      <c r="H6078" s="3" t="s">
        <v>54</v>
      </c>
    </row>
    <row r="6079" spans="1:8" ht="77.25" x14ac:dyDescent="0.25">
      <c r="A6079" s="3" t="s">
        <v>17903</v>
      </c>
      <c r="B6079" s="3"/>
      <c r="C6079" s="3" t="str">
        <f>"MaryComm Wiring, Inc. installs telecommunication equipment and cabling for commercial and industrial clients. MaryComm Wiring, Inc. can handle phone, network, and low voltage cabling jobs of any size."</f>
        <v>MaryComm Wiring, Inc. installs telecommunication equipment and cabling for commercial and industrial clients. MaryComm Wiring, Inc. can handle phone, network, and low voltage cabling jobs of any size.</v>
      </c>
      <c r="D6079" s="3" t="s">
        <v>17904</v>
      </c>
      <c r="E6079" s="3" t="s">
        <v>17905</v>
      </c>
      <c r="F6079" s="3" t="str">
        <f>"317-496-4290"</f>
        <v>317-496-4290</v>
      </c>
      <c r="G6079" s="3">
        <v>238210</v>
      </c>
      <c r="H6079" s="3" t="s">
        <v>306</v>
      </c>
    </row>
    <row r="6080" spans="1:8" ht="26.25" x14ac:dyDescent="0.25">
      <c r="A6080" s="3" t="s">
        <v>17906</v>
      </c>
      <c r="B6080" s="3"/>
      <c r="C6080" s="3" t="str">
        <f>"MaryDesigns provides web site design, re-design and web site hosting"</f>
        <v>MaryDesigns provides web site design, re-design and web site hosting</v>
      </c>
      <c r="D6080" s="3" t="s">
        <v>17907</v>
      </c>
      <c r="E6080" s="3" t="s">
        <v>17908</v>
      </c>
      <c r="F6080" s="3" t="str">
        <f>"317-885-6163"</f>
        <v>317-885-6163</v>
      </c>
      <c r="G6080" s="3">
        <v>541511</v>
      </c>
      <c r="H6080" s="3" t="s">
        <v>122</v>
      </c>
    </row>
    <row r="6081" spans="1:8" ht="90" x14ac:dyDescent="0.25">
      <c r="A6081" s="3" t="s">
        <v>17909</v>
      </c>
      <c r="B6081" s="3"/>
      <c r="C6081" s="3" t="str">
        <f>"Retail Furniture store specializing in Convertible furniture, Modern/contemporary office and home furnishings, and Bedroom furniture including lofts and bunk beds. Also, Natural and chemical free mattresses and bedding for chemically sensitive people."</f>
        <v>Retail Furniture store specializing in Convertible furniture, Modern/contemporary office and home furnishings, and Bedroom furniture including lofts and bunk beds. Also, Natural and chemical free mattresses and bedding for chemically sensitive people.</v>
      </c>
      <c r="D6081" s="3" t="s">
        <v>17910</v>
      </c>
      <c r="E6081" s="3" t="s">
        <v>17911</v>
      </c>
      <c r="F6081" s="3" t="str">
        <f>"574-273-2660"</f>
        <v>574-273-2660</v>
      </c>
      <c r="G6081" s="3">
        <v>442110</v>
      </c>
      <c r="H6081" s="3" t="s">
        <v>117</v>
      </c>
    </row>
    <row r="6082" spans="1:8" ht="102.75" x14ac:dyDescent="0.25">
      <c r="A6082" s="3" t="s">
        <v>17912</v>
      </c>
      <c r="B6082" s="3"/>
      <c r="C6082" s="3" t="s">
        <v>17913</v>
      </c>
      <c r="D6082" s="3" t="s">
        <v>9</v>
      </c>
      <c r="E6082" s="3" t="s">
        <v>17914</v>
      </c>
      <c r="F6082" s="3" t="str">
        <f>"1-812-293-3777"</f>
        <v>1-812-293-3777</v>
      </c>
      <c r="G6082" s="3">
        <v>444130</v>
      </c>
      <c r="H6082" s="3" t="s">
        <v>2597</v>
      </c>
    </row>
    <row r="6083" spans="1:8" ht="51.75" x14ac:dyDescent="0.25">
      <c r="A6083" s="3" t="s">
        <v>17915</v>
      </c>
      <c r="B6083" s="3"/>
      <c r="C6083" s="3" t="str">
        <f>"Provider of design and construction services in water and waste water applications for industries and municipalities."</f>
        <v>Provider of design and construction services in water and waste water applications for industries and municipalities.</v>
      </c>
      <c r="D6083" s="3" t="s">
        <v>17916</v>
      </c>
      <c r="E6083" s="3" t="s">
        <v>46</v>
      </c>
      <c r="F6083" s="3" t="str">
        <f>"260-497-8701"</f>
        <v>260-497-8701</v>
      </c>
      <c r="G6083" s="3">
        <v>23711</v>
      </c>
      <c r="H6083" s="3" t="s">
        <v>901</v>
      </c>
    </row>
    <row r="6084" spans="1:8" ht="26.25" x14ac:dyDescent="0.25">
      <c r="A6084" s="3" t="s">
        <v>17917</v>
      </c>
      <c r="B6084" s="3"/>
      <c r="C6084" s="3" t="str">
        <f>"Information Technology Services"</f>
        <v>Information Technology Services</v>
      </c>
      <c r="D6084" s="3" t="s">
        <v>17918</v>
      </c>
      <c r="E6084" s="3" t="s">
        <v>17919</v>
      </c>
      <c r="F6084" s="3" t="str">
        <f>"214-727-6299"</f>
        <v>214-727-6299</v>
      </c>
      <c r="G6084" s="3">
        <v>541511</v>
      </c>
      <c r="H6084" s="3" t="s">
        <v>122</v>
      </c>
    </row>
    <row r="6085" spans="1:8" ht="166.5" x14ac:dyDescent="0.25">
      <c r="A6085" s="3" t="s">
        <v>17920</v>
      </c>
      <c r="B6085" s="3"/>
      <c r="C6085" s="3" t="s">
        <v>17921</v>
      </c>
      <c r="D6085" s="3" t="s">
        <v>17807</v>
      </c>
      <c r="E6085" s="3" t="s">
        <v>17808</v>
      </c>
      <c r="F6085" s="3" t="str">
        <f>"317-788-4440"</f>
        <v>317-788-4440</v>
      </c>
      <c r="G6085" s="3">
        <v>541910</v>
      </c>
      <c r="H6085" s="3" t="s">
        <v>510</v>
      </c>
    </row>
    <row r="6086" spans="1:8" ht="64.5" x14ac:dyDescent="0.25">
      <c r="A6086" s="3" t="s">
        <v>17922</v>
      </c>
      <c r="B6086" s="3"/>
      <c r="C6086" s="3" t="str">
        <f>"WE SELL &amp; INSTALL ALL TYPES OF FLOOR COVERING. CERAMIC TILE, WOOD, VINYL, VCT TILE, ECT. MOST OF OUR WORK IS COMMERCIAL. ONLY 10% IS RESIDENTIAL. WE HAVE BEEN IN BUSINESS FOR OVER 20 YEARS."</f>
        <v>WE SELL &amp; INSTALL ALL TYPES OF FLOOR COVERING. CERAMIC TILE, WOOD, VINYL, VCT TILE, ECT. MOST OF OUR WORK IS COMMERCIAL. ONLY 10% IS RESIDENTIAL. WE HAVE BEEN IN BUSINESS FOR OVER 20 YEARS.</v>
      </c>
      <c r="D6086" s="3" t="s">
        <v>9</v>
      </c>
      <c r="E6086" s="3" t="s">
        <v>17923</v>
      </c>
      <c r="F6086" s="3" t="str">
        <f>"7653953389"</f>
        <v>7653953389</v>
      </c>
      <c r="G6086" s="3">
        <v>23552</v>
      </c>
      <c r="H6086" s="3" t="s">
        <v>955</v>
      </c>
    </row>
    <row r="6087" spans="1:8" ht="102.75" x14ac:dyDescent="0.25">
      <c r="A6087" s="3" t="s">
        <v>17924</v>
      </c>
      <c r="B6087" s="3"/>
      <c r="C6087" s="3" t="s">
        <v>17925</v>
      </c>
      <c r="D6087" s="3" t="s">
        <v>17926</v>
      </c>
      <c r="E6087" s="3" t="s">
        <v>17927</v>
      </c>
      <c r="F6087" s="3" t="str">
        <f>"317.737.1534"</f>
        <v>317.737.1534</v>
      </c>
      <c r="G6087" s="3">
        <v>624190</v>
      </c>
      <c r="H6087" s="3" t="s">
        <v>54</v>
      </c>
    </row>
    <row r="6088" spans="1:8" ht="153.75" x14ac:dyDescent="0.25">
      <c r="A6088" s="3" t="s">
        <v>17928</v>
      </c>
      <c r="B6088" s="3"/>
      <c r="C6088" s="3" t="s">
        <v>17929</v>
      </c>
      <c r="D6088" s="3" t="s">
        <v>9</v>
      </c>
      <c r="E6088" s="3" t="s">
        <v>17930</v>
      </c>
      <c r="F6088" s="3" t="str">
        <f>"317.737.1534"</f>
        <v>317.737.1534</v>
      </c>
      <c r="G6088" s="3">
        <v>624190</v>
      </c>
      <c r="H6088" s="3" t="s">
        <v>54</v>
      </c>
    </row>
    <row r="6089" spans="1:8" ht="115.5" x14ac:dyDescent="0.25">
      <c r="A6089" s="3" t="s">
        <v>17931</v>
      </c>
      <c r="B6089" s="3"/>
      <c r="C6089" s="3" t="s">
        <v>17932</v>
      </c>
      <c r="D6089" s="3" t="s">
        <v>9</v>
      </c>
      <c r="E6089" s="3" t="s">
        <v>46</v>
      </c>
      <c r="F6089" s="3" t="str">
        <f>"812-425-7012"</f>
        <v>812-425-7012</v>
      </c>
      <c r="G6089" s="3">
        <v>561730</v>
      </c>
      <c r="H6089" s="3" t="s">
        <v>65</v>
      </c>
    </row>
    <row r="6090" spans="1:8" ht="26.25" x14ac:dyDescent="0.25">
      <c r="A6090" s="3" t="s">
        <v>17933</v>
      </c>
      <c r="B6090" s="3"/>
      <c r="C6090" s="3" t="str">
        <f>"Manufacturer of interior and exterior architectural signage."</f>
        <v>Manufacturer of interior and exterior architectural signage.</v>
      </c>
      <c r="D6090" s="3" t="s">
        <v>17934</v>
      </c>
      <c r="E6090" s="3" t="s">
        <v>17935</v>
      </c>
      <c r="F6090" s="3" t="str">
        <f>"317-269-3400"</f>
        <v>317-269-3400</v>
      </c>
      <c r="G6090" s="3">
        <v>339950</v>
      </c>
      <c r="H6090" s="3" t="s">
        <v>68</v>
      </c>
    </row>
    <row r="6091" spans="1:8" ht="51.75" x14ac:dyDescent="0.25">
      <c r="A6091" s="3" t="s">
        <v>17936</v>
      </c>
      <c r="B6091" s="3"/>
      <c r="C6091" s="3" t="str">
        <f>"Entry/floor mat rental and sales for commericial and residential use. Custom logo mats for sale or rent for commercial and residentail use."</f>
        <v>Entry/floor mat rental and sales for commericial and residential use. Custom logo mats for sale or rent for commercial and residentail use.</v>
      </c>
      <c r="D6091" s="3" t="s">
        <v>17937</v>
      </c>
      <c r="E6091" s="3" t="s">
        <v>17938</v>
      </c>
      <c r="F6091" s="3" t="str">
        <f>"812-853-8681"</f>
        <v>812-853-8681</v>
      </c>
      <c r="G6091" s="3">
        <v>23599</v>
      </c>
      <c r="H6091" s="3" t="s">
        <v>248</v>
      </c>
    </row>
    <row r="6092" spans="1:8" ht="51.75" x14ac:dyDescent="0.25">
      <c r="A6092" s="3" t="s">
        <v>17939</v>
      </c>
      <c r="B6092" s="3"/>
      <c r="C6092" s="3" t="str">
        <f>"We are an advertising/graphic design firm specializing on branding your company, and providing full-service for your design/marketing needs."</f>
        <v>We are an advertising/graphic design firm specializing on branding your company, and providing full-service for your design/marketing needs.</v>
      </c>
      <c r="D6092" s="3" t="s">
        <v>17940</v>
      </c>
      <c r="E6092" s="3" t="s">
        <v>17941</v>
      </c>
      <c r="F6092" s="3" t="str">
        <f>"317-920-1200"</f>
        <v>317-920-1200</v>
      </c>
      <c r="G6092" s="3">
        <v>5418</v>
      </c>
      <c r="H6092" s="3" t="s">
        <v>1337</v>
      </c>
    </row>
    <row r="6093" spans="1:8" ht="26.25" x14ac:dyDescent="0.25">
      <c r="A6093" s="3" t="s">
        <v>17942</v>
      </c>
      <c r="B6093" s="3"/>
      <c r="C6093" s="3" t="str">
        <f>"Real Estate Appraisal and Consulting, Property mamagement, and Sales"</f>
        <v>Real Estate Appraisal and Consulting, Property mamagement, and Sales</v>
      </c>
      <c r="D6093" s="3" t="s">
        <v>9</v>
      </c>
      <c r="E6093" s="3" t="s">
        <v>17943</v>
      </c>
      <c r="F6093" s="3" t="str">
        <f>"317-575-4555 #2"</f>
        <v>317-575-4555 #2</v>
      </c>
      <c r="G6093" s="3">
        <v>53132</v>
      </c>
      <c r="H6093" s="3" t="s">
        <v>34</v>
      </c>
    </row>
    <row r="6094" spans="1:8" ht="26.25" x14ac:dyDescent="0.25">
      <c r="A6094" s="3" t="s">
        <v>17944</v>
      </c>
      <c r="B6094" s="3"/>
      <c r="C6094" s="3" t="str">
        <f>" "</f>
        <v xml:space="preserve"> </v>
      </c>
      <c r="D6094" s="3" t="s">
        <v>17945</v>
      </c>
      <c r="E6094" s="3" t="s">
        <v>17946</v>
      </c>
      <c r="F6094" s="3" t="str">
        <f>"317-308-9453"</f>
        <v>317-308-9453</v>
      </c>
      <c r="G6094" s="3">
        <v>425120</v>
      </c>
      <c r="H6094" s="3" t="s">
        <v>58</v>
      </c>
    </row>
    <row r="6095" spans="1:8" ht="26.25" x14ac:dyDescent="0.25">
      <c r="A6095" s="3" t="s">
        <v>17947</v>
      </c>
      <c r="B6095" s="3"/>
      <c r="C6095" s="3" t="str">
        <f>" "</f>
        <v xml:space="preserve"> </v>
      </c>
      <c r="D6095" s="3" t="s">
        <v>9</v>
      </c>
      <c r="E6095" s="3" t="s">
        <v>17948</v>
      </c>
      <c r="F6095" s="3" t="str">
        <f>"219-241-7399"</f>
        <v>219-241-7399</v>
      </c>
      <c r="G6095" s="3">
        <v>812990</v>
      </c>
      <c r="H6095" s="3" t="s">
        <v>294</v>
      </c>
    </row>
    <row r="6096" spans="1:8" ht="26.25" x14ac:dyDescent="0.25">
      <c r="A6096" s="3" t="s">
        <v>17949</v>
      </c>
      <c r="B6096" s="3"/>
      <c r="C6096" s="3" t="str">
        <f>"crushed limestone, agricultural limestone"</f>
        <v>crushed limestone, agricultural limestone</v>
      </c>
      <c r="D6096" s="3" t="s">
        <v>17950</v>
      </c>
      <c r="E6096" s="3" t="s">
        <v>17951</v>
      </c>
      <c r="F6096" s="3" t="str">
        <f>"800-691-9777"</f>
        <v>800-691-9777</v>
      </c>
      <c r="G6096" s="3">
        <v>212312</v>
      </c>
      <c r="H6096" s="3" t="s">
        <v>3264</v>
      </c>
    </row>
    <row r="6097" spans="1:8" ht="39" x14ac:dyDescent="0.25">
      <c r="A6097" s="3" t="s">
        <v>17952</v>
      </c>
      <c r="B6097" s="3"/>
      <c r="C6097" s="3" t="str">
        <f>"Trucking of bulk materials which include limestone, sand, gravel, gypsum, salt, coal and other commodities"</f>
        <v>Trucking of bulk materials which include limestone, sand, gravel, gypsum, salt, coal and other commodities</v>
      </c>
      <c r="D6097" s="3" t="s">
        <v>9</v>
      </c>
      <c r="E6097" s="3" t="s">
        <v>17491</v>
      </c>
      <c r="F6097" s="3" t="str">
        <f>"812-547-7921"</f>
        <v>812-547-7921</v>
      </c>
      <c r="G6097" s="3">
        <v>484110</v>
      </c>
      <c r="H6097" s="3" t="s">
        <v>644</v>
      </c>
    </row>
    <row r="6098" spans="1:8" ht="51.75" x14ac:dyDescent="0.25">
      <c r="A6098" s="3" t="s">
        <v>17953</v>
      </c>
      <c r="B6098" s="3"/>
      <c r="C6098" s="3" t="str">
        <f>"math tutoring (100% success). We help students successfully complete math courses so they can achieve their education and pursue desired careers."</f>
        <v>math tutoring (100% success). We help students successfully complete math courses so they can achieve their education and pursue desired careers.</v>
      </c>
      <c r="D6098" s="3" t="s">
        <v>9</v>
      </c>
      <c r="E6098" s="3" t="s">
        <v>17954</v>
      </c>
      <c r="F6098" s="3" t="str">
        <f>"765-273-0535"</f>
        <v>765-273-0535</v>
      </c>
      <c r="G6098" s="3">
        <v>611710</v>
      </c>
      <c r="H6098" s="3" t="s">
        <v>508</v>
      </c>
    </row>
    <row r="6099" spans="1:8" ht="51.75" x14ac:dyDescent="0.25">
      <c r="A6099" s="3" t="s">
        <v>17955</v>
      </c>
      <c r="B6099" s="3"/>
      <c r="C6099" s="3" t="str">
        <f>"Electronic document management software, training and installation. Enterprise wide content management and/or scanning. Electronic forms processing."</f>
        <v>Electronic document management software, training and installation. Enterprise wide content management and/or scanning. Electronic forms processing.</v>
      </c>
      <c r="D6099" s="3" t="s">
        <v>17956</v>
      </c>
      <c r="E6099" s="3" t="s">
        <v>17957</v>
      </c>
      <c r="F6099" s="3" t="str">
        <f>"812-350-5044"</f>
        <v>812-350-5044</v>
      </c>
      <c r="G6099" s="3">
        <v>511210</v>
      </c>
      <c r="H6099" s="3" t="s">
        <v>315</v>
      </c>
    </row>
    <row r="6100" spans="1:8" ht="319.5" x14ac:dyDescent="0.25">
      <c r="A6100" s="3" t="s">
        <v>17958</v>
      </c>
      <c r="B6100" s="3"/>
      <c r="C6100" s="3" t="s">
        <v>17959</v>
      </c>
      <c r="D6100" s="3" t="s">
        <v>17960</v>
      </c>
      <c r="E6100" s="3" t="s">
        <v>17961</v>
      </c>
      <c r="F6100" s="3" t="str">
        <f>"574-288-0629"</f>
        <v>574-288-0629</v>
      </c>
      <c r="G6100" s="3">
        <v>541310</v>
      </c>
      <c r="H6100" s="3" t="s">
        <v>446</v>
      </c>
    </row>
    <row r="6101" spans="1:8" ht="26.25" x14ac:dyDescent="0.25">
      <c r="A6101" s="3" t="s">
        <v>17962</v>
      </c>
      <c r="B6101" s="3"/>
      <c r="C6101" s="3" t="str">
        <f>" "</f>
        <v xml:space="preserve"> </v>
      </c>
      <c r="D6101" s="3" t="s">
        <v>17963</v>
      </c>
      <c r="E6101" s="3" t="s">
        <v>17964</v>
      </c>
      <c r="F6101" s="3" t="str">
        <f>"(317) 736-5185"</f>
        <v>(317) 736-5185</v>
      </c>
      <c r="G6101" s="3">
        <v>441110</v>
      </c>
      <c r="H6101" s="3" t="s">
        <v>2588</v>
      </c>
    </row>
    <row r="6102" spans="1:8" ht="281.25" x14ac:dyDescent="0.25">
      <c r="A6102" s="3" t="s">
        <v>17965</v>
      </c>
      <c r="B6102" s="3"/>
      <c r="C6102" s="3" t="s">
        <v>17966</v>
      </c>
      <c r="D6102" s="3" t="s">
        <v>17967</v>
      </c>
      <c r="E6102" s="3" t="s">
        <v>17968</v>
      </c>
      <c r="F6102" s="3" t="str">
        <f>"317-534-0598"</f>
        <v>317-534-0598</v>
      </c>
      <c r="G6102" s="3">
        <v>56149</v>
      </c>
      <c r="H6102" s="3" t="s">
        <v>7754</v>
      </c>
    </row>
    <row r="6103" spans="1:8" ht="26.25" x14ac:dyDescent="0.25">
      <c r="A6103" s="3" t="s">
        <v>17969</v>
      </c>
      <c r="B6103" s="3"/>
      <c r="C6103" s="3" t="str">
        <f>" "</f>
        <v xml:space="preserve"> </v>
      </c>
      <c r="D6103" s="3" t="s">
        <v>17970</v>
      </c>
      <c r="E6103" s="3" t="s">
        <v>17971</v>
      </c>
      <c r="F6103" s="3" t="str">
        <f>"317 815 8640"</f>
        <v>317 815 8640</v>
      </c>
      <c r="G6103" s="3">
        <v>511210</v>
      </c>
      <c r="H6103" s="3" t="s">
        <v>315</v>
      </c>
    </row>
    <row r="6104" spans="1:8" ht="306.75" x14ac:dyDescent="0.25">
      <c r="A6104" s="3" t="s">
        <v>17972</v>
      </c>
      <c r="B6104" s="3"/>
      <c r="C6104" s="3" t="s">
        <v>17973</v>
      </c>
      <c r="D6104" s="3" t="s">
        <v>17974</v>
      </c>
      <c r="E6104" s="3" t="s">
        <v>17975</v>
      </c>
      <c r="F6104" s="3" t="str">
        <f>"800-962-7256"</f>
        <v>800-962-7256</v>
      </c>
      <c r="G6104" s="3">
        <v>323112</v>
      </c>
      <c r="H6104" s="3" t="s">
        <v>17976</v>
      </c>
    </row>
    <row r="6105" spans="1:8" ht="64.5" x14ac:dyDescent="0.25">
      <c r="A6105" s="3" t="s">
        <v>17977</v>
      </c>
      <c r="B6105" s="3"/>
      <c r="C6105" s="3" t="str">
        <f>"photographic printing, tradeshow graphics, large format printing, banners, backlit transparencies, banner stands, mounting, laminating, direct to substrate printing, all signage"</f>
        <v>photographic printing, tradeshow graphics, large format printing, banners, backlit transparencies, banner stands, mounting, laminating, direct to substrate printing, all signage</v>
      </c>
      <c r="D6105" s="3" t="s">
        <v>17978</v>
      </c>
      <c r="E6105" s="3" t="s">
        <v>17979</v>
      </c>
      <c r="F6105" s="3" t="str">
        <f>"317-635-4756"</f>
        <v>317-635-4756</v>
      </c>
      <c r="G6105" s="3">
        <v>323</v>
      </c>
      <c r="H6105" s="3" t="s">
        <v>302</v>
      </c>
    </row>
    <row r="6106" spans="1:8" ht="90" x14ac:dyDescent="0.25">
      <c r="A6106" s="3" t="s">
        <v>17980</v>
      </c>
      <c r="B6106" s="3"/>
      <c r="C6106" s="3" t="str">
        <f>"Installation, service and ongoing maintanance of lawn care and landscaping for commercial and residential properties. Services include snow removal. Members of the Midwest Turf Foundation, Indiana Wildlife Federation and the Chicago Botanic Gardens"</f>
        <v>Installation, service and ongoing maintanance of lawn care and landscaping for commercial and residential properties. Services include snow removal. Members of the Midwest Turf Foundation, Indiana Wildlife Federation and the Chicago Botanic Gardens</v>
      </c>
      <c r="D6106" s="3" t="s">
        <v>17981</v>
      </c>
      <c r="E6106" s="3" t="s">
        <v>17982</v>
      </c>
      <c r="F6106" s="3" t="str">
        <f>"219-838-8900"</f>
        <v>219-838-8900</v>
      </c>
      <c r="G6106" s="3">
        <v>561730</v>
      </c>
      <c r="H6106" s="3" t="s">
        <v>65</v>
      </c>
    </row>
    <row r="6107" spans="1:8" ht="26.25" x14ac:dyDescent="0.25">
      <c r="A6107" s="3" t="s">
        <v>17983</v>
      </c>
      <c r="B6107" s="3"/>
      <c r="C6107" s="3" t="str">
        <f>"General Contractor"</f>
        <v>General Contractor</v>
      </c>
      <c r="D6107" s="3" t="s">
        <v>17984</v>
      </c>
      <c r="E6107" s="3" t="s">
        <v>17985</v>
      </c>
      <c r="F6107" s="3" t="str">
        <f>"317 872 4700"</f>
        <v>317 872 4700</v>
      </c>
      <c r="G6107" s="3">
        <v>236220</v>
      </c>
      <c r="H6107" s="3" t="s">
        <v>598</v>
      </c>
    </row>
    <row r="6108" spans="1:8" x14ac:dyDescent="0.25">
      <c r="A6108" s="3" t="s">
        <v>17986</v>
      </c>
      <c r="B6108" s="3"/>
      <c r="C6108" s="3" t="str">
        <f>" "</f>
        <v xml:space="preserve"> </v>
      </c>
      <c r="D6108" s="3" t="s">
        <v>9</v>
      </c>
      <c r="E6108" s="3" t="s">
        <v>46</v>
      </c>
      <c r="F6108" s="2"/>
      <c r="G6108" s="3">
        <v>522291</v>
      </c>
      <c r="H6108" s="3" t="s">
        <v>1966</v>
      </c>
    </row>
    <row r="6109" spans="1:8" ht="51.75" x14ac:dyDescent="0.25">
      <c r="A6109" s="3" t="s">
        <v>17987</v>
      </c>
      <c r="B6109" s="3"/>
      <c r="C6109" s="3" t="str">
        <f>"I provide Structural Engineering consulting services related to the design, construction, rehabilitation and investigation of building structures and foundations."</f>
        <v>I provide Structural Engineering consulting services related to the design, construction, rehabilitation and investigation of building structures and foundations.</v>
      </c>
      <c r="D6109" s="3" t="s">
        <v>9</v>
      </c>
      <c r="E6109" s="3" t="s">
        <v>17988</v>
      </c>
      <c r="F6109" s="3" t="str">
        <f>"3172576710"</f>
        <v>3172576710</v>
      </c>
      <c r="G6109" s="3">
        <v>541330</v>
      </c>
      <c r="H6109" s="3" t="s">
        <v>82</v>
      </c>
    </row>
    <row r="6110" spans="1:8" ht="141" x14ac:dyDescent="0.25">
      <c r="A6110" s="3" t="s">
        <v>17989</v>
      </c>
      <c r="B6110" s="3"/>
      <c r="C6110" s="3" t="s">
        <v>17990</v>
      </c>
      <c r="D6110" s="3" t="s">
        <v>9</v>
      </c>
      <c r="E6110" s="3" t="s">
        <v>17991</v>
      </c>
      <c r="F6110" s="3" t="str">
        <f>"574-834-3575"</f>
        <v>574-834-3575</v>
      </c>
      <c r="G6110" s="3">
        <v>238320</v>
      </c>
      <c r="H6110" s="3" t="s">
        <v>462</v>
      </c>
    </row>
    <row r="6111" spans="1:8" ht="26.25" x14ac:dyDescent="0.25">
      <c r="A6111" s="3" t="s">
        <v>17992</v>
      </c>
      <c r="B6111" s="3"/>
      <c r="C6111" s="3" t="str">
        <f>"Psychological Consulting"</f>
        <v>Psychological Consulting</v>
      </c>
      <c r="D6111" s="3" t="s">
        <v>9</v>
      </c>
      <c r="E6111" s="3" t="s">
        <v>46</v>
      </c>
      <c r="F6111" s="2"/>
      <c r="G6111" s="3">
        <v>621330</v>
      </c>
      <c r="H6111" s="3" t="s">
        <v>2643</v>
      </c>
    </row>
    <row r="6112" spans="1:8" ht="255.75" x14ac:dyDescent="0.25">
      <c r="A6112" s="3" t="s">
        <v>17993</v>
      </c>
      <c r="B6112" s="3"/>
      <c r="C6112" s="3" t="s">
        <v>17994</v>
      </c>
      <c r="D6112" s="3" t="s">
        <v>17995</v>
      </c>
      <c r="E6112" s="3" t="s">
        <v>17996</v>
      </c>
      <c r="F6112" s="3" t="str">
        <f>"8124376914"</f>
        <v>8124376914</v>
      </c>
      <c r="G6112" s="3">
        <v>611710</v>
      </c>
      <c r="H6112" s="3" t="s">
        <v>508</v>
      </c>
    </row>
    <row r="6113" spans="1:8" ht="115.5" x14ac:dyDescent="0.25">
      <c r="A6113" s="3" t="s">
        <v>17997</v>
      </c>
      <c r="B6113" s="3"/>
      <c r="C6113" s="3" t="s">
        <v>17998</v>
      </c>
      <c r="D6113" s="3" t="s">
        <v>9</v>
      </c>
      <c r="E6113" s="3" t="s">
        <v>17999</v>
      </c>
      <c r="F6113" s="2"/>
      <c r="G6113" s="3">
        <v>541990</v>
      </c>
      <c r="H6113" s="3" t="s">
        <v>378</v>
      </c>
    </row>
    <row r="6114" spans="1:8" ht="51.75" x14ac:dyDescent="0.25">
      <c r="A6114" s="3" t="s">
        <v>18000</v>
      </c>
      <c r="B6114" s="3"/>
      <c r="C6114" s="3" t="str">
        <f>"We print magazines, catalogs, flyers, books, posters, and trade journals, as well as college view books, fraternal publications, etc."</f>
        <v>We print magazines, catalogs, flyers, books, posters, and trade journals, as well as college view books, fraternal publications, etc.</v>
      </c>
      <c r="D6114" s="3" t="s">
        <v>18001</v>
      </c>
      <c r="E6114" s="3" t="s">
        <v>18002</v>
      </c>
      <c r="F6114" s="3" t="str">
        <f>"3178496110"</f>
        <v>3178496110</v>
      </c>
      <c r="G6114" s="3">
        <v>323111</v>
      </c>
      <c r="H6114" s="3" t="s">
        <v>4911</v>
      </c>
    </row>
    <row r="6115" spans="1:8" ht="102.75" x14ac:dyDescent="0.25">
      <c r="A6115" s="3" t="s">
        <v>18003</v>
      </c>
      <c r="B6115" s="3"/>
      <c r="C6115" s="3" t="s">
        <v>18004</v>
      </c>
      <c r="D6115" s="3" t="s">
        <v>18005</v>
      </c>
      <c r="E6115" s="3" t="s">
        <v>18006</v>
      </c>
      <c r="F6115" s="3" t="str">
        <f>"812-636-0233"</f>
        <v>812-636-0233</v>
      </c>
      <c r="G6115" s="3">
        <v>236210</v>
      </c>
      <c r="H6115" s="3" t="s">
        <v>1418</v>
      </c>
    </row>
    <row r="6116" spans="1:8" ht="166.5" x14ac:dyDescent="0.25">
      <c r="A6116" s="3" t="s">
        <v>18007</v>
      </c>
      <c r="B6116" s="3"/>
      <c r="C6116" s="3" t="s">
        <v>18008</v>
      </c>
      <c r="D6116" s="3" t="s">
        <v>18009</v>
      </c>
      <c r="E6116" s="3" t="s">
        <v>18010</v>
      </c>
      <c r="F6116" s="3" t="str">
        <f>"317-590-8275"</f>
        <v>317-590-8275</v>
      </c>
      <c r="G6116" s="3">
        <v>514</v>
      </c>
      <c r="H6116" s="3" t="s">
        <v>322</v>
      </c>
    </row>
    <row r="6117" spans="1:8" ht="204.75" x14ac:dyDescent="0.25">
      <c r="A6117" s="3" t="s">
        <v>18011</v>
      </c>
      <c r="B6117" s="3"/>
      <c r="C6117" s="3" t="s">
        <v>18012</v>
      </c>
      <c r="D6117" s="3" t="s">
        <v>9</v>
      </c>
      <c r="E6117" s="3" t="s">
        <v>18013</v>
      </c>
      <c r="F6117" s="3" t="str">
        <f>"812-953-1181"</f>
        <v>812-953-1181</v>
      </c>
      <c r="G6117" s="3">
        <v>621420</v>
      </c>
      <c r="H6117" s="3" t="s">
        <v>990</v>
      </c>
    </row>
    <row r="6118" spans="1:8" ht="39" x14ac:dyDescent="0.25">
      <c r="A6118" s="3" t="s">
        <v>18014</v>
      </c>
      <c r="B6118" s="3"/>
      <c r="C6118" s="3" t="str">
        <f>"Interior contractor offering Glass &amp; Glazing, Steel Stud &amp; Drywall, Commercial Flooring, Commercial Doors &amp; Hardware nationwide."</f>
        <v>Interior contractor offering Glass &amp; Glazing, Steel Stud &amp; Drywall, Commercial Flooring, Commercial Doors &amp; Hardware nationwide.</v>
      </c>
      <c r="D6118" s="3" t="s">
        <v>9</v>
      </c>
      <c r="E6118" s="3" t="s">
        <v>18015</v>
      </c>
      <c r="F6118" s="3" t="str">
        <f>"877-494-0515"</f>
        <v>877-494-0515</v>
      </c>
      <c r="G6118" s="3">
        <v>23</v>
      </c>
      <c r="H6118" s="3" t="s">
        <v>133</v>
      </c>
    </row>
    <row r="6119" spans="1:8" ht="141" x14ac:dyDescent="0.25">
      <c r="A6119" s="3" t="s">
        <v>18016</v>
      </c>
      <c r="B6119" s="3"/>
      <c r="C6119" s="3" t="s">
        <v>18017</v>
      </c>
      <c r="D6119" s="3" t="s">
        <v>18018</v>
      </c>
      <c r="E6119" s="3" t="s">
        <v>18019</v>
      </c>
      <c r="F6119" s="2"/>
      <c r="G6119" s="3">
        <v>541512</v>
      </c>
      <c r="H6119" s="3" t="s">
        <v>19</v>
      </c>
    </row>
    <row r="6120" spans="1:8" ht="204.75" x14ac:dyDescent="0.25">
      <c r="A6120" s="3" t="s">
        <v>18020</v>
      </c>
      <c r="B6120" s="3"/>
      <c r="C6120" s="3" t="s">
        <v>18021</v>
      </c>
      <c r="D6120" s="3" t="s">
        <v>18022</v>
      </c>
      <c r="E6120" s="3" t="s">
        <v>18023</v>
      </c>
      <c r="F6120" s="3" t="str">
        <f>"317-635-9561"</f>
        <v>317-635-9561</v>
      </c>
      <c r="G6120" s="3">
        <v>32511</v>
      </c>
      <c r="H6120" s="3" t="s">
        <v>18024</v>
      </c>
    </row>
    <row r="6121" spans="1:8" ht="192" x14ac:dyDescent="0.25">
      <c r="A6121" s="3" t="s">
        <v>18025</v>
      </c>
      <c r="B6121" s="3"/>
      <c r="C6121" s="3" t="s">
        <v>18026</v>
      </c>
      <c r="D6121" s="3" t="s">
        <v>18027</v>
      </c>
      <c r="E6121" s="3" t="s">
        <v>18028</v>
      </c>
      <c r="F6121" s="3" t="str">
        <f>"317-920-9500"</f>
        <v>317-920-9500</v>
      </c>
      <c r="G6121" s="3">
        <v>54181</v>
      </c>
      <c r="H6121" s="3" t="s">
        <v>976</v>
      </c>
    </row>
    <row r="6122" spans="1:8" ht="64.5" x14ac:dyDescent="0.25">
      <c r="A6122" s="3" t="s">
        <v>18029</v>
      </c>
      <c r="B6122" s="3"/>
      <c r="C6122" s="3" t="str">
        <f>"Distributors of plastic pellets used for parts cleaning, paint removal, ambient and cryogenic deflashing, deburring, mold cleaning. Hand cabinets for using above products."</f>
        <v>Distributors of plastic pellets used for parts cleaning, paint removal, ambient and cryogenic deflashing, deburring, mold cleaning. Hand cabinets for using above products.</v>
      </c>
      <c r="D6122" s="3" t="s">
        <v>18030</v>
      </c>
      <c r="E6122" s="3" t="s">
        <v>18031</v>
      </c>
      <c r="F6122" s="3" t="str">
        <f>"574-233-1161"</f>
        <v>574-233-1161</v>
      </c>
      <c r="G6122" s="3">
        <v>325991</v>
      </c>
      <c r="H6122" s="3" t="s">
        <v>18032</v>
      </c>
    </row>
    <row r="6123" spans="1:8" ht="230.25" x14ac:dyDescent="0.25">
      <c r="A6123" s="3" t="s">
        <v>18033</v>
      </c>
      <c r="B6123" s="3"/>
      <c r="C6123" s="3" t="s">
        <v>18034</v>
      </c>
      <c r="D6123" s="3" t="s">
        <v>18035</v>
      </c>
      <c r="E6123" s="3" t="s">
        <v>18036</v>
      </c>
      <c r="F6123" s="3" t="str">
        <f>"219-791-0562"</f>
        <v>219-791-0562</v>
      </c>
      <c r="G6123" s="3">
        <v>621999</v>
      </c>
      <c r="H6123" s="3" t="s">
        <v>3480</v>
      </c>
    </row>
    <row r="6124" spans="1:8" ht="26.25" x14ac:dyDescent="0.25">
      <c r="A6124" s="3" t="s">
        <v>18037</v>
      </c>
      <c r="B6124" s="3"/>
      <c r="C6124" s="3" t="str">
        <f>"Pipette service, calibration &amp; certification"</f>
        <v>Pipette service, calibration &amp; certification</v>
      </c>
      <c r="D6124" s="3" t="s">
        <v>18038</v>
      </c>
      <c r="E6124" s="3" t="s">
        <v>18039</v>
      </c>
      <c r="F6124" s="3" t="str">
        <f>"8775362946"</f>
        <v>8775362946</v>
      </c>
      <c r="G6124" s="3">
        <v>541380</v>
      </c>
      <c r="H6124" s="3" t="s">
        <v>226</v>
      </c>
    </row>
    <row r="6125" spans="1:8" ht="39" x14ac:dyDescent="0.25">
      <c r="A6125" s="3" t="s">
        <v>18040</v>
      </c>
      <c r="B6125" s="3"/>
      <c r="C6125" s="3" t="str">
        <f>"Maximum Flooring specializes in the sales and installation of all flooring products as well as other remodelling."</f>
        <v>Maximum Flooring specializes in the sales and installation of all flooring products as well as other remodelling.</v>
      </c>
      <c r="D6125" s="3" t="s">
        <v>9</v>
      </c>
      <c r="E6125" s="3" t="s">
        <v>18041</v>
      </c>
      <c r="F6125" s="3" t="str">
        <f>"708-372-8033"</f>
        <v>708-372-8033</v>
      </c>
      <c r="G6125" s="3">
        <v>23</v>
      </c>
      <c r="H6125" s="3" t="s">
        <v>133</v>
      </c>
    </row>
    <row r="6126" spans="1:8" ht="77.25" x14ac:dyDescent="0.25">
      <c r="A6126" s="3" t="s">
        <v>18042</v>
      </c>
      <c r="B6126" s="3"/>
      <c r="C6126" s="3" t="str">
        <f>"Maximum Transportatioin was established in 1998 we haul general fright for several large businesses. We ship to 48 states and Canada. Maximum hauls for minimum rates. We offer competitive pay for our emplyees and many benifits are provided."</f>
        <v>Maximum Transportatioin was established in 1998 we haul general fright for several large businesses. We ship to 48 states and Canada. Maximum hauls for minimum rates. We offer competitive pay for our emplyees and many benifits are provided.</v>
      </c>
      <c r="D6126" s="3" t="s">
        <v>18043</v>
      </c>
      <c r="E6126" s="3" t="s">
        <v>18044</v>
      </c>
      <c r="F6126" s="3" t="str">
        <f>"888-889-5660"</f>
        <v>888-889-5660</v>
      </c>
      <c r="G6126" s="3">
        <v>48412</v>
      </c>
      <c r="H6126" s="3" t="s">
        <v>758</v>
      </c>
    </row>
    <row r="6127" spans="1:8" ht="102.75" x14ac:dyDescent="0.25">
      <c r="A6127" s="3" t="s">
        <v>18045</v>
      </c>
      <c r="B6127" s="3"/>
      <c r="C6127" s="3" t="s">
        <v>18046</v>
      </c>
      <c r="D6127" s="3" t="s">
        <v>18047</v>
      </c>
      <c r="E6127" s="3" t="s">
        <v>18048</v>
      </c>
      <c r="F6127" s="3" t="str">
        <f>"317-423-3300"</f>
        <v>317-423-3300</v>
      </c>
      <c r="G6127" s="3">
        <v>722320</v>
      </c>
      <c r="H6127" s="3" t="s">
        <v>266</v>
      </c>
    </row>
    <row r="6128" spans="1:8" ht="51.75" x14ac:dyDescent="0.25">
      <c r="A6128" s="3" t="s">
        <v>18049</v>
      </c>
      <c r="B6128" s="3"/>
      <c r="C6128" s="3" t="str">
        <f>"Customer Services: New and Preowned Passenger Vehicles, Full Service, Parts, and Body Shop Departments. 24 Hour Towing Service also."</f>
        <v>Customer Services: New and Preowned Passenger Vehicles, Full Service, Parts, and Body Shop Departments. 24 Hour Towing Service also.</v>
      </c>
      <c r="D6128" s="3" t="s">
        <v>9</v>
      </c>
      <c r="E6128" s="3" t="s">
        <v>18050</v>
      </c>
      <c r="F6128" s="3" t="str">
        <f>"260-868-2195"</f>
        <v>260-868-2195</v>
      </c>
      <c r="G6128" s="3">
        <v>441110</v>
      </c>
      <c r="H6128" s="3" t="s">
        <v>2588</v>
      </c>
    </row>
    <row r="6129" spans="1:8" ht="77.25" x14ac:dyDescent="0.25">
      <c r="A6129" s="3" t="s">
        <v>18051</v>
      </c>
      <c r="B6129" s="3"/>
      <c r="C6129" s="3" t="str">
        <f>"Consulting services for government agencies and nonprofit organizations, including organizational sructure analysis and design; business plan analysis and development; strategic planning; and executive coaching."</f>
        <v>Consulting services for government agencies and nonprofit organizations, including organizational sructure analysis and design; business plan analysis and development; strategic planning; and executive coaching.</v>
      </c>
      <c r="D6129" s="3" t="s">
        <v>18052</v>
      </c>
      <c r="E6129" s="3" t="s">
        <v>18053</v>
      </c>
      <c r="F6129" s="3" t="str">
        <f>"3176264795"</f>
        <v>3176264795</v>
      </c>
      <c r="G6129" s="3">
        <v>54161</v>
      </c>
      <c r="H6129" s="3" t="s">
        <v>1221</v>
      </c>
    </row>
    <row r="6130" spans="1:8" ht="102.75" x14ac:dyDescent="0.25">
      <c r="A6130" s="3" t="s">
        <v>18054</v>
      </c>
      <c r="B6130" s="3"/>
      <c r="C6130" s="3" t="s">
        <v>18055</v>
      </c>
      <c r="D6130" s="3" t="s">
        <v>18056</v>
      </c>
      <c r="E6130" s="3" t="s">
        <v>18057</v>
      </c>
      <c r="F6130" s="3" t="str">
        <f>"260-747-7575"</f>
        <v>260-747-7575</v>
      </c>
      <c r="G6130" s="3">
        <v>2389</v>
      </c>
      <c r="H6130" s="3" t="s">
        <v>1236</v>
      </c>
    </row>
    <row r="6131" spans="1:8" ht="115.5" x14ac:dyDescent="0.25">
      <c r="A6131" s="3" t="s">
        <v>18058</v>
      </c>
      <c r="B6131" s="3"/>
      <c r="C6131" s="3" t="s">
        <v>18059</v>
      </c>
      <c r="D6131" s="3" t="s">
        <v>18060</v>
      </c>
      <c r="E6131" s="3" t="s">
        <v>18061</v>
      </c>
      <c r="F6131" s="3" t="str">
        <f>"800-844-9278"</f>
        <v>800-844-9278</v>
      </c>
      <c r="G6131" s="3">
        <v>421</v>
      </c>
      <c r="H6131" s="3" t="s">
        <v>3013</v>
      </c>
    </row>
    <row r="6132" spans="1:8" ht="26.25" x14ac:dyDescent="0.25">
      <c r="A6132" s="3" t="s">
        <v>18062</v>
      </c>
      <c r="B6132" s="3"/>
      <c r="C6132" s="3" t="str">
        <f>"Upholstery Fabrics and Supplies"</f>
        <v>Upholstery Fabrics and Supplies</v>
      </c>
      <c r="D6132" s="3" t="s">
        <v>18063</v>
      </c>
      <c r="E6132" s="3" t="s">
        <v>18064</v>
      </c>
      <c r="F6132" s="3" t="str">
        <f>"317-267-2626"</f>
        <v>317-267-2626</v>
      </c>
      <c r="G6132" s="3">
        <v>3132</v>
      </c>
      <c r="H6132" s="3" t="s">
        <v>18065</v>
      </c>
    </row>
    <row r="6133" spans="1:8" ht="26.25" x14ac:dyDescent="0.25">
      <c r="A6133" s="3" t="s">
        <v>18066</v>
      </c>
      <c r="B6133" s="3"/>
      <c r="C6133" s="2"/>
      <c r="D6133" s="3" t="s">
        <v>9</v>
      </c>
      <c r="E6133" s="3" t="s">
        <v>46</v>
      </c>
      <c r="F6133" s="2"/>
      <c r="G6133" s="3">
        <v>42269</v>
      </c>
      <c r="H6133" s="3" t="s">
        <v>12117</v>
      </c>
    </row>
    <row r="6134" spans="1:8" ht="51.75" x14ac:dyDescent="0.25">
      <c r="A6134" s="3" t="s">
        <v>18067</v>
      </c>
      <c r="B6134" s="3"/>
      <c r="C6134" s="3" t="str">
        <f>"We are a full service retail sign shop with ability to serve any corner of Indiana. We manufacture all forms of electric and non electric signs."</f>
        <v>We are a full service retail sign shop with ability to serve any corner of Indiana. We manufacture all forms of electric and non electric signs.</v>
      </c>
      <c r="D6134" s="3" t="s">
        <v>18068</v>
      </c>
      <c r="E6134" s="3" t="s">
        <v>18069</v>
      </c>
      <c r="F6134" s="3" t="str">
        <f>"317-848-6420"</f>
        <v>317-848-6420</v>
      </c>
      <c r="G6134" s="3">
        <v>33995</v>
      </c>
      <c r="H6134" s="3" t="s">
        <v>68</v>
      </c>
    </row>
    <row r="6135" spans="1:8" ht="26.25" x14ac:dyDescent="0.25">
      <c r="A6135" s="3" t="s">
        <v>18070</v>
      </c>
      <c r="B6135" s="3"/>
      <c r="C6135" s="3" t="str">
        <f>"Real estate rental and sales in Lafayette ,West Lafayette and Frankfort, Indiana."</f>
        <v>Real estate rental and sales in Lafayette ,West Lafayette and Frankfort, Indiana.</v>
      </c>
      <c r="D6135" s="3" t="s">
        <v>9</v>
      </c>
      <c r="E6135" s="3" t="s">
        <v>18071</v>
      </c>
      <c r="F6135" s="3" t="str">
        <f>"765 742 2021"</f>
        <v>765 742 2021</v>
      </c>
      <c r="G6135" s="3">
        <v>531120</v>
      </c>
      <c r="H6135" s="3" t="s">
        <v>2926</v>
      </c>
    </row>
    <row r="6136" spans="1:8" ht="102.75" x14ac:dyDescent="0.25">
      <c r="A6136" s="3" t="s">
        <v>18072</v>
      </c>
      <c r="B6136" s="3"/>
      <c r="C6136" s="3" t="s">
        <v>18073</v>
      </c>
      <c r="D6136" s="3" t="s">
        <v>9</v>
      </c>
      <c r="E6136" s="3" t="s">
        <v>18074</v>
      </c>
      <c r="F6136" s="3" t="str">
        <f>"317-250-4922"</f>
        <v>317-250-4922</v>
      </c>
      <c r="G6136" s="3">
        <v>541110</v>
      </c>
      <c r="H6136" s="3" t="s">
        <v>2978</v>
      </c>
    </row>
    <row r="6137" spans="1:8" ht="39" x14ac:dyDescent="0.25">
      <c r="A6137" s="3" t="s">
        <v>18075</v>
      </c>
      <c r="B6137" s="3"/>
      <c r="C6137" s="3" t="str">
        <f>"General Contractor specializing in carpentry. Small to medium-sized jobs, commercial or residential."</f>
        <v>General Contractor specializing in carpentry. Small to medium-sized jobs, commercial or residential.</v>
      </c>
      <c r="D6137" s="3" t="s">
        <v>9</v>
      </c>
      <c r="E6137" s="3" t="s">
        <v>18076</v>
      </c>
      <c r="F6137" s="3" t="str">
        <f>"2198811490"</f>
        <v>2198811490</v>
      </c>
      <c r="G6137" s="3">
        <v>23</v>
      </c>
      <c r="H6137" s="3" t="s">
        <v>133</v>
      </c>
    </row>
    <row r="6138" spans="1:8" ht="64.5" x14ac:dyDescent="0.25">
      <c r="A6138" s="3" t="s">
        <v>18077</v>
      </c>
      <c r="B6138" s="3"/>
      <c r="C6138" s="3" t="str">
        <f>"McClintock &amp; Associates LLC provides construction estimating services to Architects, Engineers, General Contractors, Construction Managers, Facility Managers, Property Developers, etc."</f>
        <v>McClintock &amp; Associates LLC provides construction estimating services to Architects, Engineers, General Contractors, Construction Managers, Facility Managers, Property Developers, etc.</v>
      </c>
      <c r="D6138" s="3" t="s">
        <v>18078</v>
      </c>
      <c r="E6138" s="3" t="s">
        <v>46</v>
      </c>
      <c r="F6138" s="2"/>
      <c r="G6138" s="3">
        <v>541310</v>
      </c>
      <c r="H6138" s="3" t="s">
        <v>446</v>
      </c>
    </row>
    <row r="6139" spans="1:8" ht="39" x14ac:dyDescent="0.25">
      <c r="A6139" s="3" t="s">
        <v>18079</v>
      </c>
      <c r="B6139" s="3"/>
      <c r="C6139" s="3" t="str">
        <f>"Provide Installation and Repair for Furnace and Air Conditions for residential, commercial and industrial."</f>
        <v>Provide Installation and Repair for Furnace and Air Conditions for residential, commercial and industrial.</v>
      </c>
      <c r="D6139" s="3" t="s">
        <v>9</v>
      </c>
      <c r="E6139" s="3" t="s">
        <v>18080</v>
      </c>
      <c r="F6139" s="3" t="str">
        <f>"317-577-9497"</f>
        <v>317-577-9497</v>
      </c>
      <c r="G6139" s="3">
        <v>23511</v>
      </c>
      <c r="H6139" s="3" t="s">
        <v>892</v>
      </c>
    </row>
    <row r="6140" spans="1:8" ht="26.25" x14ac:dyDescent="0.25">
      <c r="A6140" s="3" t="s">
        <v>18081</v>
      </c>
      <c r="B6140" s="3"/>
      <c r="C6140" s="3" t="str">
        <f>"Wholesale and Retail Fuel Marketer"</f>
        <v>Wholesale and Retail Fuel Marketer</v>
      </c>
      <c r="D6140" s="3" t="s">
        <v>9</v>
      </c>
      <c r="E6140" s="3" t="s">
        <v>46</v>
      </c>
      <c r="F6140" s="3" t="str">
        <f>"765-674-9771"</f>
        <v>765-674-9771</v>
      </c>
      <c r="G6140" s="3">
        <v>4227</v>
      </c>
      <c r="H6140" s="3" t="s">
        <v>12656</v>
      </c>
    </row>
    <row r="6141" spans="1:8" ht="26.25" x14ac:dyDescent="0.25">
      <c r="A6141" s="3" t="s">
        <v>18082</v>
      </c>
      <c r="B6141" s="3"/>
      <c r="C6141" s="3" t="str">
        <f>"Tire Retailer &amp; Wholesaler, Tire &amp; Automotive Repair"</f>
        <v>Tire Retailer &amp; Wholesaler, Tire &amp; Automotive Repair</v>
      </c>
      <c r="D6141" s="3" t="s">
        <v>18083</v>
      </c>
      <c r="E6141" s="3" t="s">
        <v>18084</v>
      </c>
      <c r="F6141" s="3" t="str">
        <f>"574-583-4136"</f>
        <v>574-583-4136</v>
      </c>
      <c r="G6141" s="3">
        <v>441320</v>
      </c>
      <c r="H6141" s="3" t="s">
        <v>190</v>
      </c>
    </row>
    <row r="6142" spans="1:8" ht="77.25" x14ac:dyDescent="0.25">
      <c r="A6142" s="3" t="s">
        <v>18085</v>
      </c>
      <c r="B6142" s="3"/>
      <c r="C6142" s="3" t="str">
        <f>"Electrical contractor in business since 1999. Union contractor. Knowledgeable, experienced, licensed technicians. Specializing in electrical installation &amp; top-notch service. Residential, commercial &amp; agricultural. 24 hour emergency service."</f>
        <v>Electrical contractor in business since 1999. Union contractor. Knowledgeable, experienced, licensed technicians. Specializing in electrical installation &amp; top-notch service. Residential, commercial &amp; agricultural. 24 hour emergency service.</v>
      </c>
      <c r="D6142" s="3" t="s">
        <v>18086</v>
      </c>
      <c r="E6142" s="3" t="s">
        <v>18087</v>
      </c>
      <c r="F6142" s="3" t="str">
        <f>"574-656-3500"</f>
        <v>574-656-3500</v>
      </c>
      <c r="G6142" s="3">
        <v>23531</v>
      </c>
      <c r="H6142" s="3" t="s">
        <v>306</v>
      </c>
    </row>
    <row r="6143" spans="1:8" ht="26.25" x14ac:dyDescent="0.25">
      <c r="A6143" s="3" t="s">
        <v>18088</v>
      </c>
      <c r="B6143" s="3"/>
      <c r="C6143" s="3" t="str">
        <f>" "</f>
        <v xml:space="preserve"> </v>
      </c>
      <c r="D6143" s="3" t="s">
        <v>18089</v>
      </c>
      <c r="E6143" s="3" t="s">
        <v>18090</v>
      </c>
      <c r="F6143" s="3" t="str">
        <f>"574-232-6800"</f>
        <v>574-232-6800</v>
      </c>
      <c r="G6143" s="3">
        <v>54133</v>
      </c>
      <c r="H6143" s="3" t="s">
        <v>82</v>
      </c>
    </row>
    <row r="6144" spans="1:8" ht="64.5" x14ac:dyDescent="0.25">
      <c r="A6144" s="3" t="s">
        <v>18091</v>
      </c>
      <c r="B6144" s="3"/>
      <c r="C6144" s="3" t="str">
        <f>"Distributor of abrasive products and equipment for the sandblasting, shotblasting and related industries. Rental of sandblasting equipment, and floor blasting equipment. Job shop seervices"</f>
        <v>Distributor of abrasive products and equipment for the sandblasting, shotblasting and related industries. Rental of sandblasting equipment, and floor blasting equipment. Job shop seervices</v>
      </c>
      <c r="D6144" s="3" t="s">
        <v>18092</v>
      </c>
      <c r="E6144" s="3" t="s">
        <v>18093</v>
      </c>
      <c r="F6144" s="3" t="str">
        <f>"317-545-0665"</f>
        <v>317-545-0665</v>
      </c>
      <c r="G6144" s="3">
        <v>423840</v>
      </c>
      <c r="H6144" s="3" t="s">
        <v>553</v>
      </c>
    </row>
    <row r="6145" spans="1:8" ht="77.25" x14ac:dyDescent="0.25">
      <c r="A6145" s="3" t="s">
        <v>18094</v>
      </c>
      <c r="B6145" s="3"/>
      <c r="C6145" s="3" t="str">
        <f>"Land surveying firm offering route surveys, location route control surveys and right of way engineering. All maps are generated with the combination of INDOT specifications in National CAD Standard's layering convention."</f>
        <v>Land surveying firm offering route surveys, location route control surveys and right of way engineering. All maps are generated with the combination of INDOT specifications in National CAD Standard's layering convention.</v>
      </c>
      <c r="D6145" s="3" t="s">
        <v>9</v>
      </c>
      <c r="E6145" s="3" t="s">
        <v>18095</v>
      </c>
      <c r="F6145" s="3" t="str">
        <f>"260.639.0048"</f>
        <v>260.639.0048</v>
      </c>
      <c r="G6145" s="3">
        <v>54137</v>
      </c>
      <c r="H6145" s="3" t="s">
        <v>160</v>
      </c>
    </row>
    <row r="6146" spans="1:8" ht="217.5" x14ac:dyDescent="0.25">
      <c r="A6146" s="3" t="s">
        <v>18096</v>
      </c>
      <c r="B6146" s="3"/>
      <c r="C6146" s="3" t="s">
        <v>18097</v>
      </c>
      <c r="D6146" s="3" t="s">
        <v>18098</v>
      </c>
      <c r="E6146" s="3" t="s">
        <v>46</v>
      </c>
      <c r="F6146" s="3" t="str">
        <f>"317-849-4333"</f>
        <v>317-849-4333</v>
      </c>
      <c r="G6146" s="3">
        <v>524292</v>
      </c>
      <c r="H6146" s="3" t="s">
        <v>4892</v>
      </c>
    </row>
    <row r="6147" spans="1:8" ht="39" x14ac:dyDescent="0.25">
      <c r="A6147" s="3" t="s">
        <v>18099</v>
      </c>
      <c r="B6147" s="3"/>
      <c r="C6147" s="3" t="str">
        <f>"McCrite Milling is a Heavy Highway subcontractor in Indiana specializing in surface milling."</f>
        <v>McCrite Milling is a Heavy Highway subcontractor in Indiana specializing in surface milling.</v>
      </c>
      <c r="D6147" s="3" t="s">
        <v>9</v>
      </c>
      <c r="E6147" s="3" t="s">
        <v>46</v>
      </c>
      <c r="F6147" s="3" t="str">
        <f>"812-941-0252"</f>
        <v>812-941-0252</v>
      </c>
      <c r="G6147" s="3">
        <v>237990</v>
      </c>
      <c r="H6147" s="3" t="s">
        <v>2631</v>
      </c>
    </row>
    <row r="6148" spans="1:8" ht="243" x14ac:dyDescent="0.25">
      <c r="A6148" s="3" t="s">
        <v>18100</v>
      </c>
      <c r="B6148" s="3"/>
      <c r="C6148" s="3" t="s">
        <v>18101</v>
      </c>
      <c r="D6148" s="3" t="s">
        <v>9</v>
      </c>
      <c r="E6148" s="3" t="s">
        <v>18102</v>
      </c>
      <c r="F6148" s="3" t="str">
        <f>"3178353854"</f>
        <v>3178353854</v>
      </c>
      <c r="G6148" s="3">
        <v>23541</v>
      </c>
      <c r="H6148" s="3" t="s">
        <v>4098</v>
      </c>
    </row>
    <row r="6149" spans="1:8" ht="115.5" x14ac:dyDescent="0.25">
      <c r="A6149" s="3" t="s">
        <v>18103</v>
      </c>
      <c r="B6149" s="3"/>
      <c r="C6149" s="3" t="s">
        <v>18104</v>
      </c>
      <c r="D6149" s="3" t="s">
        <v>9</v>
      </c>
      <c r="E6149" s="3" t="s">
        <v>18105</v>
      </c>
      <c r="F6149" s="3" t="str">
        <f>"765-589-8433"</f>
        <v>765-589-8433</v>
      </c>
      <c r="G6149" s="3">
        <v>484110</v>
      </c>
      <c r="H6149" s="3" t="s">
        <v>644</v>
      </c>
    </row>
    <row r="6150" spans="1:8" ht="90" x14ac:dyDescent="0.25">
      <c r="A6150" s="3" t="s">
        <v>18106</v>
      </c>
      <c r="B6150" s="3"/>
      <c r="C6150" s="3" t="s">
        <v>18107</v>
      </c>
      <c r="D6150" s="3" t="s">
        <v>18108</v>
      </c>
      <c r="E6150" s="3" t="s">
        <v>18109</v>
      </c>
      <c r="F6150" s="3" t="str">
        <f>"(260)402-3462"</f>
        <v>(260)402-3462</v>
      </c>
      <c r="G6150" s="3">
        <v>54199</v>
      </c>
      <c r="H6150" s="3" t="s">
        <v>18110</v>
      </c>
    </row>
    <row r="6151" spans="1:8" ht="217.5" x14ac:dyDescent="0.25">
      <c r="A6151" s="3" t="s">
        <v>18111</v>
      </c>
      <c r="B6151" s="3"/>
      <c r="C6151" s="3" t="s">
        <v>18112</v>
      </c>
      <c r="D6151" s="3" t="s">
        <v>9</v>
      </c>
      <c r="E6151" s="3" t="s">
        <v>46</v>
      </c>
      <c r="F6151" s="2"/>
      <c r="G6151" s="3">
        <v>23829</v>
      </c>
      <c r="H6151" s="3" t="s">
        <v>237</v>
      </c>
    </row>
    <row r="6152" spans="1:8" ht="39" x14ac:dyDescent="0.25">
      <c r="A6152" s="3" t="s">
        <v>18113</v>
      </c>
      <c r="B6152" s="3"/>
      <c r="C6152" s="3" t="str">
        <f>"Supply cutting tools, supplies and service to the tool&amp;die, machine shop, fabrication shop, and related manufacturing industry"</f>
        <v>Supply cutting tools, supplies and service to the tool&amp;die, machine shop, fabrication shop, and related manufacturing industry</v>
      </c>
      <c r="D6152" s="3" t="s">
        <v>18114</v>
      </c>
      <c r="E6152" s="3" t="s">
        <v>18115</v>
      </c>
      <c r="F6152" s="3" t="str">
        <f>"(812) 376-0866"</f>
        <v>(812) 376-0866</v>
      </c>
      <c r="G6152" s="3">
        <v>333515</v>
      </c>
      <c r="H6152" s="3" t="s">
        <v>7940</v>
      </c>
    </row>
    <row r="6153" spans="1:8" ht="26.25" x14ac:dyDescent="0.25">
      <c r="A6153" s="3" t="s">
        <v>18116</v>
      </c>
      <c r="B6153" s="3"/>
      <c r="C6153" s="3" t="str">
        <f>" "</f>
        <v xml:space="preserve"> </v>
      </c>
      <c r="D6153" s="3" t="s">
        <v>9</v>
      </c>
      <c r="E6153" s="3" t="s">
        <v>18117</v>
      </c>
      <c r="F6153" s="2"/>
      <c r="G6153" s="3">
        <v>238220</v>
      </c>
      <c r="H6153" s="3" t="s">
        <v>348</v>
      </c>
    </row>
    <row r="6154" spans="1:8" ht="90" x14ac:dyDescent="0.25">
      <c r="A6154" s="3" t="s">
        <v>18118</v>
      </c>
      <c r="B6154" s="3"/>
      <c r="C6154" s="3" t="str">
        <f>"McDowell Construction and Remodeling provides home improvement and remodeling services. We believe in maintaining customer satisfaction through excellent and timely service. In addition to remodeling services we also provide roofing and siding."</f>
        <v>McDowell Construction and Remodeling provides home improvement and remodeling services. We believe in maintaining customer satisfaction through excellent and timely service. In addition to remodeling services we also provide roofing and siding.</v>
      </c>
      <c r="D6154" s="3" t="s">
        <v>9</v>
      </c>
      <c r="E6154" s="3" t="s">
        <v>18119</v>
      </c>
      <c r="F6154" s="3" t="str">
        <f>"317-442-4626"</f>
        <v>317-442-4626</v>
      </c>
      <c r="G6154" s="3">
        <v>236118</v>
      </c>
      <c r="H6154" s="3" t="s">
        <v>465</v>
      </c>
    </row>
    <row r="6155" spans="1:8" ht="39" x14ac:dyDescent="0.25">
      <c r="A6155" s="3" t="s">
        <v>18120</v>
      </c>
      <c r="B6155" s="3"/>
      <c r="C6155" s="3" t="str">
        <f>"Public-relations and public-affairs firm, specializing in issue, crisis and general PR management and consultation."</f>
        <v>Public-relations and public-affairs firm, specializing in issue, crisis and general PR management and consultation.</v>
      </c>
      <c r="D6155" s="3" t="s">
        <v>18121</v>
      </c>
      <c r="E6155" s="3" t="s">
        <v>18122</v>
      </c>
      <c r="F6155" s="3" t="str">
        <f>"317.602.1546"</f>
        <v>317.602.1546</v>
      </c>
      <c r="G6155" s="3">
        <v>541820</v>
      </c>
      <c r="H6155" s="3" t="s">
        <v>795</v>
      </c>
    </row>
    <row r="6156" spans="1:8" ht="90" x14ac:dyDescent="0.25">
      <c r="A6156" s="3" t="s">
        <v>18123</v>
      </c>
      <c r="B6156" s="3"/>
      <c r="C6156" s="3" t="str">
        <f>"Indiana, wholly woman-owned PR and public affairs firm specializing in issues and crisis management, media relations outreach, public opinion and market research, public policy/program/marketing communication, and PR professional development training."</f>
        <v>Indiana, wholly woman-owned PR and public affairs firm specializing in issues and crisis management, media relations outreach, public opinion and market research, public policy/program/marketing communication, and PR professional development training.</v>
      </c>
      <c r="D6156" s="3" t="s">
        <v>18121</v>
      </c>
      <c r="E6156" s="3" t="s">
        <v>18122</v>
      </c>
      <c r="F6156" s="3" t="str">
        <f>"317.709.8728"</f>
        <v>317.709.8728</v>
      </c>
      <c r="G6156" s="3">
        <v>541820</v>
      </c>
      <c r="H6156" s="3" t="s">
        <v>795</v>
      </c>
    </row>
    <row r="6157" spans="1:8" ht="26.25" x14ac:dyDescent="0.25">
      <c r="A6157" s="3" t="s">
        <v>18124</v>
      </c>
      <c r="B6157" s="3"/>
      <c r="C6157" s="3" t="str">
        <f>"Full service accounting firm offering audit, tax, and consulting services."</f>
        <v>Full service accounting firm offering audit, tax, and consulting services.</v>
      </c>
      <c r="D6157" s="3" t="s">
        <v>18125</v>
      </c>
      <c r="E6157" s="3" t="s">
        <v>18126</v>
      </c>
      <c r="F6157" s="3" t="str">
        <f>"317-805-4970"</f>
        <v>317-805-4970</v>
      </c>
      <c r="G6157" s="3">
        <v>541211</v>
      </c>
      <c r="H6157" s="3" t="s">
        <v>337</v>
      </c>
    </row>
    <row r="6158" spans="1:8" ht="115.5" x14ac:dyDescent="0.25">
      <c r="A6158" s="3" t="s">
        <v>18127</v>
      </c>
      <c r="B6158" s="3"/>
      <c r="C6158" s="3" t="s">
        <v>18128</v>
      </c>
      <c r="D6158" s="3" t="s">
        <v>18129</v>
      </c>
      <c r="E6158" s="3" t="s">
        <v>18130</v>
      </c>
      <c r="F6158" s="3" t="str">
        <f>"317-923-1122"</f>
        <v>317-923-1122</v>
      </c>
      <c r="G6158" s="3">
        <v>54189</v>
      </c>
      <c r="H6158" s="3" t="s">
        <v>401</v>
      </c>
    </row>
    <row r="6159" spans="1:8" ht="128.25" x14ac:dyDescent="0.25">
      <c r="A6159" s="3" t="s">
        <v>18131</v>
      </c>
      <c r="B6159" s="3"/>
      <c r="C6159" s="3" t="s">
        <v>18132</v>
      </c>
      <c r="D6159" s="3" t="s">
        <v>9</v>
      </c>
      <c r="E6159" s="3" t="s">
        <v>18133</v>
      </c>
      <c r="F6159" s="3" t="str">
        <f>"317-695-7458"</f>
        <v>317-695-7458</v>
      </c>
      <c r="G6159" s="3">
        <v>541613</v>
      </c>
      <c r="H6159" s="3" t="s">
        <v>558</v>
      </c>
    </row>
    <row r="6160" spans="1:8" ht="77.25" x14ac:dyDescent="0.25">
      <c r="A6160" s="3" t="s">
        <v>18134</v>
      </c>
      <c r="B6160" s="3"/>
      <c r="C6160" s="3" t="str">
        <f>"McIntyre Jones has been in business for over 70 years. It is primarily a flatwork concrete contractor, specializing in all aspects of road and highway concrete construction. Major customers include the City of South Bend and Mishawaka, Indiana."</f>
        <v>McIntyre Jones has been in business for over 70 years. It is primarily a flatwork concrete contractor, specializing in all aspects of road and highway concrete construction. Major customers include the City of South Bend and Mishawaka, Indiana.</v>
      </c>
      <c r="D6160" s="3" t="s">
        <v>9</v>
      </c>
      <c r="E6160" s="3" t="s">
        <v>18135</v>
      </c>
      <c r="F6160" s="3" t="str">
        <f>"574-259-5415"</f>
        <v>574-259-5415</v>
      </c>
      <c r="G6160" s="3">
        <v>237310</v>
      </c>
      <c r="H6160" s="3" t="s">
        <v>768</v>
      </c>
    </row>
    <row r="6161" spans="1:8" ht="39" x14ac:dyDescent="0.25">
      <c r="A6161" s="3" t="s">
        <v>18136</v>
      </c>
      <c r="B6161" s="3"/>
      <c r="C6161" s="3" t="str">
        <f>"PAINTING: RESIDENTIAL &amp; COMERCIAL , INTERIOR &amp; EXTERIOR. Lead-Safe certified Firm"</f>
        <v>PAINTING: RESIDENTIAL &amp; COMERCIAL , INTERIOR &amp; EXTERIOR. Lead-Safe certified Firm</v>
      </c>
      <c r="D6161" s="3" t="s">
        <v>9</v>
      </c>
      <c r="E6161" s="3" t="s">
        <v>18137</v>
      </c>
      <c r="F6161" s="3" t="str">
        <f>"574 255 2825"</f>
        <v>574 255 2825</v>
      </c>
      <c r="G6161" s="3">
        <v>238320</v>
      </c>
      <c r="H6161" s="3" t="s">
        <v>462</v>
      </c>
    </row>
    <row r="6162" spans="1:8" ht="115.5" x14ac:dyDescent="0.25">
      <c r="A6162" s="3" t="s">
        <v>18138</v>
      </c>
      <c r="B6162" s="3"/>
      <c r="C6162" s="3" t="s">
        <v>18139</v>
      </c>
      <c r="D6162" s="3" t="s">
        <v>18140</v>
      </c>
      <c r="E6162" s="3" t="s">
        <v>18141</v>
      </c>
      <c r="F6162" s="3" t="str">
        <f>"317-920-7940"</f>
        <v>317-920-7940</v>
      </c>
      <c r="G6162" s="3">
        <v>541211</v>
      </c>
      <c r="H6162" s="3" t="s">
        <v>337</v>
      </c>
    </row>
    <row r="6163" spans="1:8" ht="153.75" x14ac:dyDescent="0.25">
      <c r="A6163" s="3" t="s">
        <v>18142</v>
      </c>
      <c r="B6163" s="3"/>
      <c r="C6163" s="3" t="s">
        <v>18143</v>
      </c>
      <c r="D6163" s="3" t="s">
        <v>18144</v>
      </c>
      <c r="E6163" s="3" t="s">
        <v>18145</v>
      </c>
      <c r="F6163" s="3" t="str">
        <f>"317-257-7718"</f>
        <v>317-257-7718</v>
      </c>
      <c r="G6163" s="3">
        <v>531210</v>
      </c>
      <c r="H6163" s="3" t="s">
        <v>1101</v>
      </c>
    </row>
    <row r="6164" spans="1:8" ht="39" x14ac:dyDescent="0.25">
      <c r="A6164" s="3" t="s">
        <v>18146</v>
      </c>
      <c r="B6164" s="3"/>
      <c r="C6164" s="3" t="str">
        <f>"McLeodUSA is an independent, integrated communications provider, offering voice, Internet. VoIP and enhanced data services."</f>
        <v>McLeodUSA is an independent, integrated communications provider, offering voice, Internet. VoIP and enhanced data services.</v>
      </c>
      <c r="D6164" s="3" t="s">
        <v>18147</v>
      </c>
      <c r="E6164" s="3" t="s">
        <v>18148</v>
      </c>
      <c r="F6164" s="3" t="str">
        <f>"317) 808-1003"</f>
        <v>317) 808-1003</v>
      </c>
      <c r="G6164" s="3">
        <v>517110</v>
      </c>
      <c r="H6164" s="3" t="s">
        <v>8574</v>
      </c>
    </row>
    <row r="6165" spans="1:8" ht="115.5" x14ac:dyDescent="0.25">
      <c r="A6165" s="3" t="s">
        <v>18149</v>
      </c>
      <c r="B6165" s="3"/>
      <c r="C6165" s="3" t="s">
        <v>18150</v>
      </c>
      <c r="D6165" s="3" t="s">
        <v>9</v>
      </c>
      <c r="E6165" s="3" t="s">
        <v>46</v>
      </c>
      <c r="F6165" s="3" t="str">
        <f>"3179262411"</f>
        <v>3179262411</v>
      </c>
      <c r="G6165" s="3">
        <v>238220</v>
      </c>
      <c r="H6165" s="3" t="s">
        <v>348</v>
      </c>
    </row>
    <row r="6166" spans="1:8" ht="77.25" x14ac:dyDescent="0.25">
      <c r="A6166" s="3" t="s">
        <v>18151</v>
      </c>
      <c r="B6166" s="3"/>
      <c r="C6166" s="3" t="str">
        <f>"Coatings (Paint) Consulting - Coatings Failure Analysis - Coatings Specification Writing &amp; Review - Coatings Inspection - Lead Testing - Expert Witness - Training NACE Certified Coating Inspector - SSPC Certified Protective Coatings Specialist"</f>
        <v>Coatings (Paint) Consulting - Coatings Failure Analysis - Coatings Specification Writing &amp; Review - Coatings Inspection - Lead Testing - Expert Witness - Training NACE Certified Coating Inspector - SSPC Certified Protective Coatings Specialist</v>
      </c>
      <c r="D6166" s="3" t="s">
        <v>9</v>
      </c>
      <c r="E6166" s="3" t="s">
        <v>18152</v>
      </c>
      <c r="F6166" s="3" t="str">
        <f>"317 885-1557"</f>
        <v>317 885-1557</v>
      </c>
      <c r="G6166" s="3">
        <v>238</v>
      </c>
      <c r="H6166" s="3" t="s">
        <v>397</v>
      </c>
    </row>
    <row r="6167" spans="1:8" ht="26.25" x14ac:dyDescent="0.25">
      <c r="A6167" s="3" t="s">
        <v>18153</v>
      </c>
      <c r="B6167" s="3"/>
      <c r="C6167" s="3" t="str">
        <f>"Heating and airconditioning sales and service provider."</f>
        <v>Heating and airconditioning sales and service provider.</v>
      </c>
      <c r="D6167" s="3" t="s">
        <v>9</v>
      </c>
      <c r="E6167" s="3" t="s">
        <v>46</v>
      </c>
      <c r="F6167" s="3" t="str">
        <f>"812-848-3003"</f>
        <v>812-848-3003</v>
      </c>
      <c r="G6167" s="3">
        <v>23822</v>
      </c>
      <c r="H6167" s="3" t="s">
        <v>348</v>
      </c>
    </row>
    <row r="6168" spans="1:8" ht="77.25" x14ac:dyDescent="0.25">
      <c r="A6168" s="3" t="s">
        <v>18154</v>
      </c>
      <c r="B6168" s="3"/>
      <c r="C6168" s="3" t="str">
        <f>"Our company provides quality home-based therapy for individuals with disabilities. We provide counseling, behavior consultation, music therapy, occupational therapy, recreational therapy and speech therapy."</f>
        <v>Our company provides quality home-based therapy for individuals with disabilities. We provide counseling, behavior consultation, music therapy, occupational therapy, recreational therapy and speech therapy.</v>
      </c>
      <c r="D6168" s="3" t="s">
        <v>9</v>
      </c>
      <c r="E6168" s="3" t="s">
        <v>18155</v>
      </c>
      <c r="F6168" s="3" t="str">
        <f>"317-850-6982"</f>
        <v>317-850-6982</v>
      </c>
      <c r="G6168" s="3">
        <v>621330</v>
      </c>
      <c r="H6168" s="3" t="s">
        <v>2643</v>
      </c>
    </row>
    <row r="6169" spans="1:8" ht="51.75" x14ac:dyDescent="0.25">
      <c r="A6169" s="3" t="s">
        <v>18156</v>
      </c>
      <c r="B6169" s="3"/>
      <c r="C6169" s="3" t="str">
        <f>"Mechanical Concepts Inc. is a woman owned Commercial Heating, Air Conditioning, Plumbing and Service Contractor in Northern Indiana."</f>
        <v>Mechanical Concepts Inc. is a woman owned Commercial Heating, Air Conditioning, Plumbing and Service Contractor in Northern Indiana.</v>
      </c>
      <c r="D6169" s="3" t="s">
        <v>18157</v>
      </c>
      <c r="E6169" s="3" t="s">
        <v>18158</v>
      </c>
      <c r="F6169" s="3" t="str">
        <f>"219-938-1941"</f>
        <v>219-938-1941</v>
      </c>
      <c r="G6169" s="3">
        <v>2351</v>
      </c>
      <c r="H6169" s="3" t="s">
        <v>892</v>
      </c>
    </row>
    <row r="6170" spans="1:8" ht="77.25" x14ac:dyDescent="0.25">
      <c r="A6170" s="3" t="s">
        <v>18159</v>
      </c>
      <c r="B6170" s="3"/>
      <c r="C6170" s="3" t="str">
        <f>"Mecom manufacturers sample cases, display and promotional materials for a variety of industries. We also can provide signage (including but not limited to magnetic signs and banners), soft-sided bags and many other items."</f>
        <v>Mecom manufacturers sample cases, display and promotional materials for a variety of industries. We also can provide signage (including but not limited to magnetic signs and banners), soft-sided bags and many other items.</v>
      </c>
      <c r="D6170" s="3" t="s">
        <v>18160</v>
      </c>
      <c r="E6170" s="3" t="s">
        <v>18161</v>
      </c>
      <c r="F6170" s="3" t="str">
        <f>"317-571-3898"</f>
        <v>317-571-3898</v>
      </c>
      <c r="G6170" s="3">
        <v>316991</v>
      </c>
      <c r="H6170" s="3" t="s">
        <v>18162</v>
      </c>
    </row>
    <row r="6171" spans="1:8" ht="64.5" x14ac:dyDescent="0.25">
      <c r="A6171" s="3" t="s">
        <v>18163</v>
      </c>
      <c r="B6171" s="3"/>
      <c r="C6171" s="3" t="str">
        <f>"Med Condense Incorporated is a Consulting and Electronic Medical Records software company that provides solutions to the healthcare industry. Headquartered in Central Indiana."</f>
        <v>Med Condense Incorporated is a Consulting and Electronic Medical Records software company that provides solutions to the healthcare industry. Headquartered in Central Indiana.</v>
      </c>
      <c r="D6171" s="3" t="s">
        <v>18164</v>
      </c>
      <c r="E6171" s="3" t="s">
        <v>18165</v>
      </c>
      <c r="F6171" s="3" t="str">
        <f>"317-222-0606"</f>
        <v>317-222-0606</v>
      </c>
      <c r="G6171" s="3">
        <v>541990</v>
      </c>
      <c r="H6171" s="3" t="s">
        <v>378</v>
      </c>
    </row>
    <row r="6172" spans="1:8" ht="102.75" x14ac:dyDescent="0.25">
      <c r="A6172" s="3" t="s">
        <v>18166</v>
      </c>
      <c r="B6172" s="3"/>
      <c r="C6172" s="3" t="s">
        <v>18167</v>
      </c>
      <c r="D6172" s="3" t="s">
        <v>18168</v>
      </c>
      <c r="E6172" s="3" t="s">
        <v>18169</v>
      </c>
      <c r="F6172" s="3" t="str">
        <f>"812-334-1333"</f>
        <v>812-334-1333</v>
      </c>
      <c r="G6172" s="3">
        <v>81392</v>
      </c>
      <c r="H6172" s="3" t="s">
        <v>8755</v>
      </c>
    </row>
    <row r="6173" spans="1:8" ht="90" x14ac:dyDescent="0.25">
      <c r="A6173" s="3" t="s">
        <v>18170</v>
      </c>
      <c r="B6173" s="3"/>
      <c r="C6173" s="3" t="s">
        <v>18171</v>
      </c>
      <c r="D6173" s="3" t="s">
        <v>18172</v>
      </c>
      <c r="E6173" s="3" t="s">
        <v>18173</v>
      </c>
      <c r="F6173" s="3" t="str">
        <f>"317 416 8342"</f>
        <v>317 416 8342</v>
      </c>
      <c r="G6173" s="3">
        <v>561310</v>
      </c>
      <c r="H6173" s="3" t="s">
        <v>1720</v>
      </c>
    </row>
    <row r="6174" spans="1:8" ht="64.5" x14ac:dyDescent="0.25">
      <c r="A6174" s="3" t="s">
        <v>18174</v>
      </c>
      <c r="B6174" s="3"/>
      <c r="C6174" s="3" t="str">
        <f>"BioHazardous Waste removal (medical, infectious, and sharps). Our treatment facility is in Indianapolis, and has zero harmful emissions. None of our waste goes to an incinerator."</f>
        <v>BioHazardous Waste removal (medical, infectious, and sharps). Our treatment facility is in Indianapolis, and has zero harmful emissions. None of our waste goes to an incinerator.</v>
      </c>
      <c r="D6174" s="3" t="s">
        <v>18175</v>
      </c>
      <c r="E6174" s="3" t="s">
        <v>18176</v>
      </c>
      <c r="F6174" s="3" t="str">
        <f>"317-635-8000"</f>
        <v>317-635-8000</v>
      </c>
      <c r="G6174" s="3">
        <v>562112</v>
      </c>
      <c r="H6174" s="3" t="s">
        <v>11471</v>
      </c>
    </row>
    <row r="6175" spans="1:8" ht="255.75" x14ac:dyDescent="0.25">
      <c r="A6175" s="3" t="s">
        <v>18177</v>
      </c>
      <c r="B6175" s="3"/>
      <c r="C6175" s="3" t="s">
        <v>18178</v>
      </c>
      <c r="D6175" s="3" t="s">
        <v>18179</v>
      </c>
      <c r="E6175" s="3" t="s">
        <v>18180</v>
      </c>
      <c r="F6175" s="3" t="str">
        <f>"3177218887"</f>
        <v>3177218887</v>
      </c>
      <c r="G6175" s="3">
        <v>541512</v>
      </c>
      <c r="H6175" s="3" t="s">
        <v>19</v>
      </c>
    </row>
    <row r="6176" spans="1:8" ht="26.25" x14ac:dyDescent="0.25">
      <c r="A6176" s="3" t="s">
        <v>18181</v>
      </c>
      <c r="B6176" s="3"/>
      <c r="C6176" s="3" t="str">
        <f>"office supplies and printing"</f>
        <v>office supplies and printing</v>
      </c>
      <c r="D6176" s="3" t="s">
        <v>18182</v>
      </c>
      <c r="E6176" s="3" t="s">
        <v>18183</v>
      </c>
      <c r="F6176" s="3" t="str">
        <f>"317-398-3070"</f>
        <v>317-398-3070</v>
      </c>
      <c r="G6176" s="3">
        <v>323111</v>
      </c>
      <c r="H6176" s="3" t="s">
        <v>4911</v>
      </c>
    </row>
    <row r="6177" spans="1:8" ht="90" x14ac:dyDescent="0.25">
      <c r="A6177" s="3" t="s">
        <v>18184</v>
      </c>
      <c r="B6177" s="3"/>
      <c r="C6177" s="3" t="s">
        <v>18185</v>
      </c>
      <c r="D6177" s="3" t="s">
        <v>18186</v>
      </c>
      <c r="E6177" s="3" t="s">
        <v>18187</v>
      </c>
      <c r="F6177" s="3" t="str">
        <f>"812-265-6999"</f>
        <v>812-265-6999</v>
      </c>
      <c r="G6177" s="3">
        <v>541810</v>
      </c>
      <c r="H6177" s="3" t="s">
        <v>976</v>
      </c>
    </row>
    <row r="6178" spans="1:8" ht="319.5" x14ac:dyDescent="0.25">
      <c r="A6178" s="3" t="s">
        <v>18188</v>
      </c>
      <c r="B6178" s="3"/>
      <c r="C6178" s="3" t="s">
        <v>18189</v>
      </c>
      <c r="D6178" s="3" t="s">
        <v>18190</v>
      </c>
      <c r="E6178" s="3" t="s">
        <v>18191</v>
      </c>
      <c r="F6178" s="3" t="str">
        <f>"8774686730"</f>
        <v>8774686730</v>
      </c>
      <c r="G6178" s="3">
        <v>423690</v>
      </c>
      <c r="H6178" s="3" t="s">
        <v>6724</v>
      </c>
    </row>
    <row r="6179" spans="1:8" ht="39" x14ac:dyDescent="0.25">
      <c r="A6179" s="3" t="s">
        <v>18192</v>
      </c>
      <c r="B6179" s="3"/>
      <c r="C6179" s="3" t="str">
        <f>"Providing legal mediation services to parties who desire to reach agreement without trial."</f>
        <v>Providing legal mediation services to parties who desire to reach agreement without trial.</v>
      </c>
      <c r="D6179" s="3" t="s">
        <v>18193</v>
      </c>
      <c r="E6179" s="3" t="s">
        <v>18194</v>
      </c>
      <c r="F6179" s="2"/>
      <c r="G6179" s="3">
        <v>541990</v>
      </c>
      <c r="H6179" s="3" t="s">
        <v>378</v>
      </c>
    </row>
    <row r="6180" spans="1:8" ht="26.25" x14ac:dyDescent="0.25">
      <c r="A6180" s="3" t="s">
        <v>18195</v>
      </c>
      <c r="B6180" s="3"/>
      <c r="C6180" s="3" t="str">
        <f>"Occupational Health, Safety, and Training Services."</f>
        <v>Occupational Health, Safety, and Training Services.</v>
      </c>
      <c r="D6180" s="3" t="s">
        <v>9</v>
      </c>
      <c r="E6180" s="3" t="s">
        <v>46</v>
      </c>
      <c r="F6180" s="2"/>
      <c r="G6180" s="3">
        <v>541690</v>
      </c>
      <c r="H6180" s="3" t="s">
        <v>652</v>
      </c>
    </row>
    <row r="6181" spans="1:8" ht="39" x14ac:dyDescent="0.25">
      <c r="A6181" s="3" t="s">
        <v>18196</v>
      </c>
      <c r="B6181" s="3"/>
      <c r="C6181" s="3" t="str">
        <f>"Provides medical billing, credentialing, and practice management for medical pratitioners in the state of Indiana."</f>
        <v>Provides medical billing, credentialing, and practice management for medical pratitioners in the state of Indiana.</v>
      </c>
      <c r="D6181" s="3" t="s">
        <v>9</v>
      </c>
      <c r="E6181" s="3" t="s">
        <v>46</v>
      </c>
      <c r="F6181" s="3" t="str">
        <f>"(317)955-2499"</f>
        <v>(317)955-2499</v>
      </c>
      <c r="G6181" s="3">
        <v>541219</v>
      </c>
      <c r="H6181" s="3" t="s">
        <v>2010</v>
      </c>
    </row>
    <row r="6182" spans="1:8" ht="26.25" x14ac:dyDescent="0.25">
      <c r="A6182" s="3" t="s">
        <v>18197</v>
      </c>
      <c r="B6182" s="3"/>
      <c r="C6182" s="3" t="str">
        <f>" "</f>
        <v xml:space="preserve"> </v>
      </c>
      <c r="D6182" s="3" t="s">
        <v>18198</v>
      </c>
      <c r="E6182" s="3" t="s">
        <v>18199</v>
      </c>
      <c r="F6182" s="3" t="str">
        <f>"877-602-9111"</f>
        <v>877-602-9111</v>
      </c>
      <c r="G6182" s="3">
        <v>541219</v>
      </c>
      <c r="H6182" s="3" t="s">
        <v>2010</v>
      </c>
    </row>
    <row r="6183" spans="1:8" ht="306.75" x14ac:dyDescent="0.25">
      <c r="A6183" s="3" t="s">
        <v>18200</v>
      </c>
      <c r="B6183" s="3"/>
      <c r="C6183" s="3" t="s">
        <v>18201</v>
      </c>
      <c r="D6183" s="3" t="s">
        <v>18202</v>
      </c>
      <c r="E6183" s="3" t="s">
        <v>18203</v>
      </c>
      <c r="F6183" s="3" t="str">
        <f>"(317) 704-3800"</f>
        <v>(317) 704-3800</v>
      </c>
      <c r="G6183" s="3">
        <v>541511</v>
      </c>
      <c r="H6183" s="3" t="s">
        <v>122</v>
      </c>
    </row>
    <row r="6184" spans="1:8" ht="26.25" x14ac:dyDescent="0.25">
      <c r="A6184" s="3" t="s">
        <v>18204</v>
      </c>
      <c r="B6184" s="3"/>
      <c r="C6184" s="3" t="str">
        <f>"Medical supplies and Durable medical"</f>
        <v>Medical supplies and Durable medical</v>
      </c>
      <c r="D6184" s="3" t="s">
        <v>9</v>
      </c>
      <c r="E6184" s="3" t="s">
        <v>18205</v>
      </c>
      <c r="F6184" s="3" t="str">
        <f>"812-437-8800"</f>
        <v>812-437-8800</v>
      </c>
      <c r="G6184" s="3">
        <v>42145</v>
      </c>
      <c r="H6184" s="3" t="s">
        <v>4608</v>
      </c>
    </row>
    <row r="6185" spans="1:8" ht="39" x14ac:dyDescent="0.25">
      <c r="A6185" s="3" t="s">
        <v>18206</v>
      </c>
      <c r="B6185" s="3"/>
      <c r="C6185" s="3" t="str">
        <f>"Consultant specializing in physician medical practice management, medical billing and medical billing coding."</f>
        <v>Consultant specializing in physician medical practice management, medical billing and medical billing coding.</v>
      </c>
      <c r="D6185" s="3" t="s">
        <v>9</v>
      </c>
      <c r="E6185" s="3" t="s">
        <v>18207</v>
      </c>
      <c r="F6185" s="3" t="str">
        <f>"317-783-0376"</f>
        <v>317-783-0376</v>
      </c>
      <c r="G6185" s="3">
        <v>812990</v>
      </c>
      <c r="H6185" s="3" t="s">
        <v>294</v>
      </c>
    </row>
    <row r="6186" spans="1:8" ht="217.5" x14ac:dyDescent="0.25">
      <c r="A6186" s="3" t="s">
        <v>18208</v>
      </c>
      <c r="B6186" s="3"/>
      <c r="C6186" s="3" t="s">
        <v>18209</v>
      </c>
      <c r="D6186" s="3" t="s">
        <v>9</v>
      </c>
      <c r="E6186" s="3" t="s">
        <v>18210</v>
      </c>
      <c r="F6186" s="3" t="str">
        <f>"260-489-9009"</f>
        <v>260-489-9009</v>
      </c>
      <c r="G6186" s="3">
        <v>621399</v>
      </c>
      <c r="H6186" s="3" t="s">
        <v>2306</v>
      </c>
    </row>
    <row r="6187" spans="1:8" ht="26.25" x14ac:dyDescent="0.25">
      <c r="A6187" s="3" t="s">
        <v>18211</v>
      </c>
      <c r="B6187" s="3"/>
      <c r="C6187" s="3" t="str">
        <f>" "</f>
        <v xml:space="preserve"> </v>
      </c>
      <c r="D6187" s="3" t="s">
        <v>18212</v>
      </c>
      <c r="E6187" s="3" t="s">
        <v>18213</v>
      </c>
      <c r="F6187" s="3" t="str">
        <f>"812-853-9110"</f>
        <v>812-853-9110</v>
      </c>
      <c r="G6187" s="3">
        <v>561110</v>
      </c>
      <c r="H6187" s="3" t="s">
        <v>4383</v>
      </c>
    </row>
    <row r="6188" spans="1:8" ht="26.25" x14ac:dyDescent="0.25">
      <c r="A6188" s="3" t="s">
        <v>18214</v>
      </c>
      <c r="B6188" s="3"/>
      <c r="C6188" s="2"/>
      <c r="D6188" s="3" t="s">
        <v>18215</v>
      </c>
      <c r="E6188" s="3" t="s">
        <v>46</v>
      </c>
      <c r="F6188" s="3" t="str">
        <f>"260-486-0306"</f>
        <v>260-486-0306</v>
      </c>
      <c r="G6188" s="3">
        <v>524126</v>
      </c>
      <c r="H6188" s="3" t="s">
        <v>14021</v>
      </c>
    </row>
    <row r="6189" spans="1:8" ht="64.5" x14ac:dyDescent="0.25">
      <c r="A6189" s="3" t="s">
        <v>18216</v>
      </c>
      <c r="B6189" s="3"/>
      <c r="C6189" s="3" t="str">
        <f>"We are a temporary staffing agency that specializes in medical staffing. We serve clients in Indiana, as well as in many other state. Our business is located in Evansville, IN."</f>
        <v>We are a temporary staffing agency that specializes in medical staffing. We serve clients in Indiana, as well as in many other state. Our business is located in Evansville, IN.</v>
      </c>
      <c r="D6189" s="3" t="s">
        <v>18217</v>
      </c>
      <c r="E6189" s="3" t="s">
        <v>18218</v>
      </c>
      <c r="F6189" s="3" t="str">
        <f>"(812) 469-6877"</f>
        <v>(812) 469-6877</v>
      </c>
      <c r="G6189" s="3">
        <v>561320</v>
      </c>
      <c r="H6189" s="3" t="s">
        <v>15</v>
      </c>
    </row>
    <row r="6190" spans="1:8" ht="115.5" x14ac:dyDescent="0.25">
      <c r="A6190" s="3" t="s">
        <v>18219</v>
      </c>
      <c r="B6190" s="3"/>
      <c r="C6190" s="3" t="s">
        <v>18220</v>
      </c>
      <c r="D6190" s="3" t="s">
        <v>9</v>
      </c>
      <c r="E6190" s="3" t="s">
        <v>18221</v>
      </c>
      <c r="F6190" s="3" t="str">
        <f>"219-949-7587"</f>
        <v>219-949-7587</v>
      </c>
      <c r="G6190" s="3">
        <v>446199</v>
      </c>
      <c r="H6190" s="3" t="s">
        <v>1760</v>
      </c>
    </row>
    <row r="6191" spans="1:8" ht="319.5" x14ac:dyDescent="0.25">
      <c r="A6191" s="3" t="s">
        <v>18222</v>
      </c>
      <c r="B6191" s="3"/>
      <c r="C6191" s="3" t="s">
        <v>18223</v>
      </c>
      <c r="D6191" s="3" t="s">
        <v>18224</v>
      </c>
      <c r="E6191" s="3" t="s">
        <v>18225</v>
      </c>
      <c r="F6191" s="3" t="str">
        <f>"219-670-3208"</f>
        <v>219-670-3208</v>
      </c>
      <c r="G6191" s="3">
        <v>541614</v>
      </c>
      <c r="H6191" s="3" t="s">
        <v>107</v>
      </c>
    </row>
    <row r="6192" spans="1:8" ht="153.75" x14ac:dyDescent="0.25">
      <c r="A6192" s="3" t="s">
        <v>18226</v>
      </c>
      <c r="B6192" s="3"/>
      <c r="C6192" s="3" t="s">
        <v>18227</v>
      </c>
      <c r="D6192" s="3" t="s">
        <v>18228</v>
      </c>
      <c r="E6192" s="3" t="s">
        <v>18229</v>
      </c>
      <c r="F6192" s="3" t="str">
        <f>"317-694-3359"</f>
        <v>317-694-3359</v>
      </c>
      <c r="G6192" s="3">
        <v>541310</v>
      </c>
      <c r="H6192" s="3" t="s">
        <v>446</v>
      </c>
    </row>
    <row r="6193" spans="1:8" ht="230.25" x14ac:dyDescent="0.25">
      <c r="A6193" s="3" t="s">
        <v>18230</v>
      </c>
      <c r="B6193" s="3"/>
      <c r="C6193" s="3" t="s">
        <v>18231</v>
      </c>
      <c r="D6193" s="3" t="s">
        <v>18232</v>
      </c>
      <c r="E6193" s="3" t="s">
        <v>18233</v>
      </c>
      <c r="F6193" s="3" t="str">
        <f>"(219) 671-0586"</f>
        <v>(219) 671-0586</v>
      </c>
      <c r="G6193" s="3">
        <v>11</v>
      </c>
      <c r="H6193" s="3" t="s">
        <v>175</v>
      </c>
    </row>
    <row r="6194" spans="1:8" ht="102.75" x14ac:dyDescent="0.25">
      <c r="A6194" s="3" t="s">
        <v>18234</v>
      </c>
      <c r="B6194" s="3"/>
      <c r="C6194" s="3" t="s">
        <v>18235</v>
      </c>
      <c r="D6194" s="3" t="s">
        <v>18236</v>
      </c>
      <c r="E6194" s="3" t="s">
        <v>18237</v>
      </c>
      <c r="F6194" s="3" t="str">
        <f>"317-695-5083"</f>
        <v>317-695-5083</v>
      </c>
      <c r="G6194" s="3">
        <v>541612</v>
      </c>
      <c r="H6194" s="3" t="s">
        <v>1923</v>
      </c>
    </row>
    <row r="6195" spans="1:8" ht="26.25" x14ac:dyDescent="0.25">
      <c r="A6195" s="3" t="s">
        <v>18238</v>
      </c>
      <c r="B6195" s="3"/>
      <c r="C6195" s="3" t="str">
        <f>"Professional Surveying Services"</f>
        <v>Professional Surveying Services</v>
      </c>
      <c r="D6195" s="3" t="s">
        <v>18239</v>
      </c>
      <c r="E6195" s="3" t="s">
        <v>18240</v>
      </c>
      <c r="F6195" s="3" t="str">
        <f>"812-592-4145"</f>
        <v>812-592-4145</v>
      </c>
      <c r="G6195" s="3">
        <v>541370</v>
      </c>
      <c r="H6195" s="3" t="s">
        <v>160</v>
      </c>
    </row>
    <row r="6196" spans="1:8" ht="39" x14ac:dyDescent="0.25">
      <c r="A6196" s="3" t="s">
        <v>18241</v>
      </c>
      <c r="B6196" s="3"/>
      <c r="C6196" s="3" t="str">
        <f>"Insurance Agency that writes home, auto, business, property, casualty, farm, municipalities and life products"</f>
        <v>Insurance Agency that writes home, auto, business, property, casualty, farm, municipalities and life products</v>
      </c>
      <c r="D6196" s="3" t="s">
        <v>18242</v>
      </c>
      <c r="E6196" s="3" t="s">
        <v>18243</v>
      </c>
      <c r="F6196" s="3" t="str">
        <f>"812-886-4000"</f>
        <v>812-886-4000</v>
      </c>
      <c r="G6196" s="3">
        <v>524210</v>
      </c>
      <c r="H6196" s="3" t="s">
        <v>1183</v>
      </c>
    </row>
    <row r="6197" spans="1:8" ht="26.25" x14ac:dyDescent="0.25">
      <c r="A6197" s="3" t="s">
        <v>18244</v>
      </c>
      <c r="B6197" s="3"/>
      <c r="C6197" s="3" t="str">
        <f>"List and Sell properties"</f>
        <v>List and Sell properties</v>
      </c>
      <c r="D6197" s="3" t="s">
        <v>18245</v>
      </c>
      <c r="E6197" s="3" t="s">
        <v>18243</v>
      </c>
      <c r="F6197" s="3" t="str">
        <f>"812-886-4000"</f>
        <v>812-886-4000</v>
      </c>
      <c r="G6197" s="3">
        <v>531210</v>
      </c>
      <c r="H6197" s="3" t="s">
        <v>1101</v>
      </c>
    </row>
    <row r="6198" spans="1:8" ht="51.75" x14ac:dyDescent="0.25">
      <c r="A6198" s="3" t="s">
        <v>18246</v>
      </c>
      <c r="B6198" s="3"/>
      <c r="C6198" s="3" t="str">
        <f>"Meeting &amp; Event Professionals, Inc. provides full service meeting event marketing and PR related services for business across the U.S."</f>
        <v>Meeting &amp; Event Professionals, Inc. provides full service meeting event marketing and PR related services for business across the U.S.</v>
      </c>
      <c r="D6198" s="3" t="s">
        <v>18247</v>
      </c>
      <c r="E6198" s="3" t="s">
        <v>18248</v>
      </c>
      <c r="F6198" s="3" t="str">
        <f>"812-232-3995"</f>
        <v>812-232-3995</v>
      </c>
      <c r="G6198" s="3">
        <v>541820</v>
      </c>
      <c r="H6198" s="3" t="s">
        <v>795</v>
      </c>
    </row>
    <row r="6199" spans="1:8" ht="166.5" x14ac:dyDescent="0.25">
      <c r="A6199" s="3" t="s">
        <v>18249</v>
      </c>
      <c r="B6199" s="3"/>
      <c r="C6199" s="3" t="s">
        <v>18250</v>
      </c>
      <c r="D6199" s="3" t="s">
        <v>18251</v>
      </c>
      <c r="E6199" s="3" t="s">
        <v>18252</v>
      </c>
      <c r="F6199" s="3" t="str">
        <f>"317-685-0307"</f>
        <v>317-685-0307</v>
      </c>
      <c r="G6199" s="3">
        <v>541611</v>
      </c>
      <c r="H6199" s="3" t="s">
        <v>278</v>
      </c>
    </row>
    <row r="6200" spans="1:8" ht="39" x14ac:dyDescent="0.25">
      <c r="A6200" s="3" t="s">
        <v>18253</v>
      </c>
      <c r="B6200" s="3"/>
      <c r="C6200" s="3" t="str">
        <f>"Logistical development and planning of meetings, conventions and symposia for the medical research community."</f>
        <v>Logistical development and planning of meetings, conventions and symposia for the medical research community.</v>
      </c>
      <c r="D6200" s="3" t="s">
        <v>18254</v>
      </c>
      <c r="E6200" s="3" t="s">
        <v>18255</v>
      </c>
      <c r="F6200" s="3" t="str">
        <f>"812-424-4200"</f>
        <v>812-424-4200</v>
      </c>
      <c r="G6200" s="3">
        <v>561920</v>
      </c>
      <c r="H6200" s="3" t="s">
        <v>7034</v>
      </c>
    </row>
    <row r="6201" spans="1:8" ht="128.25" x14ac:dyDescent="0.25">
      <c r="A6201" s="3" t="s">
        <v>18256</v>
      </c>
      <c r="B6201" s="3"/>
      <c r="C6201" s="3" t="s">
        <v>18257</v>
      </c>
      <c r="D6201" s="3" t="s">
        <v>18258</v>
      </c>
      <c r="E6201" s="3" t="s">
        <v>18259</v>
      </c>
      <c r="F6201" s="3" t="str">
        <f>"317-713-6785"</f>
        <v>317-713-6785</v>
      </c>
      <c r="G6201" s="3">
        <v>541511</v>
      </c>
      <c r="H6201" s="3" t="s">
        <v>122</v>
      </c>
    </row>
    <row r="6202" spans="1:8" ht="179.25" x14ac:dyDescent="0.25">
      <c r="A6202" s="3" t="s">
        <v>18260</v>
      </c>
      <c r="B6202" s="3"/>
      <c r="C6202" s="3" t="s">
        <v>18261</v>
      </c>
      <c r="D6202" s="3" t="s">
        <v>18262</v>
      </c>
      <c r="E6202" s="3" t="s">
        <v>18263</v>
      </c>
      <c r="F6202" s="3" t="str">
        <f>"3172180568"</f>
        <v>3172180568</v>
      </c>
      <c r="G6202" s="3">
        <v>5191</v>
      </c>
      <c r="H6202" s="3" t="s">
        <v>1455</v>
      </c>
    </row>
    <row r="6203" spans="1:8" ht="26.25" x14ac:dyDescent="0.25">
      <c r="A6203" s="3" t="s">
        <v>18264</v>
      </c>
      <c r="B6203" s="3"/>
      <c r="C6203" s="3" t="str">
        <f>" "</f>
        <v xml:space="preserve"> </v>
      </c>
      <c r="D6203" s="3" t="s">
        <v>18265</v>
      </c>
      <c r="E6203" s="3" t="s">
        <v>18266</v>
      </c>
      <c r="F6203" s="3" t="str">
        <f>"317-844-3700"</f>
        <v>317-844-3700</v>
      </c>
      <c r="G6203" s="3">
        <v>532111</v>
      </c>
      <c r="H6203" s="3" t="s">
        <v>9318</v>
      </c>
    </row>
    <row r="6204" spans="1:8" ht="39" x14ac:dyDescent="0.25">
      <c r="A6204" s="3" t="s">
        <v>18267</v>
      </c>
      <c r="B6204" s="3"/>
      <c r="C6204" s="3" t="str">
        <f>"Electrical Contracting firm that specializes in industrial, commercial, and institutional electrical installations and maintenance."</f>
        <v>Electrical Contracting firm that specializes in industrial, commercial, and institutional electrical installations and maintenance.</v>
      </c>
      <c r="D6204" s="3" t="s">
        <v>18268</v>
      </c>
      <c r="E6204" s="3" t="s">
        <v>18269</v>
      </c>
      <c r="F6204" s="3" t="str">
        <f>"812 423-1128"</f>
        <v>812 423-1128</v>
      </c>
      <c r="G6204" s="3">
        <v>238210</v>
      </c>
      <c r="H6204" s="3" t="s">
        <v>306</v>
      </c>
    </row>
    <row r="6205" spans="1:8" ht="230.25" x14ac:dyDescent="0.25">
      <c r="A6205" s="3" t="s">
        <v>18270</v>
      </c>
      <c r="B6205" s="3"/>
      <c r="C6205" s="3" t="s">
        <v>18271</v>
      </c>
      <c r="D6205" s="3" t="s">
        <v>18272</v>
      </c>
      <c r="E6205" s="3" t="s">
        <v>18273</v>
      </c>
      <c r="F6205" s="3" t="str">
        <f>"317-776-9996"</f>
        <v>317-776-9996</v>
      </c>
      <c r="G6205" s="3">
        <v>5416</v>
      </c>
      <c r="H6205" s="3" t="s">
        <v>194</v>
      </c>
    </row>
    <row r="6206" spans="1:8" ht="77.25" x14ac:dyDescent="0.25">
      <c r="A6206" s="3" t="s">
        <v>18274</v>
      </c>
      <c r="B6206" s="3"/>
      <c r="C6206" s="3" t="str">
        <f>"We are licensed electrical contractors have been in business undersame officers Since 1964 (41 years) We are over 51% WBE . We specialize in Commercial, Industrial , Institutional and new constructional -schools, colleges, hospitals etc."</f>
        <v>We are licensed electrical contractors have been in business undersame officers Since 1964 (41 years) We are over 51% WBE . We specialize in Commercial, Industrial , Institutional and new constructional -schools, colleges, hospitals etc.</v>
      </c>
      <c r="D6206" s="3" t="s">
        <v>18275</v>
      </c>
      <c r="E6206" s="3" t="s">
        <v>18276</v>
      </c>
      <c r="F6206" s="3" t="str">
        <f>"765-962-2106"</f>
        <v>765-962-2106</v>
      </c>
      <c r="G6206" s="3">
        <v>238210</v>
      </c>
      <c r="H6206" s="3" t="s">
        <v>306</v>
      </c>
    </row>
    <row r="6207" spans="1:8" ht="153.75" x14ac:dyDescent="0.25">
      <c r="A6207" s="3" t="s">
        <v>18277</v>
      </c>
      <c r="B6207" s="3"/>
      <c r="C6207" s="3" t="s">
        <v>18278</v>
      </c>
      <c r="D6207" s="3" t="s">
        <v>18279</v>
      </c>
      <c r="E6207" s="3" t="s">
        <v>18280</v>
      </c>
      <c r="F6207" s="3" t="str">
        <f>"317-624-1621"</f>
        <v>317-624-1621</v>
      </c>
      <c r="G6207" s="3">
        <v>5415</v>
      </c>
      <c r="H6207" s="3" t="s">
        <v>188</v>
      </c>
    </row>
    <row r="6208" spans="1:8" ht="26.25" x14ac:dyDescent="0.25">
      <c r="A6208" s="3" t="s">
        <v>18281</v>
      </c>
      <c r="B6208" s="3"/>
      <c r="C6208" s="3" t="str">
        <f>"Temporary Sign Sales and Rentals."</f>
        <v>Temporary Sign Sales and Rentals.</v>
      </c>
      <c r="D6208" s="3" t="s">
        <v>18282</v>
      </c>
      <c r="E6208" s="3" t="s">
        <v>18283</v>
      </c>
      <c r="F6208" s="3" t="str">
        <f>"317-694-3921"</f>
        <v>317-694-3921</v>
      </c>
      <c r="G6208" s="3">
        <v>339950</v>
      </c>
      <c r="H6208" s="3" t="s">
        <v>68</v>
      </c>
    </row>
    <row r="6209" spans="1:8" ht="102.75" x14ac:dyDescent="0.25">
      <c r="A6209" s="3" t="s">
        <v>18281</v>
      </c>
      <c r="B6209" s="3"/>
      <c r="C6209" s="3" t="s">
        <v>18284</v>
      </c>
      <c r="D6209" s="3" t="s">
        <v>18285</v>
      </c>
      <c r="E6209" s="3" t="s">
        <v>18286</v>
      </c>
      <c r="F6209" s="3" t="str">
        <f>"317-694-3921"</f>
        <v>317-694-3921</v>
      </c>
      <c r="G6209" s="3">
        <v>238990</v>
      </c>
      <c r="H6209" s="3" t="s">
        <v>481</v>
      </c>
    </row>
    <row r="6210" spans="1:8" ht="26.25" x14ac:dyDescent="0.25">
      <c r="A6210" s="3" t="s">
        <v>18287</v>
      </c>
      <c r="B6210" s="3"/>
      <c r="C6210" s="3" t="str">
        <f>" "</f>
        <v xml:space="preserve"> </v>
      </c>
      <c r="D6210" s="3" t="s">
        <v>18288</v>
      </c>
      <c r="E6210" s="3" t="s">
        <v>46</v>
      </c>
      <c r="F6210" s="2"/>
      <c r="G6210" s="3">
        <v>621111</v>
      </c>
      <c r="H6210" s="3" t="s">
        <v>2002</v>
      </c>
    </row>
    <row r="6211" spans="1:8" ht="102.75" x14ac:dyDescent="0.25">
      <c r="A6211" s="3" t="s">
        <v>18289</v>
      </c>
      <c r="B6211" s="3"/>
      <c r="C6211" s="3" t="s">
        <v>18290</v>
      </c>
      <c r="D6211" s="3" t="s">
        <v>18291</v>
      </c>
      <c r="E6211" s="3" t="s">
        <v>18292</v>
      </c>
      <c r="F6211" s="3" t="str">
        <f>"574-753-7541"</f>
        <v>574-753-7541</v>
      </c>
      <c r="G6211" s="3">
        <v>62</v>
      </c>
      <c r="H6211" s="3" t="s">
        <v>1168</v>
      </c>
    </row>
    <row r="6212" spans="1:8" x14ac:dyDescent="0.25">
      <c r="A6212" s="3" t="s">
        <v>18293</v>
      </c>
      <c r="B6212" s="3"/>
      <c r="C6212" s="3" t="str">
        <f>" "</f>
        <v xml:space="preserve"> </v>
      </c>
      <c r="D6212" s="3" t="s">
        <v>9</v>
      </c>
      <c r="E6212" s="3" t="s">
        <v>46</v>
      </c>
      <c r="F6212" s="2"/>
      <c r="G6212" s="3">
        <v>622</v>
      </c>
      <c r="H6212" s="3" t="s">
        <v>5145</v>
      </c>
    </row>
    <row r="6213" spans="1:8" ht="64.5" x14ac:dyDescent="0.25">
      <c r="A6213" s="3" t="s">
        <v>18294</v>
      </c>
      <c r="B6213" s="3"/>
      <c r="C6213" s="3" t="str">
        <f>"Videography service, dvd &amp; cd duplication, memory books &amp; video, family heritage and ancestory books and dvd's Slide shows photo montage, Projector and camera rental, transfer vcr, 8mm &amp; others to dvd"</f>
        <v>Videography service, dvd &amp; cd duplication, memory books &amp; video, family heritage and ancestory books and dvd's Slide shows photo montage, Projector and camera rental, transfer vcr, 8mm &amp; others to dvd</v>
      </c>
      <c r="D6213" s="3" t="s">
        <v>18295</v>
      </c>
      <c r="E6213" s="3" t="s">
        <v>18296</v>
      </c>
      <c r="F6213" s="3" t="str">
        <f>"812 882 1979"</f>
        <v>812 882 1979</v>
      </c>
      <c r="G6213" s="3">
        <v>54192</v>
      </c>
      <c r="H6213" s="3" t="s">
        <v>2613</v>
      </c>
    </row>
    <row r="6214" spans="1:8" ht="115.5" x14ac:dyDescent="0.25">
      <c r="A6214" s="3" t="s">
        <v>18297</v>
      </c>
      <c r="B6214" s="3"/>
      <c r="C6214" s="3" t="s">
        <v>18298</v>
      </c>
      <c r="D6214" s="3" t="s">
        <v>18299</v>
      </c>
      <c r="E6214" s="3" t="s">
        <v>18300</v>
      </c>
      <c r="F6214" s="3" t="str">
        <f>"574 534-1521"</f>
        <v>574 534-1521</v>
      </c>
      <c r="G6214" s="3">
        <v>56151</v>
      </c>
      <c r="H6214" s="3" t="s">
        <v>288</v>
      </c>
    </row>
    <row r="6215" spans="1:8" ht="39" x14ac:dyDescent="0.25">
      <c r="A6215" s="3" t="s">
        <v>18301</v>
      </c>
      <c r="B6215" s="3"/>
      <c r="C6215" s="3" t="str">
        <f>"Provider of promotional advertising products and apparel; related consulting and fullfilllment services, and warehousing."</f>
        <v>Provider of promotional advertising products and apparel; related consulting and fullfilllment services, and warehousing.</v>
      </c>
      <c r="D6215" s="3" t="s">
        <v>9</v>
      </c>
      <c r="E6215" s="3" t="s">
        <v>18302</v>
      </c>
      <c r="F6215" s="3" t="str">
        <f>"260-424-3100"</f>
        <v>260-424-3100</v>
      </c>
      <c r="G6215" s="3">
        <v>453210</v>
      </c>
      <c r="H6215" s="3" t="s">
        <v>431</v>
      </c>
    </row>
    <row r="6216" spans="1:8" ht="230.25" x14ac:dyDescent="0.25">
      <c r="A6216" s="3" t="s">
        <v>18303</v>
      </c>
      <c r="B6216" s="3"/>
      <c r="C6216" s="3" t="s">
        <v>18304</v>
      </c>
      <c r="D6216" s="3" t="s">
        <v>18305</v>
      </c>
      <c r="E6216" s="3" t="s">
        <v>18306</v>
      </c>
      <c r="F6216" s="3" t="str">
        <f>"219-922-3822"</f>
        <v>219-922-3822</v>
      </c>
      <c r="G6216" s="3">
        <v>624</v>
      </c>
      <c r="H6216" s="3" t="s">
        <v>6524</v>
      </c>
    </row>
    <row r="6217" spans="1:8" ht="268.5" x14ac:dyDescent="0.25">
      <c r="A6217" s="3" t="s">
        <v>18307</v>
      </c>
      <c r="B6217" s="3"/>
      <c r="C6217" s="3" t="s">
        <v>18308</v>
      </c>
      <c r="D6217" s="3" t="s">
        <v>18309</v>
      </c>
      <c r="E6217" s="3" t="s">
        <v>18310</v>
      </c>
      <c r="F6217" s="3" t="str">
        <f>"317-638-3501"</f>
        <v>317-638-3501</v>
      </c>
      <c r="G6217" s="3">
        <v>551112</v>
      </c>
      <c r="H6217" s="3" t="s">
        <v>1243</v>
      </c>
    </row>
    <row r="6218" spans="1:8" ht="306.75" x14ac:dyDescent="0.25">
      <c r="A6218" s="3" t="s">
        <v>18311</v>
      </c>
      <c r="B6218" s="3"/>
      <c r="C6218" s="3" t="s">
        <v>18312</v>
      </c>
      <c r="D6218" s="3" t="s">
        <v>18313</v>
      </c>
      <c r="E6218" s="3" t="s">
        <v>18314</v>
      </c>
      <c r="F6218" s="3" t="str">
        <f>"317-261-1000"</f>
        <v>317-261-1000</v>
      </c>
      <c r="G6218" s="3">
        <v>323110</v>
      </c>
      <c r="H6218" s="3" t="s">
        <v>1900</v>
      </c>
    </row>
    <row r="6219" spans="1:8" ht="90" x14ac:dyDescent="0.25">
      <c r="A6219" s="3" t="s">
        <v>18315</v>
      </c>
      <c r="B6219" s="3"/>
      <c r="C6219" s="3" t="s">
        <v>18316</v>
      </c>
      <c r="D6219" s="3" t="s">
        <v>18317</v>
      </c>
      <c r="E6219" s="3" t="s">
        <v>18318</v>
      </c>
      <c r="F6219" s="3" t="str">
        <f>"3173541038"</f>
        <v>3173541038</v>
      </c>
      <c r="G6219" s="3">
        <v>541110</v>
      </c>
      <c r="H6219" s="3" t="s">
        <v>2978</v>
      </c>
    </row>
    <row r="6220" spans="1:8" ht="26.25" x14ac:dyDescent="0.25">
      <c r="A6220" s="3" t="s">
        <v>18319</v>
      </c>
      <c r="B6220" s="3"/>
      <c r="C6220" s="3" t="str">
        <f>"Ambulance and emergency medical services"</f>
        <v>Ambulance and emergency medical services</v>
      </c>
      <c r="D6220" s="3" t="s">
        <v>18320</v>
      </c>
      <c r="E6220" s="3" t="s">
        <v>46</v>
      </c>
      <c r="F6220" s="3" t="str">
        <f>"812-421-6500"</f>
        <v>812-421-6500</v>
      </c>
      <c r="G6220" s="3">
        <v>621910</v>
      </c>
      <c r="H6220" s="3" t="s">
        <v>18321</v>
      </c>
    </row>
    <row r="6221" spans="1:8" ht="26.25" x14ac:dyDescent="0.25">
      <c r="A6221" s="3" t="s">
        <v>18322</v>
      </c>
      <c r="B6221" s="3"/>
      <c r="C6221" s="3" t="str">
        <f>" "</f>
        <v xml:space="preserve"> </v>
      </c>
      <c r="D6221" s="3" t="s">
        <v>9</v>
      </c>
      <c r="E6221" s="3" t="s">
        <v>18323</v>
      </c>
      <c r="F6221" s="3" t="str">
        <f>"317-861-8242"</f>
        <v>317-861-8242</v>
      </c>
      <c r="G6221" s="3">
        <v>23822</v>
      </c>
      <c r="H6221" s="3" t="s">
        <v>348</v>
      </c>
    </row>
    <row r="6222" spans="1:8" ht="77.25" x14ac:dyDescent="0.25">
      <c r="A6222" s="3" t="s">
        <v>18324</v>
      </c>
      <c r="B6222" s="3"/>
      <c r="C6222" s="3" t="str">
        <f>"our organization is in it's second phase of forming our company. we are proposing to offer shelter for homeless men, women and their children also with the hopes of implementing programs to help in the aid of purchasing a new home."</f>
        <v>our organization is in it's second phase of forming our company. we are proposing to offer shelter for homeless men, women and their children also with the hopes of implementing programs to help in the aid of purchasing a new home.</v>
      </c>
      <c r="D6222" s="3" t="s">
        <v>9</v>
      </c>
      <c r="E6222" s="3" t="s">
        <v>46</v>
      </c>
      <c r="F6222" s="3" t="str">
        <f>"219-985-8012"</f>
        <v>219-985-8012</v>
      </c>
      <c r="G6222" s="3">
        <v>62422</v>
      </c>
      <c r="H6222" s="3" t="s">
        <v>18325</v>
      </c>
    </row>
    <row r="6223" spans="1:8" ht="51.75" x14ac:dyDescent="0.25">
      <c r="A6223" s="3" t="s">
        <v>18326</v>
      </c>
      <c r="B6223" s="3"/>
      <c r="C6223" s="3" t="str">
        <f>"All real estate and development services, including owner and tenant representation, broker services, and a wide variety of all real estate services."</f>
        <v>All real estate and development services, including owner and tenant representation, broker services, and a wide variety of all real estate services.</v>
      </c>
      <c r="D6223" s="3" t="s">
        <v>9</v>
      </c>
      <c r="E6223" s="3" t="s">
        <v>18327</v>
      </c>
      <c r="F6223" s="3" t="str">
        <f>"317-333-7000"</f>
        <v>317-333-7000</v>
      </c>
      <c r="G6223" s="3">
        <v>53</v>
      </c>
      <c r="H6223" s="3" t="s">
        <v>2336</v>
      </c>
    </row>
    <row r="6224" spans="1:8" ht="204.75" x14ac:dyDescent="0.25">
      <c r="A6224" s="3" t="s">
        <v>18328</v>
      </c>
      <c r="B6224" s="3"/>
      <c r="C6224" s="3" t="s">
        <v>18329</v>
      </c>
      <c r="D6224" s="3" t="s">
        <v>18330</v>
      </c>
      <c r="E6224" s="3" t="s">
        <v>18331</v>
      </c>
      <c r="F6224" s="3" t="str">
        <f>"317.875.8888"</f>
        <v>317.875.8888</v>
      </c>
      <c r="G6224" s="3">
        <v>531210</v>
      </c>
      <c r="H6224" s="3" t="s">
        <v>1101</v>
      </c>
    </row>
    <row r="6225" spans="1:8" ht="306.75" x14ac:dyDescent="0.25">
      <c r="A6225" s="3" t="s">
        <v>18332</v>
      </c>
      <c r="B6225" s="3"/>
      <c r="C6225" s="3" t="s">
        <v>18333</v>
      </c>
      <c r="D6225" s="3" t="s">
        <v>18334</v>
      </c>
      <c r="E6225" s="3" t="s">
        <v>18335</v>
      </c>
      <c r="F6225" s="3" t="str">
        <f>"765.288.1928"</f>
        <v>765.288.1928</v>
      </c>
      <c r="G6225" s="3">
        <v>621112</v>
      </c>
      <c r="H6225" s="3" t="s">
        <v>1112</v>
      </c>
    </row>
    <row r="6226" spans="1:8" ht="51.75" x14ac:dyDescent="0.25">
      <c r="A6226" s="3" t="s">
        <v>18336</v>
      </c>
      <c r="B6226" s="3"/>
      <c r="C6226" s="3" t="str">
        <f>"Sales &amp; Service of commercial &amp; residential lawn care equipment. Including sale of repair parts lawn care equipment and air cooled engines."</f>
        <v>Sales &amp; Service of commercial &amp; residential lawn care equipment. Including sale of repair parts lawn care equipment and air cooled engines.</v>
      </c>
      <c r="D6226" s="3" t="s">
        <v>9</v>
      </c>
      <c r="E6226" s="3" t="s">
        <v>18337</v>
      </c>
      <c r="F6226" s="3" t="str">
        <f>"(765)962-2048"</f>
        <v>(765)962-2048</v>
      </c>
      <c r="G6226" s="3">
        <v>8114</v>
      </c>
      <c r="H6226" s="3" t="s">
        <v>12920</v>
      </c>
    </row>
    <row r="6227" spans="1:8" ht="64.5" x14ac:dyDescent="0.25">
      <c r="A6227" s="3" t="s">
        <v>18338</v>
      </c>
      <c r="B6227" s="3"/>
      <c r="C6227" s="3" t="str">
        <f>"Industrial structural steel fabrication and erection in the greater Indianapolis area, we are a union contractor, established in 1982. WBE certification is in the process of being renewed as of June 2006."</f>
        <v>Industrial structural steel fabrication and erection in the greater Indianapolis area, we are a union contractor, established in 1982. WBE certification is in the process of being renewed as of June 2006.</v>
      </c>
      <c r="D6227" s="3" t="s">
        <v>18339</v>
      </c>
      <c r="E6227" s="3" t="s">
        <v>18340</v>
      </c>
      <c r="F6227" s="3" t="str">
        <f>"317-839-8396"</f>
        <v>317-839-8396</v>
      </c>
      <c r="G6227" s="3">
        <v>238120</v>
      </c>
      <c r="H6227" s="3" t="s">
        <v>5668</v>
      </c>
    </row>
    <row r="6228" spans="1:8" x14ac:dyDescent="0.25">
      <c r="A6228" s="3" t="s">
        <v>18341</v>
      </c>
      <c r="B6228" s="3"/>
      <c r="C6228" s="3" t="str">
        <f>" "</f>
        <v xml:space="preserve"> </v>
      </c>
      <c r="D6228" s="3" t="s">
        <v>9</v>
      </c>
      <c r="E6228" s="3" t="s">
        <v>46</v>
      </c>
      <c r="F6228" s="2"/>
      <c r="G6228" s="3">
        <v>611110</v>
      </c>
      <c r="H6228" s="3" t="s">
        <v>3876</v>
      </c>
    </row>
    <row r="6229" spans="1:8" ht="26.25" x14ac:dyDescent="0.25">
      <c r="A6229" s="3" t="s">
        <v>18342</v>
      </c>
      <c r="B6229" s="3"/>
      <c r="C6229" s="3" t="str">
        <f>"Educater and project manager for healthcare grants."</f>
        <v>Educater and project manager for healthcare grants.</v>
      </c>
      <c r="D6229" s="3" t="s">
        <v>9</v>
      </c>
      <c r="E6229" s="3" t="s">
        <v>46</v>
      </c>
      <c r="F6229" s="2"/>
      <c r="G6229" s="3">
        <v>611710</v>
      </c>
      <c r="H6229" s="3" t="s">
        <v>508</v>
      </c>
    </row>
    <row r="6230" spans="1:8" ht="153.75" x14ac:dyDescent="0.25">
      <c r="A6230" s="3" t="s">
        <v>18343</v>
      </c>
      <c r="B6230" s="3"/>
      <c r="C6230" s="3" t="s">
        <v>18344</v>
      </c>
      <c r="D6230" s="3" t="s">
        <v>9</v>
      </c>
      <c r="E6230" s="3" t="s">
        <v>46</v>
      </c>
      <c r="F6230" s="2"/>
      <c r="G6230" s="3">
        <v>23599</v>
      </c>
      <c r="H6230" s="3" t="s">
        <v>248</v>
      </c>
    </row>
    <row r="6231" spans="1:8" ht="26.25" x14ac:dyDescent="0.25">
      <c r="A6231" s="3" t="s">
        <v>18345</v>
      </c>
      <c r="B6231" s="3"/>
      <c r="C6231" s="3" t="str">
        <f>"We are a residential and light commercial mechanical contractor."</f>
        <v>We are a residential and light commercial mechanical contractor.</v>
      </c>
      <c r="D6231" s="3" t="s">
        <v>18346</v>
      </c>
      <c r="E6231" s="3" t="s">
        <v>46</v>
      </c>
      <c r="F6231" s="3" t="str">
        <f>"812-482-6766"</f>
        <v>812-482-6766</v>
      </c>
      <c r="G6231" s="3">
        <v>238220</v>
      </c>
      <c r="H6231" s="3" t="s">
        <v>348</v>
      </c>
    </row>
    <row r="6232" spans="1:8" ht="102.75" x14ac:dyDescent="0.25">
      <c r="A6232" s="3" t="s">
        <v>18347</v>
      </c>
      <c r="B6232" s="3"/>
      <c r="C6232" s="3" t="s">
        <v>18348</v>
      </c>
      <c r="D6232" s="3" t="s">
        <v>9</v>
      </c>
      <c r="E6232" s="3" t="s">
        <v>18349</v>
      </c>
      <c r="F6232" s="3" t="str">
        <f>"317 845-5674"</f>
        <v>317 845-5674</v>
      </c>
      <c r="G6232" s="3">
        <v>33232</v>
      </c>
      <c r="H6232" s="3" t="s">
        <v>11115</v>
      </c>
    </row>
    <row r="6233" spans="1:8" ht="51.75" x14ac:dyDescent="0.25">
      <c r="A6233" s="3" t="s">
        <v>18350</v>
      </c>
      <c r="B6233" s="3"/>
      <c r="C6233" s="3" t="str">
        <f>"Polishing &amp; Plating of all and any metal parts. We also polish antiques and Building structures I.E, elevator doors, awnnings, walls, railings etc,"</f>
        <v>Polishing &amp; Plating of all and any metal parts. We also polish antiques and Building structures I.E, elevator doors, awnnings, walls, railings etc,</v>
      </c>
      <c r="D6233" s="3" t="s">
        <v>18351</v>
      </c>
      <c r="E6233" s="3" t="s">
        <v>18352</v>
      </c>
      <c r="F6233" s="3" t="str">
        <f>"317-635-0984"</f>
        <v>317-635-0984</v>
      </c>
      <c r="G6233" s="3">
        <v>332813</v>
      </c>
      <c r="H6233" s="3" t="s">
        <v>12139</v>
      </c>
    </row>
    <row r="6234" spans="1:8" ht="64.5" x14ac:dyDescent="0.25">
      <c r="A6234" s="3" t="s">
        <v>18353</v>
      </c>
      <c r="B6234" s="3"/>
      <c r="C6234" s="3" t="str">
        <f>"Custom design in metal, wood, soapstone, and solid surface; all applications: test fixtures, signs, prototypes, custom artwork, 3-D milling, turning, metal spinning, sculpting, architecture, consulting"</f>
        <v>Custom design in metal, wood, soapstone, and solid surface; all applications: test fixtures, signs, prototypes, custom artwork, 3-D milling, turning, metal spinning, sculpting, architecture, consulting</v>
      </c>
      <c r="D6234" s="3" t="s">
        <v>9</v>
      </c>
      <c r="E6234" s="3" t="s">
        <v>18354</v>
      </c>
      <c r="F6234" s="3" t="str">
        <f>"812-933-5555"</f>
        <v>812-933-5555</v>
      </c>
      <c r="G6234" s="3">
        <v>321</v>
      </c>
      <c r="H6234" s="3" t="s">
        <v>2367</v>
      </c>
    </row>
    <row r="6235" spans="1:8" ht="26.25" x14ac:dyDescent="0.25">
      <c r="A6235" s="3" t="s">
        <v>18355</v>
      </c>
      <c r="B6235" s="3"/>
      <c r="C6235" s="3" t="str">
        <f>" "</f>
        <v xml:space="preserve"> </v>
      </c>
      <c r="D6235" s="3" t="s">
        <v>18356</v>
      </c>
      <c r="E6235" s="3" t="s">
        <v>18357</v>
      </c>
      <c r="F6235" s="3" t="str">
        <f>"574-291-2483"</f>
        <v>574-291-2483</v>
      </c>
      <c r="G6235" s="3">
        <v>236220</v>
      </c>
      <c r="H6235" s="3" t="s">
        <v>598</v>
      </c>
    </row>
    <row r="6236" spans="1:8" ht="115.5" x14ac:dyDescent="0.25">
      <c r="A6236" s="3" t="s">
        <v>18358</v>
      </c>
      <c r="B6236" s="3"/>
      <c r="C6236" s="3" t="s">
        <v>18359</v>
      </c>
      <c r="D6236" s="3" t="s">
        <v>18360</v>
      </c>
      <c r="E6236" s="3" t="s">
        <v>18361</v>
      </c>
      <c r="F6236" s="3" t="str">
        <f>"317-250-5022"</f>
        <v>317-250-5022</v>
      </c>
      <c r="G6236" s="3">
        <v>541611</v>
      </c>
      <c r="H6236" s="3" t="s">
        <v>278</v>
      </c>
    </row>
    <row r="6237" spans="1:8" ht="64.5" x14ac:dyDescent="0.25">
      <c r="A6237" s="3" t="s">
        <v>18358</v>
      </c>
      <c r="B6237" s="3"/>
      <c r="C6237" s="3" t="str">
        <f>"Metamorphosis Consulting Services provides management, organizational development, and transition services primarily to nonprofit organizations,and associations and to governmental entities."</f>
        <v>Metamorphosis Consulting Services provides management, organizational development, and transition services primarily to nonprofit organizations,and associations and to governmental entities.</v>
      </c>
      <c r="D6237" s="3" t="s">
        <v>18362</v>
      </c>
      <c r="E6237" s="3" t="s">
        <v>18361</v>
      </c>
      <c r="F6237" s="3" t="str">
        <f>"317-250-5022"</f>
        <v>317-250-5022</v>
      </c>
      <c r="G6237" s="3">
        <v>541612</v>
      </c>
      <c r="H6237" s="3" t="s">
        <v>1923</v>
      </c>
    </row>
    <row r="6238" spans="1:8" ht="39" x14ac:dyDescent="0.25">
      <c r="A6238" s="3" t="s">
        <v>18363</v>
      </c>
      <c r="B6238" s="3"/>
      <c r="C6238" s="3" t="str">
        <f>"Occupational Health Medicine facility with free standing clinics and also providing on site medical services to clients."</f>
        <v>Occupational Health Medicine facility with free standing clinics and also providing on site medical services to clients.</v>
      </c>
      <c r="D6238" s="3" t="s">
        <v>18364</v>
      </c>
      <c r="E6238" s="3" t="s">
        <v>18365</v>
      </c>
      <c r="F6238" s="3" t="str">
        <f>"317-216-2828"</f>
        <v>317-216-2828</v>
      </c>
      <c r="G6238" s="3">
        <v>621399</v>
      </c>
      <c r="H6238" s="3" t="s">
        <v>2306</v>
      </c>
    </row>
    <row r="6239" spans="1:8" ht="51.75" x14ac:dyDescent="0.25">
      <c r="A6239" s="3" t="s">
        <v>18366</v>
      </c>
      <c r="B6239" s="3"/>
      <c r="C6239" s="3" t="str">
        <f>"Meticulous Design Build, LLC provides architectural design, interior design, construction management, and project management services."</f>
        <v>Meticulous Design Build, LLC provides architectural design, interior design, construction management, and project management services.</v>
      </c>
      <c r="D6239" s="3" t="s">
        <v>18367</v>
      </c>
      <c r="E6239" s="3" t="s">
        <v>18368</v>
      </c>
      <c r="F6239" s="3" t="str">
        <f>"(317) 472-2806"</f>
        <v>(317) 472-2806</v>
      </c>
      <c r="G6239" s="3">
        <v>541310</v>
      </c>
      <c r="H6239" s="3" t="s">
        <v>446</v>
      </c>
    </row>
    <row r="6240" spans="1:8" ht="64.5" x14ac:dyDescent="0.25">
      <c r="A6240" s="3" t="s">
        <v>18369</v>
      </c>
      <c r="B6240" s="3"/>
      <c r="C6240" s="3" t="str">
        <f>"Party Rental business that rents out: Bouncers, Sno Cone, Popcorn, Cotton Candy, &amp; Nacho Machines, Hot Dog Steamers, Carnival games, Slides, Sport Games, Cakes, Custom Candywraps, Yard Signs &amp; more"</f>
        <v>Party Rental business that rents out: Bouncers, Sno Cone, Popcorn, Cotton Candy, &amp; Nacho Machines, Hot Dog Steamers, Carnival games, Slides, Sport Games, Cakes, Custom Candywraps, Yard Signs &amp; more</v>
      </c>
      <c r="D6240" s="3" t="s">
        <v>18370</v>
      </c>
      <c r="E6240" s="3" t="s">
        <v>18371</v>
      </c>
      <c r="F6240" s="3" t="str">
        <f>"317-614-5894"</f>
        <v>317-614-5894</v>
      </c>
      <c r="G6240" s="3">
        <v>532299</v>
      </c>
      <c r="H6240" s="3" t="s">
        <v>1379</v>
      </c>
    </row>
    <row r="6241" spans="1:8" ht="64.5" x14ac:dyDescent="0.25">
      <c r="A6241" s="3" t="s">
        <v>18369</v>
      </c>
      <c r="B6241" s="3"/>
      <c r="C6241" s="3" t="str">
        <f>"A Peace of Cake Party &amp; Event Service rents out Bouncers, carnival games, dunk tanks, concessions, provide Dj service too. Our other Business Grasshopper greetings rents out unique yardsigns."</f>
        <v>A Peace of Cake Party &amp; Event Service rents out Bouncers, carnival games, dunk tanks, concessions, provide Dj service too. Our other Business Grasshopper greetings rents out unique yardsigns.</v>
      </c>
      <c r="D6241" s="3" t="s">
        <v>18372</v>
      </c>
      <c r="E6241" s="3" t="s">
        <v>18373</v>
      </c>
      <c r="F6241" s="3" t="str">
        <f>"317-614-5894"</f>
        <v>317-614-5894</v>
      </c>
      <c r="G6241" s="3">
        <v>812990</v>
      </c>
      <c r="H6241" s="3" t="s">
        <v>294</v>
      </c>
    </row>
    <row r="6242" spans="1:8" ht="115.5" x14ac:dyDescent="0.25">
      <c r="A6242" s="3" t="s">
        <v>18374</v>
      </c>
      <c r="B6242" s="3"/>
      <c r="C6242" s="3" t="s">
        <v>18375</v>
      </c>
      <c r="D6242" s="3" t="s">
        <v>18376</v>
      </c>
      <c r="E6242" s="3" t="s">
        <v>46</v>
      </c>
      <c r="F6242" s="3" t="str">
        <f>"800-686-3753"</f>
        <v>800-686-3753</v>
      </c>
      <c r="G6242" s="3">
        <v>441310</v>
      </c>
      <c r="H6242" s="3" t="s">
        <v>1699</v>
      </c>
    </row>
    <row r="6243" spans="1:8" ht="51.75" x14ac:dyDescent="0.25">
      <c r="A6243" s="3" t="s">
        <v>18377</v>
      </c>
      <c r="B6243" s="3"/>
      <c r="C6243" s="3" t="str">
        <f>"We are in the business of Construction, Residential, &amp; Commercial Elevators, leasing, sales, service, repair &amp; modernizations."</f>
        <v>We are in the business of Construction, Residential, &amp; Commercial Elevators, leasing, sales, service, repair &amp; modernizations.</v>
      </c>
      <c r="D6243" s="3" t="s">
        <v>18378</v>
      </c>
      <c r="E6243" s="3" t="s">
        <v>18379</v>
      </c>
      <c r="F6243" s="3" t="str">
        <f>"3175629833"</f>
        <v>3175629833</v>
      </c>
      <c r="G6243" s="3">
        <v>235</v>
      </c>
      <c r="H6243" s="3" t="s">
        <v>259</v>
      </c>
    </row>
    <row r="6244" spans="1:8" ht="102.75" x14ac:dyDescent="0.25">
      <c r="A6244" s="3" t="s">
        <v>18380</v>
      </c>
      <c r="B6244" s="3"/>
      <c r="C6244" s="3" t="s">
        <v>18381</v>
      </c>
      <c r="D6244" s="3" t="s">
        <v>18378</v>
      </c>
      <c r="E6244" s="3" t="s">
        <v>18382</v>
      </c>
      <c r="F6244" s="3" t="str">
        <f>"317-562-9833"</f>
        <v>317-562-9833</v>
      </c>
      <c r="G6244" s="3">
        <v>238</v>
      </c>
      <c r="H6244" s="3" t="s">
        <v>397</v>
      </c>
    </row>
    <row r="6245" spans="1:8" ht="294" x14ac:dyDescent="0.25">
      <c r="A6245" s="3" t="s">
        <v>18383</v>
      </c>
      <c r="B6245" s="3"/>
      <c r="C6245" s="3" t="s">
        <v>18384</v>
      </c>
      <c r="D6245" s="3" t="s">
        <v>18385</v>
      </c>
      <c r="E6245" s="3" t="s">
        <v>18386</v>
      </c>
      <c r="F6245" s="3" t="str">
        <f>"765-250-8205"</f>
        <v>765-250-8205</v>
      </c>
      <c r="G6245" s="3">
        <v>5133</v>
      </c>
      <c r="H6245" s="3" t="s">
        <v>682</v>
      </c>
    </row>
    <row r="6246" spans="1:8" ht="26.25" x14ac:dyDescent="0.25">
      <c r="A6246" s="3" t="s">
        <v>18387</v>
      </c>
      <c r="B6246" s="3"/>
      <c r="C6246" s="2"/>
      <c r="D6246" s="3" t="s">
        <v>18388</v>
      </c>
      <c r="E6246" s="3" t="s">
        <v>18389</v>
      </c>
      <c r="F6246" s="3" t="str">
        <f>"317-885-0077"</f>
        <v>317-885-0077</v>
      </c>
      <c r="G6246" s="3">
        <v>32311</v>
      </c>
      <c r="H6246" s="3" t="s">
        <v>531</v>
      </c>
    </row>
    <row r="6247" spans="1:8" x14ac:dyDescent="0.25">
      <c r="A6247" s="3" t="s">
        <v>18390</v>
      </c>
      <c r="B6247" s="3"/>
      <c r="C6247" s="3" t="str">
        <f>" "</f>
        <v xml:space="preserve"> </v>
      </c>
      <c r="D6247" s="3" t="s">
        <v>18391</v>
      </c>
      <c r="E6247" s="3" t="s">
        <v>46</v>
      </c>
      <c r="F6247" s="2"/>
      <c r="G6247" s="3">
        <v>524113</v>
      </c>
      <c r="H6247" s="3" t="s">
        <v>5784</v>
      </c>
    </row>
    <row r="6248" spans="1:8" ht="64.5" x14ac:dyDescent="0.25">
      <c r="A6248" s="3" t="s">
        <v>18392</v>
      </c>
      <c r="B6248" s="3"/>
      <c r="C6248" s="3" t="str">
        <f>"501 c3 not for profit social services agency. Specializing in Children and Family Services. Homebased Therapy, Counseling, Parent Education, Supervised Visitation are among our menu of services"</f>
        <v>501 c3 not for profit social services agency. Specializing in Children and Family Services. Homebased Therapy, Counseling, Parent Education, Supervised Visitation are among our menu of services</v>
      </c>
      <c r="D6248" s="3" t="s">
        <v>18393</v>
      </c>
      <c r="E6248" s="3" t="s">
        <v>18394</v>
      </c>
      <c r="F6248" s="3" t="str">
        <f>"2198810447"</f>
        <v>2198810447</v>
      </c>
      <c r="G6248" s="3">
        <v>624110</v>
      </c>
      <c r="H6248" s="3" t="s">
        <v>628</v>
      </c>
    </row>
    <row r="6249" spans="1:8" ht="77.25" x14ac:dyDescent="0.25">
      <c r="A6249" s="3" t="s">
        <v>18395</v>
      </c>
      <c r="B6249" s="3"/>
      <c r="C6249" s="3" t="str">
        <f>"Intensive home-based family preservation social service agency. Provide counseling, homebased therapy, on-site drug testing, psychological evaluations, and transportation to families referred from the Dept of Child Services"</f>
        <v>Intensive home-based family preservation social service agency. Provide counseling, homebased therapy, on-site drug testing, psychological evaluations, and transportation to families referred from the Dept of Child Services</v>
      </c>
      <c r="D6249" s="3" t="s">
        <v>18396</v>
      </c>
      <c r="E6249" s="3" t="s">
        <v>18397</v>
      </c>
      <c r="F6249" s="3" t="str">
        <f>"219-881-0447"</f>
        <v>219-881-0447</v>
      </c>
      <c r="G6249" s="3">
        <v>8133</v>
      </c>
      <c r="H6249" s="3" t="s">
        <v>5487</v>
      </c>
    </row>
    <row r="6250" spans="1:8" ht="39" x14ac:dyDescent="0.25">
      <c r="A6250" s="3" t="s">
        <v>18398</v>
      </c>
      <c r="B6250" s="3"/>
      <c r="C6250" s="3" t="str">
        <f>"Metropolitan Registered Pharmacists provides pharmacy management and staffing services."</f>
        <v>Metropolitan Registered Pharmacists provides pharmacy management and staffing services.</v>
      </c>
      <c r="D6250" s="3" t="s">
        <v>9</v>
      </c>
      <c r="E6250" s="3" t="s">
        <v>46</v>
      </c>
      <c r="F6250" s="2"/>
      <c r="G6250" s="3">
        <v>621999</v>
      </c>
      <c r="H6250" s="3" t="s">
        <v>3480</v>
      </c>
    </row>
    <row r="6251" spans="1:8" ht="51.75" x14ac:dyDescent="0.25">
      <c r="A6251" s="3" t="s">
        <v>18399</v>
      </c>
      <c r="B6251" s="3"/>
      <c r="C6251" s="3" t="str">
        <f>"A manufacturers representative who sells through distributors and does direct sales with commercial buildings and commercial building products"</f>
        <v>A manufacturers representative who sells through distributors and does direct sales with commercial buildings and commercial building products</v>
      </c>
      <c r="D6251" s="3" t="s">
        <v>9</v>
      </c>
      <c r="E6251" s="3" t="s">
        <v>18400</v>
      </c>
      <c r="F6251" s="3" t="str">
        <f>"317 509 3549"</f>
        <v>317 509 3549</v>
      </c>
      <c r="G6251" s="3">
        <v>423990</v>
      </c>
      <c r="H6251" s="3" t="s">
        <v>983</v>
      </c>
    </row>
    <row r="6252" spans="1:8" ht="26.25" x14ac:dyDescent="0.25">
      <c r="A6252" s="3" t="s">
        <v>18401</v>
      </c>
      <c r="B6252" s="3"/>
      <c r="C6252" s="2"/>
      <c r="D6252" s="3" t="s">
        <v>18402</v>
      </c>
      <c r="E6252" s="3" t="s">
        <v>18403</v>
      </c>
      <c r="F6252" s="3" t="str">
        <f>"317-955-9414"</f>
        <v>317-955-9414</v>
      </c>
      <c r="G6252" s="3">
        <v>541810</v>
      </c>
      <c r="H6252" s="3" t="s">
        <v>976</v>
      </c>
    </row>
    <row r="6253" spans="1:8" ht="26.25" x14ac:dyDescent="0.25">
      <c r="A6253" s="3" t="s">
        <v>18404</v>
      </c>
      <c r="B6253" s="3"/>
      <c r="C6253" s="3" t="str">
        <f>"Glass-glazing contractor, commercial and residential"</f>
        <v>Glass-glazing contractor, commercial and residential</v>
      </c>
      <c r="D6253" s="3" t="s">
        <v>9</v>
      </c>
      <c r="E6253" s="3" t="s">
        <v>18405</v>
      </c>
      <c r="F6253" s="3" t="str">
        <f>"219-874-6464"</f>
        <v>219-874-6464</v>
      </c>
      <c r="G6253" s="3">
        <v>238150</v>
      </c>
      <c r="H6253" s="3" t="s">
        <v>2530</v>
      </c>
    </row>
    <row r="6254" spans="1:8" ht="294" x14ac:dyDescent="0.25">
      <c r="A6254" s="3" t="s">
        <v>18406</v>
      </c>
      <c r="B6254" s="3"/>
      <c r="C6254" s="3" t="s">
        <v>18407</v>
      </c>
      <c r="D6254" s="3" t="s">
        <v>18408</v>
      </c>
      <c r="E6254" s="3" t="s">
        <v>18409</v>
      </c>
      <c r="F6254" s="3" t="str">
        <f>"317-577-0007"</f>
        <v>317-577-0007</v>
      </c>
      <c r="G6254" s="3">
        <v>236220</v>
      </c>
      <c r="H6254" s="3" t="s">
        <v>598</v>
      </c>
    </row>
    <row r="6255" spans="1:8" ht="26.25" x14ac:dyDescent="0.25">
      <c r="A6255" s="3" t="s">
        <v>18410</v>
      </c>
      <c r="B6255" s="3"/>
      <c r="C6255" s="2"/>
      <c r="D6255" s="3" t="s">
        <v>18411</v>
      </c>
      <c r="E6255" s="3" t="s">
        <v>18412</v>
      </c>
      <c r="F6255" s="3" t="str">
        <f>"317-259-4131"</f>
        <v>317-259-4131</v>
      </c>
      <c r="G6255" s="3">
        <v>326199</v>
      </c>
      <c r="H6255" s="3" t="s">
        <v>2129</v>
      </c>
    </row>
    <row r="6256" spans="1:8" ht="319.5" x14ac:dyDescent="0.25">
      <c r="A6256" s="3" t="s">
        <v>18413</v>
      </c>
      <c r="B6256" s="3"/>
      <c r="C6256" s="3" t="s">
        <v>18414</v>
      </c>
      <c r="D6256" s="3" t="s">
        <v>9</v>
      </c>
      <c r="E6256" s="3" t="s">
        <v>18415</v>
      </c>
      <c r="F6256" s="3" t="str">
        <f>"317-867-1762"</f>
        <v>317-867-1762</v>
      </c>
      <c r="G6256" s="3">
        <v>541612</v>
      </c>
      <c r="H6256" s="3" t="s">
        <v>1923</v>
      </c>
    </row>
    <row r="6257" spans="1:8" ht="26.25" x14ac:dyDescent="0.25">
      <c r="A6257" s="3" t="s">
        <v>18416</v>
      </c>
      <c r="B6257" s="3"/>
      <c r="C6257" s="2"/>
      <c r="D6257" s="3" t="s">
        <v>9</v>
      </c>
      <c r="E6257" s="3" t="s">
        <v>46</v>
      </c>
      <c r="F6257" s="3" t="str">
        <f>"3173288003"</f>
        <v>3173288003</v>
      </c>
      <c r="G6257" s="3">
        <v>23</v>
      </c>
      <c r="H6257" s="3" t="s">
        <v>133</v>
      </c>
    </row>
    <row r="6258" spans="1:8" ht="90" x14ac:dyDescent="0.25">
      <c r="A6258" s="3" t="s">
        <v>18417</v>
      </c>
      <c r="B6258" s="3"/>
      <c r="C6258" s="3" t="str">
        <f>"We build plastic injection molds, progressive dies, fixtures, gages, and offer wire, conventinal and small hole EDM services. We have been in business for over 35 years and have customers in the automotive, medical and consumer products industries."</f>
        <v>We build plastic injection molds, progressive dies, fixtures, gages, and offer wire, conventinal and small hole EDM services. We have been in business for over 35 years and have customers in the automotive, medical and consumer products industries.</v>
      </c>
      <c r="D6258" s="3" t="s">
        <v>18418</v>
      </c>
      <c r="E6258" s="3" t="s">
        <v>18419</v>
      </c>
      <c r="F6258" s="3" t="str">
        <f>"260-356-5903"</f>
        <v>260-356-5903</v>
      </c>
      <c r="G6258" s="3">
        <v>333511</v>
      </c>
      <c r="H6258" s="3" t="s">
        <v>3016</v>
      </c>
    </row>
    <row r="6259" spans="1:8" ht="77.25" x14ac:dyDescent="0.25">
      <c r="A6259" s="3" t="s">
        <v>18420</v>
      </c>
      <c r="B6259" s="3"/>
      <c r="C6259" s="3" t="str">
        <f>"Fully Insured/ Competitive Pricing/ Free Estimates/ Senior Discounts/ over 13 years exp. as off 2009/ Residential, Commercial &amp; Industrial Service/ Preventative Maint. Package/ 24 hour Emergency Service/ All Electrical Issues/"</f>
        <v>Fully Insured/ Competitive Pricing/ Free Estimates/ Senior Discounts/ over 13 years exp. as off 2009/ Residential, Commercial &amp; Industrial Service/ Preventative Maint. Package/ 24 hour Emergency Service/ All Electrical Issues/</v>
      </c>
      <c r="D6259" s="3" t="s">
        <v>9</v>
      </c>
      <c r="E6259" s="3" t="s">
        <v>18421</v>
      </c>
      <c r="F6259" s="3" t="str">
        <f>"812-655-9207"</f>
        <v>812-655-9207</v>
      </c>
      <c r="G6259" s="3">
        <v>238210</v>
      </c>
      <c r="H6259" s="3" t="s">
        <v>306</v>
      </c>
    </row>
    <row r="6260" spans="1:8" ht="102.75" x14ac:dyDescent="0.25">
      <c r="A6260" s="3" t="s">
        <v>18422</v>
      </c>
      <c r="B6260" s="3"/>
      <c r="C6260" s="3" t="s">
        <v>18423</v>
      </c>
      <c r="D6260" s="3" t="s">
        <v>9</v>
      </c>
      <c r="E6260" s="3" t="s">
        <v>18424</v>
      </c>
      <c r="F6260" s="3" t="str">
        <f>"(260) 459-1080"</f>
        <v>(260) 459-1080</v>
      </c>
      <c r="G6260" s="3">
        <v>54161</v>
      </c>
      <c r="H6260" s="3" t="s">
        <v>1221</v>
      </c>
    </row>
    <row r="6261" spans="1:8" ht="102.75" x14ac:dyDescent="0.25">
      <c r="A6261" s="3" t="s">
        <v>18425</v>
      </c>
      <c r="B6261" s="3"/>
      <c r="C6261" s="3" t="s">
        <v>18426</v>
      </c>
      <c r="D6261" s="3" t="s">
        <v>18427</v>
      </c>
      <c r="E6261" s="3" t="s">
        <v>18428</v>
      </c>
      <c r="F6261" s="3" t="str">
        <f>"317-546-4720"</f>
        <v>317-546-4720</v>
      </c>
      <c r="G6261" s="3">
        <v>531320</v>
      </c>
      <c r="H6261" s="3" t="s">
        <v>34</v>
      </c>
    </row>
    <row r="6262" spans="1:8" ht="102.75" x14ac:dyDescent="0.25">
      <c r="A6262" s="3" t="s">
        <v>18429</v>
      </c>
      <c r="B6262" s="3"/>
      <c r="C6262" s="3" t="s">
        <v>18430</v>
      </c>
      <c r="D6262" s="3" t="s">
        <v>18431</v>
      </c>
      <c r="E6262" s="3" t="s">
        <v>18432</v>
      </c>
      <c r="F6262" s="3" t="str">
        <f>"317-595-0944"</f>
        <v>317-595-0944</v>
      </c>
      <c r="G6262" s="3">
        <v>524210</v>
      </c>
      <c r="H6262" s="3" t="s">
        <v>1183</v>
      </c>
    </row>
    <row r="6263" spans="1:8" ht="51.75" x14ac:dyDescent="0.25">
      <c r="A6263" s="3" t="s">
        <v>18433</v>
      </c>
      <c r="B6263" s="3"/>
      <c r="C6263" s="3" t="str">
        <f>"Commercial electrical service &amp; installation, Sign, parking lot lighting, &amp; neon service &amp; installation. Terre Haute to Greenfield, and Vincennes to Crawfordsville"</f>
        <v>Commercial electrical service &amp; installation, Sign, parking lot lighting, &amp; neon service &amp; installation. Terre Haute to Greenfield, and Vincennes to Crawfordsville</v>
      </c>
      <c r="D6263" s="3" t="s">
        <v>18434</v>
      </c>
      <c r="E6263" s="3" t="s">
        <v>18435</v>
      </c>
      <c r="F6263" s="3" t="str">
        <f>"812-877-2308"</f>
        <v>812-877-2308</v>
      </c>
      <c r="G6263" s="3">
        <v>238210</v>
      </c>
      <c r="H6263" s="3" t="s">
        <v>306</v>
      </c>
    </row>
    <row r="6264" spans="1:8" ht="255.75" x14ac:dyDescent="0.25">
      <c r="A6264" s="3" t="s">
        <v>18436</v>
      </c>
      <c r="B6264" s="3"/>
      <c r="C6264" s="3" t="s">
        <v>18437</v>
      </c>
      <c r="D6264" s="3" t="s">
        <v>18438</v>
      </c>
      <c r="E6264" s="3" t="s">
        <v>18439</v>
      </c>
      <c r="F6264" s="3" t="str">
        <f>"(317) 903-4278"</f>
        <v>(317) 903-4278</v>
      </c>
      <c r="G6264" s="3">
        <v>5416</v>
      </c>
      <c r="H6264" s="3" t="s">
        <v>194</v>
      </c>
    </row>
    <row r="6265" spans="1:8" ht="39" x14ac:dyDescent="0.25">
      <c r="A6265" s="3" t="s">
        <v>18440</v>
      </c>
      <c r="B6265" s="3"/>
      <c r="C6265" s="3" t="str">
        <f>"Design Builder/General Construciton Contractor for Commercial, Industrial and Manufacturing"</f>
        <v>Design Builder/General Construciton Contractor for Commercial, Industrial and Manufacturing</v>
      </c>
      <c r="D6265" s="3" t="s">
        <v>18441</v>
      </c>
      <c r="E6265" s="3" t="s">
        <v>46</v>
      </c>
      <c r="F6265" s="3" t="str">
        <f>"2607444359"</f>
        <v>2607444359</v>
      </c>
      <c r="G6265" s="3">
        <v>23</v>
      </c>
      <c r="H6265" s="3" t="s">
        <v>133</v>
      </c>
    </row>
    <row r="6266" spans="1:8" ht="141" x14ac:dyDescent="0.25">
      <c r="A6266" s="3" t="s">
        <v>18442</v>
      </c>
      <c r="B6266" s="3"/>
      <c r="C6266" s="3" t="s">
        <v>18443</v>
      </c>
      <c r="D6266" s="3" t="s">
        <v>9</v>
      </c>
      <c r="E6266" s="3" t="s">
        <v>18444</v>
      </c>
      <c r="F6266" s="3" t="str">
        <f>"3173323434"</f>
        <v>3173323434</v>
      </c>
      <c r="G6266" s="3">
        <v>541690</v>
      </c>
      <c r="H6266" s="3" t="s">
        <v>652</v>
      </c>
    </row>
    <row r="6267" spans="1:8" ht="39" x14ac:dyDescent="0.25">
      <c r="A6267" s="3" t="s">
        <v>18445</v>
      </c>
      <c r="B6267" s="3"/>
      <c r="C6267" s="3" t="str">
        <f>"We provide the following: 1. Custom written software solutions 2. Cisco products and services 3. Networking design and support."</f>
        <v>We provide the following: 1. Custom written software solutions 2. Cisco products and services 3. Networking design and support.</v>
      </c>
      <c r="D6267" s="3" t="s">
        <v>18446</v>
      </c>
      <c r="E6267" s="3" t="s">
        <v>18447</v>
      </c>
      <c r="F6267" s="3" t="str">
        <f>"574-302-2568"</f>
        <v>574-302-2568</v>
      </c>
      <c r="G6267" s="3">
        <v>5112</v>
      </c>
      <c r="H6267" s="3" t="s">
        <v>315</v>
      </c>
    </row>
    <row r="6268" spans="1:8" ht="26.25" x14ac:dyDescent="0.25">
      <c r="A6268" s="3" t="s">
        <v>18448</v>
      </c>
      <c r="B6268" s="3"/>
      <c r="C6268" s="3" t="str">
        <f>"I provide Orientation and Mobility services to children and adults."</f>
        <v>I provide Orientation and Mobility services to children and adults.</v>
      </c>
      <c r="D6268" s="3" t="s">
        <v>9</v>
      </c>
      <c r="E6268" s="3" t="s">
        <v>18449</v>
      </c>
      <c r="F6268" s="3" t="str">
        <f>"317-357-2788"</f>
        <v>317-357-2788</v>
      </c>
      <c r="G6268" s="3">
        <v>61</v>
      </c>
      <c r="H6268" s="3" t="s">
        <v>140</v>
      </c>
    </row>
    <row r="6269" spans="1:8" x14ac:dyDescent="0.25">
      <c r="A6269" s="3" t="s">
        <v>18450</v>
      </c>
      <c r="B6269" s="3"/>
      <c r="C6269" s="3" t="str">
        <f>" "</f>
        <v xml:space="preserve"> </v>
      </c>
      <c r="D6269" s="3" t="s">
        <v>9</v>
      </c>
      <c r="E6269" s="3" t="s">
        <v>46</v>
      </c>
      <c r="F6269" s="2"/>
      <c r="G6269" s="3">
        <v>1119</v>
      </c>
      <c r="H6269" s="3" t="s">
        <v>18451</v>
      </c>
    </row>
    <row r="6270" spans="1:8" ht="26.25" x14ac:dyDescent="0.25">
      <c r="A6270" s="3" t="s">
        <v>18452</v>
      </c>
      <c r="B6270" s="3"/>
      <c r="C6270" s="3" t="str">
        <f>"Arboriculture, Tree maintenance, trimming and removal"</f>
        <v>Arboriculture, Tree maintenance, trimming and removal</v>
      </c>
      <c r="D6270" s="3" t="s">
        <v>9</v>
      </c>
      <c r="E6270" s="3" t="s">
        <v>18453</v>
      </c>
      <c r="F6270" s="3" t="str">
        <f>"5742744138"</f>
        <v>5742744138</v>
      </c>
      <c r="G6270" s="3">
        <v>115</v>
      </c>
      <c r="H6270" s="3" t="s">
        <v>714</v>
      </c>
    </row>
    <row r="6271" spans="1:8" ht="26.25" x14ac:dyDescent="0.25">
      <c r="A6271" s="3" t="s">
        <v>18454</v>
      </c>
      <c r="B6271" s="3"/>
      <c r="C6271" s="3" t="str">
        <f>"Curtains, Draperies, Blinds, Bed Spreads &amp; Window Treatments."</f>
        <v>Curtains, Draperies, Blinds, Bed Spreads &amp; Window Treatments.</v>
      </c>
      <c r="D6271" s="3" t="s">
        <v>9</v>
      </c>
      <c r="E6271" s="3" t="s">
        <v>18455</v>
      </c>
      <c r="F6271" s="3" t="str">
        <f>"812-265-2658"</f>
        <v>812-265-2658</v>
      </c>
      <c r="G6271" s="3">
        <v>314121</v>
      </c>
      <c r="H6271" s="3" t="s">
        <v>4530</v>
      </c>
    </row>
    <row r="6272" spans="1:8" ht="166.5" x14ac:dyDescent="0.25">
      <c r="A6272" s="3" t="s">
        <v>18456</v>
      </c>
      <c r="B6272" s="3"/>
      <c r="C6272" s="3" t="s">
        <v>18457</v>
      </c>
      <c r="D6272" s="3" t="s">
        <v>9</v>
      </c>
      <c r="E6272" s="3" t="s">
        <v>18458</v>
      </c>
      <c r="F6272" s="3" t="str">
        <f>"317-838-0794"</f>
        <v>317-838-0794</v>
      </c>
      <c r="G6272" s="3">
        <v>54161</v>
      </c>
      <c r="H6272" s="3" t="s">
        <v>1221</v>
      </c>
    </row>
    <row r="6273" spans="1:8" ht="26.25" x14ac:dyDescent="0.25">
      <c r="A6273" s="3" t="s">
        <v>18459</v>
      </c>
      <c r="B6273" s="3"/>
      <c r="C6273" s="3" t="str">
        <f>"Metropolitan Planning Organization"</f>
        <v>Metropolitan Planning Organization</v>
      </c>
      <c r="D6273" s="3" t="s">
        <v>18460</v>
      </c>
      <c r="E6273" s="3" t="s">
        <v>18461</v>
      </c>
      <c r="F6273" s="3" t="str">
        <f>"(574)287-1829"</f>
        <v>(574)287-1829</v>
      </c>
      <c r="G6273" s="3">
        <v>925120</v>
      </c>
      <c r="H6273" s="3" t="s">
        <v>5898</v>
      </c>
    </row>
    <row r="6274" spans="1:8" ht="77.25" x14ac:dyDescent="0.25">
      <c r="A6274" s="3" t="s">
        <v>18462</v>
      </c>
      <c r="B6274" s="3"/>
      <c r="C6274" s="3" t="str">
        <f>"Retail and wholesale supply of building materials including: Brick, thin brick, landscape pavers, landscape block, cultured stone, real stone, glass block, recycled glass, concrete block, masonry &amp; hardscape supplies"</f>
        <v>Retail and wholesale supply of building materials including: Brick, thin brick, landscape pavers, landscape block, cultured stone, real stone, glass block, recycled glass, concrete block, masonry &amp; hardscape supplies</v>
      </c>
      <c r="D6274" s="3" t="s">
        <v>18463</v>
      </c>
      <c r="E6274" s="3" t="s">
        <v>18464</v>
      </c>
      <c r="F6274" s="3" t="str">
        <f>"574-237-0029"</f>
        <v>574-237-0029</v>
      </c>
      <c r="G6274" s="3">
        <v>423320</v>
      </c>
      <c r="H6274" s="3" t="s">
        <v>18465</v>
      </c>
    </row>
    <row r="6275" spans="1:8" ht="115.5" x14ac:dyDescent="0.25">
      <c r="A6275" s="3" t="s">
        <v>18466</v>
      </c>
      <c r="B6275" s="3"/>
      <c r="C6275" s="3" t="s">
        <v>18467</v>
      </c>
      <c r="D6275" s="3" t="s">
        <v>18468</v>
      </c>
      <c r="E6275" s="3" t="s">
        <v>18469</v>
      </c>
      <c r="F6275" s="3" t="str">
        <f>"574-968-1001"</f>
        <v>574-968-1001</v>
      </c>
      <c r="G6275" s="3">
        <v>514</v>
      </c>
      <c r="H6275" s="3" t="s">
        <v>322</v>
      </c>
    </row>
    <row r="6276" spans="1:8" ht="102.75" x14ac:dyDescent="0.25">
      <c r="A6276" s="3" t="s">
        <v>18470</v>
      </c>
      <c r="B6276" s="3"/>
      <c r="C6276" s="3" t="s">
        <v>18471</v>
      </c>
      <c r="D6276" s="3" t="s">
        <v>18472</v>
      </c>
      <c r="E6276" s="3" t="s">
        <v>18473</v>
      </c>
      <c r="F6276" s="3" t="str">
        <f>"574-232-3100"</f>
        <v>574-232-3100</v>
      </c>
      <c r="G6276" s="3">
        <v>423450</v>
      </c>
      <c r="H6276" s="3" t="s">
        <v>1406</v>
      </c>
    </row>
    <row r="6277" spans="1:8" ht="77.25" x14ac:dyDescent="0.25">
      <c r="A6277" s="3" t="s">
        <v>18474</v>
      </c>
      <c r="B6277" s="3"/>
      <c r="C6277" s="3" t="str">
        <f>"We provide tree moving services. We have 3 size spades and are able to move trees/shrubs from 2""-9"" caliper and up to 28' in height. We are experts in long distance moving as well as on site. We also do mass plantings."</f>
        <v>We provide tree moving services. We have 3 size spades and are able to move trees/shrubs from 2"-9" caliper and up to 28' in height. We are experts in long distance moving as well as on site. We also do mass plantings.</v>
      </c>
      <c r="D6277" s="3" t="s">
        <v>9</v>
      </c>
      <c r="E6277" s="3" t="s">
        <v>18475</v>
      </c>
      <c r="F6277" s="3" t="str">
        <f>"574-825-8688"</f>
        <v>574-825-8688</v>
      </c>
      <c r="G6277" s="3">
        <v>561730</v>
      </c>
      <c r="H6277" s="3" t="s">
        <v>65</v>
      </c>
    </row>
    <row r="6278" spans="1:8" ht="64.5" x14ac:dyDescent="0.25">
      <c r="A6278" s="3" t="s">
        <v>18476</v>
      </c>
      <c r="B6278" s="3"/>
      <c r="C6278" s="3" t="str">
        <f>"We provide high speed wireless broadband Internet access and private wireless loops to commercial and residential customers. We also provide local broadband telephony services or VOIP."</f>
        <v>We provide high speed wireless broadband Internet access and private wireless loops to commercial and residential customers. We also provide local broadband telephony services or VOIP.</v>
      </c>
      <c r="D6278" s="3" t="s">
        <v>18477</v>
      </c>
      <c r="E6278" s="3" t="s">
        <v>18478</v>
      </c>
      <c r="F6278" s="3" t="str">
        <f>"574-288-1678"</f>
        <v>574-288-1678</v>
      </c>
      <c r="G6278" s="3">
        <v>518111</v>
      </c>
      <c r="H6278" s="3" t="s">
        <v>2656</v>
      </c>
    </row>
    <row r="6279" spans="1:8" ht="90" x14ac:dyDescent="0.25">
      <c r="A6279" s="3" t="s">
        <v>18479</v>
      </c>
      <c r="B6279" s="3"/>
      <c r="C6279" s="3" t="str">
        <f>"Industrial Consumable Supply – Distributor of Abrasives, Rags, Wipes and Sorbents, Gloves &amp; safety, Fasteners, Janitorial Supply, Lyon Workspace Products, Painting Supplies, Shipping &amp; Packaging Material, Commercial Air Filters, and Miscellaneous tools."</f>
        <v>Industrial Consumable Supply – Distributor of Abrasives, Rags, Wipes and Sorbents, Gloves &amp; safety, Fasteners, Janitorial Supply, Lyon Workspace Products, Painting Supplies, Shipping &amp; Packaging Material, Commercial Air Filters, and Miscellaneous tools.</v>
      </c>
      <c r="D6279" s="3" t="s">
        <v>18480</v>
      </c>
      <c r="E6279" s="3" t="s">
        <v>18481</v>
      </c>
      <c r="F6279" s="3" t="str">
        <f>"574-269-5005"</f>
        <v>574-269-5005</v>
      </c>
      <c r="G6279" s="3">
        <v>423840</v>
      </c>
      <c r="H6279" s="3" t="s">
        <v>553</v>
      </c>
    </row>
    <row r="6280" spans="1:8" ht="306.75" x14ac:dyDescent="0.25">
      <c r="A6280" s="3" t="s">
        <v>18482</v>
      </c>
      <c r="B6280" s="3"/>
      <c r="C6280" s="3" t="s">
        <v>18483</v>
      </c>
      <c r="D6280" s="3" t="s">
        <v>18484</v>
      </c>
      <c r="E6280" s="3" t="s">
        <v>18485</v>
      </c>
      <c r="F6280" s="3" t="str">
        <f>"(800) 486-1533"</f>
        <v>(800) 486-1533</v>
      </c>
      <c r="G6280" s="3">
        <v>541620</v>
      </c>
      <c r="H6280" s="3" t="s">
        <v>216</v>
      </c>
    </row>
    <row r="6281" spans="1:8" ht="77.25" x14ac:dyDescent="0.25">
      <c r="A6281" s="3" t="s">
        <v>18486</v>
      </c>
      <c r="B6281" s="3"/>
      <c r="C6281" s="3" t="str">
        <f>"Micro Business Management Solutions, Inc. provides management consulting services including, but not limited to operations management, human resources management, fiscal and internal control development, data collection and analysis."</f>
        <v>Micro Business Management Solutions, Inc. provides management consulting services including, but not limited to operations management, human resources management, fiscal and internal control development, data collection and analysis.</v>
      </c>
      <c r="D6281" s="3" t="s">
        <v>9</v>
      </c>
      <c r="E6281" s="3" t="s">
        <v>18487</v>
      </c>
      <c r="F6281" s="3" t="str">
        <f>"317-431-8893"</f>
        <v>317-431-8893</v>
      </c>
      <c r="G6281" s="3">
        <v>541611</v>
      </c>
      <c r="H6281" s="3" t="s">
        <v>278</v>
      </c>
    </row>
    <row r="6282" spans="1:8" ht="90" x14ac:dyDescent="0.25">
      <c r="A6282" s="3" t="s">
        <v>18488</v>
      </c>
      <c r="B6282" s="3"/>
      <c r="C6282" s="3" t="s">
        <v>18489</v>
      </c>
      <c r="D6282" s="3" t="s">
        <v>18490</v>
      </c>
      <c r="E6282" s="3" t="s">
        <v>18491</v>
      </c>
      <c r="F6282" s="3" t="str">
        <f>"812-265-1140"</f>
        <v>812-265-1140</v>
      </c>
      <c r="G6282" s="3">
        <v>44312</v>
      </c>
      <c r="H6282" s="3" t="s">
        <v>609</v>
      </c>
    </row>
    <row r="6283" spans="1:8" ht="102.75" x14ac:dyDescent="0.25">
      <c r="A6283" s="3" t="s">
        <v>18492</v>
      </c>
      <c r="B6283" s="3"/>
      <c r="C6283" s="3" t="s">
        <v>18493</v>
      </c>
      <c r="D6283" s="3" t="s">
        <v>18494</v>
      </c>
      <c r="E6283" s="3" t="s">
        <v>18495</v>
      </c>
      <c r="F6283" s="3" t="str">
        <f>"574-533-3351"</f>
        <v>574-533-3351</v>
      </c>
      <c r="G6283" s="3">
        <v>33911</v>
      </c>
      <c r="H6283" s="3" t="s">
        <v>2119</v>
      </c>
    </row>
    <row r="6284" spans="1:8" ht="64.5" x14ac:dyDescent="0.25">
      <c r="A6284" s="3" t="s">
        <v>18496</v>
      </c>
      <c r="B6284" s="3"/>
      <c r="C6284" s="3" t="str">
        <f>"We are a specialty microwelding repair service using TIG and Laser applications for both the Tool and Die and Medical Parts manufacturing fields. We also can serve in all facets of welding fabricating and repair."</f>
        <v>We are a specialty microwelding repair service using TIG and Laser applications for both the Tool and Die and Medical Parts manufacturing fields. We also can serve in all facets of welding fabricating and repair.</v>
      </c>
      <c r="D6284" s="3" t="s">
        <v>9</v>
      </c>
      <c r="E6284" s="3" t="s">
        <v>18497</v>
      </c>
      <c r="F6284" s="3" t="str">
        <f>"260-484-4063"</f>
        <v>260-484-4063</v>
      </c>
      <c r="G6284" s="3">
        <v>339</v>
      </c>
      <c r="H6284" s="3" t="s">
        <v>1092</v>
      </c>
    </row>
    <row r="6285" spans="1:8" ht="102.75" x14ac:dyDescent="0.25">
      <c r="A6285" s="3" t="s">
        <v>18498</v>
      </c>
      <c r="B6285" s="3"/>
      <c r="C6285" s="3" t="s">
        <v>18499</v>
      </c>
      <c r="D6285" s="3" t="s">
        <v>18500</v>
      </c>
      <c r="E6285" s="3" t="s">
        <v>18501</v>
      </c>
      <c r="F6285" s="3" t="str">
        <f>"8124233352"</f>
        <v>8124233352</v>
      </c>
      <c r="G6285" s="3">
        <v>333220</v>
      </c>
      <c r="H6285" s="3" t="s">
        <v>8656</v>
      </c>
    </row>
    <row r="6286" spans="1:8" ht="102.75" x14ac:dyDescent="0.25">
      <c r="A6286" s="3" t="s">
        <v>18502</v>
      </c>
      <c r="B6286" s="3"/>
      <c r="C6286" s="3" t="s">
        <v>18503</v>
      </c>
      <c r="D6286" s="3" t="s">
        <v>18504</v>
      </c>
      <c r="E6286" s="3" t="s">
        <v>18505</v>
      </c>
      <c r="F6286" s="3" t="str">
        <f>"260-927-8779"</f>
        <v>260-927-8779</v>
      </c>
      <c r="G6286" s="3">
        <v>488190</v>
      </c>
      <c r="H6286" s="3" t="s">
        <v>666</v>
      </c>
    </row>
    <row r="6287" spans="1:8" ht="102.75" x14ac:dyDescent="0.25">
      <c r="A6287" s="3" t="s">
        <v>18506</v>
      </c>
      <c r="B6287" s="3"/>
      <c r="C6287" s="3" t="s">
        <v>18507</v>
      </c>
      <c r="D6287" s="3" t="s">
        <v>18508</v>
      </c>
      <c r="E6287" s="3" t="s">
        <v>18509</v>
      </c>
      <c r="F6287" s="3" t="str">
        <f>"317-803-1010"</f>
        <v>317-803-1010</v>
      </c>
      <c r="G6287" s="3">
        <v>621511</v>
      </c>
      <c r="H6287" s="3" t="s">
        <v>1240</v>
      </c>
    </row>
    <row r="6288" spans="1:8" ht="26.25" x14ac:dyDescent="0.25">
      <c r="A6288" s="3" t="s">
        <v>18510</v>
      </c>
      <c r="B6288" s="3"/>
      <c r="C6288" s="3" t="str">
        <f>"Fire Fighting Equipment"</f>
        <v>Fire Fighting Equipment</v>
      </c>
      <c r="D6288" s="3" t="s">
        <v>18511</v>
      </c>
      <c r="E6288" s="3" t="s">
        <v>18512</v>
      </c>
      <c r="F6288" s="3" t="str">
        <f>"812-423-5505"</f>
        <v>812-423-5505</v>
      </c>
      <c r="G6288" s="3">
        <v>4238</v>
      </c>
      <c r="H6288" s="3" t="s">
        <v>1565</v>
      </c>
    </row>
    <row r="6289" spans="1:8" ht="64.5" x14ac:dyDescent="0.25">
      <c r="A6289" s="3" t="s">
        <v>18513</v>
      </c>
      <c r="B6289" s="3"/>
      <c r="C6289" s="3" t="str">
        <f>"Mid America Health, Inc. provides comprehensive dental services to state, federal and public entities both on-site and portablly throughout the state of Indiana and the nation."</f>
        <v>Mid America Health, Inc. provides comprehensive dental services to state, federal and public entities both on-site and portablly throughout the state of Indiana and the nation.</v>
      </c>
      <c r="D6289" s="3" t="s">
        <v>18514</v>
      </c>
      <c r="E6289" s="3" t="s">
        <v>18515</v>
      </c>
      <c r="F6289" s="3" t="str">
        <f>"(317) 972-7889"</f>
        <v>(317) 972-7889</v>
      </c>
      <c r="G6289" s="3">
        <v>561330</v>
      </c>
      <c r="H6289" s="3" t="s">
        <v>2879</v>
      </c>
    </row>
    <row r="6290" spans="1:8" ht="26.25" x14ac:dyDescent="0.25">
      <c r="A6290" s="3" t="s">
        <v>18516</v>
      </c>
      <c r="B6290" s="3"/>
      <c r="C6290" s="3" t="str">
        <f>"Out patient psychological &amp; counseling services"</f>
        <v>Out patient psychological &amp; counseling services</v>
      </c>
      <c r="D6290" s="3" t="s">
        <v>18517</v>
      </c>
      <c r="E6290" s="3" t="s">
        <v>18518</v>
      </c>
      <c r="F6290" s="3" t="str">
        <f>"219-736-1000"</f>
        <v>219-736-1000</v>
      </c>
      <c r="G6290" s="3">
        <v>62199</v>
      </c>
      <c r="H6290" s="3" t="s">
        <v>12652</v>
      </c>
    </row>
    <row r="6291" spans="1:8" ht="64.5" x14ac:dyDescent="0.25">
      <c r="A6291" s="3" t="s">
        <v>18519</v>
      </c>
      <c r="B6291" s="3"/>
      <c r="C6291" s="3" t="str">
        <f>"Sales, Service/Repairs, Parts, and installation of residential and commercial garage doors and openers. We also build barns, garages, custom doors, roll-up doors and security gates."</f>
        <v>Sales, Service/Repairs, Parts, and installation of residential and commercial garage doors and openers. We also build barns, garages, custom doors, roll-up doors and security gates.</v>
      </c>
      <c r="D6291" s="3" t="s">
        <v>18520</v>
      </c>
      <c r="E6291" s="3" t="s">
        <v>18521</v>
      </c>
      <c r="F6291" s="3" t="str">
        <f>"812-866-6466"</f>
        <v>812-866-6466</v>
      </c>
      <c r="G6291" s="3">
        <v>44</v>
      </c>
      <c r="H6291" s="3" t="s">
        <v>574</v>
      </c>
    </row>
    <row r="6292" spans="1:8" ht="26.25" x14ac:dyDescent="0.25">
      <c r="A6292" s="3" t="s">
        <v>18522</v>
      </c>
      <c r="B6292" s="3"/>
      <c r="C6292" s="3" t="str">
        <f>"Construction"</f>
        <v>Construction</v>
      </c>
      <c r="D6292" s="3" t="s">
        <v>9</v>
      </c>
      <c r="E6292" s="3" t="s">
        <v>18521</v>
      </c>
      <c r="F6292" s="3" t="str">
        <f>"812-866-6466"</f>
        <v>812-866-6466</v>
      </c>
      <c r="G6292" s="3">
        <v>23622</v>
      </c>
      <c r="H6292" s="3" t="s">
        <v>598</v>
      </c>
    </row>
    <row r="6293" spans="1:8" ht="77.25" x14ac:dyDescent="0.25">
      <c r="A6293" s="3" t="s">
        <v>18523</v>
      </c>
      <c r="B6293" s="3"/>
      <c r="C6293" s="3" t="str">
        <f>"All types of uniforms, including police, security, industrial, medical, and all the accessories that go with them including shoes, equipment, outerwear, etc. We sell the uniform items outright, but do not rent or clean them."</f>
        <v>All types of uniforms, including police, security, industrial, medical, and all the accessories that go with them including shoes, equipment, outerwear, etc. We sell the uniform items outright, but do not rent or clean them.</v>
      </c>
      <c r="D6293" s="3" t="s">
        <v>18524</v>
      </c>
      <c r="E6293" s="3" t="s">
        <v>18525</v>
      </c>
      <c r="F6293" s="3" t="str">
        <f>"812-944-2838"</f>
        <v>812-944-2838</v>
      </c>
      <c r="G6293" s="3">
        <v>448190</v>
      </c>
      <c r="H6293" s="3" t="s">
        <v>12557</v>
      </c>
    </row>
    <row r="6294" spans="1:8" ht="77.25" x14ac:dyDescent="0.25">
      <c r="A6294" s="3" t="s">
        <v>18526</v>
      </c>
      <c r="B6294" s="3"/>
      <c r="C6294" s="3" t="str">
        <f>"Janitorial Services,Cleaning high education,medical facilities,manufacturing, Carpet Cleaning Division,Construction site cleaning. Coverage includes Indiana, Ohio, Kentucky,West Virginia. Corporate office is in Lima Ohio"</f>
        <v>Janitorial Services,Cleaning high education,medical facilities,manufacturing, Carpet Cleaning Division,Construction site cleaning. Coverage includes Indiana, Ohio, Kentucky,West Virginia. Corporate office is in Lima Ohio</v>
      </c>
      <c r="D6294" s="3" t="s">
        <v>18527</v>
      </c>
      <c r="E6294" s="3" t="s">
        <v>18528</v>
      </c>
      <c r="F6294" s="3" t="str">
        <f>"1-800-686-4597"</f>
        <v>1-800-686-4597</v>
      </c>
      <c r="G6294" s="3">
        <v>561720</v>
      </c>
      <c r="H6294" s="3" t="s">
        <v>222</v>
      </c>
    </row>
    <row r="6295" spans="1:8" ht="51.75" x14ac:dyDescent="0.25">
      <c r="A6295" s="3" t="s">
        <v>18529</v>
      </c>
      <c r="B6295" s="3"/>
      <c r="C6295" s="3" t="str">
        <f>"For hire transportation of general freight and hazardous materials, as well as transportation logistics brokerage and transportation consulting services"</f>
        <v>For hire transportation of general freight and hazardous materials, as well as transportation logistics brokerage and transportation consulting services</v>
      </c>
      <c r="D6295" s="3" t="s">
        <v>18530</v>
      </c>
      <c r="E6295" s="3" t="s">
        <v>18531</v>
      </c>
      <c r="F6295" s="3" t="str">
        <f>"812-649-2599"</f>
        <v>812-649-2599</v>
      </c>
      <c r="G6295" s="3">
        <v>484121</v>
      </c>
      <c r="H6295" s="3" t="s">
        <v>342</v>
      </c>
    </row>
    <row r="6296" spans="1:8" ht="51.75" x14ac:dyDescent="0.25">
      <c r="A6296" s="3" t="s">
        <v>18532</v>
      </c>
      <c r="B6296" s="3"/>
      <c r="C6296" s="3" t="str">
        <f>"Mason Restoration - Caulking, Tuckpointing, Cleaning, Waterproofing, Graffiti Removal, Terrra Cota Repair, Concrete Repair &amp; Deck Coating."</f>
        <v>Mason Restoration - Caulking, Tuckpointing, Cleaning, Waterproofing, Graffiti Removal, Terrra Cota Repair, Concrete Repair &amp; Deck Coating.</v>
      </c>
      <c r="D6296" s="3" t="s">
        <v>18533</v>
      </c>
      <c r="E6296" s="3" t="s">
        <v>18534</v>
      </c>
      <c r="F6296" s="3" t="str">
        <f>"317-227-0002"</f>
        <v>317-227-0002</v>
      </c>
      <c r="G6296" s="3">
        <v>23331</v>
      </c>
      <c r="H6296" s="3" t="s">
        <v>5828</v>
      </c>
    </row>
    <row r="6297" spans="1:8" ht="26.25" x14ac:dyDescent="0.25">
      <c r="A6297" s="3" t="s">
        <v>18535</v>
      </c>
      <c r="B6297" s="3"/>
      <c r="C6297" s="3" t="str">
        <f>"Electrical contracting company"</f>
        <v>Electrical contracting company</v>
      </c>
      <c r="D6297" s="3" t="s">
        <v>9</v>
      </c>
      <c r="E6297" s="3" t="s">
        <v>46</v>
      </c>
      <c r="F6297" s="3" t="str">
        <f>"765-529-8090"</f>
        <v>765-529-8090</v>
      </c>
      <c r="G6297" s="3">
        <v>238210</v>
      </c>
      <c r="H6297" s="3" t="s">
        <v>306</v>
      </c>
    </row>
    <row r="6298" spans="1:8" ht="26.25" x14ac:dyDescent="0.25">
      <c r="A6298" s="3" t="s">
        <v>18536</v>
      </c>
      <c r="B6298" s="3"/>
      <c r="C6298" s="3" t="str">
        <f>"Truck equipment upfitter, power equipment dealer."</f>
        <v>Truck equipment upfitter, power equipment dealer.</v>
      </c>
      <c r="D6298" s="3" t="s">
        <v>18537</v>
      </c>
      <c r="E6298" s="3" t="s">
        <v>18538</v>
      </c>
      <c r="F6298" s="3" t="str">
        <f>"317-849-4903"</f>
        <v>317-849-4903</v>
      </c>
      <c r="G6298" s="3">
        <v>441310</v>
      </c>
      <c r="H6298" s="3" t="s">
        <v>1699</v>
      </c>
    </row>
    <row r="6299" spans="1:8" ht="77.25" x14ac:dyDescent="0.25">
      <c r="A6299" s="3" t="s">
        <v>18539</v>
      </c>
      <c r="B6299" s="3"/>
      <c r="C6299" s="3" t="str">
        <f>"Total package concrete construction; interior and exterior flat work; and industrial and commercial general construction. Construction equipment rental. Our motto: ""Building on experience - driven by vision""."</f>
        <v>Total package concrete construction; interior and exterior flat work; and industrial and commercial general construction. Construction equipment rental. Our motto: "Building on experience - driven by vision".</v>
      </c>
      <c r="D6299" s="3" t="s">
        <v>9</v>
      </c>
      <c r="E6299" s="3" t="s">
        <v>46</v>
      </c>
      <c r="F6299" s="3" t="str">
        <f>"765-369-8787"</f>
        <v>765-369-8787</v>
      </c>
      <c r="G6299" s="3">
        <v>236</v>
      </c>
      <c r="H6299" s="3" t="s">
        <v>291</v>
      </c>
    </row>
    <row r="6300" spans="1:8" ht="51.75" x14ac:dyDescent="0.25">
      <c r="A6300" s="3" t="s">
        <v>18540</v>
      </c>
      <c r="B6300" s="3"/>
      <c r="C6300" s="3" t="str">
        <f>"Publishers of Farm World, AntiqueWeek and Auction Exchange and Collectors News newspapers, and engaged in web offset printing, binding, and mailing"</f>
        <v>Publishers of Farm World, AntiqueWeek and Auction Exchange and Collectors News newspapers, and engaged in web offset printing, binding, and mailing</v>
      </c>
      <c r="D6300" s="3" t="s">
        <v>18541</v>
      </c>
      <c r="E6300" s="3" t="s">
        <v>18542</v>
      </c>
      <c r="F6300" s="3" t="str">
        <f>"1-800876-5133"</f>
        <v>1-800876-5133</v>
      </c>
      <c r="G6300" s="3">
        <v>32311</v>
      </c>
      <c r="H6300" s="3" t="s">
        <v>531</v>
      </c>
    </row>
    <row r="6301" spans="1:8" ht="64.5" x14ac:dyDescent="0.25">
      <c r="A6301" s="3" t="s">
        <v>18543</v>
      </c>
      <c r="B6301" s="3"/>
      <c r="C6301" s="3" t="str">
        <f>"Contractor specializing in providing roofing, architectural sheet metal and masonry restoration services to the commercial, institutional, industrial and governmental facilities marketplace."</f>
        <v>Contractor specializing in providing roofing, architectural sheet metal and masonry restoration services to the commercial, institutional, industrial and governmental facilities marketplace.</v>
      </c>
      <c r="D6301" s="3" t="s">
        <v>18544</v>
      </c>
      <c r="E6301" s="3" t="s">
        <v>18545</v>
      </c>
      <c r="F6301" s="3" t="str">
        <f>"574-272-0200"</f>
        <v>574-272-0200</v>
      </c>
      <c r="G6301" s="3">
        <v>2356</v>
      </c>
      <c r="H6301" s="3" t="s">
        <v>365</v>
      </c>
    </row>
    <row r="6302" spans="1:8" ht="26.25" x14ac:dyDescent="0.25">
      <c r="A6302" s="3" t="s">
        <v>18546</v>
      </c>
      <c r="B6302" s="3"/>
      <c r="C6302" s="3" t="str">
        <f>"Retail Lumber and Building Supplies"</f>
        <v>Retail Lumber and Building Supplies</v>
      </c>
      <c r="D6302" s="3" t="s">
        <v>9</v>
      </c>
      <c r="E6302" s="3" t="s">
        <v>46</v>
      </c>
      <c r="F6302" s="3" t="str">
        <f>"765-473-3646"</f>
        <v>765-473-3646</v>
      </c>
      <c r="G6302" s="3">
        <v>444190</v>
      </c>
      <c r="H6302" s="3" t="s">
        <v>1188</v>
      </c>
    </row>
    <row r="6303" spans="1:8" ht="26.25" x14ac:dyDescent="0.25">
      <c r="A6303" s="3" t="s">
        <v>18547</v>
      </c>
      <c r="B6303" s="3"/>
      <c r="C6303" s="3" t="str">
        <f>"Retail sales of dental supplies, services, equipment, and handpieces."</f>
        <v>Retail sales of dental supplies, services, equipment, and handpieces.</v>
      </c>
      <c r="D6303" s="3" t="s">
        <v>18548</v>
      </c>
      <c r="E6303" s="3" t="s">
        <v>46</v>
      </c>
      <c r="F6303" s="3" t="str">
        <f>"574-784-2533"</f>
        <v>574-784-2533</v>
      </c>
      <c r="G6303" s="3">
        <v>446199</v>
      </c>
      <c r="H6303" s="3" t="s">
        <v>1760</v>
      </c>
    </row>
    <row r="6304" spans="1:8" ht="204.75" x14ac:dyDescent="0.25">
      <c r="A6304" s="3" t="s">
        <v>18549</v>
      </c>
      <c r="B6304" s="3"/>
      <c r="C6304" s="3" t="s">
        <v>18550</v>
      </c>
      <c r="D6304" s="3" t="s">
        <v>18551</v>
      </c>
      <c r="E6304" s="3" t="s">
        <v>18552</v>
      </c>
      <c r="F6304" s="3" t="str">
        <f>"800-505-2530"</f>
        <v>800-505-2530</v>
      </c>
      <c r="G6304" s="3">
        <v>485</v>
      </c>
      <c r="H6304" s="3" t="s">
        <v>18553</v>
      </c>
    </row>
    <row r="6305" spans="1:8" ht="51.75" x14ac:dyDescent="0.25">
      <c r="A6305" s="3" t="s">
        <v>18554</v>
      </c>
      <c r="B6305" s="3"/>
      <c r="C6305" s="3" t="str">
        <f>"We provide ambulance transportation both emergency and non-emergency in the State of Indiana, and we are located in Indianapolis, IN."</f>
        <v>We provide ambulance transportation both emergency and non-emergency in the State of Indiana, and we are located in Indianapolis, IN.</v>
      </c>
      <c r="D6305" s="3" t="s">
        <v>18555</v>
      </c>
      <c r="E6305" s="3" t="s">
        <v>46</v>
      </c>
      <c r="F6305" s="3" t="str">
        <f>"317-548-4044"</f>
        <v>317-548-4044</v>
      </c>
      <c r="G6305" s="3">
        <v>621910</v>
      </c>
      <c r="H6305" s="3" t="s">
        <v>18321</v>
      </c>
    </row>
    <row r="6306" spans="1:8" ht="102.75" x14ac:dyDescent="0.25">
      <c r="A6306" s="3" t="s">
        <v>18556</v>
      </c>
      <c r="B6306" s="3"/>
      <c r="C6306" s="3" t="s">
        <v>18557</v>
      </c>
      <c r="D6306" s="3" t="s">
        <v>18558</v>
      </c>
      <c r="E6306" s="3" t="s">
        <v>18559</v>
      </c>
      <c r="F6306" s="3" t="str">
        <f>"260-497-9121"</f>
        <v>260-497-9121</v>
      </c>
      <c r="G6306" s="3">
        <v>524298</v>
      </c>
      <c r="H6306" s="3" t="s">
        <v>1483</v>
      </c>
    </row>
    <row r="6307" spans="1:8" ht="26.25" x14ac:dyDescent="0.25">
      <c r="A6307" s="3" t="s">
        <v>18560</v>
      </c>
      <c r="B6307" s="3"/>
      <c r="C6307" s="3" t="str">
        <f>"Manufacturing custom peptids-research materials for the pharmaceutical industry."</f>
        <v>Manufacturing custom peptids-research materials for the pharmaceutical industry.</v>
      </c>
      <c r="D6307" s="3" t="s">
        <v>18561</v>
      </c>
      <c r="E6307" s="3" t="s">
        <v>18562</v>
      </c>
      <c r="F6307" s="3" t="str">
        <f>"317-841-7576"</f>
        <v>317-841-7576</v>
      </c>
      <c r="G6307" s="3">
        <v>32518</v>
      </c>
      <c r="H6307" s="3" t="s">
        <v>18563</v>
      </c>
    </row>
    <row r="6308" spans="1:8" ht="39" x14ac:dyDescent="0.25">
      <c r="A6308" s="3" t="s">
        <v>18564</v>
      </c>
      <c r="B6308" s="3"/>
      <c r="C6308" s="3" t="str">
        <f>"Audits and assessments of both voice and data network bills, including cellular and long distance."</f>
        <v>Audits and assessments of both voice and data network bills, including cellular and long distance.</v>
      </c>
      <c r="D6308" s="3" t="s">
        <v>18565</v>
      </c>
      <c r="E6308" s="3" t="s">
        <v>18566</v>
      </c>
      <c r="F6308" s="3" t="str">
        <f>"260-749-2229"</f>
        <v>260-749-2229</v>
      </c>
      <c r="G6308" s="3">
        <v>541618</v>
      </c>
      <c r="H6308" s="3" t="s">
        <v>3527</v>
      </c>
    </row>
    <row r="6309" spans="1:8" ht="102.75" x14ac:dyDescent="0.25">
      <c r="A6309" s="3" t="s">
        <v>18567</v>
      </c>
      <c r="B6309" s="3"/>
      <c r="C6309" s="3" t="s">
        <v>18568</v>
      </c>
      <c r="D6309" s="3" t="s">
        <v>18569</v>
      </c>
      <c r="E6309" s="3" t="s">
        <v>18570</v>
      </c>
      <c r="F6309" s="3" t="str">
        <f>"219.650.6500"</f>
        <v>219.650.6500</v>
      </c>
      <c r="G6309" s="3">
        <v>335122</v>
      </c>
      <c r="H6309" s="3" t="s">
        <v>3895</v>
      </c>
    </row>
    <row r="6310" spans="1:8" ht="26.25" x14ac:dyDescent="0.25">
      <c r="A6310" s="3" t="s">
        <v>18571</v>
      </c>
      <c r="B6310" s="3"/>
      <c r="C6310" s="3" t="str">
        <f>"Pumping, placing and finishing concrete."</f>
        <v>Pumping, placing and finishing concrete.</v>
      </c>
      <c r="D6310" s="3" t="s">
        <v>18572</v>
      </c>
      <c r="E6310" s="3" t="s">
        <v>18573</v>
      </c>
      <c r="F6310" s="3" t="str">
        <f>"317-784-3751"</f>
        <v>317-784-3751</v>
      </c>
      <c r="G6310" s="3">
        <v>237990</v>
      </c>
      <c r="H6310" s="3" t="s">
        <v>2631</v>
      </c>
    </row>
    <row r="6311" spans="1:8" ht="217.5" x14ac:dyDescent="0.25">
      <c r="A6311" s="3" t="s">
        <v>18574</v>
      </c>
      <c r="B6311" s="3"/>
      <c r="C6311" s="3" t="s">
        <v>18575</v>
      </c>
      <c r="D6311" s="3" t="s">
        <v>18576</v>
      </c>
      <c r="E6311" s="3" t="s">
        <v>18577</v>
      </c>
      <c r="F6311" s="3" t="str">
        <f>"(888)36206588"</f>
        <v>(888)36206588</v>
      </c>
      <c r="G6311" s="3">
        <v>62423</v>
      </c>
      <c r="H6311" s="3" t="s">
        <v>1984</v>
      </c>
    </row>
    <row r="6312" spans="1:8" ht="64.5" x14ac:dyDescent="0.25">
      <c r="A6312" s="3" t="s">
        <v>18578</v>
      </c>
      <c r="B6312" s="3"/>
      <c r="C6312" s="3" t="str">
        <f>"We are an I.T. consulting firm located just north of Indianapolis specializing in small/medium businesses. We provide end to end solutions, from the desktop to the datacenter."</f>
        <v>We are an I.T. consulting firm located just north of Indianapolis specializing in small/medium businesses. We provide end to end solutions, from the desktop to the datacenter.</v>
      </c>
      <c r="D6312" s="3" t="s">
        <v>18579</v>
      </c>
      <c r="E6312" s="3" t="s">
        <v>18580</v>
      </c>
      <c r="F6312" s="3" t="str">
        <f>"3177579677"</f>
        <v>3177579677</v>
      </c>
      <c r="G6312" s="3">
        <v>541512</v>
      </c>
      <c r="H6312" s="3" t="s">
        <v>19</v>
      </c>
    </row>
    <row r="6313" spans="1:8" ht="26.25" x14ac:dyDescent="0.25">
      <c r="A6313" s="3" t="s">
        <v>18581</v>
      </c>
      <c r="B6313" s="3"/>
      <c r="C6313" s="3" t="str">
        <f>"We do commercial Painting and wall covering"</f>
        <v>We do commercial Painting and wall covering</v>
      </c>
      <c r="D6313" s="3" t="s">
        <v>9</v>
      </c>
      <c r="E6313" s="3" t="s">
        <v>46</v>
      </c>
      <c r="F6313" s="3" t="str">
        <f>"317-787-2262"</f>
        <v>317-787-2262</v>
      </c>
      <c r="G6313" s="3">
        <v>23832</v>
      </c>
      <c r="H6313" s="3" t="s">
        <v>462</v>
      </c>
    </row>
    <row r="6314" spans="1:8" ht="64.5" x14ac:dyDescent="0.25">
      <c r="A6314" s="3" t="s">
        <v>18582</v>
      </c>
      <c r="B6314" s="3"/>
      <c r="C6314" s="3" t="str">
        <f>"Midwest is a distributor of oil, air and water filtration devices. A manufacturer of Centrasep for separation of solids from liquid. Also a distributor of synthetic lubricants and a biodegradeable descaler."</f>
        <v>Midwest is a distributor of oil, air and water filtration devices. A manufacturer of Centrasep for separation of solids from liquid. Also a distributor of synthetic lubricants and a biodegradeable descaler.</v>
      </c>
      <c r="D6314" s="3" t="s">
        <v>18583</v>
      </c>
      <c r="E6314" s="3" t="s">
        <v>18584</v>
      </c>
      <c r="F6314" s="3" t="str">
        <f>"317-257-2714"</f>
        <v>317-257-2714</v>
      </c>
      <c r="G6314" s="3">
        <v>333999</v>
      </c>
      <c r="H6314" s="3" t="s">
        <v>9702</v>
      </c>
    </row>
    <row r="6315" spans="1:8" ht="102.75" x14ac:dyDescent="0.25">
      <c r="A6315" s="3" t="s">
        <v>18585</v>
      </c>
      <c r="B6315" s="3"/>
      <c r="C6315" s="3" t="s">
        <v>18586</v>
      </c>
      <c r="D6315" s="3" t="s">
        <v>18587</v>
      </c>
      <c r="E6315" s="3" t="s">
        <v>18588</v>
      </c>
      <c r="F6315" s="3" t="str">
        <f>"219-405-2579"</f>
        <v>219-405-2579</v>
      </c>
      <c r="G6315" s="3">
        <v>541620</v>
      </c>
      <c r="H6315" s="3" t="s">
        <v>216</v>
      </c>
    </row>
    <row r="6316" spans="1:8" ht="255.75" x14ac:dyDescent="0.25">
      <c r="A6316" s="3" t="s">
        <v>18589</v>
      </c>
      <c r="B6316" s="3"/>
      <c r="C6316" s="3" t="s">
        <v>18590</v>
      </c>
      <c r="D6316" s="3" t="s">
        <v>9</v>
      </c>
      <c r="E6316" s="3" t="s">
        <v>18591</v>
      </c>
      <c r="F6316" s="3" t="str">
        <f>"219-933-4140"</f>
        <v>219-933-4140</v>
      </c>
      <c r="G6316" s="3">
        <v>5629</v>
      </c>
      <c r="H6316" s="3" t="s">
        <v>18592</v>
      </c>
    </row>
    <row r="6317" spans="1:8" ht="268.5" x14ac:dyDescent="0.25">
      <c r="A6317" s="3" t="s">
        <v>18593</v>
      </c>
      <c r="B6317" s="3"/>
      <c r="C6317" s="3" t="s">
        <v>18594</v>
      </c>
      <c r="D6317" s="3" t="s">
        <v>9</v>
      </c>
      <c r="E6317" s="3" t="s">
        <v>18595</v>
      </c>
      <c r="F6317" s="3" t="str">
        <f>"317.289.7166"</f>
        <v>317.289.7166</v>
      </c>
      <c r="G6317" s="3">
        <v>236220</v>
      </c>
      <c r="H6317" s="3" t="s">
        <v>598</v>
      </c>
    </row>
    <row r="6318" spans="1:8" ht="26.25" x14ac:dyDescent="0.25">
      <c r="A6318" s="3" t="s">
        <v>18596</v>
      </c>
      <c r="B6318" s="3"/>
      <c r="C6318" s="3" t="str">
        <f>"Group Home for males ages 12-21"</f>
        <v>Group Home for males ages 12-21</v>
      </c>
      <c r="D6318" s="3" t="s">
        <v>9</v>
      </c>
      <c r="E6318" s="3" t="s">
        <v>18597</v>
      </c>
      <c r="F6318" s="3" t="str">
        <f>"3179233930"</f>
        <v>3179233930</v>
      </c>
      <c r="G6318" s="3">
        <v>623990</v>
      </c>
      <c r="H6318" s="3" t="s">
        <v>11066</v>
      </c>
    </row>
    <row r="6319" spans="1:8" ht="64.5" x14ac:dyDescent="0.25">
      <c r="A6319" s="3" t="s">
        <v>18598</v>
      </c>
      <c r="B6319" s="3"/>
      <c r="C6319" s="3" t="str">
        <f>"I am an approved buyer/negotiator consultant for the Indiana Department of Transportation and procure right-of-ways for the State Highway projects with the department of Real Estate."</f>
        <v>I am an approved buyer/negotiator consultant for the Indiana Department of Transportation and procure right-of-ways for the State Highway projects with the department of Real Estate.</v>
      </c>
      <c r="D6319" s="3" t="s">
        <v>9</v>
      </c>
      <c r="E6319" s="3" t="s">
        <v>18599</v>
      </c>
      <c r="F6319" s="3" t="str">
        <f>"317-403-1950"</f>
        <v>317-403-1950</v>
      </c>
      <c r="G6319" s="3">
        <v>2341</v>
      </c>
      <c r="H6319" s="3" t="s">
        <v>4867</v>
      </c>
    </row>
    <row r="6320" spans="1:8" ht="141" x14ac:dyDescent="0.25">
      <c r="A6320" s="3" t="s">
        <v>18600</v>
      </c>
      <c r="B6320" s="3"/>
      <c r="C6320" s="3" t="s">
        <v>18601</v>
      </c>
      <c r="D6320" s="3" t="s">
        <v>18602</v>
      </c>
      <c r="E6320" s="3" t="s">
        <v>18603</v>
      </c>
      <c r="F6320" s="3" t="str">
        <f>"765-778-8471"</f>
        <v>765-778-8471</v>
      </c>
      <c r="G6320" s="3">
        <v>236118</v>
      </c>
      <c r="H6320" s="3" t="s">
        <v>465</v>
      </c>
    </row>
    <row r="6321" spans="1:8" ht="102.75" x14ac:dyDescent="0.25">
      <c r="A6321" s="3" t="s">
        <v>18604</v>
      </c>
      <c r="B6321" s="3"/>
      <c r="C6321" s="3" t="s">
        <v>18605</v>
      </c>
      <c r="D6321" s="3" t="s">
        <v>18606</v>
      </c>
      <c r="E6321" s="3" t="s">
        <v>18607</v>
      </c>
      <c r="F6321" s="3" t="str">
        <f>"317-885-9911"</f>
        <v>317-885-9911</v>
      </c>
      <c r="G6321" s="3">
        <v>4234</v>
      </c>
      <c r="H6321" s="3" t="s">
        <v>4160</v>
      </c>
    </row>
    <row r="6322" spans="1:8" ht="90" x14ac:dyDescent="0.25">
      <c r="A6322" s="3" t="s">
        <v>18608</v>
      </c>
      <c r="B6322" s="3"/>
      <c r="C6322" s="3" t="s">
        <v>18609</v>
      </c>
      <c r="D6322" s="3" t="s">
        <v>18610</v>
      </c>
      <c r="E6322" s="3" t="s">
        <v>18611</v>
      </c>
      <c r="F6322" s="3" t="str">
        <f>"812-422-1512"</f>
        <v>812-422-1512</v>
      </c>
      <c r="G6322" s="3">
        <v>541890</v>
      </c>
      <c r="H6322" s="3" t="s">
        <v>401</v>
      </c>
    </row>
    <row r="6323" spans="1:8" ht="243" x14ac:dyDescent="0.25">
      <c r="A6323" s="3" t="s">
        <v>18612</v>
      </c>
      <c r="B6323" s="3"/>
      <c r="C6323" s="3" t="s">
        <v>18613</v>
      </c>
      <c r="D6323" s="3" t="s">
        <v>9</v>
      </c>
      <c r="E6323" s="3" t="s">
        <v>18614</v>
      </c>
      <c r="F6323" s="3" t="str">
        <f>"574-287-2700"</f>
        <v>574-287-2700</v>
      </c>
      <c r="G6323" s="3">
        <v>541910</v>
      </c>
      <c r="H6323" s="3" t="s">
        <v>510</v>
      </c>
    </row>
    <row r="6324" spans="1:8" ht="26.25" x14ac:dyDescent="0.25">
      <c r="A6324" s="3" t="s">
        <v>18615</v>
      </c>
      <c r="B6324" s="3"/>
      <c r="C6324" s="3" t="str">
        <f>"wholesale meat or catering ,along custom slaughtering"</f>
        <v>wholesale meat or catering ,along custom slaughtering</v>
      </c>
      <c r="D6324" s="3" t="s">
        <v>9</v>
      </c>
      <c r="E6324" s="3" t="s">
        <v>18616</v>
      </c>
      <c r="F6324" s="3" t="str">
        <f>"317-926-4941"</f>
        <v>317-926-4941</v>
      </c>
      <c r="G6324" s="3">
        <v>11</v>
      </c>
      <c r="H6324" s="3" t="s">
        <v>175</v>
      </c>
    </row>
    <row r="6325" spans="1:8" ht="102.75" x14ac:dyDescent="0.25">
      <c r="A6325" s="3" t="s">
        <v>18617</v>
      </c>
      <c r="B6325" s="3"/>
      <c r="C6325" s="3" t="s">
        <v>18618</v>
      </c>
      <c r="D6325" s="3" t="s">
        <v>9</v>
      </c>
      <c r="E6325" s="3" t="s">
        <v>18619</v>
      </c>
      <c r="F6325" s="3" t="str">
        <f>"317-517-7272"</f>
        <v>317-517-7272</v>
      </c>
      <c r="G6325" s="3">
        <v>424690</v>
      </c>
      <c r="H6325" s="3" t="s">
        <v>2494</v>
      </c>
    </row>
    <row r="6326" spans="1:8" ht="77.25" x14ac:dyDescent="0.25">
      <c r="A6326" s="3" t="s">
        <v>18620</v>
      </c>
      <c r="B6326" s="3"/>
      <c r="C6326" s="3" t="str">
        <f>"Janitorial services and supplies that are needed to ensure that a business is up to the companies standards as well as ours. We specialize in ordering all products needed in order to perform those task whether we are there or not."</f>
        <v>Janitorial services and supplies that are needed to ensure that a business is up to the companies standards as well as ours. We specialize in ordering all products needed in order to perform those task whether we are there or not.</v>
      </c>
      <c r="D6326" s="3" t="s">
        <v>9</v>
      </c>
      <c r="E6326" s="3" t="s">
        <v>18621</v>
      </c>
      <c r="F6326" s="3" t="str">
        <f>"3173483776"</f>
        <v>3173483776</v>
      </c>
      <c r="G6326" s="3">
        <v>561720</v>
      </c>
      <c r="H6326" s="3" t="s">
        <v>222</v>
      </c>
    </row>
    <row r="6327" spans="1:8" ht="26.25" x14ac:dyDescent="0.25">
      <c r="A6327" s="3" t="s">
        <v>18622</v>
      </c>
      <c r="B6327" s="3"/>
      <c r="C6327" s="3" t="str">
        <f>"Metals Service Center"</f>
        <v>Metals Service Center</v>
      </c>
      <c r="D6327" s="3" t="s">
        <v>18623</v>
      </c>
      <c r="E6327" s="3" t="s">
        <v>18624</v>
      </c>
      <c r="F6327" s="3" t="str">
        <f>"260-422-6541"</f>
        <v>260-422-6541</v>
      </c>
      <c r="G6327" s="3">
        <v>423510</v>
      </c>
      <c r="H6327" s="3" t="s">
        <v>10869</v>
      </c>
    </row>
    <row r="6328" spans="1:8" ht="115.5" x14ac:dyDescent="0.25">
      <c r="A6328" s="3" t="s">
        <v>18625</v>
      </c>
      <c r="B6328" s="3"/>
      <c r="C6328" s="3" t="s">
        <v>18626</v>
      </c>
      <c r="D6328" s="3" t="s">
        <v>18627</v>
      </c>
      <c r="E6328" s="3" t="s">
        <v>18628</v>
      </c>
      <c r="F6328" s="3" t="str">
        <f>"800-815-7253"</f>
        <v>800-815-7253</v>
      </c>
      <c r="G6328" s="3">
        <v>332212</v>
      </c>
      <c r="H6328" s="3" t="s">
        <v>18629</v>
      </c>
    </row>
    <row r="6329" spans="1:8" ht="39" x14ac:dyDescent="0.25">
      <c r="A6329" s="3" t="s">
        <v>18630</v>
      </c>
      <c r="B6329" s="3"/>
      <c r="C6329" s="3" t="str">
        <f>"Jobsite construction rental supplier Portable restrooms &amp; portable storage rental supplier Party and Tool rental"</f>
        <v>Jobsite construction rental supplier Portable restrooms &amp; portable storage rental supplier Party and Tool rental</v>
      </c>
      <c r="D6329" s="3" t="s">
        <v>18631</v>
      </c>
      <c r="E6329" s="3" t="s">
        <v>46</v>
      </c>
      <c r="F6329" s="3" t="str">
        <f>"765-423-5541"</f>
        <v>765-423-5541</v>
      </c>
      <c r="G6329" s="3">
        <v>81</v>
      </c>
      <c r="H6329" s="3" t="s">
        <v>751</v>
      </c>
    </row>
    <row r="6330" spans="1:8" ht="217.5" x14ac:dyDescent="0.25">
      <c r="A6330" s="3" t="s">
        <v>18632</v>
      </c>
      <c r="B6330" s="3"/>
      <c r="C6330" s="3" t="s">
        <v>18633</v>
      </c>
      <c r="D6330" s="3" t="s">
        <v>18631</v>
      </c>
      <c r="E6330" s="3" t="s">
        <v>18634</v>
      </c>
      <c r="F6330" s="3" t="str">
        <f>"800-777-6439"</f>
        <v>800-777-6439</v>
      </c>
      <c r="G6330" s="3">
        <v>532310</v>
      </c>
      <c r="H6330" s="3" t="s">
        <v>10958</v>
      </c>
    </row>
    <row r="6331" spans="1:8" ht="51.75" x14ac:dyDescent="0.25">
      <c r="A6331" s="3" t="s">
        <v>18635</v>
      </c>
      <c r="B6331" s="3"/>
      <c r="C6331" s="3" t="str">
        <f>"Full service security guard and patrol service throughout the state of Indiana We also do investigations, backgrounds, and polygraph."</f>
        <v>Full service security guard and patrol service throughout the state of Indiana We also do investigations, backgrounds, and polygraph.</v>
      </c>
      <c r="D6331" s="3" t="s">
        <v>9</v>
      </c>
      <c r="E6331" s="3" t="s">
        <v>18636</v>
      </c>
      <c r="F6331" s="3" t="str">
        <f>"574-256-7140"</f>
        <v>574-256-7140</v>
      </c>
      <c r="G6331" s="3">
        <v>561612</v>
      </c>
      <c r="H6331" s="3" t="s">
        <v>362</v>
      </c>
    </row>
    <row r="6332" spans="1:8" ht="77.25" x14ac:dyDescent="0.25">
      <c r="A6332" s="3" t="s">
        <v>18637</v>
      </c>
      <c r="B6332" s="3"/>
      <c r="C6332" s="3" t="str">
        <f>"Midwest Server Repair specializes in computer, server and technology network related hardware repair. By finding ways to reuse existing hardware and technology we provide a very cost effective service to local businesses."</f>
        <v>Midwest Server Repair specializes in computer, server and technology network related hardware repair. By finding ways to reuse existing hardware and technology we provide a very cost effective service to local businesses.</v>
      </c>
      <c r="D6332" s="3" t="s">
        <v>9</v>
      </c>
      <c r="E6332" s="3" t="s">
        <v>46</v>
      </c>
      <c r="F6332" s="2"/>
      <c r="G6332" s="3">
        <v>334111</v>
      </c>
      <c r="H6332" s="3" t="s">
        <v>7007</v>
      </c>
    </row>
    <row r="6333" spans="1:8" ht="268.5" x14ac:dyDescent="0.25">
      <c r="A6333" s="3" t="s">
        <v>18638</v>
      </c>
      <c r="B6333" s="3"/>
      <c r="C6333" s="3" t="s">
        <v>18639</v>
      </c>
      <c r="D6333" s="3" t="s">
        <v>18640</v>
      </c>
      <c r="E6333" s="3" t="s">
        <v>18641</v>
      </c>
      <c r="F6333" s="3" t="str">
        <f>"317-752-6934"</f>
        <v>317-752-6934</v>
      </c>
      <c r="G6333" s="3">
        <v>541512</v>
      </c>
      <c r="H6333" s="3" t="s">
        <v>19</v>
      </c>
    </row>
    <row r="6334" spans="1:8" ht="26.25" x14ac:dyDescent="0.25">
      <c r="A6334" s="3" t="s">
        <v>18642</v>
      </c>
      <c r="B6334" s="3"/>
      <c r="C6334" s="3" t="str">
        <f>"Surveying, mapping and right of way engineering"</f>
        <v>Surveying, mapping and right of way engineering</v>
      </c>
      <c r="D6334" s="3" t="s">
        <v>9</v>
      </c>
      <c r="E6334" s="3" t="s">
        <v>46</v>
      </c>
      <c r="F6334" s="3" t="str">
        <f>"812-526-6209"</f>
        <v>812-526-6209</v>
      </c>
      <c r="G6334" s="3">
        <v>541370</v>
      </c>
      <c r="H6334" s="3" t="s">
        <v>160</v>
      </c>
    </row>
    <row r="6335" spans="1:8" ht="51.75" x14ac:dyDescent="0.25">
      <c r="A6335" s="3" t="s">
        <v>18643</v>
      </c>
      <c r="B6335" s="3"/>
      <c r="C6335" s="3" t="str">
        <f>"Land Surveying firm providing boundary surveys, topographic surveys, subdivision design, drainage design and other services to the central Indiana area."</f>
        <v>Land Surveying firm providing boundary surveys, topographic surveys, subdivision design, drainage design and other services to the central Indiana area.</v>
      </c>
      <c r="D6335" s="3" t="s">
        <v>9</v>
      </c>
      <c r="E6335" s="3" t="s">
        <v>18644</v>
      </c>
      <c r="F6335" s="3" t="str">
        <f>"317-670-0092"</f>
        <v>317-670-0092</v>
      </c>
      <c r="G6335" s="3">
        <v>541370</v>
      </c>
      <c r="H6335" s="3" t="s">
        <v>160</v>
      </c>
    </row>
    <row r="6336" spans="1:8" ht="243" x14ac:dyDescent="0.25">
      <c r="A6336" s="3" t="s">
        <v>18645</v>
      </c>
      <c r="B6336" s="3"/>
      <c r="C6336" s="3" t="s">
        <v>18646</v>
      </c>
      <c r="D6336" s="3" t="s">
        <v>18647</v>
      </c>
      <c r="E6336" s="3" t="s">
        <v>18648</v>
      </c>
      <c r="F6336" s="3" t="str">
        <f>"800-886-6984"</f>
        <v>800-886-6984</v>
      </c>
      <c r="G6336" s="3">
        <v>81131</v>
      </c>
      <c r="H6336" s="3" t="s">
        <v>1895</v>
      </c>
    </row>
    <row r="6337" spans="1:8" ht="102.75" x14ac:dyDescent="0.25">
      <c r="A6337" s="3" t="s">
        <v>18649</v>
      </c>
      <c r="B6337" s="3"/>
      <c r="C6337" s="3" t="s">
        <v>18650</v>
      </c>
      <c r="D6337" s="3" t="s">
        <v>18651</v>
      </c>
      <c r="E6337" s="3" t="s">
        <v>18652</v>
      </c>
      <c r="F6337" s="3" t="str">
        <f>"317-228-6255 X101"</f>
        <v>317-228-6255 X101</v>
      </c>
      <c r="G6337" s="3">
        <v>425110</v>
      </c>
      <c r="H6337" s="3" t="s">
        <v>5014</v>
      </c>
    </row>
    <row r="6338" spans="1:8" ht="128.25" x14ac:dyDescent="0.25">
      <c r="A6338" s="3" t="s">
        <v>18653</v>
      </c>
      <c r="B6338" s="3"/>
      <c r="C6338" s="3" t="s">
        <v>18654</v>
      </c>
      <c r="D6338" s="3" t="s">
        <v>18655</v>
      </c>
      <c r="E6338" s="3" t="s">
        <v>46</v>
      </c>
      <c r="F6338" s="3" t="str">
        <f>"317-262-2200"</f>
        <v>317-262-2200</v>
      </c>
      <c r="G6338" s="3">
        <v>621999</v>
      </c>
      <c r="H6338" s="3" t="s">
        <v>3480</v>
      </c>
    </row>
    <row r="6339" spans="1:8" ht="115.5" x14ac:dyDescent="0.25">
      <c r="A6339" s="3" t="s">
        <v>18653</v>
      </c>
      <c r="B6339" s="3"/>
      <c r="C6339" s="3" t="s">
        <v>18656</v>
      </c>
      <c r="D6339" s="3" t="s">
        <v>18655</v>
      </c>
      <c r="E6339" s="3" t="s">
        <v>18657</v>
      </c>
      <c r="F6339" s="3" t="str">
        <f>"317-262-2200"</f>
        <v>317-262-2200</v>
      </c>
      <c r="G6339" s="3">
        <v>812990</v>
      </c>
      <c r="H6339" s="3" t="s">
        <v>294</v>
      </c>
    </row>
    <row r="6340" spans="1:8" ht="51.75" x14ac:dyDescent="0.25">
      <c r="A6340" s="3" t="s">
        <v>18658</v>
      </c>
      <c r="B6340" s="3"/>
      <c r="C6340" s="3" t="str">
        <f>"Traffic Control for Highway, Street and Bridge construction. Professional procurement services for construction materials and equipment including rentals."</f>
        <v>Traffic Control for Highway, Street and Bridge construction. Professional procurement services for construction materials and equipment including rentals.</v>
      </c>
      <c r="D6340" s="3" t="s">
        <v>9</v>
      </c>
      <c r="E6340" s="3" t="s">
        <v>46</v>
      </c>
      <c r="F6340" s="2"/>
      <c r="G6340" s="3">
        <v>237310</v>
      </c>
      <c r="H6340" s="3" t="s">
        <v>768</v>
      </c>
    </row>
    <row r="6341" spans="1:8" ht="39" x14ac:dyDescent="0.25">
      <c r="A6341" s="3" t="s">
        <v>18659</v>
      </c>
      <c r="B6341" s="3"/>
      <c r="C6341" s="3" t="str">
        <f>"Full Service New and Used Bus Distributor. We also service and sell parts. Large inventory of new and used buses."</f>
        <v>Full Service New and Used Bus Distributor. We also service and sell parts. Large inventory of new and used buses.</v>
      </c>
      <c r="D6341" s="3" t="s">
        <v>18660</v>
      </c>
      <c r="E6341" s="3" t="s">
        <v>18661</v>
      </c>
      <c r="F6341" s="3" t="str">
        <f>"317-769-2546"</f>
        <v>317-769-2546</v>
      </c>
      <c r="G6341" s="3">
        <v>42386</v>
      </c>
      <c r="H6341" s="3" t="s">
        <v>17127</v>
      </c>
    </row>
    <row r="6342" spans="1:8" ht="26.25" x14ac:dyDescent="0.25">
      <c r="A6342" s="3" t="s">
        <v>18662</v>
      </c>
      <c r="B6342" s="3"/>
      <c r="C6342" s="3" t="str">
        <f>"School Bus Dealership - School &amp; Commercial - Sales, Parts, &amp; Service"</f>
        <v>School Bus Dealership - School &amp; Commercial - Sales, Parts, &amp; Service</v>
      </c>
      <c r="D6342" s="3" t="s">
        <v>18663</v>
      </c>
      <c r="E6342" s="3" t="s">
        <v>18664</v>
      </c>
      <c r="F6342" s="3" t="str">
        <f>"317-769-2546"</f>
        <v>317-769-2546</v>
      </c>
      <c r="G6342" s="3">
        <v>441229</v>
      </c>
      <c r="H6342" s="3" t="s">
        <v>3721</v>
      </c>
    </row>
    <row r="6343" spans="1:8" ht="26.25" x14ac:dyDescent="0.25">
      <c r="A6343" s="3" t="s">
        <v>18665</v>
      </c>
      <c r="B6343" s="3"/>
      <c r="C6343" s="3" t="str">
        <f>"Tree removal, tree topping and trimming, stump removal, residential and commercial"</f>
        <v>Tree removal, tree topping and trimming, stump removal, residential and commercial</v>
      </c>
      <c r="D6343" s="3" t="s">
        <v>9</v>
      </c>
      <c r="E6343" s="3" t="s">
        <v>18666</v>
      </c>
      <c r="F6343" s="3" t="str">
        <f>"317-485-6933"</f>
        <v>317-485-6933</v>
      </c>
      <c r="G6343" s="3">
        <v>561730</v>
      </c>
      <c r="H6343" s="3" t="s">
        <v>65</v>
      </c>
    </row>
    <row r="6344" spans="1:8" ht="39" x14ac:dyDescent="0.25">
      <c r="A6344" s="3" t="s">
        <v>18667</v>
      </c>
      <c r="B6344" s="3"/>
      <c r="C6344" s="3" t="str">
        <f>"Steel Tube Manufacturer - cold-rolled, hot-rolled, galvanized steel - round, square, rectangle - cut to length"</f>
        <v>Steel Tube Manufacturer - cold-rolled, hot-rolled, galvanized steel - round, square, rectangle - cut to length</v>
      </c>
      <c r="D6344" s="3" t="s">
        <v>18668</v>
      </c>
      <c r="E6344" s="3" t="s">
        <v>18669</v>
      </c>
      <c r="F6344" s="3" t="str">
        <f>"812-265-1553"</f>
        <v>812-265-1553</v>
      </c>
      <c r="G6344" s="3">
        <v>331210</v>
      </c>
      <c r="H6344" s="3" t="s">
        <v>26</v>
      </c>
    </row>
    <row r="6345" spans="1:8" ht="39" x14ac:dyDescent="0.25">
      <c r="A6345" s="3" t="s">
        <v>18670</v>
      </c>
      <c r="B6345" s="3"/>
      <c r="C6345" s="3" t="str">
        <f>"Landscaping Design and Installation Lawn Fertilization Commercial and Residential Mowing Aquatic Treatments"</f>
        <v>Landscaping Design and Installation Lawn Fertilization Commercial and Residential Mowing Aquatic Treatments</v>
      </c>
      <c r="D6345" s="3" t="s">
        <v>9</v>
      </c>
      <c r="E6345" s="3" t="s">
        <v>18671</v>
      </c>
      <c r="F6345" s="3" t="str">
        <f>"317-869-5621"</f>
        <v>317-869-5621</v>
      </c>
      <c r="G6345" s="3">
        <v>561730</v>
      </c>
      <c r="H6345" s="3" t="s">
        <v>65</v>
      </c>
    </row>
    <row r="6346" spans="1:8" ht="90" x14ac:dyDescent="0.25">
      <c r="A6346" s="3" t="s">
        <v>18672</v>
      </c>
      <c r="B6346" s="3"/>
      <c r="C6346" s="3" t="str">
        <f>"Consulting Engineering services, Design of Water treatment and distributions systems, Sewerag treatment and collection systems, roads and streets, municipal buildings, Electrical and HVAC, and parks and recreation projects for Public and private clients"</f>
        <v>Consulting Engineering services, Design of Water treatment and distributions systems, Sewerag treatment and collection systems, roads and streets, municipal buildings, Electrical and HVAC, and parks and recreation projects for Public and private clients</v>
      </c>
      <c r="D6346" s="3" t="s">
        <v>18673</v>
      </c>
      <c r="E6346" s="3" t="s">
        <v>46</v>
      </c>
      <c r="F6346" s="3" t="str">
        <f>"812-295-2800"</f>
        <v>812-295-2800</v>
      </c>
      <c r="G6346" s="3">
        <v>541330</v>
      </c>
      <c r="H6346" s="3" t="s">
        <v>82</v>
      </c>
    </row>
    <row r="6347" spans="1:8" ht="64.5" x14ac:dyDescent="0.25">
      <c r="A6347" s="3" t="s">
        <v>18674</v>
      </c>
      <c r="B6347" s="3"/>
      <c r="C6347" s="3" t="str">
        <f>"Mighty Tidy Cleaning offers post construction cleaning services including rough, finish, and buff cleaning, and power washing when required on new construction sites."</f>
        <v>Mighty Tidy Cleaning offers post construction cleaning services including rough, finish, and buff cleaning, and power washing when required on new construction sites.</v>
      </c>
      <c r="D6347" s="3" t="s">
        <v>9</v>
      </c>
      <c r="E6347" s="3" t="s">
        <v>18675</v>
      </c>
      <c r="F6347" s="3" t="str">
        <f>"3173622586"</f>
        <v>3173622586</v>
      </c>
      <c r="G6347" s="3">
        <v>238990</v>
      </c>
      <c r="H6347" s="3" t="s">
        <v>481</v>
      </c>
    </row>
    <row r="6348" spans="1:8" ht="26.25" x14ac:dyDescent="0.25">
      <c r="A6348" s="3" t="s">
        <v>18676</v>
      </c>
      <c r="B6348" s="3"/>
      <c r="C6348" s="2"/>
      <c r="D6348" s="3" t="s">
        <v>18677</v>
      </c>
      <c r="E6348" s="3" t="s">
        <v>46</v>
      </c>
      <c r="F6348" s="3" t="str">
        <f>"574-223-2711"</f>
        <v>574-223-2711</v>
      </c>
      <c r="G6348" s="3">
        <v>4411</v>
      </c>
      <c r="H6348" s="3" t="s">
        <v>1015</v>
      </c>
    </row>
    <row r="6349" spans="1:8" ht="64.5" x14ac:dyDescent="0.25">
      <c r="A6349" s="3" t="s">
        <v>18678</v>
      </c>
      <c r="B6349" s="3"/>
      <c r="C6349" s="3" t="str">
        <f>"Machine Shop: Specializing in CNC Turning and Machining. Prototypes to Production. Jigs and Fixtures. Complete CAD/CAM Capabilities. Competitive Pricing. Quick Turn Around. In business since 1990."</f>
        <v>Machine Shop: Specializing in CNC Turning and Machining. Prototypes to Production. Jigs and Fixtures. Complete CAD/CAM Capabilities. Competitive Pricing. Quick Turn Around. In business since 1990.</v>
      </c>
      <c r="D6349" s="3" t="s">
        <v>9</v>
      </c>
      <c r="E6349" s="3" t="s">
        <v>18679</v>
      </c>
      <c r="F6349" s="3" t="str">
        <f>"812-637-3500"</f>
        <v>812-637-3500</v>
      </c>
      <c r="G6349" s="3">
        <v>332710</v>
      </c>
      <c r="H6349" s="3" t="s">
        <v>387</v>
      </c>
    </row>
    <row r="6350" spans="1:8" ht="39" x14ac:dyDescent="0.25">
      <c r="A6350" s="3" t="s">
        <v>18680</v>
      </c>
      <c r="B6350" s="3"/>
      <c r="C6350" s="3" t="str">
        <f>"General Contractor, Bobcat work, backhoe work, remodeling, roofing, electrical and pluming, Handyman work"</f>
        <v>General Contractor, Bobcat work, backhoe work, remodeling, roofing, electrical and pluming, Handyman work</v>
      </c>
      <c r="D6350" s="3" t="s">
        <v>9</v>
      </c>
      <c r="E6350" s="3" t="s">
        <v>18681</v>
      </c>
      <c r="F6350" s="3" t="str">
        <f>"812-597-2317"</f>
        <v>812-597-2317</v>
      </c>
      <c r="G6350" s="3">
        <v>2333</v>
      </c>
      <c r="H6350" s="3" t="s">
        <v>423</v>
      </c>
    </row>
    <row r="6351" spans="1:8" ht="39" x14ac:dyDescent="0.25">
      <c r="A6351" s="3" t="s">
        <v>18682</v>
      </c>
      <c r="B6351" s="3"/>
      <c r="C6351" s="3" t="str">
        <f>"State Farm Insurance providing insurance and financial services, including retirement plans and securities."</f>
        <v>State Farm Insurance providing insurance and financial services, including retirement plans and securities.</v>
      </c>
      <c r="D6351" s="3" t="s">
        <v>18683</v>
      </c>
      <c r="E6351" s="3" t="s">
        <v>18684</v>
      </c>
      <c r="F6351" s="3" t="str">
        <f>"765-622-1111"</f>
        <v>765-622-1111</v>
      </c>
      <c r="G6351" s="3">
        <v>524210</v>
      </c>
      <c r="H6351" s="3" t="s">
        <v>1183</v>
      </c>
    </row>
    <row r="6352" spans="1:8" ht="115.5" x14ac:dyDescent="0.25">
      <c r="A6352" s="3" t="s">
        <v>18685</v>
      </c>
      <c r="B6352" s="3"/>
      <c r="C6352" s="3" t="s">
        <v>18686</v>
      </c>
      <c r="D6352" s="3" t="s">
        <v>9</v>
      </c>
      <c r="E6352" s="3" t="s">
        <v>18687</v>
      </c>
      <c r="F6352" s="2"/>
      <c r="G6352" s="3">
        <v>561740</v>
      </c>
      <c r="H6352" s="3" t="s">
        <v>241</v>
      </c>
    </row>
    <row r="6353" spans="1:8" ht="26.25" x14ac:dyDescent="0.25">
      <c r="A6353" s="3" t="s">
        <v>18688</v>
      </c>
      <c r="B6353" s="3"/>
      <c r="C6353" s="3" t="str">
        <f>"Private security, Unarmed Uniform Security Guards All types of Private Investigations"</f>
        <v>Private security, Unarmed Uniform Security Guards All types of Private Investigations</v>
      </c>
      <c r="D6353" s="3" t="s">
        <v>18689</v>
      </c>
      <c r="E6353" s="3" t="s">
        <v>18690</v>
      </c>
      <c r="F6353" s="3" t="str">
        <f>"574-289-7226"</f>
        <v>574-289-7226</v>
      </c>
      <c r="G6353" s="3">
        <v>561790</v>
      </c>
      <c r="H6353" s="3" t="s">
        <v>2113</v>
      </c>
    </row>
    <row r="6354" spans="1:8" ht="26.25" x14ac:dyDescent="0.25">
      <c r="A6354" s="3" t="s">
        <v>18691</v>
      </c>
      <c r="B6354" s="3"/>
      <c r="C6354" s="3" t="str">
        <f>"We are licensed general contractor's in the State of Indiana."</f>
        <v>We are licensed general contractor's in the State of Indiana.</v>
      </c>
      <c r="D6354" s="3" t="s">
        <v>18692</v>
      </c>
      <c r="E6354" s="3" t="s">
        <v>18693</v>
      </c>
      <c r="F6354" s="3" t="str">
        <f>"219-455-5804"</f>
        <v>219-455-5804</v>
      </c>
      <c r="G6354" s="3">
        <v>236115</v>
      </c>
      <c r="H6354" s="3" t="s">
        <v>1822</v>
      </c>
    </row>
    <row r="6355" spans="1:8" ht="26.25" x14ac:dyDescent="0.25">
      <c r="A6355" s="3" t="s">
        <v>18694</v>
      </c>
      <c r="B6355" s="3"/>
      <c r="C6355" s="3" t="str">
        <f>"MIles Printing on Plastics specializes in printing on non-paper materials."</f>
        <v>MIles Printing on Plastics specializes in printing on non-paper materials.</v>
      </c>
      <c r="D6355" s="3" t="s">
        <v>18695</v>
      </c>
      <c r="E6355" s="3" t="s">
        <v>18696</v>
      </c>
      <c r="F6355" s="3" t="str">
        <f>"317-243-8571"</f>
        <v>317-243-8571</v>
      </c>
      <c r="G6355" s="3">
        <v>323110</v>
      </c>
      <c r="H6355" s="3" t="s">
        <v>1900</v>
      </c>
    </row>
    <row r="6356" spans="1:8" ht="192" x14ac:dyDescent="0.25">
      <c r="A6356" s="3" t="s">
        <v>18697</v>
      </c>
      <c r="B6356" s="3"/>
      <c r="C6356" s="3" t="s">
        <v>18698</v>
      </c>
      <c r="D6356" s="3" t="s">
        <v>18699</v>
      </c>
      <c r="E6356" s="3" t="s">
        <v>18700</v>
      </c>
      <c r="F6356" s="3" t="str">
        <f>"317-577-9335"</f>
        <v>317-577-9335</v>
      </c>
      <c r="G6356" s="3">
        <v>5141</v>
      </c>
      <c r="H6356" s="3" t="s">
        <v>1097</v>
      </c>
    </row>
    <row r="6357" spans="1:8" ht="51.75" x14ac:dyDescent="0.25">
      <c r="A6357" s="3" t="s">
        <v>18701</v>
      </c>
      <c r="B6357" s="3"/>
      <c r="C6357" s="3" t="str">
        <f>"All purpose General Contractor performing commercial and residential construction in the north central and north east part of the state of Indiana."</f>
        <v>All purpose General Contractor performing commercial and residential construction in the north central and north east part of the state of Indiana.</v>
      </c>
      <c r="D6357" s="3" t="s">
        <v>18702</v>
      </c>
      <c r="E6357" s="3" t="s">
        <v>46</v>
      </c>
      <c r="F6357" s="3" t="str">
        <f>"574-457-0255"</f>
        <v>574-457-0255</v>
      </c>
      <c r="G6357" s="3">
        <v>236220</v>
      </c>
      <c r="H6357" s="3" t="s">
        <v>598</v>
      </c>
    </row>
    <row r="6358" spans="1:8" ht="51.75" x14ac:dyDescent="0.25">
      <c r="A6358" s="3" t="s">
        <v>18703</v>
      </c>
      <c r="B6358" s="3"/>
      <c r="C6358" s="3" t="str">
        <f>"Heavy Highway contractor (roads/bridges); site uitlities (storm, sanitary &amp; water); concrete curbs/sidewalks; street construction"</f>
        <v>Heavy Highway contractor (roads/bridges); site uitlities (storm, sanitary &amp; water); concrete curbs/sidewalks; street construction</v>
      </c>
      <c r="D6358" s="3" t="s">
        <v>18704</v>
      </c>
      <c r="E6358" s="3" t="s">
        <v>46</v>
      </c>
      <c r="F6358" s="3" t="str">
        <f>"812/579-5248"</f>
        <v>812/579-5248</v>
      </c>
      <c r="G6358" s="3">
        <v>237310</v>
      </c>
      <c r="H6358" s="3" t="s">
        <v>768</v>
      </c>
    </row>
    <row r="6359" spans="1:8" ht="26.25" x14ac:dyDescent="0.25">
      <c r="A6359" s="3" t="s">
        <v>18705</v>
      </c>
      <c r="B6359" s="3"/>
      <c r="C6359" s="3" t="str">
        <f>"Licensed General Contractor"</f>
        <v>Licensed General Contractor</v>
      </c>
      <c r="D6359" s="3" t="s">
        <v>9</v>
      </c>
      <c r="E6359" s="3" t="s">
        <v>46</v>
      </c>
      <c r="F6359" s="2"/>
      <c r="G6359" s="3">
        <v>531120</v>
      </c>
      <c r="H6359" s="3" t="s">
        <v>2926</v>
      </c>
    </row>
    <row r="6360" spans="1:8" ht="39" x14ac:dyDescent="0.25">
      <c r="A6360" s="3" t="s">
        <v>18706</v>
      </c>
      <c r="B6360" s="3"/>
      <c r="C6360" s="3" t="str">
        <f>"Supplier of construction supplies as well as equipment, along with HVAC, POS systems and Traffic control."</f>
        <v>Supplier of construction supplies as well as equipment, along with HVAC, POS systems and Traffic control.</v>
      </c>
      <c r="D6360" s="3" t="s">
        <v>9</v>
      </c>
      <c r="E6360" s="3" t="s">
        <v>18707</v>
      </c>
      <c r="F6360" s="3" t="str">
        <f>"(812) 484-8948"</f>
        <v>(812) 484-8948</v>
      </c>
      <c r="G6360" s="3">
        <v>444190</v>
      </c>
      <c r="H6360" s="3" t="s">
        <v>1188</v>
      </c>
    </row>
    <row r="6361" spans="1:8" x14ac:dyDescent="0.25">
      <c r="A6361" s="3" t="s">
        <v>18708</v>
      </c>
      <c r="B6361" s="3"/>
      <c r="C6361" s="2"/>
      <c r="D6361" s="3" t="s">
        <v>9</v>
      </c>
      <c r="E6361" s="3" t="s">
        <v>46</v>
      </c>
      <c r="F6361" s="2"/>
      <c r="G6361" s="3">
        <v>92216</v>
      </c>
      <c r="H6361" s="3" t="s">
        <v>2246</v>
      </c>
    </row>
    <row r="6362" spans="1:8" ht="39" x14ac:dyDescent="0.25">
      <c r="A6362" s="3" t="s">
        <v>18709</v>
      </c>
      <c r="B6362" s="3"/>
      <c r="C6362" s="3" t="str">
        <f>"General Warehousing, Storage &amp; Distribution, Third Party Logistics, Food Grade Facility (Dry), Local Cartage"</f>
        <v>General Warehousing, Storage &amp; Distribution, Third Party Logistics, Food Grade Facility (Dry), Local Cartage</v>
      </c>
      <c r="D6362" s="3" t="s">
        <v>17376</v>
      </c>
      <c r="E6362" s="3" t="s">
        <v>18710</v>
      </c>
      <c r="F6362" s="3" t="str">
        <f>"317-899-1000"</f>
        <v>317-899-1000</v>
      </c>
      <c r="G6362" s="3">
        <v>493110</v>
      </c>
      <c r="H6362" s="3" t="s">
        <v>16497</v>
      </c>
    </row>
    <row r="6363" spans="1:8" ht="39" x14ac:dyDescent="0.25">
      <c r="A6363" s="3" t="s">
        <v>18711</v>
      </c>
      <c r="B6363" s="3"/>
      <c r="C6363" s="3" t="str">
        <f>"I have experience in starting five successful businesses from the ground up. Marketing/Sales/Billing"</f>
        <v>I have experience in starting five successful businesses from the ground up. Marketing/Sales/Billing</v>
      </c>
      <c r="D6363" s="3" t="s">
        <v>9</v>
      </c>
      <c r="E6363" s="3" t="s">
        <v>18712</v>
      </c>
      <c r="F6363" s="3" t="str">
        <f>"317.870.1100"</f>
        <v>317.870.1100</v>
      </c>
      <c r="G6363" s="3">
        <v>541613</v>
      </c>
      <c r="H6363" s="3" t="s">
        <v>558</v>
      </c>
    </row>
    <row r="6364" spans="1:8" ht="294" x14ac:dyDescent="0.25">
      <c r="A6364" s="3" t="s">
        <v>18713</v>
      </c>
      <c r="B6364" s="3"/>
      <c r="C6364" s="3" t="s">
        <v>18714</v>
      </c>
      <c r="D6364" s="3" t="s">
        <v>18715</v>
      </c>
      <c r="E6364" s="3" t="s">
        <v>18716</v>
      </c>
      <c r="F6364" s="3" t="str">
        <f>"8122731566"</f>
        <v>8122731566</v>
      </c>
      <c r="G6364" s="3">
        <v>332710</v>
      </c>
      <c r="H6364" s="3" t="s">
        <v>387</v>
      </c>
    </row>
    <row r="6365" spans="1:8" ht="26.25" x14ac:dyDescent="0.25">
      <c r="A6365" s="3" t="s">
        <v>18717</v>
      </c>
      <c r="B6365" s="3"/>
      <c r="C6365" s="3" t="str">
        <f>"Retailer of horse and enclosed trailers."</f>
        <v>Retailer of horse and enclosed trailers.</v>
      </c>
      <c r="D6365" s="3" t="s">
        <v>18718</v>
      </c>
      <c r="E6365" s="3" t="s">
        <v>18719</v>
      </c>
      <c r="F6365" s="3" t="str">
        <f>"317-862-3000"</f>
        <v>317-862-3000</v>
      </c>
      <c r="G6365" s="3">
        <v>333924</v>
      </c>
      <c r="H6365" s="3" t="s">
        <v>18720</v>
      </c>
    </row>
    <row r="6366" spans="1:8" ht="268.5" x14ac:dyDescent="0.25">
      <c r="A6366" s="3" t="s">
        <v>18721</v>
      </c>
      <c r="B6366" s="3"/>
      <c r="C6366" s="3" t="s">
        <v>18722</v>
      </c>
      <c r="D6366" s="3" t="s">
        <v>18723</v>
      </c>
      <c r="E6366" s="3" t="s">
        <v>18724</v>
      </c>
      <c r="F6366" s="3" t="str">
        <f>"765-456-1285"</f>
        <v>765-456-1285</v>
      </c>
      <c r="G6366" s="3">
        <v>541512</v>
      </c>
      <c r="H6366" s="3" t="s">
        <v>19</v>
      </c>
    </row>
    <row r="6367" spans="1:8" ht="39" x14ac:dyDescent="0.25">
      <c r="A6367" s="3" t="s">
        <v>18725</v>
      </c>
      <c r="B6367" s="3"/>
      <c r="C6367" s="3" t="str">
        <f>"security systems, cameras and door access. School bus digital camera systems. Private cable systems in hotels and schools"</f>
        <v>security systems, cameras and door access. School bus digital camera systems. Private cable systems in hotels and schools</v>
      </c>
      <c r="D6367" s="3" t="s">
        <v>9</v>
      </c>
      <c r="E6367" s="3" t="s">
        <v>18726</v>
      </c>
      <c r="F6367" s="3" t="str">
        <f>"8129512611"</f>
        <v>8129512611</v>
      </c>
      <c r="G6367" s="3">
        <v>443112</v>
      </c>
      <c r="H6367" s="3" t="s">
        <v>3890</v>
      </c>
    </row>
    <row r="6368" spans="1:8" ht="26.25" x14ac:dyDescent="0.25">
      <c r="A6368" s="3" t="s">
        <v>18727</v>
      </c>
      <c r="B6368" s="3"/>
      <c r="C6368" s="3" t="str">
        <f>"Retail: Office Supplies-Office Furniture-Office Equipment-Janitorial Supplies"</f>
        <v>Retail: Office Supplies-Office Furniture-Office Equipment-Janitorial Supplies</v>
      </c>
      <c r="D6368" s="3" t="s">
        <v>18728</v>
      </c>
      <c r="E6368" s="3" t="s">
        <v>18729</v>
      </c>
      <c r="F6368" s="3" t="str">
        <f>"765-644-4404"</f>
        <v>765-644-4404</v>
      </c>
      <c r="G6368" s="3">
        <v>453210</v>
      </c>
      <c r="H6368" s="3" t="s">
        <v>431</v>
      </c>
    </row>
    <row r="6369" spans="1:8" ht="39" x14ac:dyDescent="0.25">
      <c r="A6369" s="3" t="s">
        <v>18730</v>
      </c>
      <c r="B6369" s="3"/>
      <c r="C6369" s="3" t="str">
        <f>"Contracting: Industrial/Commercial/Residential Masonary/Concrete/Steel"</f>
        <v>Contracting: Industrial/Commercial/Residential Masonary/Concrete/Steel</v>
      </c>
      <c r="D6369" s="3" t="s">
        <v>9</v>
      </c>
      <c r="E6369" s="3" t="s">
        <v>46</v>
      </c>
      <c r="F6369" s="3" t="str">
        <f>"877-54-HIMEC"</f>
        <v>877-54-HIMEC</v>
      </c>
      <c r="G6369" s="3">
        <v>23</v>
      </c>
      <c r="H6369" s="3" t="s">
        <v>133</v>
      </c>
    </row>
    <row r="6370" spans="1:8" ht="26.25" x14ac:dyDescent="0.25">
      <c r="A6370" s="3" t="s">
        <v>18731</v>
      </c>
      <c r="B6370" s="3"/>
      <c r="C6370" s="3" t="str">
        <f>"Distributor of commercial and institutional laundry equipment and related materials."</f>
        <v>Distributor of commercial and institutional laundry equipment and related materials.</v>
      </c>
      <c r="D6370" s="3" t="s">
        <v>9</v>
      </c>
      <c r="E6370" s="3" t="s">
        <v>18732</v>
      </c>
      <c r="F6370" s="3" t="str">
        <f>"317-228-9545"</f>
        <v>317-228-9545</v>
      </c>
      <c r="G6370" s="3">
        <v>423990</v>
      </c>
      <c r="H6370" s="3" t="s">
        <v>983</v>
      </c>
    </row>
    <row r="6371" spans="1:8" ht="90" x14ac:dyDescent="0.25">
      <c r="A6371" s="3" t="s">
        <v>18733</v>
      </c>
      <c r="B6371" s="3"/>
      <c r="C6371" s="3" t="s">
        <v>18734</v>
      </c>
      <c r="D6371" s="3" t="s">
        <v>9</v>
      </c>
      <c r="E6371" s="3" t="s">
        <v>18735</v>
      </c>
      <c r="F6371" s="3" t="str">
        <f>"317-773-2644"</f>
        <v>317-773-2644</v>
      </c>
      <c r="G6371" s="3">
        <v>541370</v>
      </c>
      <c r="H6371" s="3" t="s">
        <v>160</v>
      </c>
    </row>
    <row r="6372" spans="1:8" ht="26.25" x14ac:dyDescent="0.25">
      <c r="A6372" s="3" t="s">
        <v>18736</v>
      </c>
      <c r="B6372" s="3"/>
      <c r="C6372" s="3" t="str">
        <f>"Portable toilet rentals and service. Septic tank and sewer line maintenance."</f>
        <v>Portable toilet rentals and service. Septic tank and sewer line maintenance.</v>
      </c>
      <c r="D6372" s="3" t="s">
        <v>9</v>
      </c>
      <c r="E6372" s="3" t="s">
        <v>18737</v>
      </c>
      <c r="F6372" s="3" t="str">
        <f>"2198744949"</f>
        <v>2198744949</v>
      </c>
      <c r="G6372" s="3">
        <v>562</v>
      </c>
      <c r="H6372" s="3" t="s">
        <v>2798</v>
      </c>
    </row>
    <row r="6373" spans="1:8" ht="39" x14ac:dyDescent="0.25">
      <c r="A6373" s="3" t="s">
        <v>18738</v>
      </c>
      <c r="B6373" s="3"/>
      <c r="C6373" s="3" t="str">
        <f>"DC Power Services, AC Electrical Services. Servicing all facets of the Telecommunication Industry"</f>
        <v>DC Power Services, AC Electrical Services. Servicing all facets of the Telecommunication Industry</v>
      </c>
      <c r="D6373" s="3" t="s">
        <v>18739</v>
      </c>
      <c r="E6373" s="3" t="s">
        <v>18740</v>
      </c>
      <c r="F6373" s="3" t="str">
        <f>"317-294-3983"</f>
        <v>317-294-3983</v>
      </c>
      <c r="G6373" s="3">
        <v>238210</v>
      </c>
      <c r="H6373" s="3" t="s">
        <v>306</v>
      </c>
    </row>
    <row r="6374" spans="1:8" ht="51.75" x14ac:dyDescent="0.25">
      <c r="A6374" s="3" t="s">
        <v>18741</v>
      </c>
      <c r="B6374" s="3"/>
      <c r="C6374" s="3" t="str">
        <f>"Full-service electrical contractor based in Indianapolis. Specialize in large construction, industriral, commercial and specialty electrical installations"</f>
        <v>Full-service electrical contractor based in Indianapolis. Specialize in large construction, industriral, commercial and specialty electrical installations</v>
      </c>
      <c r="D6374" s="3" t="s">
        <v>18739</v>
      </c>
      <c r="E6374" s="3" t="s">
        <v>18742</v>
      </c>
      <c r="F6374" s="3" t="str">
        <f>"3175457101"</f>
        <v>3175457101</v>
      </c>
      <c r="G6374" s="3">
        <v>238210</v>
      </c>
      <c r="H6374" s="3" t="s">
        <v>306</v>
      </c>
    </row>
    <row r="6375" spans="1:8" ht="77.25" x14ac:dyDescent="0.25">
      <c r="A6375" s="3" t="s">
        <v>18743</v>
      </c>
      <c r="B6375" s="3"/>
      <c r="C6375" s="3" t="str">
        <f>"Manufacturer of a full line of high energy efficient composite windows (aluminum exterior, vinyl interior) including single/double hung, horizontal sliders, casement, bays, bows and geometric shapes."</f>
        <v>Manufacturer of a full line of high energy efficient composite windows (aluminum exterior, vinyl interior) including single/double hung, horizontal sliders, casement, bays, bows and geometric shapes.</v>
      </c>
      <c r="D6375" s="3" t="s">
        <v>18744</v>
      </c>
      <c r="E6375" s="3" t="s">
        <v>18745</v>
      </c>
      <c r="F6375" s="3" t="str">
        <f>"260-422-2225"</f>
        <v>260-422-2225</v>
      </c>
      <c r="G6375" s="3">
        <v>332321</v>
      </c>
      <c r="H6375" s="3" t="s">
        <v>7074</v>
      </c>
    </row>
    <row r="6376" spans="1:8" ht="39" x14ac:dyDescent="0.25">
      <c r="A6376" s="3" t="s">
        <v>18746</v>
      </c>
      <c r="B6376" s="3"/>
      <c r="C6376" s="3" t="str">
        <f>"We apprecate local firemem and police. We are here to serve them like they serve us. What we don't have we try to get."</f>
        <v>We apprecate local firemem and police. We are here to serve them like they serve us. What we don't have we try to get.</v>
      </c>
      <c r="D6376" s="3" t="s">
        <v>9</v>
      </c>
      <c r="E6376" s="3" t="s">
        <v>18747</v>
      </c>
      <c r="F6376" s="3" t="str">
        <f>"765-457-7930"</f>
        <v>765-457-7930</v>
      </c>
      <c r="G6376" s="3">
        <v>99999</v>
      </c>
      <c r="H6376" s="3" t="s">
        <v>8262</v>
      </c>
    </row>
    <row r="6377" spans="1:8" ht="77.25" x14ac:dyDescent="0.25">
      <c r="A6377" s="3" t="s">
        <v>18748</v>
      </c>
      <c r="B6377" s="3"/>
      <c r="C6377" s="3" t="str">
        <f>"We specialize in the wholesale and manufacturing of disposable protective apparel. We also wholesale a full line of safety supplies and Flame Retardant garments. We offer high quality products at unbeatable prices."</f>
        <v>We specialize in the wholesale and manufacturing of disposable protective apparel. We also wholesale a full line of safety supplies and Flame Retardant garments. We offer high quality products at unbeatable prices.</v>
      </c>
      <c r="D6377" s="3" t="s">
        <v>18749</v>
      </c>
      <c r="E6377" s="3" t="s">
        <v>18750</v>
      </c>
      <c r="F6377" s="3" t="str">
        <f>"219-989-4613"</f>
        <v>219-989-4613</v>
      </c>
      <c r="G6377" s="3">
        <v>315999</v>
      </c>
      <c r="H6377" s="3" t="s">
        <v>4357</v>
      </c>
    </row>
    <row r="6378" spans="1:8" ht="51.75" x14ac:dyDescent="0.25">
      <c r="A6378" s="3" t="s">
        <v>18751</v>
      </c>
      <c r="B6378" s="3"/>
      <c r="C6378" s="3" t="str">
        <f>"Five star ShoreMaster dealer. Build, construct, repair all makes of Docks and Boat lifts. Dredging, riprap, sea walls, boat storage (winter). Summer trailer storage."</f>
        <v>Five star ShoreMaster dealer. Build, construct, repair all makes of Docks and Boat lifts. Dredging, riprap, sea walls, boat storage (winter). Summer trailer storage.</v>
      </c>
      <c r="D6378" s="3" t="s">
        <v>18752</v>
      </c>
      <c r="E6378" s="3" t="s">
        <v>18753</v>
      </c>
      <c r="F6378" s="3" t="str">
        <f>"317-545-7168"</f>
        <v>317-545-7168</v>
      </c>
      <c r="G6378" s="3">
        <v>237990</v>
      </c>
      <c r="H6378" s="3" t="s">
        <v>2631</v>
      </c>
    </row>
    <row r="6379" spans="1:8" ht="39" x14ac:dyDescent="0.25">
      <c r="A6379" s="3" t="s">
        <v>18754</v>
      </c>
      <c r="B6379" s="3"/>
      <c r="C6379" s="3" t="str">
        <f>"Dealer for concrete block, brick and masonry supplies. Also modular buildings and a/v equipment."</f>
        <v>Dealer for concrete block, brick and masonry supplies. Also modular buildings and a/v equipment.</v>
      </c>
      <c r="D6379" s="3" t="s">
        <v>9</v>
      </c>
      <c r="E6379" s="3" t="s">
        <v>18755</v>
      </c>
      <c r="F6379" s="3" t="str">
        <f>"812-987-7076"</f>
        <v>812-987-7076</v>
      </c>
      <c r="G6379" s="3">
        <v>423320</v>
      </c>
      <c r="H6379" s="3" t="s">
        <v>18465</v>
      </c>
    </row>
    <row r="6380" spans="1:8" ht="51.75" x14ac:dyDescent="0.25">
      <c r="A6380" s="3" t="s">
        <v>18756</v>
      </c>
      <c r="B6380" s="3"/>
      <c r="C6380" s="3" t="str">
        <f>"Union Mechanical and Machining Contractor Mechanical Services Field and Shop Machining Pump and Turbine Repair 24 Hour Emergency Service"</f>
        <v>Union Mechanical and Machining Contractor Mechanical Services Field and Shop Machining Pump and Turbine Repair 24 Hour Emergency Service</v>
      </c>
      <c r="D6380" s="3" t="s">
        <v>18757</v>
      </c>
      <c r="E6380" s="3" t="s">
        <v>18758</v>
      </c>
      <c r="F6380" s="3" t="str">
        <f>"219-845-9200"</f>
        <v>219-845-9200</v>
      </c>
      <c r="G6380" s="3">
        <v>81131</v>
      </c>
      <c r="H6380" s="3" t="s">
        <v>1895</v>
      </c>
    </row>
    <row r="6381" spans="1:8" ht="268.5" x14ac:dyDescent="0.25">
      <c r="A6381" s="3" t="s">
        <v>18759</v>
      </c>
      <c r="B6381" s="3"/>
      <c r="C6381" s="3" t="s">
        <v>18760</v>
      </c>
      <c r="D6381" s="3" t="s">
        <v>18761</v>
      </c>
      <c r="E6381" s="3" t="s">
        <v>18762</v>
      </c>
      <c r="F6381" s="3" t="str">
        <f>"317.769.4931"</f>
        <v>317.769.4931</v>
      </c>
      <c r="G6381" s="3">
        <v>541612</v>
      </c>
      <c r="H6381" s="3" t="s">
        <v>1923</v>
      </c>
    </row>
    <row r="6382" spans="1:8" ht="102.75" x14ac:dyDescent="0.25">
      <c r="A6382" s="3" t="s">
        <v>18763</v>
      </c>
      <c r="B6382" s="3"/>
      <c r="C6382" s="3" t="s">
        <v>18764</v>
      </c>
      <c r="D6382" s="3" t="s">
        <v>9</v>
      </c>
      <c r="E6382" s="3" t="s">
        <v>18765</v>
      </c>
      <c r="F6382" s="2"/>
      <c r="G6382" s="3">
        <v>711510</v>
      </c>
      <c r="H6382" s="3" t="s">
        <v>1980</v>
      </c>
    </row>
    <row r="6383" spans="1:8" ht="115.5" x14ac:dyDescent="0.25">
      <c r="A6383" s="3" t="s">
        <v>18766</v>
      </c>
      <c r="B6383" s="3"/>
      <c r="C6383" s="3" t="s">
        <v>18767</v>
      </c>
      <c r="D6383" s="3" t="s">
        <v>18768</v>
      </c>
      <c r="E6383" s="3" t="s">
        <v>18769</v>
      </c>
      <c r="F6383" s="3" t="str">
        <f>"317-574-0331"</f>
        <v>317-574-0331</v>
      </c>
      <c r="G6383" s="3">
        <v>541519</v>
      </c>
      <c r="H6383" s="3" t="s">
        <v>898</v>
      </c>
    </row>
    <row r="6384" spans="1:8" ht="90" x14ac:dyDescent="0.25">
      <c r="A6384" s="3" t="s">
        <v>18770</v>
      </c>
      <c r="B6384" s="3"/>
      <c r="C6384" s="3" t="str">
        <f>"Primarily engaged in planning and designing residential, institutional, leisure, commercial, and industrial buildings and structures by applying knowledge of design, construction procedures, zoning regulations, building codes, and building materials"</f>
        <v>Primarily engaged in planning and designing residential, institutional, leisure, commercial, and industrial buildings and structures by applying knowledge of design, construction procedures, zoning regulations, building codes, and building materials</v>
      </c>
      <c r="D6384" s="3" t="s">
        <v>9</v>
      </c>
      <c r="E6384" s="3" t="s">
        <v>18771</v>
      </c>
      <c r="F6384" s="3" t="str">
        <f>"317-496-9445"</f>
        <v>317-496-9445</v>
      </c>
      <c r="G6384" s="3">
        <v>541310</v>
      </c>
      <c r="H6384" s="3" t="s">
        <v>446</v>
      </c>
    </row>
    <row r="6385" spans="1:8" ht="179.25" x14ac:dyDescent="0.25">
      <c r="A6385" s="3" t="s">
        <v>18772</v>
      </c>
      <c r="B6385" s="3"/>
      <c r="C6385" s="3" t="s">
        <v>18773</v>
      </c>
      <c r="D6385" s="3" t="s">
        <v>9</v>
      </c>
      <c r="E6385" s="3" t="s">
        <v>46</v>
      </c>
      <c r="F6385" s="3" t="str">
        <f>"317-926-1223"</f>
        <v>317-926-1223</v>
      </c>
      <c r="G6385" s="3">
        <v>2332</v>
      </c>
      <c r="H6385" s="3" t="s">
        <v>3466</v>
      </c>
    </row>
    <row r="6386" spans="1:8" ht="77.25" x14ac:dyDescent="0.25">
      <c r="A6386" s="3" t="s">
        <v>18774</v>
      </c>
      <c r="B6386" s="3"/>
      <c r="C6386" s="3" t="str">
        <f>"Provide services to MBEs/WBEs and connect them to business opportunities throughout the state/country by helping local, state and private sector meet their percentage MBEs/WBEs goals. Company is based on the MBE/WBE Business Community Model."</f>
        <v>Provide services to MBEs/WBEs and connect them to business opportunities throughout the state/country by helping local, state and private sector meet their percentage MBEs/WBEs goals. Company is based on the MBE/WBE Business Community Model.</v>
      </c>
      <c r="D6386" s="3" t="s">
        <v>9</v>
      </c>
      <c r="E6386" s="3" t="s">
        <v>18775</v>
      </c>
      <c r="F6386" s="3" t="str">
        <f>"8124376914"</f>
        <v>8124376914</v>
      </c>
      <c r="G6386" s="3">
        <v>54161</v>
      </c>
      <c r="H6386" s="3" t="s">
        <v>1221</v>
      </c>
    </row>
    <row r="6387" spans="1:8" ht="115.5" x14ac:dyDescent="0.25">
      <c r="A6387" s="3" t="s">
        <v>18776</v>
      </c>
      <c r="B6387" s="3"/>
      <c r="C6387" s="3" t="s">
        <v>18777</v>
      </c>
      <c r="D6387" s="3" t="s">
        <v>18778</v>
      </c>
      <c r="E6387" s="3" t="s">
        <v>18779</v>
      </c>
      <c r="F6387" s="3" t="str">
        <f>"317-924-4180"</f>
        <v>317-924-4180</v>
      </c>
      <c r="G6387" s="3">
        <v>238310</v>
      </c>
      <c r="H6387" s="3" t="s">
        <v>2526</v>
      </c>
    </row>
    <row r="6388" spans="1:8" ht="26.25" x14ac:dyDescent="0.25">
      <c r="A6388" s="3" t="s">
        <v>18780</v>
      </c>
      <c r="B6388" s="3"/>
      <c r="C6388" s="3" t="str">
        <f>"Miracle Medical Supply Inc is a vendor of Medical Supplies."</f>
        <v>Miracle Medical Supply Inc is a vendor of Medical Supplies.</v>
      </c>
      <c r="D6388" s="3" t="s">
        <v>9</v>
      </c>
      <c r="E6388" s="3" t="s">
        <v>18781</v>
      </c>
      <c r="F6388" s="3" t="str">
        <f>"317.876.5840"</f>
        <v>317.876.5840</v>
      </c>
      <c r="G6388" s="3">
        <v>3391</v>
      </c>
      <c r="H6388" s="3" t="s">
        <v>2119</v>
      </c>
    </row>
    <row r="6389" spans="1:8" ht="77.25" x14ac:dyDescent="0.25">
      <c r="A6389" s="3" t="s">
        <v>18782</v>
      </c>
      <c r="B6389" s="3"/>
      <c r="C6389" s="3" t="str">
        <f>"I sell Microfiber mops, wet &amp; dusting pads, waxing pads, microfiber cloths &amp; mitts microfiber blind cleaners ,dusters, microfiber spa items, microfiber car cleaning mitts etc, for all your cleaning needs."</f>
        <v>I sell Microfiber mops, wet &amp; dusting pads, waxing pads, microfiber cloths &amp; mitts microfiber blind cleaners ,dusters, microfiber spa items, microfiber car cleaning mitts etc, for all your cleaning needs.</v>
      </c>
      <c r="D6389" s="3" t="s">
        <v>9</v>
      </c>
      <c r="E6389" s="3" t="s">
        <v>18783</v>
      </c>
      <c r="F6389" s="3" t="str">
        <f>"812 279-4154"</f>
        <v>812 279-4154</v>
      </c>
      <c r="G6389" s="3">
        <v>423850</v>
      </c>
      <c r="H6389" s="3" t="s">
        <v>419</v>
      </c>
    </row>
    <row r="6390" spans="1:8" ht="128.25" x14ac:dyDescent="0.25">
      <c r="A6390" s="3" t="s">
        <v>18784</v>
      </c>
      <c r="B6390" s="3"/>
      <c r="C6390" s="3" t="s">
        <v>18785</v>
      </c>
      <c r="D6390" s="3" t="s">
        <v>9</v>
      </c>
      <c r="E6390" s="3" t="s">
        <v>46</v>
      </c>
      <c r="F6390" s="2"/>
      <c r="G6390" s="3">
        <v>423510</v>
      </c>
      <c r="H6390" s="3" t="s">
        <v>10869</v>
      </c>
    </row>
    <row r="6391" spans="1:8" ht="26.25" x14ac:dyDescent="0.25">
      <c r="A6391" s="3" t="s">
        <v>18786</v>
      </c>
      <c r="B6391" s="3"/>
      <c r="C6391" s="3" t="str">
        <f>"Office trailer rental with office equipment and furniture."</f>
        <v>Office trailer rental with office equipment and furniture.</v>
      </c>
      <c r="D6391" s="3" t="s">
        <v>18787</v>
      </c>
      <c r="E6391" s="3" t="s">
        <v>18788</v>
      </c>
      <c r="F6391" s="3" t="str">
        <f>"317/858-0300"</f>
        <v>317/858-0300</v>
      </c>
      <c r="G6391" s="3">
        <v>532120</v>
      </c>
      <c r="H6391" s="3" t="s">
        <v>860</v>
      </c>
    </row>
    <row r="6392" spans="1:8" ht="306.75" x14ac:dyDescent="0.25">
      <c r="A6392" s="3" t="s">
        <v>18789</v>
      </c>
      <c r="B6392" s="3"/>
      <c r="C6392" s="3" t="s">
        <v>18790</v>
      </c>
      <c r="D6392" s="3" t="s">
        <v>18791</v>
      </c>
      <c r="E6392" s="3" t="s">
        <v>18792</v>
      </c>
      <c r="F6392" s="3" t="str">
        <f>"800-820-0640"</f>
        <v>800-820-0640</v>
      </c>
      <c r="G6392" s="3">
        <v>523110</v>
      </c>
      <c r="H6392" s="3" t="s">
        <v>6614</v>
      </c>
    </row>
    <row r="6393" spans="1:8" ht="115.5" x14ac:dyDescent="0.25">
      <c r="A6393" s="3" t="s">
        <v>18793</v>
      </c>
      <c r="B6393" s="3"/>
      <c r="C6393" s="3" t="s">
        <v>18794</v>
      </c>
      <c r="D6393" s="3" t="s">
        <v>18795</v>
      </c>
      <c r="E6393" s="3" t="s">
        <v>18796</v>
      </c>
      <c r="F6393" s="3" t="str">
        <f>"9178041030"</f>
        <v>9178041030</v>
      </c>
      <c r="G6393" s="3">
        <v>61</v>
      </c>
      <c r="H6393" s="3" t="s">
        <v>140</v>
      </c>
    </row>
    <row r="6394" spans="1:8" ht="115.5" x14ac:dyDescent="0.25">
      <c r="A6394" s="3" t="s">
        <v>18797</v>
      </c>
      <c r="B6394" s="3"/>
      <c r="C6394" s="3" t="s">
        <v>18798</v>
      </c>
      <c r="D6394" s="3" t="s">
        <v>18799</v>
      </c>
      <c r="E6394" s="3" t="s">
        <v>18800</v>
      </c>
      <c r="F6394" s="3" t="str">
        <f>"317 578 8696"</f>
        <v>317 578 8696</v>
      </c>
      <c r="G6394" s="3">
        <v>31192</v>
      </c>
      <c r="H6394" s="3" t="s">
        <v>7015</v>
      </c>
    </row>
    <row r="6395" spans="1:8" ht="90" x14ac:dyDescent="0.25">
      <c r="A6395" s="3" t="s">
        <v>18801</v>
      </c>
      <c r="B6395" s="3"/>
      <c r="C6395" s="3" t="s">
        <v>18802</v>
      </c>
      <c r="D6395" s="3" t="s">
        <v>18803</v>
      </c>
      <c r="E6395" s="3" t="s">
        <v>18804</v>
      </c>
      <c r="F6395" s="3" t="str">
        <f>"219-326-9200"</f>
        <v>219-326-9200</v>
      </c>
      <c r="G6395" s="3">
        <v>236115</v>
      </c>
      <c r="H6395" s="3" t="s">
        <v>1822</v>
      </c>
    </row>
    <row r="6396" spans="1:8" ht="128.25" x14ac:dyDescent="0.25">
      <c r="A6396" s="3" t="s">
        <v>18805</v>
      </c>
      <c r="B6396" s="3"/>
      <c r="C6396" s="3" t="s">
        <v>18806</v>
      </c>
      <c r="D6396" s="3" t="s">
        <v>18807</v>
      </c>
      <c r="E6396" s="3" t="s">
        <v>18808</v>
      </c>
      <c r="F6396" s="3" t="str">
        <f>"317-687-2747"</f>
        <v>317-687-2747</v>
      </c>
      <c r="G6396" s="3">
        <v>531320</v>
      </c>
      <c r="H6396" s="3" t="s">
        <v>34</v>
      </c>
    </row>
    <row r="6397" spans="1:8" ht="115.5" x14ac:dyDescent="0.25">
      <c r="A6397" s="3" t="s">
        <v>18809</v>
      </c>
      <c r="B6397" s="3"/>
      <c r="C6397" s="3" t="s">
        <v>18810</v>
      </c>
      <c r="D6397" s="3" t="s">
        <v>18811</v>
      </c>
      <c r="E6397" s="3" t="s">
        <v>18812</v>
      </c>
      <c r="F6397" s="3" t="str">
        <f>"812 849-4935"</f>
        <v>812 849-4935</v>
      </c>
      <c r="G6397" s="3">
        <v>31</v>
      </c>
      <c r="H6397" s="3" t="s">
        <v>999</v>
      </c>
    </row>
    <row r="6398" spans="1:8" ht="102.75" x14ac:dyDescent="0.25">
      <c r="A6398" s="3" t="s">
        <v>18813</v>
      </c>
      <c r="B6398" s="3"/>
      <c r="C6398" s="3" t="s">
        <v>18814</v>
      </c>
      <c r="D6398" s="3" t="s">
        <v>18815</v>
      </c>
      <c r="E6398" s="3" t="s">
        <v>18816</v>
      </c>
      <c r="F6398" s="3" t="str">
        <f>"866-536-8082"</f>
        <v>866-536-8082</v>
      </c>
      <c r="G6398" s="3">
        <v>541511</v>
      </c>
      <c r="H6398" s="3" t="s">
        <v>122</v>
      </c>
    </row>
    <row r="6399" spans="1:8" ht="255.75" x14ac:dyDescent="0.25">
      <c r="A6399" s="3" t="s">
        <v>18817</v>
      </c>
      <c r="B6399" s="3"/>
      <c r="C6399" s="3" t="s">
        <v>18818</v>
      </c>
      <c r="D6399" s="3" t="s">
        <v>18819</v>
      </c>
      <c r="E6399" s="3" t="s">
        <v>18820</v>
      </c>
      <c r="F6399" s="3" t="str">
        <f>"317-787-6371"</f>
        <v>317-787-6371</v>
      </c>
      <c r="G6399" s="3">
        <v>333132</v>
      </c>
      <c r="H6399" s="3" t="s">
        <v>18821</v>
      </c>
    </row>
    <row r="6400" spans="1:8" ht="77.25" x14ac:dyDescent="0.25">
      <c r="A6400" s="3" t="s">
        <v>18822</v>
      </c>
      <c r="B6400" s="3"/>
      <c r="C6400" s="3" t="str">
        <f>"My company provides custom orthopedic braces and prosthetic limbs to patients in their homes. We are referred to the patients either by their Doctors or Physical Therapist. I cover all of Mid North Indiana and am a Medicare provider."</f>
        <v>My company provides custom orthopedic braces and prosthetic limbs to patients in their homes. We are referred to the patients either by their Doctors or Physical Therapist. I cover all of Mid North Indiana and am a Medicare provider.</v>
      </c>
      <c r="D6400" s="3" t="s">
        <v>18823</v>
      </c>
      <c r="E6400" s="3" t="s">
        <v>18824</v>
      </c>
      <c r="F6400" s="3" t="str">
        <f>"765-463-4100"</f>
        <v>765-463-4100</v>
      </c>
      <c r="G6400" s="3">
        <v>339113</v>
      </c>
      <c r="H6400" s="3" t="s">
        <v>18825</v>
      </c>
    </row>
    <row r="6401" spans="1:8" ht="51.75" x14ac:dyDescent="0.25">
      <c r="A6401" s="3" t="s">
        <v>18826</v>
      </c>
      <c r="B6401" s="3"/>
      <c r="C6401" s="3" t="str">
        <f>"Medical equipment repair and service including ventilators, ivac pumps, defib/monitors and other respiratory and transport equipment."</f>
        <v>Medical equipment repair and service including ventilators, ivac pumps, defib/monitors and other respiratory and transport equipment.</v>
      </c>
      <c r="D6401" s="3" t="s">
        <v>18827</v>
      </c>
      <c r="E6401" s="3" t="s">
        <v>18828</v>
      </c>
      <c r="F6401" s="3" t="str">
        <f>"1-888-662-6246"</f>
        <v>1-888-662-6246</v>
      </c>
      <c r="G6401" s="3">
        <v>42145</v>
      </c>
      <c r="H6401" s="3" t="s">
        <v>4608</v>
      </c>
    </row>
    <row r="6402" spans="1:8" ht="90" x14ac:dyDescent="0.25">
      <c r="A6402" s="3" t="s">
        <v>18829</v>
      </c>
      <c r="B6402" s="3"/>
      <c r="C6402" s="3" t="s">
        <v>18830</v>
      </c>
      <c r="D6402" s="3" t="s">
        <v>18831</v>
      </c>
      <c r="E6402" s="3" t="s">
        <v>18832</v>
      </c>
      <c r="F6402" s="3" t="str">
        <f>"317-204-2210"</f>
        <v>317-204-2210</v>
      </c>
      <c r="G6402" s="3">
        <v>541618</v>
      </c>
      <c r="H6402" s="3" t="s">
        <v>3527</v>
      </c>
    </row>
    <row r="6403" spans="1:8" ht="39" x14ac:dyDescent="0.25">
      <c r="A6403" s="3" t="s">
        <v>18833</v>
      </c>
      <c r="B6403" s="3"/>
      <c r="C6403" s="3" t="str">
        <f>"We sell trailers for almost any use including cargo, car, motorcycle, tempoary office and modular buildings."</f>
        <v>We sell trailers for almost any use including cargo, car, motorcycle, tempoary office and modular buildings.</v>
      </c>
      <c r="D6403" s="3" t="s">
        <v>18834</v>
      </c>
      <c r="E6403" s="3" t="s">
        <v>18835</v>
      </c>
      <c r="F6403" s="3" t="str">
        <f>"800-348-8541"</f>
        <v>800-348-8541</v>
      </c>
      <c r="G6403" s="3">
        <v>531110</v>
      </c>
      <c r="H6403" s="3" t="s">
        <v>1311</v>
      </c>
    </row>
    <row r="6404" spans="1:8" ht="255.75" x14ac:dyDescent="0.25">
      <c r="A6404" s="3" t="s">
        <v>18836</v>
      </c>
      <c r="B6404" s="3"/>
      <c r="C6404" s="3" t="s">
        <v>18837</v>
      </c>
      <c r="D6404" s="3" t="s">
        <v>18838</v>
      </c>
      <c r="E6404" s="3" t="s">
        <v>18839</v>
      </c>
      <c r="F6404" s="3" t="str">
        <f>"317-496-1950"</f>
        <v>317-496-1950</v>
      </c>
      <c r="G6404" s="3">
        <v>541380</v>
      </c>
      <c r="H6404" s="3" t="s">
        <v>226</v>
      </c>
    </row>
    <row r="6405" spans="1:8" ht="217.5" x14ac:dyDescent="0.25">
      <c r="A6405" s="3" t="s">
        <v>18840</v>
      </c>
      <c r="B6405" s="3"/>
      <c r="C6405" s="3" t="s">
        <v>18841</v>
      </c>
      <c r="D6405" s="3" t="s">
        <v>18842</v>
      </c>
      <c r="E6405" s="3" t="s">
        <v>46</v>
      </c>
      <c r="F6405" s="3" t="str">
        <f>"317-489-3520"</f>
        <v>317-489-3520</v>
      </c>
      <c r="G6405" s="3">
        <v>5141</v>
      </c>
      <c r="H6405" s="3" t="s">
        <v>1097</v>
      </c>
    </row>
    <row r="6406" spans="1:8" ht="128.25" x14ac:dyDescent="0.25">
      <c r="A6406" s="3" t="s">
        <v>18843</v>
      </c>
      <c r="B6406" s="3"/>
      <c r="C6406" s="3" t="s">
        <v>18844</v>
      </c>
      <c r="D6406" s="3" t="s">
        <v>18845</v>
      </c>
      <c r="E6406" s="3" t="s">
        <v>18846</v>
      </c>
      <c r="F6406" s="3" t="str">
        <f>"574-223-4509"</f>
        <v>574-223-4509</v>
      </c>
      <c r="G6406" s="3">
        <v>33281</v>
      </c>
      <c r="H6406" s="3" t="s">
        <v>3477</v>
      </c>
    </row>
    <row r="6407" spans="1:8" ht="64.5" x14ac:dyDescent="0.25">
      <c r="A6407" s="3" t="s">
        <v>18847</v>
      </c>
      <c r="B6407" s="3"/>
      <c r="C6407" s="3" t="str">
        <f>"Indiana supplier of graphic arts consumables and equipment, paper, ink, toner &amp; equipment for sign industry , ink &amp; toner for all types of desktop &amp; floor model printers."</f>
        <v>Indiana supplier of graphic arts consumables and equipment, paper, ink, toner &amp; equipment for sign industry , ink &amp; toner for all types of desktop &amp; floor model printers.</v>
      </c>
      <c r="D6407" s="3" t="s">
        <v>18848</v>
      </c>
      <c r="E6407" s="3" t="s">
        <v>18849</v>
      </c>
      <c r="F6407" s="3" t="str">
        <f>"317-634-5500"</f>
        <v>317-634-5500</v>
      </c>
      <c r="G6407" s="3">
        <v>423410</v>
      </c>
      <c r="H6407" s="3" t="s">
        <v>18850</v>
      </c>
    </row>
    <row r="6408" spans="1:8" ht="64.5" x14ac:dyDescent="0.25">
      <c r="A6408" s="3" t="s">
        <v>18851</v>
      </c>
      <c r="B6408" s="3"/>
      <c r="C6408" s="3" t="str">
        <f>"Modern Trailer Sales, Inc is a family owned and operated RV dealership since 1951. We specialize in towable RV's. We have a large parts and accessories store and service department."</f>
        <v>Modern Trailer Sales, Inc is a family owned and operated RV dealership since 1951. We specialize in towable RV's. We have a large parts and accessories store and service department.</v>
      </c>
      <c r="D6408" s="3" t="s">
        <v>18852</v>
      </c>
      <c r="E6408" s="3" t="s">
        <v>18853</v>
      </c>
      <c r="F6408" s="3" t="str">
        <f>"765-644-4497"</f>
        <v>765-644-4497</v>
      </c>
      <c r="G6408" s="3">
        <v>441210</v>
      </c>
      <c r="H6408" s="3" t="s">
        <v>1742</v>
      </c>
    </row>
    <row r="6409" spans="1:8" ht="26.25" x14ac:dyDescent="0.25">
      <c r="A6409" s="3" t="s">
        <v>18854</v>
      </c>
      <c r="B6409" s="3"/>
      <c r="C6409" s="3" t="str">
        <f>"A business consulting and employee training company"</f>
        <v>A business consulting and employee training company</v>
      </c>
      <c r="D6409" s="3" t="s">
        <v>18855</v>
      </c>
      <c r="E6409" s="3" t="s">
        <v>18856</v>
      </c>
      <c r="F6409" s="3" t="str">
        <f>"2603181520"</f>
        <v>2603181520</v>
      </c>
      <c r="G6409" s="3">
        <v>611430</v>
      </c>
      <c r="H6409" s="3" t="s">
        <v>1224</v>
      </c>
    </row>
    <row r="6410" spans="1:8" ht="64.5" x14ac:dyDescent="0.25">
      <c r="A6410" s="3" t="s">
        <v>18857</v>
      </c>
      <c r="B6410" s="3"/>
      <c r="C6410" s="3" t="str">
        <f>"Moellman Land Maintenance LLC provides land maintenance services, including but not limited to snow removal, mowing, temporary fencing, sprinkler installation and tree clearing."</f>
        <v>Moellman Land Maintenance LLC provides land maintenance services, including but not limited to snow removal, mowing, temporary fencing, sprinkler installation and tree clearing.</v>
      </c>
      <c r="D6410" s="3" t="s">
        <v>9</v>
      </c>
      <c r="E6410" s="3" t="s">
        <v>46</v>
      </c>
      <c r="F6410" s="3" t="str">
        <f>"317-545-9421"</f>
        <v>317-545-9421</v>
      </c>
      <c r="G6410" s="3">
        <v>811490</v>
      </c>
      <c r="H6410" s="3" t="s">
        <v>1539</v>
      </c>
    </row>
    <row r="6411" spans="1:8" ht="128.25" x14ac:dyDescent="0.25">
      <c r="A6411" s="3" t="s">
        <v>18858</v>
      </c>
      <c r="B6411" s="3"/>
      <c r="C6411" s="3" t="s">
        <v>18859</v>
      </c>
      <c r="D6411" s="3" t="s">
        <v>18860</v>
      </c>
      <c r="E6411" s="3" t="s">
        <v>18861</v>
      </c>
      <c r="F6411" s="3" t="str">
        <f>"317-837-2767"</f>
        <v>317-837-2767</v>
      </c>
      <c r="G6411" s="3">
        <v>2331</v>
      </c>
      <c r="H6411" s="3" t="s">
        <v>408</v>
      </c>
    </row>
    <row r="6412" spans="1:8" ht="51.75" x14ac:dyDescent="0.25">
      <c r="A6412" s="3" t="s">
        <v>18862</v>
      </c>
      <c r="B6412" s="3"/>
      <c r="C6412" s="3" t="str">
        <f>"complete steel warehouse and custom fabrication shop. Considerable expereience in fabrication for water/water pollution control facilities."</f>
        <v>complete steel warehouse and custom fabrication shop. Considerable expereience in fabrication for water/water pollution control facilities.</v>
      </c>
      <c r="D6412" s="3" t="s">
        <v>18863</v>
      </c>
      <c r="E6412" s="3" t="s">
        <v>18864</v>
      </c>
      <c r="F6412" s="3" t="str">
        <f>"765 649-5577"</f>
        <v>765 649-5577</v>
      </c>
      <c r="G6412" s="3">
        <v>3329</v>
      </c>
      <c r="H6412" s="3" t="s">
        <v>6800</v>
      </c>
    </row>
    <row r="6413" spans="1:8" ht="51.75" x14ac:dyDescent="0.25">
      <c r="A6413" s="3" t="s">
        <v>18865</v>
      </c>
      <c r="B6413" s="3"/>
      <c r="C6413" s="3" t="str">
        <f>"Residential, commercial, light industrial electrician. Sub- contractors for fencing, construction and spraying vegetation control"</f>
        <v>Residential, commercial, light industrial electrician. Sub- contractors for fencing, construction and spraying vegetation control</v>
      </c>
      <c r="D6413" s="3" t="s">
        <v>9</v>
      </c>
      <c r="E6413" s="3" t="s">
        <v>18866</v>
      </c>
      <c r="F6413" s="3" t="str">
        <f>"812-392-3131"</f>
        <v>812-392-3131</v>
      </c>
      <c r="G6413" s="3">
        <v>2353</v>
      </c>
      <c r="H6413" s="3" t="s">
        <v>306</v>
      </c>
    </row>
    <row r="6414" spans="1:8" ht="26.25" x14ac:dyDescent="0.25">
      <c r="A6414" s="3" t="s">
        <v>18867</v>
      </c>
      <c r="B6414" s="3"/>
      <c r="C6414" s="3" t="str">
        <f>"Roofing and Waterproofing Consulting Firm"</f>
        <v>Roofing and Waterproofing Consulting Firm</v>
      </c>
      <c r="D6414" s="3" t="s">
        <v>18868</v>
      </c>
      <c r="E6414" s="3" t="s">
        <v>46</v>
      </c>
      <c r="F6414" s="3" t="str">
        <f>"317-577-0910"</f>
        <v>317-577-0910</v>
      </c>
      <c r="G6414" s="3">
        <v>541310</v>
      </c>
      <c r="H6414" s="3" t="s">
        <v>446</v>
      </c>
    </row>
    <row r="6415" spans="1:8" x14ac:dyDescent="0.25">
      <c r="A6415" s="3" t="s">
        <v>18869</v>
      </c>
      <c r="B6415" s="3"/>
      <c r="C6415" s="2"/>
      <c r="D6415" s="3" t="s">
        <v>9</v>
      </c>
      <c r="E6415" s="3" t="s">
        <v>46</v>
      </c>
      <c r="F6415" s="2"/>
      <c r="G6415" s="3">
        <v>541380</v>
      </c>
      <c r="H6415" s="3" t="s">
        <v>226</v>
      </c>
    </row>
    <row r="6416" spans="1:8" ht="26.25" x14ac:dyDescent="0.25">
      <c r="A6416" s="3" t="s">
        <v>18870</v>
      </c>
      <c r="B6416" s="3"/>
      <c r="C6416" s="3" t="str">
        <f>" "</f>
        <v xml:space="preserve"> </v>
      </c>
      <c r="D6416" s="3" t="s">
        <v>18871</v>
      </c>
      <c r="E6416" s="3" t="s">
        <v>18872</v>
      </c>
      <c r="F6416" s="3" t="str">
        <f>"317-837-6665"</f>
        <v>317-837-6665</v>
      </c>
      <c r="G6416" s="3">
        <v>541350</v>
      </c>
      <c r="H6416" s="3" t="s">
        <v>1784</v>
      </c>
    </row>
    <row r="6417" spans="1:8" ht="51.75" x14ac:dyDescent="0.25">
      <c r="A6417" s="3" t="s">
        <v>18873</v>
      </c>
      <c r="B6417" s="3"/>
      <c r="C6417" s="3" t="str">
        <f>"Commercial and Residential Concrete Construction work. Examples are: foundations, walls, slabs, sidewalks, driveways, highways."</f>
        <v>Commercial and Residential Concrete Construction work. Examples are: foundations, walls, slabs, sidewalks, driveways, highways.</v>
      </c>
      <c r="D6417" s="3" t="s">
        <v>9</v>
      </c>
      <c r="E6417" s="3" t="s">
        <v>46</v>
      </c>
      <c r="F6417" s="2"/>
      <c r="G6417" s="3">
        <v>238110</v>
      </c>
      <c r="H6417" s="3" t="s">
        <v>156</v>
      </c>
    </row>
    <row r="6418" spans="1:8" ht="39" x14ac:dyDescent="0.25">
      <c r="A6418" s="3" t="s">
        <v>18874</v>
      </c>
      <c r="B6418" s="3"/>
      <c r="C6418" s="3" t="str">
        <f>"A managed care organizaton focusing on provision of health care for beneficiaries of government sponsored programs."</f>
        <v>A managed care organizaton focusing on provision of health care for beneficiaries of government sponsored programs.</v>
      </c>
      <c r="D6418" s="3" t="s">
        <v>18875</v>
      </c>
      <c r="E6418" s="3" t="s">
        <v>46</v>
      </c>
      <c r="F6418" s="3" t="str">
        <f>"800 642 4509"</f>
        <v>800 642 4509</v>
      </c>
      <c r="G6418" s="3">
        <v>62</v>
      </c>
      <c r="H6418" s="3" t="s">
        <v>1168</v>
      </c>
    </row>
    <row r="6419" spans="1:8" ht="26.25" x14ac:dyDescent="0.25">
      <c r="A6419" s="3" t="s">
        <v>18876</v>
      </c>
      <c r="B6419" s="3"/>
      <c r="C6419" s="3" t="str">
        <f>"Marketing services including consulting, event planning, and administrative services."</f>
        <v>Marketing services including consulting, event planning, and administrative services.</v>
      </c>
      <c r="D6419" s="3" t="s">
        <v>18877</v>
      </c>
      <c r="E6419" s="3" t="s">
        <v>18878</v>
      </c>
      <c r="F6419" s="3" t="str">
        <f>"317.271.7700"</f>
        <v>317.271.7700</v>
      </c>
      <c r="G6419" s="3">
        <v>541613</v>
      </c>
      <c r="H6419" s="3" t="s">
        <v>558</v>
      </c>
    </row>
    <row r="6420" spans="1:8" ht="102.75" x14ac:dyDescent="0.25">
      <c r="A6420" s="3" t="s">
        <v>18879</v>
      </c>
      <c r="B6420" s="3"/>
      <c r="C6420" s="3" t="s">
        <v>18880</v>
      </c>
      <c r="D6420" s="3" t="s">
        <v>9</v>
      </c>
      <c r="E6420" s="3" t="s">
        <v>18881</v>
      </c>
      <c r="F6420" s="3" t="str">
        <f>"3173351116"</f>
        <v>3173351116</v>
      </c>
      <c r="G6420" s="3">
        <v>54161</v>
      </c>
      <c r="H6420" s="3" t="s">
        <v>1221</v>
      </c>
    </row>
    <row r="6421" spans="1:8" ht="26.25" x14ac:dyDescent="0.25">
      <c r="A6421" s="3" t="s">
        <v>18882</v>
      </c>
      <c r="B6421" s="3"/>
      <c r="C6421" s="3" t="str">
        <f>"We buy and resell products via our internet site(s) as well as other auction sites."</f>
        <v>We buy and resell products via our internet site(s) as well as other auction sites.</v>
      </c>
      <c r="D6421" s="3" t="s">
        <v>18883</v>
      </c>
      <c r="E6421" s="3" t="s">
        <v>18884</v>
      </c>
      <c r="F6421" s="3" t="str">
        <f>"260-373-1867"</f>
        <v>260-373-1867</v>
      </c>
      <c r="G6421" s="3">
        <v>45411</v>
      </c>
      <c r="H6421" s="3" t="s">
        <v>18885</v>
      </c>
    </row>
    <row r="6422" spans="1:8" ht="268.5" x14ac:dyDescent="0.25">
      <c r="A6422" s="3" t="s">
        <v>18886</v>
      </c>
      <c r="B6422" s="3"/>
      <c r="C6422" s="3" t="s">
        <v>18887</v>
      </c>
      <c r="D6422" s="3" t="s">
        <v>9</v>
      </c>
      <c r="E6422" s="3" t="s">
        <v>18888</v>
      </c>
      <c r="F6422" s="3" t="str">
        <f>"812-372-7733"</f>
        <v>812-372-7733</v>
      </c>
      <c r="G6422" s="3">
        <v>5414</v>
      </c>
      <c r="H6422" s="3" t="s">
        <v>9276</v>
      </c>
    </row>
    <row r="6423" spans="1:8" ht="230.25" x14ac:dyDescent="0.25">
      <c r="A6423" s="3" t="s">
        <v>18889</v>
      </c>
      <c r="B6423" s="3"/>
      <c r="C6423" s="3" t="s">
        <v>18890</v>
      </c>
      <c r="D6423" s="3" t="s">
        <v>18891</v>
      </c>
      <c r="E6423" s="3" t="s">
        <v>18892</v>
      </c>
      <c r="F6423" s="3" t="str">
        <f>"831-476-5264"</f>
        <v>831-476-5264</v>
      </c>
      <c r="G6423" s="3">
        <v>236118</v>
      </c>
      <c r="H6423" s="3" t="s">
        <v>465</v>
      </c>
    </row>
    <row r="6424" spans="1:8" ht="26.25" x14ac:dyDescent="0.25">
      <c r="A6424" s="3" t="s">
        <v>18893</v>
      </c>
      <c r="B6424" s="3"/>
      <c r="C6424" s="3" t="str">
        <f>"Property Management"</f>
        <v>Property Management</v>
      </c>
      <c r="D6424" s="3" t="s">
        <v>9</v>
      </c>
      <c r="E6424" s="3" t="s">
        <v>46</v>
      </c>
      <c r="F6424" s="3" t="str">
        <f>"317-819-3003"</f>
        <v>317-819-3003</v>
      </c>
      <c r="G6424" s="3">
        <v>23322</v>
      </c>
      <c r="H6424" s="3" t="s">
        <v>10336</v>
      </c>
    </row>
    <row r="6425" spans="1:8" ht="39" x14ac:dyDescent="0.25">
      <c r="A6425" s="3" t="s">
        <v>18894</v>
      </c>
      <c r="B6425" s="3"/>
      <c r="C6425" s="3" t="str">
        <f>"Monarch is a supplier of linens, chef clothing, garments, mats, towels restroom supply etc. since 1956"</f>
        <v>Monarch is a supplier of linens, chef clothing, garments, mats, towels restroom supply etc. since 1956</v>
      </c>
      <c r="D6425" s="3" t="s">
        <v>18895</v>
      </c>
      <c r="E6425" s="3" t="s">
        <v>18896</v>
      </c>
      <c r="F6425" s="3" t="str">
        <f>"5742339433"</f>
        <v>5742339433</v>
      </c>
      <c r="G6425" s="3">
        <v>812331</v>
      </c>
      <c r="H6425" s="3" t="s">
        <v>18897</v>
      </c>
    </row>
    <row r="6426" spans="1:8" ht="51.75" x14ac:dyDescent="0.25">
      <c r="A6426" s="3" t="s">
        <v>18898</v>
      </c>
      <c r="B6426" s="3"/>
      <c r="C6426" s="3" t="str">
        <f>"Provide for hire Triaxle dump truck hauling of aggregrate and other construction product materials within a fifty + mile radius of the city of Indianapolis"</f>
        <v>Provide for hire Triaxle dump truck hauling of aggregrate and other construction product materials within a fifty + mile radius of the city of Indianapolis</v>
      </c>
      <c r="D6426" s="3" t="s">
        <v>9</v>
      </c>
      <c r="E6426" s="3" t="s">
        <v>46</v>
      </c>
      <c r="F6426" s="3" t="str">
        <f>"1-317-786-7988"</f>
        <v>1-317-786-7988</v>
      </c>
      <c r="G6426" s="3">
        <v>484110</v>
      </c>
      <c r="H6426" s="3" t="s">
        <v>644</v>
      </c>
    </row>
    <row r="6427" spans="1:8" ht="26.25" x14ac:dyDescent="0.25">
      <c r="A6427" s="3" t="s">
        <v>18899</v>
      </c>
      <c r="B6427" s="3"/>
      <c r="C6427" s="3" t="str">
        <f>"Sales, Placement, and Processing of ATMs."</f>
        <v>Sales, Placement, and Processing of ATMs.</v>
      </c>
      <c r="D6427" s="3" t="s">
        <v>9</v>
      </c>
      <c r="E6427" s="3" t="s">
        <v>18900</v>
      </c>
      <c r="F6427" s="3" t="str">
        <f>"317-501-1764"</f>
        <v>317-501-1764</v>
      </c>
      <c r="G6427" s="3">
        <v>454210</v>
      </c>
      <c r="H6427" s="3" t="s">
        <v>2889</v>
      </c>
    </row>
    <row r="6428" spans="1:8" ht="51.75" x14ac:dyDescent="0.25">
      <c r="A6428" s="3" t="s">
        <v>18901</v>
      </c>
      <c r="B6428" s="3"/>
      <c r="C6428" s="3" t="str">
        <f>"I provide consulting services to business in the area of identifying best practices and identifying efficiences in in the management of business."</f>
        <v>I provide consulting services to business in the area of identifying best practices and identifying efficiences in in the management of business.</v>
      </c>
      <c r="D6428" s="3" t="s">
        <v>9</v>
      </c>
      <c r="E6428" s="3" t="s">
        <v>18902</v>
      </c>
      <c r="F6428" s="3" t="str">
        <f>"317-777-8722"</f>
        <v>317-777-8722</v>
      </c>
      <c r="G6428" s="3">
        <v>541611</v>
      </c>
      <c r="H6428" s="3" t="s">
        <v>278</v>
      </c>
    </row>
    <row r="6429" spans="1:8" ht="26.25" x14ac:dyDescent="0.25">
      <c r="A6429" s="3" t="s">
        <v>18903</v>
      </c>
      <c r="B6429" s="3"/>
      <c r="C6429" s="3" t="str">
        <f>"aluminum recycle and green sand casting"</f>
        <v>aluminum recycle and green sand casting</v>
      </c>
      <c r="D6429" s="3" t="s">
        <v>9</v>
      </c>
      <c r="E6429" s="3" t="s">
        <v>18904</v>
      </c>
      <c r="F6429" s="3" t="str">
        <f>"812-268-3425"</f>
        <v>812-268-3425</v>
      </c>
      <c r="G6429" s="3">
        <v>333511</v>
      </c>
      <c r="H6429" s="3" t="s">
        <v>3016</v>
      </c>
    </row>
    <row r="6430" spans="1:8" ht="51.75" x14ac:dyDescent="0.25">
      <c r="A6430" s="3" t="s">
        <v>18905</v>
      </c>
      <c r="B6430" s="3"/>
      <c r="C6430" s="3" t="str">
        <f>"Residential and Commercial Carpet, Upholstery &amp; Tile Cleaning Residential and Commercial Air Duct Cleaning Residential and Commercial Dryer Vent Cleaning"</f>
        <v>Residential and Commercial Carpet, Upholstery &amp; Tile Cleaning Residential and Commercial Air Duct Cleaning Residential and Commercial Dryer Vent Cleaning</v>
      </c>
      <c r="D6430" s="3" t="s">
        <v>18906</v>
      </c>
      <c r="E6430" s="3" t="s">
        <v>18907</v>
      </c>
      <c r="F6430" s="3" t="str">
        <f>"317-861-6748"</f>
        <v>317-861-6748</v>
      </c>
      <c r="G6430" s="3">
        <v>23552</v>
      </c>
      <c r="H6430" s="3" t="s">
        <v>955</v>
      </c>
    </row>
    <row r="6431" spans="1:8" x14ac:dyDescent="0.25">
      <c r="A6431" s="3" t="s">
        <v>18908</v>
      </c>
      <c r="B6431" s="3"/>
      <c r="C6431" s="3" t="str">
        <f>" "</f>
        <v xml:space="preserve"> </v>
      </c>
      <c r="D6431" s="3" t="s">
        <v>9</v>
      </c>
      <c r="E6431" s="3" t="s">
        <v>46</v>
      </c>
      <c r="F6431" s="2"/>
      <c r="G6431" s="3">
        <v>611110</v>
      </c>
      <c r="H6431" s="3" t="s">
        <v>3876</v>
      </c>
    </row>
    <row r="6432" spans="1:8" ht="51.75" x14ac:dyDescent="0.25">
      <c r="A6432" s="3" t="s">
        <v>18909</v>
      </c>
      <c r="B6432" s="3"/>
      <c r="C6432" s="3" t="str">
        <f>"We provide prototype and small quantity machining as well as production manufacturing of tuned and milled products."</f>
        <v>We provide prototype and small quantity machining as well as production manufacturing of tuned and milled products.</v>
      </c>
      <c r="D6432" s="3" t="s">
        <v>9</v>
      </c>
      <c r="E6432" s="3" t="s">
        <v>18910</v>
      </c>
      <c r="F6432" s="3" t="str">
        <f>"317-782-1005"</f>
        <v>317-782-1005</v>
      </c>
      <c r="G6432" s="3">
        <v>332710</v>
      </c>
      <c r="H6432" s="3" t="s">
        <v>387</v>
      </c>
    </row>
    <row r="6433" spans="1:8" ht="39" x14ac:dyDescent="0.25">
      <c r="A6433" s="3" t="s">
        <v>18911</v>
      </c>
      <c r="B6433" s="3"/>
      <c r="C6433" s="3" t="str">
        <f>"Commercial, industrial, residential, right-of-way, and special purpose real estate appraisals and review appraisals."</f>
        <v>Commercial, industrial, residential, right-of-way, and special purpose real estate appraisals and review appraisals.</v>
      </c>
      <c r="D6433" s="3" t="s">
        <v>18912</v>
      </c>
      <c r="E6433" s="3" t="s">
        <v>18913</v>
      </c>
      <c r="F6433" s="3" t="str">
        <f>"812-332-5744"</f>
        <v>812-332-5744</v>
      </c>
      <c r="G6433" s="3">
        <v>531320</v>
      </c>
      <c r="H6433" s="3" t="s">
        <v>34</v>
      </c>
    </row>
    <row r="6434" spans="1:8" ht="39" x14ac:dyDescent="0.25">
      <c r="A6434" s="3" t="s">
        <v>18914</v>
      </c>
      <c r="B6434" s="3"/>
      <c r="C6434" s="3" t="str">
        <f>"Passenger, Light Truck, Farm, &amp; Commercial Vehicle New Tires and Complete Automotive Service"</f>
        <v>Passenger, Light Truck, Farm, &amp; Commercial Vehicle New Tires and Complete Automotive Service</v>
      </c>
      <c r="D6434" s="3" t="s">
        <v>9</v>
      </c>
      <c r="E6434" s="3" t="s">
        <v>18915</v>
      </c>
      <c r="F6434" s="3" t="str">
        <f>"574-267-8164"</f>
        <v>574-267-8164</v>
      </c>
      <c r="G6434" s="3">
        <v>4413</v>
      </c>
      <c r="H6434" s="3" t="s">
        <v>1210</v>
      </c>
    </row>
    <row r="6435" spans="1:8" ht="26.25" x14ac:dyDescent="0.25">
      <c r="A6435" s="3" t="s">
        <v>18916</v>
      </c>
      <c r="B6435" s="3"/>
      <c r="C6435" s="3" t="str">
        <f>"Montgomery County Indiana Government"</f>
        <v>Montgomery County Indiana Government</v>
      </c>
      <c r="D6435" s="3" t="s">
        <v>18917</v>
      </c>
      <c r="E6435" s="3" t="s">
        <v>18918</v>
      </c>
      <c r="F6435" s="3" t="str">
        <f>"7653646400"</f>
        <v>7653646400</v>
      </c>
      <c r="G6435" s="3">
        <v>9211</v>
      </c>
      <c r="H6435" s="3" t="s">
        <v>18919</v>
      </c>
    </row>
    <row r="6436" spans="1:8" ht="26.25" x14ac:dyDescent="0.25">
      <c r="A6436" s="3" t="s">
        <v>18920</v>
      </c>
      <c r="B6436" s="3"/>
      <c r="C6436" s="3" t="str">
        <f>"Full Service real estate brokerage business"</f>
        <v>Full Service real estate brokerage business</v>
      </c>
      <c r="D6436" s="3" t="s">
        <v>9</v>
      </c>
      <c r="E6436" s="3" t="s">
        <v>18921</v>
      </c>
      <c r="F6436" s="3" t="str">
        <f>"317-408-3667"</f>
        <v>317-408-3667</v>
      </c>
      <c r="G6436" s="3">
        <v>531210</v>
      </c>
      <c r="H6436" s="3" t="s">
        <v>1101</v>
      </c>
    </row>
    <row r="6437" spans="1:8" ht="26.25" x14ac:dyDescent="0.25">
      <c r="A6437" s="3" t="s">
        <v>18922</v>
      </c>
      <c r="B6437" s="3"/>
      <c r="C6437" s="3" t="str">
        <f>"Heavy Highway Road Construction Hauling"</f>
        <v>Heavy Highway Road Construction Hauling</v>
      </c>
      <c r="D6437" s="3" t="s">
        <v>9</v>
      </c>
      <c r="E6437" s="3" t="s">
        <v>18923</v>
      </c>
      <c r="F6437" s="3" t="str">
        <f>"260-312-2632"</f>
        <v>260-312-2632</v>
      </c>
      <c r="G6437" s="3">
        <v>484110</v>
      </c>
      <c r="H6437" s="3" t="s">
        <v>644</v>
      </c>
    </row>
    <row r="6438" spans="1:8" ht="26.25" x14ac:dyDescent="0.25">
      <c r="A6438" s="3" t="s">
        <v>18924</v>
      </c>
      <c r="B6438" s="3"/>
      <c r="C6438" s="3" t="str">
        <f>"Full service advertising and marketing firm"</f>
        <v>Full service advertising and marketing firm</v>
      </c>
      <c r="D6438" s="3" t="s">
        <v>18925</v>
      </c>
      <c r="E6438" s="3" t="s">
        <v>18926</v>
      </c>
      <c r="F6438" s="3" t="str">
        <f>"(317) 924-6271"</f>
        <v>(317) 924-6271</v>
      </c>
      <c r="G6438" s="3">
        <v>54181</v>
      </c>
      <c r="H6438" s="3" t="s">
        <v>976</v>
      </c>
    </row>
    <row r="6439" spans="1:8" ht="77.25" x14ac:dyDescent="0.25">
      <c r="A6439" s="3" t="s">
        <v>18927</v>
      </c>
      <c r="B6439" s="3"/>
      <c r="C6439" s="3" t="str">
        <f>"Montgomery's Lawn and Landscape is a full-service lawn care company, specializing in mowing and landscape services. We are a small-town company doing commercial and residential business in Indiana. We also do hauling, skidsteer work and snow removal."</f>
        <v>Montgomery's Lawn and Landscape is a full-service lawn care company, specializing in mowing and landscape services. We are a small-town company doing commercial and residential business in Indiana. We also do hauling, skidsteer work and snow removal.</v>
      </c>
      <c r="D6439" s="3" t="s">
        <v>9</v>
      </c>
      <c r="E6439" s="3" t="s">
        <v>18928</v>
      </c>
      <c r="F6439" s="3" t="str">
        <f>"765-548-2483"</f>
        <v>765-548-2483</v>
      </c>
      <c r="G6439" s="3">
        <v>561730</v>
      </c>
      <c r="H6439" s="3" t="s">
        <v>65</v>
      </c>
    </row>
    <row r="6440" spans="1:8" ht="243" x14ac:dyDescent="0.25">
      <c r="A6440" s="3" t="s">
        <v>18929</v>
      </c>
      <c r="B6440" s="3"/>
      <c r="C6440" s="3" t="s">
        <v>18930</v>
      </c>
      <c r="D6440" s="3" t="s">
        <v>9</v>
      </c>
      <c r="E6440" s="3" t="s">
        <v>18931</v>
      </c>
      <c r="F6440" s="3" t="str">
        <f>"317-407-2600"</f>
        <v>317-407-2600</v>
      </c>
      <c r="G6440" s="3">
        <v>541611</v>
      </c>
      <c r="H6440" s="3" t="s">
        <v>278</v>
      </c>
    </row>
    <row r="6441" spans="1:8" x14ac:dyDescent="0.25">
      <c r="A6441" s="3" t="s">
        <v>18932</v>
      </c>
      <c r="B6441" s="3"/>
      <c r="C6441" s="3" t="str">
        <f>" "</f>
        <v xml:space="preserve"> </v>
      </c>
      <c r="D6441" s="3" t="s">
        <v>9</v>
      </c>
      <c r="E6441" s="3" t="s">
        <v>18933</v>
      </c>
      <c r="F6441" s="2"/>
      <c r="G6441" s="3">
        <v>541211</v>
      </c>
      <c r="H6441" s="3" t="s">
        <v>337</v>
      </c>
    </row>
    <row r="6442" spans="1:8" ht="26.25" x14ac:dyDescent="0.25">
      <c r="A6442" s="3" t="s">
        <v>18934</v>
      </c>
      <c r="B6442" s="3"/>
      <c r="C6442" s="3" t="str">
        <f>"Manufacture leather goods. We also sell leather goods, dye and tools."</f>
        <v>Manufacture leather goods. We also sell leather goods, dye and tools.</v>
      </c>
      <c r="D6442" s="3" t="s">
        <v>9</v>
      </c>
      <c r="E6442" s="3" t="s">
        <v>46</v>
      </c>
      <c r="F6442" s="3" t="str">
        <f>"812-988-1326"</f>
        <v>812-988-1326</v>
      </c>
      <c r="G6442" s="3">
        <v>316</v>
      </c>
      <c r="H6442" s="3" t="s">
        <v>18935</v>
      </c>
    </row>
    <row r="6443" spans="1:8" ht="141" x14ac:dyDescent="0.25">
      <c r="A6443" s="3" t="s">
        <v>18936</v>
      </c>
      <c r="B6443" s="3"/>
      <c r="C6443" s="3" t="s">
        <v>18937</v>
      </c>
      <c r="D6443" s="3" t="s">
        <v>18938</v>
      </c>
      <c r="E6443" s="3" t="s">
        <v>18939</v>
      </c>
      <c r="F6443" s="3" t="str">
        <f>"317-504-0296"</f>
        <v>317-504-0296</v>
      </c>
      <c r="G6443" s="3">
        <v>5412</v>
      </c>
      <c r="H6443" s="3" t="s">
        <v>311</v>
      </c>
    </row>
    <row r="6444" spans="1:8" ht="77.25" x14ac:dyDescent="0.25">
      <c r="A6444" s="3" t="s">
        <v>18940</v>
      </c>
      <c r="B6444" s="3"/>
      <c r="C6444" s="3" t="str">
        <f>"Fully self-contained printing company with high-tech capabilities. All finishing is done in-house, including: UV coating, Film Laminations, Foil Stamping, Die Cutting, Folding/Gluing, (Perfect, Comb, Spiral and Saddlestich binding), Security Stamping."</f>
        <v>Fully self-contained printing company with high-tech capabilities. All finishing is done in-house, including: UV coating, Film Laminations, Foil Stamping, Die Cutting, Folding/Gluing, (Perfect, Comb, Spiral and Saddlestich binding), Security Stamping.</v>
      </c>
      <c r="D6444" s="3" t="s">
        <v>18941</v>
      </c>
      <c r="E6444" s="3" t="s">
        <v>18942</v>
      </c>
      <c r="F6444" s="3" t="str">
        <f>"317-484-8000"</f>
        <v>317-484-8000</v>
      </c>
      <c r="G6444" s="3">
        <v>323110</v>
      </c>
      <c r="H6444" s="3" t="s">
        <v>1900</v>
      </c>
    </row>
    <row r="6445" spans="1:8" ht="90" x14ac:dyDescent="0.25">
      <c r="A6445" s="3" t="s">
        <v>18943</v>
      </c>
      <c r="B6445" s="3"/>
      <c r="C6445" s="3" t="s">
        <v>18944</v>
      </c>
      <c r="D6445" s="3" t="s">
        <v>18945</v>
      </c>
      <c r="E6445" s="3" t="s">
        <v>18946</v>
      </c>
      <c r="F6445" s="3" t="str">
        <f>"317-297-2213"</f>
        <v>317-297-2213</v>
      </c>
      <c r="G6445" s="3">
        <v>322233</v>
      </c>
      <c r="H6445" s="3" t="s">
        <v>18947</v>
      </c>
    </row>
    <row r="6446" spans="1:8" ht="102.75" x14ac:dyDescent="0.25">
      <c r="A6446" s="3" t="s">
        <v>18948</v>
      </c>
      <c r="B6446" s="3"/>
      <c r="C6446" s="3" t="s">
        <v>18949</v>
      </c>
      <c r="D6446" s="3" t="s">
        <v>18950</v>
      </c>
      <c r="E6446" s="3" t="s">
        <v>18951</v>
      </c>
      <c r="F6446" s="3" t="str">
        <f>"(317) 966-0544"</f>
        <v>(317) 966-0544</v>
      </c>
      <c r="G6446" s="3">
        <v>524126</v>
      </c>
      <c r="H6446" s="3" t="s">
        <v>14021</v>
      </c>
    </row>
    <row r="6447" spans="1:8" ht="217.5" x14ac:dyDescent="0.25">
      <c r="A6447" s="3" t="s">
        <v>18952</v>
      </c>
      <c r="B6447" s="3"/>
      <c r="C6447" s="3" t="s">
        <v>18953</v>
      </c>
      <c r="D6447" s="3" t="s">
        <v>18954</v>
      </c>
      <c r="E6447" s="3" t="s">
        <v>18955</v>
      </c>
      <c r="F6447" s="3" t="str">
        <f>"317-831-2265"</f>
        <v>317-831-2265</v>
      </c>
      <c r="G6447" s="3">
        <v>336211</v>
      </c>
      <c r="H6447" s="3" t="s">
        <v>6061</v>
      </c>
    </row>
    <row r="6448" spans="1:8" ht="39" x14ac:dyDescent="0.25">
      <c r="A6448" s="3" t="s">
        <v>18956</v>
      </c>
      <c r="B6448" s="3"/>
      <c r="C6448" s="3" t="str">
        <f>"Morales Group Inc. is a staffing and fullfillment service company for light industrial applications."</f>
        <v>Morales Group Inc. is a staffing and fullfillment service company for light industrial applications.</v>
      </c>
      <c r="D6448" s="3" t="s">
        <v>18957</v>
      </c>
      <c r="E6448" s="3" t="s">
        <v>18958</v>
      </c>
      <c r="F6448" s="3" t="str">
        <f>"317 472-7606"</f>
        <v>317 472-7606</v>
      </c>
      <c r="G6448" s="3">
        <v>561320</v>
      </c>
      <c r="H6448" s="3" t="s">
        <v>15</v>
      </c>
    </row>
    <row r="6449" spans="1:8" ht="51.75" x14ac:dyDescent="0.25">
      <c r="A6449" s="3" t="s">
        <v>18959</v>
      </c>
      <c r="B6449" s="3"/>
      <c r="C6449" s="3" t="str">
        <f>"Environmental Consulting Services: Phase I, Phase II ESAs, Investigation, Remediation, Brownfield Consulting Services, Storage Tank Removal and Closure, Risk Assessment"</f>
        <v>Environmental Consulting Services: Phase I, Phase II ESAs, Investigation, Remediation, Brownfield Consulting Services, Storage Tank Removal and Closure, Risk Assessment</v>
      </c>
      <c r="D6449" s="3" t="s">
        <v>18960</v>
      </c>
      <c r="E6449" s="3" t="s">
        <v>18961</v>
      </c>
      <c r="F6449" s="3" t="str">
        <f>"269-806-5185"</f>
        <v>269-806-5185</v>
      </c>
      <c r="G6449" s="3">
        <v>54162</v>
      </c>
      <c r="H6449" s="3" t="s">
        <v>216</v>
      </c>
    </row>
    <row r="6450" spans="1:8" ht="51.75" x14ac:dyDescent="0.25">
      <c r="A6450" s="3" t="s">
        <v>18962</v>
      </c>
      <c r="B6450" s="3"/>
      <c r="C6450" s="3" t="str">
        <f>"SAP Consultancy specializing in Project Systems (PS) module in the Aerospace &amp; Defense Industry. Functional and technical contultants with 10 years SAP experience."</f>
        <v>SAP Consultancy specializing in Project Systems (PS) module in the Aerospace &amp; Defense Industry. Functional and technical contultants with 10 years SAP experience.</v>
      </c>
      <c r="D6450" s="3" t="s">
        <v>18963</v>
      </c>
      <c r="E6450" s="3" t="s">
        <v>18964</v>
      </c>
      <c r="F6450" s="3" t="str">
        <f>"(765) 342-8426"</f>
        <v>(765) 342-8426</v>
      </c>
      <c r="G6450" s="3">
        <v>5415</v>
      </c>
      <c r="H6450" s="3" t="s">
        <v>188</v>
      </c>
    </row>
    <row r="6451" spans="1:8" ht="39" x14ac:dyDescent="0.25">
      <c r="A6451" s="3" t="s">
        <v>18965</v>
      </c>
      <c r="B6451" s="3"/>
      <c r="C6451" s="3" t="str">
        <f>"Pavement Maintenance, Parking Lot Striping, Crack Filling, Sealcoating, Asphalt Repair, Pressure Washing"</f>
        <v>Pavement Maintenance, Parking Lot Striping, Crack Filling, Sealcoating, Asphalt Repair, Pressure Washing</v>
      </c>
      <c r="D6451" s="3" t="s">
        <v>18966</v>
      </c>
      <c r="E6451" s="3" t="s">
        <v>18967</v>
      </c>
      <c r="F6451" s="3" t="str">
        <f>"317-776-2116"</f>
        <v>317-776-2116</v>
      </c>
      <c r="G6451" s="3">
        <v>237310</v>
      </c>
      <c r="H6451" s="3" t="s">
        <v>768</v>
      </c>
    </row>
    <row r="6452" spans="1:8" ht="141" x14ac:dyDescent="0.25">
      <c r="A6452" s="3" t="s">
        <v>18968</v>
      </c>
      <c r="B6452" s="3"/>
      <c r="C6452" s="3" t="s">
        <v>18969</v>
      </c>
      <c r="D6452" s="3" t="s">
        <v>18970</v>
      </c>
      <c r="E6452" s="3" t="s">
        <v>18971</v>
      </c>
      <c r="F6452" s="3" t="str">
        <f>"812-464-9585"</f>
        <v>812-464-9585</v>
      </c>
      <c r="G6452" s="3">
        <v>541330</v>
      </c>
      <c r="H6452" s="3" t="s">
        <v>82</v>
      </c>
    </row>
    <row r="6453" spans="1:8" ht="204.75" x14ac:dyDescent="0.25">
      <c r="A6453" s="3" t="s">
        <v>18972</v>
      </c>
      <c r="B6453" s="3"/>
      <c r="C6453" s="3" t="s">
        <v>18973</v>
      </c>
      <c r="D6453" s="3" t="s">
        <v>9</v>
      </c>
      <c r="E6453" s="3" t="s">
        <v>18974</v>
      </c>
      <c r="F6453" s="3" t="str">
        <f>"317-509-8361"</f>
        <v>317-509-8361</v>
      </c>
      <c r="G6453" s="3">
        <v>518210</v>
      </c>
      <c r="H6453" s="3" t="s">
        <v>3133</v>
      </c>
    </row>
    <row r="6454" spans="1:8" ht="39" x14ac:dyDescent="0.25">
      <c r="A6454" s="3" t="s">
        <v>18975</v>
      </c>
      <c r="B6454" s="3"/>
      <c r="C6454" s="3" t="str">
        <f>"We are experts in interior finishes in the multi-family construction; metal frame, drywall, paint and interior trim."</f>
        <v>We are experts in interior finishes in the multi-family construction; metal frame, drywall, paint and interior trim.</v>
      </c>
      <c r="D6454" s="3" t="s">
        <v>9</v>
      </c>
      <c r="E6454" s="3" t="s">
        <v>18976</v>
      </c>
      <c r="F6454" s="3" t="str">
        <f>"317 426 7141"</f>
        <v>317 426 7141</v>
      </c>
      <c r="G6454" s="3">
        <v>23542</v>
      </c>
      <c r="H6454" s="3" t="s">
        <v>7405</v>
      </c>
    </row>
    <row r="6455" spans="1:8" ht="51.75" x14ac:dyDescent="0.25">
      <c r="A6455" s="3" t="s">
        <v>18977</v>
      </c>
      <c r="B6455" s="3"/>
      <c r="C6455" s="3" t="str">
        <f>"Retail and wholesale Floor covering sales and services: Carpet, Sheet Vinyl, Laminate, Marble, Porcelain, Ceramic Tile, Hardwood, Granite, Vinyl Composition Tile"</f>
        <v>Retail and wholesale Floor covering sales and services: Carpet, Sheet Vinyl, Laminate, Marble, Porcelain, Ceramic Tile, Hardwood, Granite, Vinyl Composition Tile</v>
      </c>
      <c r="D6455" s="3" t="s">
        <v>18978</v>
      </c>
      <c r="E6455" s="3" t="s">
        <v>18979</v>
      </c>
      <c r="F6455" s="3" t="str">
        <f>"765-664-4742"</f>
        <v>765-664-4742</v>
      </c>
      <c r="G6455" s="3">
        <v>44221</v>
      </c>
      <c r="H6455" s="3" t="s">
        <v>2301</v>
      </c>
    </row>
    <row r="6456" spans="1:8" ht="51.75" x14ac:dyDescent="0.25">
      <c r="A6456" s="3" t="s">
        <v>18980</v>
      </c>
      <c r="B6456" s="3"/>
      <c r="C6456" s="3" t="str">
        <f>"Photography including portraiture of families and children, business portraits, commercial photography including products, architectural"</f>
        <v>Photography including portraiture of families and children, business portraits, commercial photography including products, architectural</v>
      </c>
      <c r="D6456" s="3" t="s">
        <v>18981</v>
      </c>
      <c r="E6456" s="3" t="s">
        <v>18982</v>
      </c>
      <c r="F6456" s="3" t="str">
        <f>"812-944-3830"</f>
        <v>812-944-3830</v>
      </c>
      <c r="G6456" s="3">
        <v>541921</v>
      </c>
      <c r="H6456" s="3" t="s">
        <v>1325</v>
      </c>
    </row>
    <row r="6457" spans="1:8" ht="26.25" x14ac:dyDescent="0.25">
      <c r="A6457" s="3" t="s">
        <v>18983</v>
      </c>
      <c r="B6457" s="3"/>
      <c r="C6457" s="3" t="str">
        <f>"Freight Broker Service"</f>
        <v>Freight Broker Service</v>
      </c>
      <c r="D6457" s="3" t="s">
        <v>9</v>
      </c>
      <c r="E6457" s="3" t="s">
        <v>18984</v>
      </c>
      <c r="F6457" s="3" t="str">
        <f>"812-232-1984"</f>
        <v>812-232-1984</v>
      </c>
      <c r="G6457" s="3">
        <v>488510</v>
      </c>
      <c r="H6457" s="3" t="s">
        <v>562</v>
      </c>
    </row>
    <row r="6458" spans="1:8" ht="26.25" x14ac:dyDescent="0.25">
      <c r="A6458" s="3" t="s">
        <v>18985</v>
      </c>
      <c r="B6458" s="3"/>
      <c r="C6458" s="3" t="str">
        <f>"Sheet Metal manufacturing and fabrication. Spiral pipe work."</f>
        <v>Sheet Metal manufacturing and fabrication. Spiral pipe work.</v>
      </c>
      <c r="D6458" s="3" t="s">
        <v>9</v>
      </c>
      <c r="E6458" s="3" t="s">
        <v>46</v>
      </c>
      <c r="F6458" s="2"/>
      <c r="G6458" s="3">
        <v>332322</v>
      </c>
      <c r="H6458" s="3" t="s">
        <v>2534</v>
      </c>
    </row>
    <row r="6459" spans="1:8" ht="77.25" x14ac:dyDescent="0.25">
      <c r="A6459" s="3" t="s">
        <v>18986</v>
      </c>
      <c r="B6459" s="3"/>
      <c r="C6459" s="3" t="str">
        <f>"We are an apparel distributor doing embroidery, screen printing, and heat seal in house with an in house art department. We provide t shirts, sweatshirts, uniforms, sportswear, socks, sportsbags, both import and USA made products."</f>
        <v>We are an apparel distributor doing embroidery, screen printing, and heat seal in house with an in house art department. We provide t shirts, sweatshirts, uniforms, sportswear, socks, sportsbags, both import and USA made products.</v>
      </c>
      <c r="D6459" s="3" t="s">
        <v>18987</v>
      </c>
      <c r="E6459" s="3" t="s">
        <v>18988</v>
      </c>
      <c r="F6459" s="3" t="str">
        <f>"317.462.9613"</f>
        <v>317.462.9613</v>
      </c>
      <c r="G6459" s="3">
        <v>424310</v>
      </c>
      <c r="H6459" s="3" t="s">
        <v>15600</v>
      </c>
    </row>
    <row r="6460" spans="1:8" ht="39" x14ac:dyDescent="0.25">
      <c r="A6460" s="3" t="s">
        <v>18989</v>
      </c>
      <c r="B6460" s="3"/>
      <c r="C6460" s="3" t="str">
        <f>"Heavy mechanical contractor primarily providing piping, boilermaker, HVAC, ironworker and millwright services."</f>
        <v>Heavy mechanical contractor primarily providing piping, boilermaker, HVAC, ironworker and millwright services.</v>
      </c>
      <c r="D6460" s="3" t="s">
        <v>18990</v>
      </c>
      <c r="E6460" s="3" t="s">
        <v>18991</v>
      </c>
      <c r="F6460" s="3" t="str">
        <f>"219-932-5036"</f>
        <v>219-932-5036</v>
      </c>
      <c r="G6460" s="3">
        <v>237990</v>
      </c>
      <c r="H6460" s="3" t="s">
        <v>2631</v>
      </c>
    </row>
    <row r="6461" spans="1:8" ht="26.25" x14ac:dyDescent="0.25">
      <c r="A6461" s="3" t="s">
        <v>18992</v>
      </c>
      <c r="B6461" s="3"/>
      <c r="C6461" s="3" t="str">
        <f>" "</f>
        <v xml:space="preserve"> </v>
      </c>
      <c r="D6461" s="3" t="s">
        <v>18993</v>
      </c>
      <c r="E6461" s="3" t="s">
        <v>18994</v>
      </c>
      <c r="F6461" s="3" t="str">
        <f>"(260) 672-3311"</f>
        <v>(260) 672-3311</v>
      </c>
      <c r="G6461" s="3">
        <v>444190</v>
      </c>
      <c r="H6461" s="3" t="s">
        <v>1188</v>
      </c>
    </row>
    <row r="6462" spans="1:8" ht="90" x14ac:dyDescent="0.25">
      <c r="A6462" s="3" t="s">
        <v>18995</v>
      </c>
      <c r="B6462" s="3"/>
      <c r="C6462" s="3" t="str">
        <f>"A full-service multi-award-winning agency providing strategic marketing, public relations, advertising and promotional services. From branding, logos, brochures, annual reports and publications to comprehensive websites and social media tools."</f>
        <v>A full-service multi-award-winning agency providing strategic marketing, public relations, advertising and promotional services. From branding, logos, brochures, annual reports and publications to comprehensive websites and social media tools.</v>
      </c>
      <c r="D6462" s="3" t="s">
        <v>18996</v>
      </c>
      <c r="E6462" s="3" t="s">
        <v>18997</v>
      </c>
      <c r="F6462" s="3" t="str">
        <f>"219-879-1223"</f>
        <v>219-879-1223</v>
      </c>
      <c r="G6462" s="3">
        <v>541810</v>
      </c>
      <c r="H6462" s="3" t="s">
        <v>976</v>
      </c>
    </row>
    <row r="6463" spans="1:8" ht="102.75" x14ac:dyDescent="0.25">
      <c r="A6463" s="3" t="s">
        <v>18998</v>
      </c>
      <c r="B6463" s="3"/>
      <c r="C6463" s="3" t="s">
        <v>18999</v>
      </c>
      <c r="D6463" s="3" t="s">
        <v>19000</v>
      </c>
      <c r="E6463" s="3" t="s">
        <v>19001</v>
      </c>
      <c r="F6463" s="3" t="str">
        <f>"317-695-4661"</f>
        <v>317-695-4661</v>
      </c>
      <c r="G6463" s="3">
        <v>541612</v>
      </c>
      <c r="H6463" s="3" t="s">
        <v>1923</v>
      </c>
    </row>
    <row r="6464" spans="1:8" ht="39" x14ac:dyDescent="0.25">
      <c r="A6464" s="3" t="s">
        <v>19002</v>
      </c>
      <c r="B6464" s="3"/>
      <c r="C6464" s="3" t="str">
        <f>"Licensed mortgage broker providing residential and commerical real estate financing"</f>
        <v>Licensed mortgage broker providing residential and commerical real estate financing</v>
      </c>
      <c r="D6464" s="3" t="s">
        <v>9</v>
      </c>
      <c r="E6464" s="3" t="s">
        <v>19003</v>
      </c>
      <c r="F6464" s="3" t="str">
        <f>"3175475237"</f>
        <v>3175475237</v>
      </c>
      <c r="G6464" s="3">
        <v>522310</v>
      </c>
      <c r="H6464" s="3" t="s">
        <v>19004</v>
      </c>
    </row>
    <row r="6465" spans="1:8" ht="64.5" x14ac:dyDescent="0.25">
      <c r="A6465" s="3" t="s">
        <v>19005</v>
      </c>
      <c r="B6465" s="3"/>
      <c r="C6465" s="3" t="str">
        <f>"Networking events, wedding receptions, rehearsal dinners, award ceremonys, corporate events, luncheons, worship services, repast dinnesr, fashion/hair shows, family reunions..."</f>
        <v>Networking events, wedding receptions, rehearsal dinners, award ceremonys, corporate events, luncheons, worship services, repast dinnesr, fashion/hair shows, family reunions...</v>
      </c>
      <c r="D6465" s="3" t="s">
        <v>19006</v>
      </c>
      <c r="E6465" s="3" t="s">
        <v>19007</v>
      </c>
      <c r="F6465" s="3" t="str">
        <f>"317-329-5500"</f>
        <v>317-329-5500</v>
      </c>
      <c r="G6465" s="3">
        <v>531120</v>
      </c>
      <c r="H6465" s="3" t="s">
        <v>2926</v>
      </c>
    </row>
    <row r="6466" spans="1:8" ht="26.25" x14ac:dyDescent="0.25">
      <c r="A6466" s="3" t="s">
        <v>19008</v>
      </c>
      <c r="B6466" s="3"/>
      <c r="C6466" s="3" t="str">
        <f>" "</f>
        <v xml:space="preserve"> </v>
      </c>
      <c r="D6466" s="3" t="s">
        <v>9</v>
      </c>
      <c r="E6466" s="3" t="s">
        <v>19009</v>
      </c>
      <c r="F6466" s="3" t="str">
        <f>"8112-719-0635"</f>
        <v>8112-719-0635</v>
      </c>
      <c r="G6466" s="3">
        <v>561730</v>
      </c>
      <c r="H6466" s="3" t="s">
        <v>65</v>
      </c>
    </row>
    <row r="6467" spans="1:8" ht="141" x14ac:dyDescent="0.25">
      <c r="A6467" s="3" t="s">
        <v>19010</v>
      </c>
      <c r="B6467" s="3"/>
      <c r="C6467" s="3" t="s">
        <v>19011</v>
      </c>
      <c r="D6467" s="3" t="s">
        <v>19012</v>
      </c>
      <c r="E6467" s="3" t="s">
        <v>19013</v>
      </c>
      <c r="F6467" s="3" t="str">
        <f>"317-596-8022"</f>
        <v>317-596-8022</v>
      </c>
      <c r="G6467" s="3">
        <v>541511</v>
      </c>
      <c r="H6467" s="3" t="s">
        <v>122</v>
      </c>
    </row>
    <row r="6468" spans="1:8" ht="64.5" x14ac:dyDescent="0.25">
      <c r="A6468" s="3" t="s">
        <v>19014</v>
      </c>
      <c r="B6468" s="3"/>
      <c r="C6468" s="3" t="str">
        <f>"Specialize in the distribution of pneumatic, hydraulic, and electrical components including directional valves, pumps, FRL units, fittings, programmable controllers, sensors and vision systems."</f>
        <v>Specialize in the distribution of pneumatic, hydraulic, and electrical components including directional valves, pumps, FRL units, fittings, programmable controllers, sensors and vision systems.</v>
      </c>
      <c r="D6468" s="3" t="s">
        <v>19015</v>
      </c>
      <c r="E6468" s="3" t="s">
        <v>19016</v>
      </c>
      <c r="F6468" s="3" t="str">
        <f>"317-895-6200"</f>
        <v>317-895-6200</v>
      </c>
      <c r="G6468" s="3">
        <v>423610</v>
      </c>
      <c r="H6468" s="3" t="s">
        <v>2414</v>
      </c>
    </row>
    <row r="6469" spans="1:8" ht="26.25" x14ac:dyDescent="0.25">
      <c r="A6469" s="3" t="s">
        <v>19017</v>
      </c>
      <c r="B6469" s="3"/>
      <c r="C6469" s="3" t="str">
        <f>"Interior and exterior painting"</f>
        <v>Interior and exterior painting</v>
      </c>
      <c r="D6469" s="3" t="s">
        <v>9</v>
      </c>
      <c r="E6469" s="3" t="s">
        <v>19018</v>
      </c>
      <c r="F6469" s="3" t="str">
        <f>"(317) 788-4473"</f>
        <v>(317) 788-4473</v>
      </c>
      <c r="G6469" s="3">
        <v>238320</v>
      </c>
      <c r="H6469" s="3" t="s">
        <v>462</v>
      </c>
    </row>
    <row r="6470" spans="1:8" ht="332.25" x14ac:dyDescent="0.25">
      <c r="A6470" s="3" t="s">
        <v>19019</v>
      </c>
      <c r="B6470" s="3"/>
      <c r="C6470" s="3" t="s">
        <v>19020</v>
      </c>
      <c r="D6470" s="3" t="s">
        <v>19021</v>
      </c>
      <c r="E6470" s="3" t="s">
        <v>19022</v>
      </c>
      <c r="F6470" s="3" t="str">
        <f>"260 925 3416"</f>
        <v>260 925 3416</v>
      </c>
      <c r="G6470" s="3">
        <v>541310</v>
      </c>
      <c r="H6470" s="3" t="s">
        <v>446</v>
      </c>
    </row>
    <row r="6471" spans="1:8" ht="128.25" x14ac:dyDescent="0.25">
      <c r="A6471" s="3" t="s">
        <v>19023</v>
      </c>
      <c r="B6471" s="3"/>
      <c r="C6471" s="3" t="s">
        <v>19024</v>
      </c>
      <c r="D6471" s="3" t="s">
        <v>19025</v>
      </c>
      <c r="E6471" s="3" t="s">
        <v>19026</v>
      </c>
      <c r="F6471" s="3" t="str">
        <f>"260-432-0526"</f>
        <v>260-432-0526</v>
      </c>
      <c r="G6471" s="3">
        <v>23</v>
      </c>
      <c r="H6471" s="3" t="s">
        <v>133</v>
      </c>
    </row>
    <row r="6472" spans="1:8" ht="102.75" x14ac:dyDescent="0.25">
      <c r="A6472" s="3" t="s">
        <v>19027</v>
      </c>
      <c r="B6472" s="3"/>
      <c r="C6472" s="3" t="s">
        <v>19028</v>
      </c>
      <c r="D6472" s="3" t="s">
        <v>9</v>
      </c>
      <c r="E6472" s="3" t="s">
        <v>19029</v>
      </c>
      <c r="F6472" s="3" t="str">
        <f>"317-632-6222"</f>
        <v>317-632-6222</v>
      </c>
      <c r="G6472" s="3">
        <v>42</v>
      </c>
      <c r="H6472" s="3" t="s">
        <v>674</v>
      </c>
    </row>
    <row r="6473" spans="1:8" ht="77.25" x14ac:dyDescent="0.25">
      <c r="A6473" s="3" t="s">
        <v>19030</v>
      </c>
      <c r="B6473" s="3"/>
      <c r="C6473" s="3" t="str">
        <f>"We are a sod farm raising state certified sod. Our specialty is Athletic fields, commercial jobs and homeowners. We are located in Brookville IN and serve the area from Indianapolis to Seymour and then east into Ohio."</f>
        <v>We are a sod farm raising state certified sod. Our specialty is Athletic fields, commercial jobs and homeowners. We are located in Brookville IN and serve the area from Indianapolis to Seymour and then east into Ohio.</v>
      </c>
      <c r="D6473" s="3" t="s">
        <v>19031</v>
      </c>
      <c r="E6473" s="3" t="s">
        <v>19032</v>
      </c>
      <c r="F6473" s="3" t="str">
        <f>"800-843-8671"</f>
        <v>800-843-8671</v>
      </c>
      <c r="G6473" s="3">
        <v>1119</v>
      </c>
      <c r="H6473" s="3" t="s">
        <v>18451</v>
      </c>
    </row>
    <row r="6474" spans="1:8" ht="26.25" x14ac:dyDescent="0.25">
      <c r="A6474" s="3" t="s">
        <v>19033</v>
      </c>
      <c r="B6474" s="3"/>
      <c r="C6474" s="3" t="str">
        <f>"Hotel that offers overnight and long term accommodations"</f>
        <v>Hotel that offers overnight and long term accommodations</v>
      </c>
      <c r="D6474" s="3" t="s">
        <v>19034</v>
      </c>
      <c r="E6474" s="3" t="s">
        <v>19035</v>
      </c>
      <c r="F6474" s="3" t="str">
        <f>"317-578-1200"</f>
        <v>317-578-1200</v>
      </c>
      <c r="G6474" s="3">
        <v>72111</v>
      </c>
      <c r="H6474" s="3" t="s">
        <v>872</v>
      </c>
    </row>
    <row r="6475" spans="1:8" ht="51.75" x14ac:dyDescent="0.25">
      <c r="A6475" s="3" t="s">
        <v>19036</v>
      </c>
      <c r="B6475" s="3"/>
      <c r="C6475" s="3" t="str">
        <f>"Tri-axle dump trucking of aggregate materials including sand, gravel, stone, dirt, top soil, contaminated soil, mulch, demolition, snow."</f>
        <v>Tri-axle dump trucking of aggregate materials including sand, gravel, stone, dirt, top soil, contaminated soil, mulch, demolition, snow.</v>
      </c>
      <c r="D6475" s="3" t="s">
        <v>9</v>
      </c>
      <c r="E6475" s="3" t="s">
        <v>19037</v>
      </c>
      <c r="F6475" s="3" t="str">
        <f>"317-339-6515"</f>
        <v>317-339-6515</v>
      </c>
      <c r="G6475" s="3">
        <v>484110</v>
      </c>
      <c r="H6475" s="3" t="s">
        <v>644</v>
      </c>
    </row>
    <row r="6476" spans="1:8" ht="39" x14ac:dyDescent="0.25">
      <c r="A6476" s="3" t="s">
        <v>19038</v>
      </c>
      <c r="B6476" s="3"/>
      <c r="C6476" s="3" t="str">
        <f>"We provide a home, industrial, business and apartment cleaning and small repair service."</f>
        <v>We provide a home, industrial, business and apartment cleaning and small repair service.</v>
      </c>
      <c r="D6476" s="3" t="s">
        <v>9</v>
      </c>
      <c r="E6476" s="3" t="s">
        <v>19039</v>
      </c>
      <c r="F6476" s="3" t="str">
        <f>"317-517-7101"</f>
        <v>317-517-7101</v>
      </c>
      <c r="G6476" s="3">
        <v>561720</v>
      </c>
      <c r="H6476" s="3" t="s">
        <v>222</v>
      </c>
    </row>
    <row r="6477" spans="1:8" ht="51.75" x14ac:dyDescent="0.25">
      <c r="A6477" s="3" t="s">
        <v>19040</v>
      </c>
      <c r="B6477" s="3"/>
      <c r="C6477" s="3" t="str">
        <f>"Repair water leaks in all types of motorized vehicles. Trunks with water and water dripping in the interior or pooling on the floor."</f>
        <v>Repair water leaks in all types of motorized vehicles. Trunks with water and water dripping in the interior or pooling on the floor.</v>
      </c>
      <c r="D6477" s="3" t="s">
        <v>9</v>
      </c>
      <c r="E6477" s="3" t="s">
        <v>19041</v>
      </c>
      <c r="F6477" s="3" t="str">
        <f>"317-575-0586"</f>
        <v>317-575-0586</v>
      </c>
      <c r="G6477" s="3">
        <v>81112</v>
      </c>
      <c r="H6477" s="3" t="s">
        <v>3041</v>
      </c>
    </row>
    <row r="6478" spans="1:8" ht="179.25" x14ac:dyDescent="0.25">
      <c r="A6478" s="3" t="s">
        <v>19042</v>
      </c>
      <c r="B6478" s="3"/>
      <c r="C6478" s="3" t="s">
        <v>19043</v>
      </c>
      <c r="D6478" s="3" t="s">
        <v>19044</v>
      </c>
      <c r="E6478" s="3" t="s">
        <v>19045</v>
      </c>
      <c r="F6478" s="3" t="str">
        <f>"1-877-373-BBME"</f>
        <v>1-877-373-BBME</v>
      </c>
      <c r="G6478" s="3">
        <v>813410</v>
      </c>
      <c r="H6478" s="3" t="s">
        <v>8420</v>
      </c>
    </row>
    <row r="6479" spans="1:8" ht="90" x14ac:dyDescent="0.25">
      <c r="A6479" s="3" t="s">
        <v>19046</v>
      </c>
      <c r="B6479" s="3"/>
      <c r="C6479" s="3" t="s">
        <v>19047</v>
      </c>
      <c r="D6479" s="3" t="s">
        <v>19048</v>
      </c>
      <c r="E6479" s="3" t="s">
        <v>19049</v>
      </c>
      <c r="F6479" s="3" t="str">
        <f>"317-443-7685"</f>
        <v>317-443-7685</v>
      </c>
      <c r="G6479" s="3">
        <v>512110</v>
      </c>
      <c r="H6479" s="3" t="s">
        <v>406</v>
      </c>
    </row>
    <row r="6480" spans="1:8" ht="64.5" x14ac:dyDescent="0.25">
      <c r="A6480" s="3" t="s">
        <v>19050</v>
      </c>
      <c r="B6480" s="3"/>
      <c r="C6480" s="3" t="str">
        <f>"Locally owned and operated since 1946, Mt. Vernon Auto Parts features a complete line of automotive, agricultural, and industrial parts and accessories as well as that hard-to-find part."</f>
        <v>Locally owned and operated since 1946, Mt. Vernon Auto Parts features a complete line of automotive, agricultural, and industrial parts and accessories as well as that hard-to-find part.</v>
      </c>
      <c r="D6480" s="3" t="s">
        <v>9</v>
      </c>
      <c r="E6480" s="3" t="s">
        <v>19051</v>
      </c>
      <c r="F6480" s="3" t="str">
        <f>"8128385200"</f>
        <v>8128385200</v>
      </c>
      <c r="G6480" s="3">
        <v>441310</v>
      </c>
      <c r="H6480" s="3" t="s">
        <v>1699</v>
      </c>
    </row>
    <row r="6481" spans="1:8" ht="243" x14ac:dyDescent="0.25">
      <c r="A6481" s="3" t="s">
        <v>19052</v>
      </c>
      <c r="B6481" s="3"/>
      <c r="C6481" s="3" t="s">
        <v>19053</v>
      </c>
      <c r="D6481" s="3" t="s">
        <v>9</v>
      </c>
      <c r="E6481" s="3" t="s">
        <v>19054</v>
      </c>
      <c r="F6481" s="3" t="str">
        <f>"3179370801"</f>
        <v>3179370801</v>
      </c>
      <c r="G6481" s="3">
        <v>512191</v>
      </c>
      <c r="H6481" s="3" t="s">
        <v>19055</v>
      </c>
    </row>
    <row r="6482" spans="1:8" ht="39" x14ac:dyDescent="0.25">
      <c r="A6482" s="3" t="s">
        <v>19056</v>
      </c>
      <c r="B6482" s="3"/>
      <c r="C6482" s="3" t="str">
        <f>"Commercial/Industrial Electrical Work Traffic Signals HVAC Control Work Electrical Design/Build"</f>
        <v>Commercial/Industrial Electrical Work Traffic Signals HVAC Control Work Electrical Design/Build</v>
      </c>
      <c r="D6482" s="3" t="s">
        <v>19057</v>
      </c>
      <c r="E6482" s="3" t="s">
        <v>19058</v>
      </c>
      <c r="F6482" s="3" t="str">
        <f>"812-422-5358"</f>
        <v>812-422-5358</v>
      </c>
      <c r="G6482" s="3">
        <v>2353</v>
      </c>
      <c r="H6482" s="3" t="s">
        <v>306</v>
      </c>
    </row>
    <row r="6483" spans="1:8" ht="26.25" x14ac:dyDescent="0.25">
      <c r="A6483" s="3" t="s">
        <v>19059</v>
      </c>
      <c r="B6483" s="3"/>
      <c r="C6483" s="3" t="str">
        <f>"Women owned graphic design company."</f>
        <v>Women owned graphic design company.</v>
      </c>
      <c r="D6483" s="3" t="s">
        <v>19060</v>
      </c>
      <c r="E6483" s="3" t="s">
        <v>19061</v>
      </c>
      <c r="F6483" s="3" t="str">
        <f>"574-532-0581"</f>
        <v>574-532-0581</v>
      </c>
      <c r="G6483" s="3">
        <v>541430</v>
      </c>
      <c r="H6483" s="3" t="s">
        <v>78</v>
      </c>
    </row>
    <row r="6484" spans="1:8" ht="64.5" x14ac:dyDescent="0.25">
      <c r="A6484" s="3" t="s">
        <v>19062</v>
      </c>
      <c r="B6484" s="3"/>
      <c r="C6484" s="3" t="str">
        <f>"The Mower Zone's focus is on retailing new outdoor power equipment (mowers, trimmers, chainsaws, etc.) in combination with repair of the same equipment, as well as offering replacement parts for sale."</f>
        <v>The Mower Zone's focus is on retailing new outdoor power equipment (mowers, trimmers, chainsaws, etc.) in combination with repair of the same equipment, as well as offering replacement parts for sale.</v>
      </c>
      <c r="D6484" s="3" t="s">
        <v>17455</v>
      </c>
      <c r="E6484" s="3" t="s">
        <v>19063</v>
      </c>
      <c r="F6484" s="3" t="str">
        <f>"317-745-8295"</f>
        <v>317-745-8295</v>
      </c>
      <c r="G6484" s="3">
        <v>444210</v>
      </c>
      <c r="H6484" s="3" t="s">
        <v>392</v>
      </c>
    </row>
    <row r="6485" spans="1:8" ht="26.25" x14ac:dyDescent="0.25">
      <c r="A6485" s="3" t="s">
        <v>19064</v>
      </c>
      <c r="B6485" s="3"/>
      <c r="C6485" s="3" t="str">
        <f>"24 hour aorport service corporate school transpotation special occasion sight seeing"</f>
        <v>24 hour aorport service corporate school transpotation special occasion sight seeing</v>
      </c>
      <c r="D6485" s="3" t="s">
        <v>9</v>
      </c>
      <c r="E6485" s="3" t="s">
        <v>19065</v>
      </c>
      <c r="F6485" s="3" t="str">
        <f>"317-444-9191"</f>
        <v>317-444-9191</v>
      </c>
      <c r="G6485" s="3">
        <v>485</v>
      </c>
      <c r="H6485" s="3" t="s">
        <v>18553</v>
      </c>
    </row>
    <row r="6486" spans="1:8" ht="102.75" x14ac:dyDescent="0.25">
      <c r="A6486" s="3" t="s">
        <v>19066</v>
      </c>
      <c r="B6486" s="3"/>
      <c r="C6486" s="3" t="s">
        <v>19067</v>
      </c>
      <c r="D6486" s="3" t="s">
        <v>9</v>
      </c>
      <c r="E6486" s="3" t="s">
        <v>19068</v>
      </c>
      <c r="F6486" s="3" t="str">
        <f>"317-210-2914"</f>
        <v>317-210-2914</v>
      </c>
      <c r="G6486" s="3">
        <v>56172</v>
      </c>
      <c r="H6486" s="3" t="s">
        <v>222</v>
      </c>
    </row>
    <row r="6487" spans="1:8" ht="64.5" x14ac:dyDescent="0.25">
      <c r="A6487" s="3" t="s">
        <v>19069</v>
      </c>
      <c r="B6487" s="3"/>
      <c r="C6487" s="3" t="str">
        <f>"Communications and Life Skills Coaching service whic specializes in Etiquette and Social Graces. Serving anyone regardless of age, gender, ethniticity and economic background."</f>
        <v>Communications and Life Skills Coaching service whic specializes in Etiquette and Social Graces. Serving anyone regardless of age, gender, ethniticity and economic background.</v>
      </c>
      <c r="D6487" s="3" t="s">
        <v>19070</v>
      </c>
      <c r="E6487" s="3" t="s">
        <v>19071</v>
      </c>
      <c r="F6487" s="3" t="str">
        <f>"312 296-7247"</f>
        <v>312 296-7247</v>
      </c>
      <c r="G6487" s="3">
        <v>611430</v>
      </c>
      <c r="H6487" s="3" t="s">
        <v>1224</v>
      </c>
    </row>
    <row r="6488" spans="1:8" ht="77.25" x14ac:dyDescent="0.25">
      <c r="A6488" s="3" t="s">
        <v>19072</v>
      </c>
      <c r="B6488" s="3"/>
      <c r="C6488" s="3" t="str">
        <f>"Mt. Carmel Construction is a Indiana Small Business located in Carmel, Indiana. Mt. Carmel Construction has experience in mold remediation, interior building impovements &amp; remodeling, interior/exterior building maintance &amp; remodeling."</f>
        <v>Mt. Carmel Construction is a Indiana Small Business located in Carmel, Indiana. Mt. Carmel Construction has experience in mold remediation, interior building impovements &amp; remodeling, interior/exterior building maintance &amp; remodeling.</v>
      </c>
      <c r="D6488" s="3" t="s">
        <v>19073</v>
      </c>
      <c r="E6488" s="3" t="s">
        <v>19074</v>
      </c>
      <c r="F6488" s="3" t="str">
        <f>"317-844-7976"</f>
        <v>317-844-7976</v>
      </c>
      <c r="G6488" s="3">
        <v>23</v>
      </c>
      <c r="H6488" s="3" t="s">
        <v>133</v>
      </c>
    </row>
    <row r="6489" spans="1:8" ht="26.25" x14ac:dyDescent="0.25">
      <c r="A6489" s="3" t="s">
        <v>19075</v>
      </c>
      <c r="B6489" s="3"/>
      <c r="C6489" s="3" t="str">
        <f>"General tree care company. Doing business in northern Indiana for 50 years."</f>
        <v>General tree care company. Doing business in northern Indiana for 50 years.</v>
      </c>
      <c r="D6489" s="3" t="s">
        <v>19076</v>
      </c>
      <c r="E6489" s="3" t="s">
        <v>46</v>
      </c>
      <c r="F6489" s="3" t="str">
        <f>"260-432-5688"</f>
        <v>260-432-5688</v>
      </c>
      <c r="G6489" s="3">
        <v>541320</v>
      </c>
      <c r="H6489" s="3" t="s">
        <v>2241</v>
      </c>
    </row>
    <row r="6490" spans="1:8" ht="26.25" x14ac:dyDescent="0.25">
      <c r="A6490" s="3" t="s">
        <v>19077</v>
      </c>
      <c r="B6490" s="3"/>
      <c r="C6490" s="3" t="str">
        <f>"We specialize in any Towing needs from Big to Small, from normal to unusual."</f>
        <v>We specialize in any Towing needs from Big to Small, from normal to unusual.</v>
      </c>
      <c r="D6490" s="3" t="s">
        <v>19078</v>
      </c>
      <c r="E6490" s="3" t="s">
        <v>19079</v>
      </c>
      <c r="F6490" s="3" t="str">
        <f>"765-742-6589"</f>
        <v>765-742-6589</v>
      </c>
      <c r="G6490" s="3">
        <v>238</v>
      </c>
      <c r="H6490" s="3" t="s">
        <v>397</v>
      </c>
    </row>
    <row r="6491" spans="1:8" ht="102.75" x14ac:dyDescent="0.25">
      <c r="A6491" s="3" t="s">
        <v>19080</v>
      </c>
      <c r="B6491" s="3"/>
      <c r="C6491" s="3" t="s">
        <v>19081</v>
      </c>
      <c r="D6491" s="3" t="s">
        <v>19082</v>
      </c>
      <c r="E6491" s="3" t="s">
        <v>46</v>
      </c>
      <c r="F6491" s="3" t="str">
        <f>"317-782-0677"</f>
        <v>317-782-0677</v>
      </c>
      <c r="G6491" s="3">
        <v>81131</v>
      </c>
      <c r="H6491" s="3" t="s">
        <v>1895</v>
      </c>
    </row>
    <row r="6492" spans="1:8" ht="39" x14ac:dyDescent="0.25">
      <c r="A6492" s="3" t="s">
        <v>19083</v>
      </c>
      <c r="B6492" s="3"/>
      <c r="C6492" s="3" t="str">
        <f>"Multi Products Inc is a factory rep and supplier of various construction materials to contractors for commercial construction."</f>
        <v>Multi Products Inc is a factory rep and supplier of various construction materials to contractors for commercial construction.</v>
      </c>
      <c r="D6492" s="3" t="s">
        <v>19084</v>
      </c>
      <c r="E6492" s="3" t="s">
        <v>19085</v>
      </c>
      <c r="F6492" s="3" t="str">
        <f>"812-867-5263"</f>
        <v>812-867-5263</v>
      </c>
      <c r="G6492" s="3">
        <v>4233</v>
      </c>
      <c r="H6492" s="3" t="s">
        <v>6298</v>
      </c>
    </row>
    <row r="6493" spans="1:8" ht="141" x14ac:dyDescent="0.25">
      <c r="A6493" s="3" t="s">
        <v>19086</v>
      </c>
      <c r="B6493" s="3"/>
      <c r="C6493" s="3" t="s">
        <v>19087</v>
      </c>
      <c r="D6493" s="3" t="s">
        <v>9</v>
      </c>
      <c r="E6493" s="3" t="s">
        <v>19088</v>
      </c>
      <c r="F6493" s="3" t="str">
        <f>"812-336-5005"</f>
        <v>812-336-5005</v>
      </c>
      <c r="G6493" s="3">
        <v>238210</v>
      </c>
      <c r="H6493" s="3" t="s">
        <v>306</v>
      </c>
    </row>
    <row r="6494" spans="1:8" ht="51.75" x14ac:dyDescent="0.25">
      <c r="A6494" s="3" t="s">
        <v>19089</v>
      </c>
      <c r="B6494" s="3"/>
      <c r="C6494" s="3" t="str">
        <f>"Electronic Security &amp; Life Safety systems including Security Alarm Systems, Access Control Systems, CCTV Systems, Fire/Smoke Detection Systems."</f>
        <v>Electronic Security &amp; Life Safety systems including Security Alarm Systems, Access Control Systems, CCTV Systems, Fire/Smoke Detection Systems.</v>
      </c>
      <c r="D6494" s="3" t="s">
        <v>17487</v>
      </c>
      <c r="E6494" s="3" t="s">
        <v>17488</v>
      </c>
      <c r="F6494" s="3" t="str">
        <f>"317-844-8116"</f>
        <v>317-844-8116</v>
      </c>
      <c r="G6494" s="3">
        <v>23899</v>
      </c>
      <c r="H6494" s="3" t="s">
        <v>481</v>
      </c>
    </row>
    <row r="6495" spans="1:8" ht="77.25" x14ac:dyDescent="0.25">
      <c r="A6495" s="3" t="s">
        <v>19090</v>
      </c>
      <c r="B6495" s="3"/>
      <c r="C6495" s="3" t="str">
        <f>"Markets quality outdoor metal benches, refuse containers, bike stands, and tables in multiple sizes and colors. With appropriate quantity, special designs can be accomadated. All of these products are produced in Indiana."</f>
        <v>Markets quality outdoor metal benches, refuse containers, bike stands, and tables in multiple sizes and colors. With appropriate quantity, special designs can be accomadated. All of these products are produced in Indiana.</v>
      </c>
      <c r="D6495" s="3" t="s">
        <v>19091</v>
      </c>
      <c r="E6495" s="3" t="s">
        <v>19092</v>
      </c>
      <c r="F6495" s="3" t="str">
        <f>"317-862-2584"</f>
        <v>317-862-2584</v>
      </c>
      <c r="G6495" s="3">
        <v>541330</v>
      </c>
      <c r="H6495" s="3" t="s">
        <v>82</v>
      </c>
    </row>
    <row r="6496" spans="1:8" ht="26.25" x14ac:dyDescent="0.25">
      <c r="A6496" s="3" t="s">
        <v>19093</v>
      </c>
      <c r="B6496" s="3"/>
      <c r="C6496" s="3" t="str">
        <f>"Water Well Drilling, Pump Installation and Service, Water Lines"</f>
        <v>Water Well Drilling, Pump Installation and Service, Water Lines</v>
      </c>
      <c r="D6496" s="3" t="s">
        <v>9</v>
      </c>
      <c r="E6496" s="3" t="s">
        <v>19094</v>
      </c>
      <c r="F6496" s="3" t="str">
        <f>"812-659-2280"</f>
        <v>812-659-2280</v>
      </c>
      <c r="G6496" s="3">
        <v>237110</v>
      </c>
      <c r="H6496" s="3" t="s">
        <v>901</v>
      </c>
    </row>
    <row r="6497" spans="1:8" x14ac:dyDescent="0.25">
      <c r="A6497" s="3" t="s">
        <v>19095</v>
      </c>
      <c r="B6497" s="3"/>
      <c r="C6497" s="2"/>
      <c r="D6497" s="3" t="s">
        <v>19096</v>
      </c>
      <c r="E6497" s="3" t="s">
        <v>46</v>
      </c>
      <c r="F6497" s="2"/>
      <c r="G6497" s="3">
        <v>32311</v>
      </c>
      <c r="H6497" s="3" t="s">
        <v>531</v>
      </c>
    </row>
    <row r="6498" spans="1:8" ht="319.5" x14ac:dyDescent="0.25">
      <c r="A6498" s="3" t="s">
        <v>19097</v>
      </c>
      <c r="B6498" s="3"/>
      <c r="C6498" s="3" t="s">
        <v>19098</v>
      </c>
      <c r="D6498" s="3" t="s">
        <v>19099</v>
      </c>
      <c r="E6498" s="3" t="s">
        <v>19100</v>
      </c>
      <c r="F6498" s="3" t="str">
        <f>"765-288-4256"</f>
        <v>765-288-4256</v>
      </c>
      <c r="G6498" s="3">
        <v>23829</v>
      </c>
      <c r="H6498" s="3" t="s">
        <v>237</v>
      </c>
    </row>
    <row r="6499" spans="1:8" ht="26.25" x14ac:dyDescent="0.25">
      <c r="A6499" s="3" t="s">
        <v>19101</v>
      </c>
      <c r="B6499" s="3"/>
      <c r="C6499" s="3" t="str">
        <f>"Providing live latin entertainment to Indiana and the midwest."</f>
        <v>Providing live latin entertainment to Indiana and the midwest.</v>
      </c>
      <c r="D6499" s="3" t="s">
        <v>19102</v>
      </c>
      <c r="E6499" s="3" t="s">
        <v>19103</v>
      </c>
      <c r="F6499" s="3" t="str">
        <f>"317-281-3276"</f>
        <v>317-281-3276</v>
      </c>
      <c r="G6499" s="3">
        <v>711130</v>
      </c>
      <c r="H6499" s="3" t="s">
        <v>4353</v>
      </c>
    </row>
    <row r="6500" spans="1:8" ht="26.25" x14ac:dyDescent="0.25">
      <c r="A6500" s="3" t="s">
        <v>19104</v>
      </c>
      <c r="B6500" s="3"/>
      <c r="C6500" s="3" t="str">
        <f>"Automotive Repair, Body Shop and Trailer Sales &amp; Service."</f>
        <v>Automotive Repair, Body Shop and Trailer Sales &amp; Service.</v>
      </c>
      <c r="D6500" s="3" t="s">
        <v>19105</v>
      </c>
      <c r="E6500" s="3" t="s">
        <v>19106</v>
      </c>
      <c r="F6500" s="3" t="str">
        <f>"812-683-3620"</f>
        <v>812-683-3620</v>
      </c>
      <c r="G6500" s="3">
        <v>81111</v>
      </c>
      <c r="H6500" s="3" t="s">
        <v>96</v>
      </c>
    </row>
    <row r="6501" spans="1:8" ht="64.5" x14ac:dyDescent="0.25">
      <c r="A6501" s="3" t="s">
        <v>19107</v>
      </c>
      <c r="B6501" s="3"/>
      <c r="C6501" s="3" t="str">
        <f>"Infrastructure Inspections &amp; Assessments Televising Inspections Sewer-Sanitary Main LIne &amp; Lateral Manhole Sewer-Storm Smoke testing Drain Line Air &amp; Mandrel testing Vacum testing"</f>
        <v>Infrastructure Inspections &amp; Assessments Televising Inspections Sewer-Sanitary Main LIne &amp; Lateral Manhole Sewer-Storm Smoke testing Drain Line Air &amp; Mandrel testing Vacum testing</v>
      </c>
      <c r="D6501" s="3" t="s">
        <v>9</v>
      </c>
      <c r="E6501" s="3" t="s">
        <v>19108</v>
      </c>
      <c r="F6501" s="3" t="str">
        <f>"317-258-4253"</f>
        <v>317-258-4253</v>
      </c>
      <c r="G6501" s="3">
        <v>562</v>
      </c>
      <c r="H6501" s="3" t="s">
        <v>2798</v>
      </c>
    </row>
    <row r="6502" spans="1:8" ht="64.5" x14ac:dyDescent="0.25">
      <c r="A6502" s="3" t="s">
        <v>19109</v>
      </c>
      <c r="B6502" s="3"/>
      <c r="C6502" s="3" t="str">
        <f>"Municipal and actuarial services consultant; calculate employer contributions for defined benefit plans, prepare cash flow analysis for planning tool for trustees."</f>
        <v>Municipal and actuarial services consultant; calculate employer contributions for defined benefit plans, prepare cash flow analysis for planning tool for trustees.</v>
      </c>
      <c r="D6502" s="3" t="s">
        <v>9</v>
      </c>
      <c r="E6502" s="3" t="s">
        <v>19110</v>
      </c>
      <c r="F6502" s="3" t="str">
        <f>"888-766-8188"</f>
        <v>888-766-8188</v>
      </c>
      <c r="G6502" s="3">
        <v>541990</v>
      </c>
      <c r="H6502" s="3" t="s">
        <v>378</v>
      </c>
    </row>
    <row r="6503" spans="1:8" ht="26.25" x14ac:dyDescent="0.25">
      <c r="A6503" s="3" t="s">
        <v>19111</v>
      </c>
      <c r="B6503" s="3"/>
      <c r="C6503" s="2"/>
      <c r="D6503" s="3" t="s">
        <v>9</v>
      </c>
      <c r="E6503" s="3" t="s">
        <v>46</v>
      </c>
      <c r="F6503" s="3" t="str">
        <f>"219-836-1500"</f>
        <v>219-836-1500</v>
      </c>
      <c r="G6503" s="3">
        <v>6212</v>
      </c>
      <c r="H6503" s="3" t="s">
        <v>19112</v>
      </c>
    </row>
    <row r="6504" spans="1:8" ht="26.25" x14ac:dyDescent="0.25">
      <c r="A6504" s="3" t="s">
        <v>19113</v>
      </c>
      <c r="B6504" s="3"/>
      <c r="C6504" s="3" t="str">
        <f>"Structural steel fabricator of building and bridges. AISC certified."</f>
        <v>Structural steel fabricator of building and bridges. AISC certified.</v>
      </c>
      <c r="D6504" s="3" t="s">
        <v>19114</v>
      </c>
      <c r="E6504" s="3" t="s">
        <v>19115</v>
      </c>
      <c r="F6504" s="3" t="str">
        <f>"219-924-5198"</f>
        <v>219-924-5198</v>
      </c>
      <c r="G6504" s="3">
        <v>332312</v>
      </c>
      <c r="H6504" s="3" t="s">
        <v>2180</v>
      </c>
    </row>
    <row r="6505" spans="1:8" ht="64.5" x14ac:dyDescent="0.25">
      <c r="A6505" s="3" t="s">
        <v>19116</v>
      </c>
      <c r="B6505" s="3"/>
      <c r="C6505" s="3" t="str">
        <f>"Commerical Real Estate Firm locally owned and operated in Fort Wayne Indiana. Murphy &amp; Associates has been in business in Indiana for over 50 years and is a major land owner in the downtown area."</f>
        <v>Commerical Real Estate Firm locally owned and operated in Fort Wayne Indiana. Murphy &amp; Associates has been in business in Indiana for over 50 years and is a major land owner in the downtown area.</v>
      </c>
      <c r="D6505" s="3" t="s">
        <v>9</v>
      </c>
      <c r="E6505" s="3" t="s">
        <v>19117</v>
      </c>
      <c r="F6505" s="3" t="str">
        <f>"260-969-1040"</f>
        <v>260-969-1040</v>
      </c>
      <c r="G6505" s="3">
        <v>53131</v>
      </c>
      <c r="H6505" s="3" t="s">
        <v>7550</v>
      </c>
    </row>
    <row r="6506" spans="1:8" ht="115.5" x14ac:dyDescent="0.25">
      <c r="A6506" s="3" t="s">
        <v>19118</v>
      </c>
      <c r="B6506" s="3"/>
      <c r="C6506" s="3" t="s">
        <v>19119</v>
      </c>
      <c r="D6506" s="3" t="s">
        <v>9</v>
      </c>
      <c r="E6506" s="3" t="s">
        <v>19120</v>
      </c>
      <c r="F6506" s="3" t="str">
        <f>"317-842-6511"</f>
        <v>317-842-6511</v>
      </c>
      <c r="G6506" s="3">
        <v>541211</v>
      </c>
      <c r="H6506" s="3" t="s">
        <v>337</v>
      </c>
    </row>
    <row r="6507" spans="1:8" ht="306.75" x14ac:dyDescent="0.25">
      <c r="A6507" s="3" t="s">
        <v>19121</v>
      </c>
      <c r="B6507" s="3"/>
      <c r="C6507" s="3" t="s">
        <v>19122</v>
      </c>
      <c r="D6507" s="3" t="s">
        <v>19123</v>
      </c>
      <c r="E6507" s="3" t="s">
        <v>19124</v>
      </c>
      <c r="F6507" s="3" t="str">
        <f>"812-422-4500"</f>
        <v>812-422-4500</v>
      </c>
      <c r="G6507" s="3">
        <v>333921</v>
      </c>
      <c r="H6507" s="3" t="s">
        <v>8365</v>
      </c>
    </row>
    <row r="6508" spans="1:8" ht="26.25" x14ac:dyDescent="0.25">
      <c r="A6508" s="3" t="s">
        <v>19125</v>
      </c>
      <c r="B6508" s="3"/>
      <c r="C6508" s="2"/>
      <c r="D6508" s="3" t="s">
        <v>9</v>
      </c>
      <c r="E6508" s="3" t="s">
        <v>46</v>
      </c>
      <c r="F6508" s="3" t="str">
        <f>"219-844-3025"</f>
        <v>219-844-3025</v>
      </c>
      <c r="G6508" s="3">
        <v>5411</v>
      </c>
      <c r="H6508" s="3" t="s">
        <v>87</v>
      </c>
    </row>
    <row r="6509" spans="1:8" ht="319.5" x14ac:dyDescent="0.25">
      <c r="A6509" s="3" t="s">
        <v>19126</v>
      </c>
      <c r="B6509" s="3"/>
      <c r="C6509" s="3" t="s">
        <v>19127</v>
      </c>
      <c r="D6509" s="3" t="s">
        <v>19128</v>
      </c>
      <c r="E6509" s="3" t="s">
        <v>19129</v>
      </c>
      <c r="F6509" s="3" t="str">
        <f>"317 979 5397"</f>
        <v>317 979 5397</v>
      </c>
      <c r="G6509" s="3">
        <v>561622</v>
      </c>
      <c r="H6509" s="3" t="s">
        <v>43</v>
      </c>
    </row>
    <row r="6510" spans="1:8" ht="26.25" x14ac:dyDescent="0.25">
      <c r="A6510" s="3" t="s">
        <v>19130</v>
      </c>
      <c r="B6510" s="3"/>
      <c r="C6510" s="3" t="str">
        <f>"Architectural &amp; Engineering Design Services"</f>
        <v>Architectural &amp; Engineering Design Services</v>
      </c>
      <c r="D6510" s="3" t="s">
        <v>9</v>
      </c>
      <c r="E6510" s="3" t="s">
        <v>46</v>
      </c>
      <c r="F6510" s="3" t="str">
        <f>"317-631-9241"</f>
        <v>317-631-9241</v>
      </c>
      <c r="G6510" s="3">
        <v>541330</v>
      </c>
      <c r="H6510" s="3" t="s">
        <v>82</v>
      </c>
    </row>
    <row r="6511" spans="1:8" ht="39" x14ac:dyDescent="0.25">
      <c r="A6511" s="3" t="s">
        <v>19131</v>
      </c>
      <c r="B6511" s="3"/>
      <c r="C6511" s="3" t="str">
        <f>"My COI, LLC tracks and monitors Certificates of Insurance and other documents, licenses, and certifications."</f>
        <v>My COI, LLC tracks and monitors Certificates of Insurance and other documents, licenses, and certifications.</v>
      </c>
      <c r="D6511" s="3" t="s">
        <v>19132</v>
      </c>
      <c r="E6511" s="3" t="s">
        <v>19133</v>
      </c>
      <c r="F6511" s="3" t="str">
        <f>"888-692-6448"</f>
        <v>888-692-6448</v>
      </c>
      <c r="G6511" s="3">
        <v>541990</v>
      </c>
      <c r="H6511" s="3" t="s">
        <v>378</v>
      </c>
    </row>
    <row r="6512" spans="1:8" ht="90" x14ac:dyDescent="0.25">
      <c r="A6512" s="3" t="s">
        <v>19134</v>
      </c>
      <c r="B6512" s="3"/>
      <c r="C6512" s="3" t="s">
        <v>19135</v>
      </c>
      <c r="D6512" s="3" t="s">
        <v>19136</v>
      </c>
      <c r="E6512" s="3" t="s">
        <v>19137</v>
      </c>
      <c r="F6512" s="3" t="str">
        <f>"812-671-0395"</f>
        <v>812-671-0395</v>
      </c>
      <c r="G6512" s="3">
        <v>541511</v>
      </c>
      <c r="H6512" s="3" t="s">
        <v>122</v>
      </c>
    </row>
    <row r="6513" spans="1:8" ht="51.75" x14ac:dyDescent="0.25">
      <c r="A6513" s="3" t="s">
        <v>19138</v>
      </c>
      <c r="B6513" s="3"/>
      <c r="C6513" s="3" t="str">
        <f>"Buick and GMC Truck New Car &amp; Truck dealership with Service, Parts, &amp; Collision Repair services in Anderson, IN. 100% Female Owned &amp; Operated"</f>
        <v>Buick and GMC Truck New Car &amp; Truck dealership with Service, Parts, &amp; Collision Repair services in Anderson, IN. 100% Female Owned &amp; Operated</v>
      </c>
      <c r="D6513" s="3" t="s">
        <v>10293</v>
      </c>
      <c r="E6513" s="3" t="s">
        <v>19139</v>
      </c>
      <c r="F6513" s="3" t="str">
        <f>"7656491253"</f>
        <v>7656491253</v>
      </c>
      <c r="G6513" s="3">
        <v>441110</v>
      </c>
      <c r="H6513" s="3" t="s">
        <v>2588</v>
      </c>
    </row>
    <row r="6514" spans="1:8" ht="26.25" x14ac:dyDescent="0.25">
      <c r="A6514" s="3" t="s">
        <v>19140</v>
      </c>
      <c r="B6514" s="3"/>
      <c r="C6514" s="3" t="str">
        <f>"Civil Engineering and Land Surveying."</f>
        <v>Civil Engineering and Land Surveying.</v>
      </c>
      <c r="D6514" s="3" t="s">
        <v>19141</v>
      </c>
      <c r="E6514" s="3" t="s">
        <v>19142</v>
      </c>
      <c r="F6514" s="3" t="str">
        <f>"812-238-9731"</f>
        <v>812-238-9731</v>
      </c>
      <c r="G6514" s="3">
        <v>541330</v>
      </c>
      <c r="H6514" s="3" t="s">
        <v>82</v>
      </c>
    </row>
    <row r="6515" spans="1:8" ht="128.25" x14ac:dyDescent="0.25">
      <c r="A6515" s="3" t="s">
        <v>19143</v>
      </c>
      <c r="B6515" s="3"/>
      <c r="C6515" s="3" t="s">
        <v>19144</v>
      </c>
      <c r="D6515" s="3" t="s">
        <v>9</v>
      </c>
      <c r="E6515" s="3" t="s">
        <v>19145</v>
      </c>
      <c r="F6515" s="3" t="str">
        <f>"812-654-3676"</f>
        <v>812-654-3676</v>
      </c>
      <c r="G6515" s="3">
        <v>237990</v>
      </c>
      <c r="H6515" s="3" t="s">
        <v>2631</v>
      </c>
    </row>
    <row r="6516" spans="1:8" ht="51.75" x14ac:dyDescent="0.25">
      <c r="A6516" s="3" t="s">
        <v>19146</v>
      </c>
      <c r="B6516" s="3"/>
      <c r="C6516" s="3" t="str">
        <f>"Company provides security guard and patrol services, alarm system sales, installation, servicing and monitoring services."</f>
        <v>Company provides security guard and patrol services, alarm system sales, installation, servicing and monitoring services.</v>
      </c>
      <c r="D6516" s="3" t="s">
        <v>19147</v>
      </c>
      <c r="E6516" s="3" t="s">
        <v>19148</v>
      </c>
      <c r="F6516" s="3" t="str">
        <f>"317-865-1014"</f>
        <v>317-865-1014</v>
      </c>
      <c r="G6516" s="3">
        <v>561621</v>
      </c>
      <c r="H6516" s="3" t="s">
        <v>827</v>
      </c>
    </row>
    <row r="6517" spans="1:8" ht="255.75" x14ac:dyDescent="0.25">
      <c r="A6517" s="3" t="s">
        <v>19149</v>
      </c>
      <c r="B6517" s="3"/>
      <c r="C6517" s="3" t="s">
        <v>19150</v>
      </c>
      <c r="D6517" s="3" t="s">
        <v>19151</v>
      </c>
      <c r="E6517" s="3" t="s">
        <v>19152</v>
      </c>
      <c r="F6517" s="3" t="str">
        <f>"812.337.5070"</f>
        <v>812.337.5070</v>
      </c>
      <c r="G6517" s="3">
        <v>518</v>
      </c>
      <c r="H6517" s="3" t="s">
        <v>1003</v>
      </c>
    </row>
    <row r="6518" spans="1:8" ht="26.25" x14ac:dyDescent="0.25">
      <c r="A6518" s="3" t="s">
        <v>19153</v>
      </c>
      <c r="B6518" s="3"/>
      <c r="C6518" s="3" t="str">
        <f>"Distributor of automotive / tire shop equipment, tools, and supplies."</f>
        <v>Distributor of automotive / tire shop equipment, tools, and supplies.</v>
      </c>
      <c r="D6518" s="3" t="s">
        <v>19154</v>
      </c>
      <c r="E6518" s="3" t="s">
        <v>19155</v>
      </c>
      <c r="F6518" s="3" t="str">
        <f>"317-290-0591"</f>
        <v>317-290-0591</v>
      </c>
      <c r="G6518" s="3">
        <v>421</v>
      </c>
      <c r="H6518" s="3" t="s">
        <v>3013</v>
      </c>
    </row>
    <row r="6519" spans="1:8" ht="153.75" x14ac:dyDescent="0.25">
      <c r="A6519" s="3" t="s">
        <v>19156</v>
      </c>
      <c r="B6519" s="3"/>
      <c r="C6519" s="3" t="s">
        <v>19157</v>
      </c>
      <c r="D6519" s="3" t="s">
        <v>19158</v>
      </c>
      <c r="E6519" s="3" t="s">
        <v>46</v>
      </c>
      <c r="F6519" s="3" t="str">
        <f>"913-384-4900"</f>
        <v>913-384-4900</v>
      </c>
      <c r="G6519" s="3">
        <v>722310</v>
      </c>
      <c r="H6519" s="3" t="s">
        <v>3051</v>
      </c>
    </row>
    <row r="6520" spans="1:8" ht="51.75" x14ac:dyDescent="0.25">
      <c r="A6520" s="3" t="s">
        <v>19159</v>
      </c>
      <c r="B6520" s="3"/>
      <c r="C6520" s="3" t="str">
        <f>"Maintenance and repair of commercial truck tires (i.e. dump trucks tires, semi tractor tailer tires, larger tires) and some equipment tires."</f>
        <v>Maintenance and repair of commercial truck tires (i.e. dump trucks tires, semi tractor tailer tires, larger tires) and some equipment tires.</v>
      </c>
      <c r="D6520" s="3" t="s">
        <v>19160</v>
      </c>
      <c r="E6520" s="3" t="s">
        <v>46</v>
      </c>
      <c r="F6520" s="3" t="str">
        <f>"3178910844"</f>
        <v>3178910844</v>
      </c>
      <c r="G6520" s="3">
        <v>811111</v>
      </c>
      <c r="H6520" s="3" t="s">
        <v>2383</v>
      </c>
    </row>
    <row r="6521" spans="1:8" ht="179.25" x14ac:dyDescent="0.25">
      <c r="A6521" s="3" t="s">
        <v>19161</v>
      </c>
      <c r="B6521" s="3"/>
      <c r="C6521" s="3" t="s">
        <v>19162</v>
      </c>
      <c r="D6521" s="3" t="s">
        <v>19163</v>
      </c>
      <c r="E6521" s="3" t="s">
        <v>19164</v>
      </c>
      <c r="F6521" s="3" t="str">
        <f>"219.545.5609"</f>
        <v>219.545.5609</v>
      </c>
      <c r="G6521" s="3">
        <v>541618</v>
      </c>
      <c r="H6521" s="3" t="s">
        <v>3527</v>
      </c>
    </row>
    <row r="6522" spans="1:8" ht="51.75" x14ac:dyDescent="0.25">
      <c r="A6522" s="3" t="s">
        <v>19165</v>
      </c>
      <c r="B6522" s="3"/>
      <c r="C6522" s="3" t="str">
        <f>"We do Industial bridgepainting and sandblasting. We do sealer and masony coating, power washing of steel structures and concete"</f>
        <v>We do Industial bridgepainting and sandblasting. We do sealer and masony coating, power washing of steel structures and concete</v>
      </c>
      <c r="D6522" s="3" t="s">
        <v>9</v>
      </c>
      <c r="E6522" s="3" t="s">
        <v>19166</v>
      </c>
      <c r="F6522" s="3" t="str">
        <f>"219 662 9092"</f>
        <v>219 662 9092</v>
      </c>
      <c r="G6522" s="3">
        <v>23521</v>
      </c>
      <c r="H6522" s="3" t="s">
        <v>462</v>
      </c>
    </row>
    <row r="6523" spans="1:8" ht="51.75" x14ac:dyDescent="0.25">
      <c r="A6523" s="3" t="s">
        <v>19167</v>
      </c>
      <c r="B6523" s="3"/>
      <c r="C6523" s="3" t="str">
        <f>"Industrial Painting, Coatings, Linings, Fiberglass, Polyureas, Concrete Coating, Sandblasting, Lead Abatement. Shop &amp; Field Applications"</f>
        <v>Industrial Painting, Coatings, Linings, Fiberglass, Polyureas, Concrete Coating, Sandblasting, Lead Abatement. Shop &amp; Field Applications</v>
      </c>
      <c r="D6523" s="3" t="s">
        <v>9</v>
      </c>
      <c r="E6523" s="3" t="s">
        <v>19168</v>
      </c>
      <c r="F6523" s="3" t="str">
        <f>"219-989-0700"</f>
        <v>219-989-0700</v>
      </c>
      <c r="G6523" s="3">
        <v>2352</v>
      </c>
      <c r="H6523" s="3" t="s">
        <v>462</v>
      </c>
    </row>
    <row r="6524" spans="1:8" ht="64.5" x14ac:dyDescent="0.25">
      <c r="A6524" s="3" t="s">
        <v>19169</v>
      </c>
      <c r="B6524" s="3"/>
      <c r="C6524" s="3" t="str">
        <f>"Training services primarily for not-for-profit social services enteprises including employee development, quality support, program development and implementation and board development."</f>
        <v>Training services primarily for not-for-profit social services enteprises including employee development, quality support, program development and implementation and board development.</v>
      </c>
      <c r="D6524" s="3" t="s">
        <v>9</v>
      </c>
      <c r="E6524" s="3" t="s">
        <v>46</v>
      </c>
      <c r="F6524" s="2"/>
      <c r="G6524" s="3">
        <v>541</v>
      </c>
      <c r="H6524" s="3" t="s">
        <v>179</v>
      </c>
    </row>
    <row r="6525" spans="1:8" ht="39" x14ac:dyDescent="0.25">
      <c r="A6525" s="3" t="s">
        <v>19170</v>
      </c>
      <c r="B6525" s="3"/>
      <c r="C6525" s="3" t="str">
        <f>"Mechanical and Electrical Contractor providing services for commercial and industrial business."</f>
        <v>Mechanical and Electrical Contractor providing services for commercial and industrial business.</v>
      </c>
      <c r="D6525" s="3" t="s">
        <v>19171</v>
      </c>
      <c r="E6525" s="3" t="s">
        <v>19172</v>
      </c>
      <c r="F6525" s="3" t="str">
        <f>"812-546-6111"</f>
        <v>812-546-6111</v>
      </c>
      <c r="G6525" s="3">
        <v>238220</v>
      </c>
      <c r="H6525" s="3" t="s">
        <v>348</v>
      </c>
    </row>
    <row r="6526" spans="1:8" ht="39" x14ac:dyDescent="0.25">
      <c r="A6526" s="3" t="s">
        <v>19173</v>
      </c>
      <c r="B6526" s="3"/>
      <c r="C6526" s="3" t="str">
        <f>"ACOUNTING AND FINANCIAL SERVICE. INSURANCE BILLING FOR DOCTORS. MADICAL BILLING."</f>
        <v>ACOUNTING AND FINANCIAL SERVICE. INSURANCE BILLING FOR DOCTORS. MADICAL BILLING.</v>
      </c>
      <c r="D6526" s="3" t="s">
        <v>9</v>
      </c>
      <c r="E6526" s="3" t="s">
        <v>46</v>
      </c>
      <c r="F6526" s="2"/>
      <c r="G6526" s="3">
        <v>62</v>
      </c>
      <c r="H6526" s="3" t="s">
        <v>1168</v>
      </c>
    </row>
    <row r="6527" spans="1:8" ht="64.5" x14ac:dyDescent="0.25">
      <c r="A6527" s="3" t="s">
        <v>19174</v>
      </c>
      <c r="B6527" s="3"/>
      <c r="C6527" s="3" t="str">
        <f>"NAPA AUTO PARTS, Auto , Light and HD Truck, and Industrial parts and supplies. Echlin and Rayloc electrical, Martin Senior Paint, Hydrolic hoses and fittings, Shop tools and equipment, full line auto and truck parts."</f>
        <v>NAPA AUTO PARTS, Auto , Light and HD Truck, and Industrial parts and supplies. Echlin and Rayloc electrical, Martin Senior Paint, Hydrolic hoses and fittings, Shop tools and equipment, full line auto and truck parts.</v>
      </c>
      <c r="D6527" s="3" t="s">
        <v>9</v>
      </c>
      <c r="E6527" s="3" t="s">
        <v>46</v>
      </c>
      <c r="F6527" s="3" t="str">
        <f>"317-634-3524"</f>
        <v>317-634-3524</v>
      </c>
      <c r="G6527" s="3">
        <v>441310</v>
      </c>
      <c r="H6527" s="3" t="s">
        <v>1699</v>
      </c>
    </row>
    <row r="6528" spans="1:8" ht="90" x14ac:dyDescent="0.25">
      <c r="A6528" s="3" t="s">
        <v>19175</v>
      </c>
      <c r="B6528" s="3"/>
      <c r="C6528" s="3" t="s">
        <v>19176</v>
      </c>
      <c r="D6528" s="3" t="s">
        <v>9</v>
      </c>
      <c r="E6528" s="3" t="s">
        <v>19177</v>
      </c>
      <c r="F6528" s="3" t="str">
        <f>"574-223-3171"</f>
        <v>574-223-3171</v>
      </c>
      <c r="G6528" s="3">
        <v>441310</v>
      </c>
      <c r="H6528" s="3" t="s">
        <v>1699</v>
      </c>
    </row>
    <row r="6529" spans="1:8" ht="102.75" x14ac:dyDescent="0.25">
      <c r="A6529" s="3" t="s">
        <v>19178</v>
      </c>
      <c r="B6529" s="3"/>
      <c r="C6529" s="3" t="s">
        <v>19179</v>
      </c>
      <c r="D6529" s="3" t="s">
        <v>9</v>
      </c>
      <c r="E6529" s="3" t="s">
        <v>19180</v>
      </c>
      <c r="F6529" s="3" t="str">
        <f>"574-946-3043"</f>
        <v>574-946-3043</v>
      </c>
      <c r="G6529" s="3">
        <v>441310</v>
      </c>
      <c r="H6529" s="3" t="s">
        <v>1699</v>
      </c>
    </row>
    <row r="6530" spans="1:8" ht="51.75" x14ac:dyDescent="0.25">
      <c r="A6530" s="3" t="s">
        <v>19181</v>
      </c>
      <c r="B6530" s="3"/>
      <c r="C6530" s="3" t="str">
        <f>"We supply NAPA auto parts and automtive accessories in the eastern regions of Indiana. Community Auto Parts, Inc also has a machine shop availabe."</f>
        <v>We supply NAPA auto parts and automtive accessories in the eastern regions of Indiana. Community Auto Parts, Inc also has a machine shop availabe.</v>
      </c>
      <c r="D6530" s="3" t="s">
        <v>9</v>
      </c>
      <c r="E6530" s="3" t="s">
        <v>46</v>
      </c>
      <c r="F6530" s="3" t="str">
        <f>"(765) 962-9546"</f>
        <v>(765) 962-9546</v>
      </c>
      <c r="G6530" s="3">
        <v>423120</v>
      </c>
      <c r="H6530" s="3" t="s">
        <v>1033</v>
      </c>
    </row>
    <row r="6531" spans="1:8" ht="115.5" x14ac:dyDescent="0.25">
      <c r="A6531" s="3" t="s">
        <v>19182</v>
      </c>
      <c r="B6531" s="3"/>
      <c r="C6531" s="3" t="s">
        <v>19183</v>
      </c>
      <c r="D6531" s="3" t="s">
        <v>19184</v>
      </c>
      <c r="E6531" s="3" t="s">
        <v>19185</v>
      </c>
      <c r="F6531" s="3" t="str">
        <f>"812-254-7393"</f>
        <v>812-254-7393</v>
      </c>
      <c r="G6531" s="3">
        <v>315299</v>
      </c>
      <c r="H6531" s="3" t="s">
        <v>19186</v>
      </c>
    </row>
    <row r="6532" spans="1:8" ht="39" x14ac:dyDescent="0.25">
      <c r="A6532" s="3" t="s">
        <v>19187</v>
      </c>
      <c r="B6532" s="3"/>
      <c r="C6532" s="3" t="str">
        <f>"We are a female owned business for hire. Hauling bulk fly ash, cement, and aggegates, such as limestone, sand and gravel."</f>
        <v>We are a female owned business for hire. Hauling bulk fly ash, cement, and aggegates, such as limestone, sand and gravel.</v>
      </c>
      <c r="D6532" s="3" t="s">
        <v>9</v>
      </c>
      <c r="E6532" s="3" t="s">
        <v>46</v>
      </c>
      <c r="F6532" s="3" t="str">
        <f>"8122322380"</f>
        <v>8122322380</v>
      </c>
      <c r="G6532" s="3">
        <v>484110</v>
      </c>
      <c r="H6532" s="3" t="s">
        <v>644</v>
      </c>
    </row>
    <row r="6533" spans="1:8" ht="26.25" x14ac:dyDescent="0.25">
      <c r="A6533" s="3" t="s">
        <v>19188</v>
      </c>
      <c r="B6533" s="3"/>
      <c r="C6533" s="3" t="str">
        <f>"Consumer credit restoration. Credit REPAIR"</f>
        <v>Consumer credit restoration. Credit REPAIR</v>
      </c>
      <c r="D6533" s="3" t="s">
        <v>19189</v>
      </c>
      <c r="E6533" s="3" t="s">
        <v>19190</v>
      </c>
      <c r="F6533" s="3" t="str">
        <f>"317-536-0277"</f>
        <v>317-536-0277</v>
      </c>
      <c r="G6533" s="3">
        <v>522</v>
      </c>
      <c r="H6533" s="3" t="s">
        <v>19191</v>
      </c>
    </row>
    <row r="6534" spans="1:8" ht="90" x14ac:dyDescent="0.25">
      <c r="A6534" s="3" t="s">
        <v>19192</v>
      </c>
      <c r="B6534" s="3"/>
      <c r="C6534" s="3" t="s">
        <v>19193</v>
      </c>
      <c r="D6534" s="3" t="s">
        <v>9</v>
      </c>
      <c r="E6534" s="3" t="s">
        <v>19194</v>
      </c>
      <c r="F6534" s="3" t="str">
        <f>"260-467-0871"</f>
        <v>260-467-0871</v>
      </c>
      <c r="G6534" s="3">
        <v>811212</v>
      </c>
      <c r="H6534" s="3" t="s">
        <v>1632</v>
      </c>
    </row>
    <row r="6535" spans="1:8" ht="268.5" x14ac:dyDescent="0.25">
      <c r="A6535" s="3" t="s">
        <v>19195</v>
      </c>
      <c r="B6535" s="3"/>
      <c r="C6535" s="3" t="s">
        <v>19196</v>
      </c>
      <c r="D6535" s="3" t="s">
        <v>19197</v>
      </c>
      <c r="E6535" s="3" t="s">
        <v>19198</v>
      </c>
      <c r="F6535" s="3" t="str">
        <f>"7204315678"</f>
        <v>7204315678</v>
      </c>
      <c r="G6535" s="3">
        <v>562910</v>
      </c>
      <c r="H6535" s="3" t="s">
        <v>2278</v>
      </c>
    </row>
    <row r="6536" spans="1:8" ht="26.25" x14ac:dyDescent="0.25">
      <c r="A6536" s="3" t="s">
        <v>19199</v>
      </c>
      <c r="B6536" s="3"/>
      <c r="C6536" s="3" t="str">
        <f>"Retirement Community featuring independent living"</f>
        <v>Retirement Community featuring independent living</v>
      </c>
      <c r="D6536" s="3" t="s">
        <v>9</v>
      </c>
      <c r="E6536" s="3" t="s">
        <v>46</v>
      </c>
      <c r="F6536" s="3" t="str">
        <f>"317-293-5500"</f>
        <v>317-293-5500</v>
      </c>
      <c r="G6536" s="3">
        <v>623312</v>
      </c>
      <c r="H6536" s="3" t="s">
        <v>19200</v>
      </c>
    </row>
    <row r="6537" spans="1:8" ht="26.25" x14ac:dyDescent="0.25">
      <c r="A6537" s="3" t="s">
        <v>19201</v>
      </c>
      <c r="B6537" s="3"/>
      <c r="C6537" s="3" t="str">
        <f>"Computer networking. Computers, copiers and printers sales and service."</f>
        <v>Computer networking. Computers, copiers and printers sales and service.</v>
      </c>
      <c r="D6537" s="3" t="s">
        <v>9</v>
      </c>
      <c r="E6537" s="3" t="s">
        <v>19202</v>
      </c>
      <c r="F6537" s="3" t="str">
        <f>"219-755-4710"</f>
        <v>219-755-4710</v>
      </c>
      <c r="G6537" s="3">
        <v>811212</v>
      </c>
      <c r="H6537" s="3" t="s">
        <v>1632</v>
      </c>
    </row>
    <row r="6538" spans="1:8" ht="64.5" x14ac:dyDescent="0.25">
      <c r="A6538" s="3" t="s">
        <v>19203</v>
      </c>
      <c r="B6538" s="3"/>
      <c r="C6538" s="3" t="str">
        <f>"NSG is a Microsoft Gold Certified Partner providing IT training on Microsoft products (Windows Server, Exchange Server, Exchange Server, SQL Server, SharePoint etc.)."</f>
        <v>NSG is a Microsoft Gold Certified Partner providing IT training on Microsoft products (Windows Server, Exchange Server, Exchange Server, SQL Server, SharePoint etc.).</v>
      </c>
      <c r="D6538" s="3" t="s">
        <v>19204</v>
      </c>
      <c r="E6538" s="3" t="s">
        <v>19205</v>
      </c>
      <c r="F6538" s="3" t="str">
        <f>"317 579-5806"</f>
        <v>317 579-5806</v>
      </c>
      <c r="G6538" s="3">
        <v>611420</v>
      </c>
      <c r="H6538" s="3" t="s">
        <v>39</v>
      </c>
    </row>
    <row r="6539" spans="1:8" ht="26.25" x14ac:dyDescent="0.25">
      <c r="A6539" s="3" t="s">
        <v>19206</v>
      </c>
      <c r="B6539" s="3"/>
      <c r="C6539" s="3" t="str">
        <f>"in the business of retailing new equipment, rental equipment, parts and supplies"</f>
        <v>in the business of retailing new equipment, rental equipment, parts and supplies</v>
      </c>
      <c r="D6539" s="3" t="s">
        <v>9</v>
      </c>
      <c r="E6539" s="3" t="s">
        <v>19207</v>
      </c>
      <c r="F6539" s="3" t="str">
        <f>"812-945-7730"</f>
        <v>812-945-7730</v>
      </c>
      <c r="G6539" s="3">
        <v>44</v>
      </c>
      <c r="H6539" s="3" t="s">
        <v>574</v>
      </c>
    </row>
    <row r="6540" spans="1:8" ht="64.5" x14ac:dyDescent="0.25">
      <c r="A6540" s="3" t="s">
        <v>19208</v>
      </c>
      <c r="B6540" s="3"/>
      <c r="C6540" s="3" t="str">
        <f>"FARM TRACTORS, COMMERCIAL MOWING EQUIPMENT, ALAMO ROADSIDE MOWING EQUIPMENT, SKID LOADERS AND BACKHOE'S, VARIOUS CONSUMER OFFERING IN TRIMMERS, SAWS, MOWERS ETC"</f>
        <v>FARM TRACTORS, COMMERCIAL MOWING EQUIPMENT, ALAMO ROADSIDE MOWING EQUIPMENT, SKID LOADERS AND BACKHOE'S, VARIOUS CONSUMER OFFERING IN TRIMMERS, SAWS, MOWERS ETC</v>
      </c>
      <c r="D6540" s="3" t="s">
        <v>19209</v>
      </c>
      <c r="E6540" s="3" t="s">
        <v>19210</v>
      </c>
      <c r="F6540" s="3" t="str">
        <f>"8129457730"</f>
        <v>8129457730</v>
      </c>
      <c r="G6540" s="3">
        <v>423990</v>
      </c>
      <c r="H6540" s="3" t="s">
        <v>983</v>
      </c>
    </row>
    <row r="6541" spans="1:8" ht="39" x14ac:dyDescent="0.25">
      <c r="A6541" s="3" t="s">
        <v>19211</v>
      </c>
      <c r="B6541" s="3"/>
      <c r="C6541" s="3" t="str">
        <f>"Indiana Real Estate Broker, Real Estate Services, Acquisition and Disposition Negotiator, Property Evaluations"</f>
        <v>Indiana Real Estate Broker, Real Estate Services, Acquisition and Disposition Negotiator, Property Evaluations</v>
      </c>
      <c r="D6541" s="3" t="s">
        <v>19212</v>
      </c>
      <c r="E6541" s="3" t="s">
        <v>19213</v>
      </c>
      <c r="F6541" s="3" t="str">
        <f>"317-786-1111"</f>
        <v>317-786-1111</v>
      </c>
      <c r="G6541" s="3">
        <v>531210</v>
      </c>
      <c r="H6541" s="3" t="s">
        <v>1101</v>
      </c>
    </row>
    <row r="6542" spans="1:8" ht="77.25" x14ac:dyDescent="0.25">
      <c r="A6542" s="3" t="s">
        <v>19214</v>
      </c>
      <c r="B6542" s="3"/>
      <c r="C6542" s="3" t="str">
        <f>"Commercial and industrial metal fabrication; commercial kitchen hoods, make up air units; pipe fabrication; structural steel fabrication; industrial equipment installation; food processing equipment fabrication"</f>
        <v>Commercial and industrial metal fabrication; commercial kitchen hoods, make up air units; pipe fabrication; structural steel fabrication; industrial equipment installation; food processing equipment fabrication</v>
      </c>
      <c r="D6542" s="3" t="s">
        <v>19215</v>
      </c>
      <c r="E6542" s="3" t="s">
        <v>19216</v>
      </c>
      <c r="F6542" s="3" t="str">
        <f>"765-483-2190"</f>
        <v>765-483-2190</v>
      </c>
      <c r="G6542" s="3">
        <v>332999</v>
      </c>
      <c r="H6542" s="3" t="s">
        <v>9757</v>
      </c>
    </row>
    <row r="6543" spans="1:8" ht="26.25" x14ac:dyDescent="0.25">
      <c r="A6543" s="3" t="s">
        <v>19217</v>
      </c>
      <c r="B6543" s="3"/>
      <c r="C6543" s="3" t="str">
        <f>"real estate appraisals"</f>
        <v>real estate appraisals</v>
      </c>
      <c r="D6543" s="3" t="s">
        <v>19218</v>
      </c>
      <c r="E6543" s="3" t="s">
        <v>19219</v>
      </c>
      <c r="F6543" s="3" t="str">
        <f>"8122343746"</f>
        <v>8122343746</v>
      </c>
      <c r="G6543" s="3">
        <v>531320</v>
      </c>
      <c r="H6543" s="3" t="s">
        <v>34</v>
      </c>
    </row>
    <row r="6544" spans="1:8" ht="64.5" x14ac:dyDescent="0.25">
      <c r="A6544" s="3" t="s">
        <v>19220</v>
      </c>
      <c r="B6544" s="3"/>
      <c r="C6544" s="3" t="str">
        <f>"Management consultancy in the following areas: Analytics, Strategic Planning, Program Management, Project Management, Continuous Improvements, Enterprise Risk Management, Training"</f>
        <v>Management consultancy in the following areas: Analytics, Strategic Planning, Program Management, Project Management, Continuous Improvements, Enterprise Risk Management, Training</v>
      </c>
      <c r="D6544" s="3" t="s">
        <v>19221</v>
      </c>
      <c r="E6544" s="3" t="s">
        <v>19222</v>
      </c>
      <c r="F6544" s="3" t="str">
        <f>"3174600555"</f>
        <v>3174600555</v>
      </c>
      <c r="G6544" s="3">
        <v>541611</v>
      </c>
      <c r="H6544" s="3" t="s">
        <v>278</v>
      </c>
    </row>
    <row r="6545" spans="1:8" ht="26.25" x14ac:dyDescent="0.25">
      <c r="A6545" s="3" t="s">
        <v>19223</v>
      </c>
      <c r="B6545" s="3"/>
      <c r="C6545" s="3" t="str">
        <f>"Out Patient Mental Health services"</f>
        <v>Out Patient Mental Health services</v>
      </c>
      <c r="D6545" s="3" t="s">
        <v>9</v>
      </c>
      <c r="E6545" s="3" t="s">
        <v>46</v>
      </c>
      <c r="F6545" s="2"/>
      <c r="G6545" s="3">
        <v>621420</v>
      </c>
      <c r="H6545" s="3" t="s">
        <v>990</v>
      </c>
    </row>
    <row r="6546" spans="1:8" ht="128.25" x14ac:dyDescent="0.25">
      <c r="A6546" s="3" t="s">
        <v>19224</v>
      </c>
      <c r="B6546" s="3"/>
      <c r="C6546" s="3" t="s">
        <v>19225</v>
      </c>
      <c r="D6546" s="3" t="s">
        <v>19226</v>
      </c>
      <c r="E6546" s="3" t="s">
        <v>19227</v>
      </c>
      <c r="F6546" s="3" t="str">
        <f>"317-616-3301"</f>
        <v>317-616-3301</v>
      </c>
      <c r="G6546" s="3">
        <v>541330</v>
      </c>
      <c r="H6546" s="3" t="s">
        <v>82</v>
      </c>
    </row>
    <row r="6547" spans="1:8" ht="90" x14ac:dyDescent="0.25">
      <c r="A6547" s="3" t="s">
        <v>19228</v>
      </c>
      <c r="B6547" s="3"/>
      <c r="C6547" s="3" t="s">
        <v>19229</v>
      </c>
      <c r="D6547" s="3" t="s">
        <v>19230</v>
      </c>
      <c r="E6547" s="3" t="s">
        <v>46</v>
      </c>
      <c r="F6547" s="3" t="str">
        <f>"574-295-3000"</f>
        <v>574-295-3000</v>
      </c>
      <c r="G6547" s="3">
        <v>332911</v>
      </c>
      <c r="H6547" s="3" t="s">
        <v>6117</v>
      </c>
    </row>
    <row r="6548" spans="1:8" ht="26.25" x14ac:dyDescent="0.25">
      <c r="A6548" s="3" t="s">
        <v>19231</v>
      </c>
      <c r="B6548" s="3"/>
      <c r="C6548" s="3" t="str">
        <f>"new and used metal working machine tools, sales and service"</f>
        <v>new and used metal working machine tools, sales and service</v>
      </c>
      <c r="D6548" s="3" t="s">
        <v>19232</v>
      </c>
      <c r="E6548" s="3" t="s">
        <v>19233</v>
      </c>
      <c r="F6548" s="3" t="str">
        <f>"574-262-1075"</f>
        <v>574-262-1075</v>
      </c>
      <c r="G6548" s="3">
        <v>4238</v>
      </c>
      <c r="H6548" s="3" t="s">
        <v>1565</v>
      </c>
    </row>
    <row r="6549" spans="1:8" ht="115.5" x14ac:dyDescent="0.25">
      <c r="A6549" s="3" t="s">
        <v>19234</v>
      </c>
      <c r="B6549" s="3"/>
      <c r="C6549" s="3" t="s">
        <v>19235</v>
      </c>
      <c r="D6549" s="3" t="s">
        <v>19236</v>
      </c>
      <c r="E6549" s="3" t="s">
        <v>19237</v>
      </c>
      <c r="F6549" s="3" t="str">
        <f>"219-844-8680"</f>
        <v>219-844-8680</v>
      </c>
      <c r="G6549" s="3">
        <v>541330</v>
      </c>
      <c r="H6549" s="3" t="s">
        <v>82</v>
      </c>
    </row>
    <row r="6550" spans="1:8" ht="39" x14ac:dyDescent="0.25">
      <c r="A6550" s="3" t="s">
        <v>19238</v>
      </c>
      <c r="B6550" s="3"/>
      <c r="C6550" s="3" t="str">
        <f>"Suppliers of tire repair products and equipment for repairing, changing, balancing and servicing all type of tires."</f>
        <v>Suppliers of tire repair products and equipment for repairing, changing, balancing and servicing all type of tires.</v>
      </c>
      <c r="D6550" s="3" t="s">
        <v>19239</v>
      </c>
      <c r="E6550" s="3" t="s">
        <v>19240</v>
      </c>
      <c r="F6550" s="3" t="str">
        <f>"765-763-6830"</f>
        <v>765-763-6830</v>
      </c>
      <c r="G6550" s="3">
        <v>42113</v>
      </c>
      <c r="H6550" s="3" t="s">
        <v>19241</v>
      </c>
    </row>
    <row r="6551" spans="1:8" ht="39" x14ac:dyDescent="0.25">
      <c r="A6551" s="3" t="s">
        <v>19242</v>
      </c>
      <c r="B6551" s="3"/>
      <c r="C6551" s="3" t="str">
        <f>"General/occupational medicine, physical therapy and rehabilitation services provided in Elkhart, Indiana."</f>
        <v>General/occupational medicine, physical therapy and rehabilitation services provided in Elkhart, Indiana.</v>
      </c>
      <c r="D6551" s="3" t="s">
        <v>9</v>
      </c>
      <c r="E6551" s="3" t="s">
        <v>19243</v>
      </c>
      <c r="F6551" s="3" t="str">
        <f>"773-793-1964"</f>
        <v>773-793-1964</v>
      </c>
      <c r="G6551" s="3">
        <v>621</v>
      </c>
      <c r="H6551" s="3" t="s">
        <v>4392</v>
      </c>
    </row>
    <row r="6552" spans="1:8" ht="26.25" x14ac:dyDescent="0.25">
      <c r="A6552" s="3" t="s">
        <v>19244</v>
      </c>
      <c r="B6552" s="3"/>
      <c r="C6552" s="3" t="str">
        <f>"Train and employ ex-offenders in light residential and commercial areas"</f>
        <v>Train and employ ex-offenders in light residential and commercial areas</v>
      </c>
      <c r="D6552" s="3" t="s">
        <v>19245</v>
      </c>
      <c r="E6552" s="3" t="s">
        <v>19246</v>
      </c>
      <c r="F6552" s="3" t="str">
        <f>"317-926-5765"</f>
        <v>317-926-5765</v>
      </c>
      <c r="G6552" s="3">
        <v>2361</v>
      </c>
      <c r="H6552" s="3" t="s">
        <v>3466</v>
      </c>
    </row>
    <row r="6553" spans="1:8" ht="26.25" x14ac:dyDescent="0.25">
      <c r="A6553" s="3" t="s">
        <v>19247</v>
      </c>
      <c r="B6553" s="3"/>
      <c r="C6553" s="3" t="str">
        <f>"courier service"</f>
        <v>courier service</v>
      </c>
      <c r="D6553" s="3" t="s">
        <v>9</v>
      </c>
      <c r="E6553" s="3" t="s">
        <v>46</v>
      </c>
      <c r="F6553" s="3" t="str">
        <f>"765-644-4639"</f>
        <v>765-644-4639</v>
      </c>
      <c r="G6553" s="3">
        <v>4921</v>
      </c>
      <c r="H6553" s="3" t="s">
        <v>11632</v>
      </c>
    </row>
    <row r="6554" spans="1:8" ht="26.25" x14ac:dyDescent="0.25">
      <c r="A6554" s="3" t="s">
        <v>19248</v>
      </c>
      <c r="B6554" s="3"/>
      <c r="C6554" s="3" t="str">
        <f>"NON-PROFIT DOMESTIC"</f>
        <v>NON-PROFIT DOMESTIC</v>
      </c>
      <c r="D6554" s="3" t="s">
        <v>19249</v>
      </c>
      <c r="E6554" s="3" t="s">
        <v>19250</v>
      </c>
      <c r="F6554" s="3" t="str">
        <f>"574-2392380"</f>
        <v>574-2392380</v>
      </c>
      <c r="G6554" s="3">
        <v>923130</v>
      </c>
      <c r="H6554" s="3" t="s">
        <v>724</v>
      </c>
    </row>
    <row r="6555" spans="1:8" ht="64.5" x14ac:dyDescent="0.25">
      <c r="A6555" s="3" t="s">
        <v>19251</v>
      </c>
      <c r="B6555" s="3"/>
      <c r="C6555" s="3" t="str">
        <f>"CONTRACT MANUFACTURING SPECIALIZING IN WIRE HARNESSES AND ELECTROMECHANICAL ASSEMBLIES. PRIMARY INDUSTRY IS AEROSPACE. AS9100 AND ISO9001 CERTIFIED."</f>
        <v>CONTRACT MANUFACTURING SPECIALIZING IN WIRE HARNESSES AND ELECTROMECHANICAL ASSEMBLIES. PRIMARY INDUSTRY IS AEROSPACE. AS9100 AND ISO9001 CERTIFIED.</v>
      </c>
      <c r="D6555" s="3" t="s">
        <v>19252</v>
      </c>
      <c r="E6555" s="3" t="s">
        <v>19253</v>
      </c>
      <c r="F6555" s="3" t="str">
        <f>"317-293-2215"</f>
        <v>317-293-2215</v>
      </c>
      <c r="G6555" s="3">
        <v>525990</v>
      </c>
      <c r="H6555" s="3" t="s">
        <v>1028</v>
      </c>
    </row>
    <row r="6556" spans="1:8" ht="26.25" x14ac:dyDescent="0.25">
      <c r="A6556" s="3" t="s">
        <v>19254</v>
      </c>
      <c r="B6556" s="3"/>
      <c r="C6556" s="3" t="str">
        <f>"Energy engineering and construction services."</f>
        <v>Energy engineering and construction services.</v>
      </c>
      <c r="D6556" s="3" t="s">
        <v>19255</v>
      </c>
      <c r="E6556" s="3" t="s">
        <v>46</v>
      </c>
      <c r="F6556" s="3" t="str">
        <f>"508-614-1000"</f>
        <v>508-614-1000</v>
      </c>
      <c r="G6556" s="3">
        <v>561210</v>
      </c>
      <c r="H6556" s="3" t="s">
        <v>1697</v>
      </c>
    </row>
    <row r="6557" spans="1:8" ht="26.25" x14ac:dyDescent="0.25">
      <c r="A6557" s="3" t="s">
        <v>19256</v>
      </c>
      <c r="B6557" s="3"/>
      <c r="C6557" s="3" t="str">
        <f>"Not for Profit-Workforce Development-Administration"</f>
        <v>Not for Profit-Workforce Development-Administration</v>
      </c>
      <c r="D6557" s="3" t="s">
        <v>19249</v>
      </c>
      <c r="E6557" s="3" t="s">
        <v>19257</v>
      </c>
      <c r="F6557" s="3" t="str">
        <f>"574-239-2380"</f>
        <v>574-239-2380</v>
      </c>
      <c r="G6557" s="3">
        <v>923130</v>
      </c>
      <c r="H6557" s="3" t="s">
        <v>724</v>
      </c>
    </row>
    <row r="6558" spans="1:8" x14ac:dyDescent="0.25">
      <c r="A6558" s="3" t="s">
        <v>19258</v>
      </c>
      <c r="B6558" s="3"/>
      <c r="C6558" s="3" t="str">
        <f>"STEEL DISTRIBUTION"</f>
        <v>STEEL DISTRIBUTION</v>
      </c>
      <c r="D6558" s="3" t="s">
        <v>9</v>
      </c>
      <c r="E6558" s="3" t="s">
        <v>46</v>
      </c>
      <c r="F6558" s="2"/>
      <c r="G6558" s="3">
        <v>23</v>
      </c>
      <c r="H6558" s="3" t="s">
        <v>133</v>
      </c>
    </row>
    <row r="6559" spans="1:8" ht="102.75" x14ac:dyDescent="0.25">
      <c r="A6559" s="3" t="s">
        <v>19259</v>
      </c>
      <c r="B6559" s="3"/>
      <c r="C6559" s="3" t="s">
        <v>19260</v>
      </c>
      <c r="D6559" s="3" t="s">
        <v>19261</v>
      </c>
      <c r="E6559" s="3" t="s">
        <v>19262</v>
      </c>
      <c r="F6559" s="3" t="str">
        <f>"317-638-7071"</f>
        <v>317-638-7071</v>
      </c>
      <c r="G6559" s="3">
        <v>492110</v>
      </c>
      <c r="H6559" s="3" t="s">
        <v>11632</v>
      </c>
    </row>
    <row r="6560" spans="1:8" ht="153.75" x14ac:dyDescent="0.25">
      <c r="A6560" s="3" t="s">
        <v>19263</v>
      </c>
      <c r="B6560" s="3"/>
      <c r="C6560" s="3" t="s">
        <v>19264</v>
      </c>
      <c r="D6560" s="3" t="s">
        <v>19265</v>
      </c>
      <c r="E6560" s="3" t="s">
        <v>19266</v>
      </c>
      <c r="F6560" s="3" t="str">
        <f>"812-232-1800"</f>
        <v>812-232-1800</v>
      </c>
      <c r="G6560" s="3">
        <v>2353</v>
      </c>
      <c r="H6560" s="3" t="s">
        <v>306</v>
      </c>
    </row>
    <row r="6561" spans="1:8" ht="26.25" x14ac:dyDescent="0.25">
      <c r="A6561" s="3" t="s">
        <v>19267</v>
      </c>
      <c r="B6561" s="3"/>
      <c r="C6561" s="3" t="str">
        <f>"NRS Consultants has Civil Engineers and Land Surveyors."</f>
        <v>NRS Consultants has Civil Engineers and Land Surveyors.</v>
      </c>
      <c r="D6561" s="3" t="s">
        <v>19268</v>
      </c>
      <c r="E6561" s="3" t="s">
        <v>19269</v>
      </c>
      <c r="F6561" s="3" t="str">
        <f>"765-617-1234"</f>
        <v>765-617-1234</v>
      </c>
      <c r="G6561" s="3">
        <v>541330</v>
      </c>
      <c r="H6561" s="3" t="s">
        <v>82</v>
      </c>
    </row>
    <row r="6562" spans="1:8" ht="128.25" x14ac:dyDescent="0.25">
      <c r="A6562" s="3" t="s">
        <v>19270</v>
      </c>
      <c r="B6562" s="3"/>
      <c r="C6562" s="3" t="s">
        <v>19271</v>
      </c>
      <c r="D6562" s="3" t="s">
        <v>9</v>
      </c>
      <c r="E6562" s="3" t="s">
        <v>19272</v>
      </c>
      <c r="F6562" s="3" t="str">
        <f>"3177534758"</f>
        <v>3177534758</v>
      </c>
      <c r="G6562" s="3">
        <v>541620</v>
      </c>
      <c r="H6562" s="3" t="s">
        <v>216</v>
      </c>
    </row>
    <row r="6563" spans="1:8" ht="128.25" x14ac:dyDescent="0.25">
      <c r="A6563" s="3" t="s">
        <v>19273</v>
      </c>
      <c r="B6563" s="3"/>
      <c r="C6563" s="3" t="s">
        <v>19274</v>
      </c>
      <c r="D6563" s="3" t="s">
        <v>9</v>
      </c>
      <c r="E6563" s="3" t="s">
        <v>19275</v>
      </c>
      <c r="F6563" s="3" t="str">
        <f>"219-746-3483"</f>
        <v>219-746-3483</v>
      </c>
      <c r="G6563" s="3">
        <v>541990</v>
      </c>
      <c r="H6563" s="3" t="s">
        <v>378</v>
      </c>
    </row>
    <row r="6564" spans="1:8" ht="102.75" x14ac:dyDescent="0.25">
      <c r="A6564" s="3" t="s">
        <v>19276</v>
      </c>
      <c r="B6564" s="3"/>
      <c r="C6564" s="3" t="s">
        <v>19277</v>
      </c>
      <c r="D6564" s="3" t="s">
        <v>19278</v>
      </c>
      <c r="E6564" s="3" t="s">
        <v>19279</v>
      </c>
      <c r="F6564" s="3" t="str">
        <f>"574 773-5460"</f>
        <v>574 773-5460</v>
      </c>
      <c r="G6564" s="3">
        <v>54138</v>
      </c>
      <c r="H6564" s="3" t="s">
        <v>226</v>
      </c>
    </row>
    <row r="6565" spans="1:8" ht="77.25" x14ac:dyDescent="0.25">
      <c r="A6565" s="3" t="s">
        <v>19280</v>
      </c>
      <c r="B6565" s="3"/>
      <c r="C6565" s="3" t="str">
        <f>"NTA, Inc. is a multidiscipline organization of professional engineers, managers, technicians, and design draftsmen providing ISO Quality Inspections, construction plan review, engineering, and drafting services."</f>
        <v>NTA, Inc. is a multidiscipline organization of professional engineers, managers, technicians, and design draftsmen providing ISO Quality Inspections, construction plan review, engineering, and drafting services.</v>
      </c>
      <c r="D6565" s="3" t="s">
        <v>19278</v>
      </c>
      <c r="E6565" s="3" t="s">
        <v>19281</v>
      </c>
      <c r="F6565" s="3" t="str">
        <f>"(574) 773-7975"</f>
        <v>(574) 773-7975</v>
      </c>
      <c r="G6565" s="3">
        <v>54133</v>
      </c>
      <c r="H6565" s="3" t="s">
        <v>82</v>
      </c>
    </row>
    <row r="6566" spans="1:8" ht="102.75" x14ac:dyDescent="0.25">
      <c r="A6566" s="3" t="s">
        <v>19282</v>
      </c>
      <c r="B6566" s="3"/>
      <c r="C6566" s="3" t="s">
        <v>19283</v>
      </c>
      <c r="D6566" s="3" t="s">
        <v>19284</v>
      </c>
      <c r="E6566" s="3" t="s">
        <v>19285</v>
      </c>
      <c r="F6566" s="3" t="str">
        <f>"8007336874"</f>
        <v>8007336874</v>
      </c>
      <c r="G6566" s="3">
        <v>611692</v>
      </c>
      <c r="H6566" s="3" t="s">
        <v>7109</v>
      </c>
    </row>
    <row r="6567" spans="1:8" ht="39" x14ac:dyDescent="0.25">
      <c r="A6567" s="3" t="s">
        <v>19286</v>
      </c>
      <c r="B6567" s="3"/>
      <c r="C6567" s="3" t="str">
        <f>"Supplemental health care staffing and home heath care. We provide RN's, LPN's, CNA's, PT's, OT's, and allied health care workers."</f>
        <v>Supplemental health care staffing and home heath care. We provide RN's, LPN's, CNA's, PT's, OT's, and allied health care workers.</v>
      </c>
      <c r="D6567" s="3" t="s">
        <v>19287</v>
      </c>
      <c r="E6567" s="3" t="s">
        <v>19288</v>
      </c>
      <c r="F6567" s="3" t="str">
        <f>"317-818-4400"</f>
        <v>317-818-4400</v>
      </c>
      <c r="G6567" s="3">
        <v>621399</v>
      </c>
      <c r="H6567" s="3" t="s">
        <v>2306</v>
      </c>
    </row>
    <row r="6568" spans="1:8" ht="128.25" x14ac:dyDescent="0.25">
      <c r="A6568" s="3" t="s">
        <v>19289</v>
      </c>
      <c r="B6568" s="3"/>
      <c r="C6568" s="3" t="s">
        <v>19290</v>
      </c>
      <c r="D6568" s="3" t="s">
        <v>19291</v>
      </c>
      <c r="E6568" s="3" t="s">
        <v>19292</v>
      </c>
      <c r="F6568" s="3" t="str">
        <f>"765-464-6538"</f>
        <v>765-464-6538</v>
      </c>
      <c r="G6568" s="3">
        <v>621399</v>
      </c>
      <c r="H6568" s="3" t="s">
        <v>2306</v>
      </c>
    </row>
    <row r="6569" spans="1:8" ht="306.75" x14ac:dyDescent="0.25">
      <c r="A6569" s="3" t="s">
        <v>19289</v>
      </c>
      <c r="B6569" s="3"/>
      <c r="C6569" s="3" t="s">
        <v>19293</v>
      </c>
      <c r="D6569" s="3" t="s">
        <v>19291</v>
      </c>
      <c r="E6569" s="3" t="s">
        <v>19292</v>
      </c>
      <c r="F6569" s="3" t="str">
        <f>"765-464-6538"</f>
        <v>765-464-6538</v>
      </c>
      <c r="G6569" s="3">
        <v>621399</v>
      </c>
      <c r="H6569" s="3" t="s">
        <v>2306</v>
      </c>
    </row>
    <row r="6570" spans="1:8" ht="51.75" x14ac:dyDescent="0.25">
      <c r="A6570" s="3" t="s">
        <v>19294</v>
      </c>
      <c r="B6570" s="3"/>
      <c r="C6570" s="3" t="str">
        <f>"Internet distributor / installer of playground equipment, site amenities, and sporting equipment. Located in Indiana but with sales and service all over the world."</f>
        <v>Internet distributor / installer of playground equipment, site amenities, and sporting equipment. Located in Indiana but with sales and service all over the world.</v>
      </c>
      <c r="D6570" s="3" t="s">
        <v>19295</v>
      </c>
      <c r="E6570" s="3" t="s">
        <v>19296</v>
      </c>
      <c r="F6570" s="3" t="str">
        <f>"317-826-2776"</f>
        <v>317-826-2776</v>
      </c>
      <c r="G6570" s="3">
        <v>423910</v>
      </c>
      <c r="H6570" s="3" t="s">
        <v>460</v>
      </c>
    </row>
    <row r="6571" spans="1:8" ht="90" x14ac:dyDescent="0.25">
      <c r="A6571" s="3" t="s">
        <v>19297</v>
      </c>
      <c r="B6571" s="3"/>
      <c r="C6571" s="3" t="str">
        <f>"NWR Imaging Solutions is a distributor of premium , low-cost compatible laser &amp; inkjet toner cartridges. Our toner cartridges come with a 100% worry free guarantee. NWR Imaging Solutions is committed to bringing value and customer service to our clients."</f>
        <v>NWR Imaging Solutions is a distributor of premium , low-cost compatible laser &amp; inkjet toner cartridges. Our toner cartridges come with a 100% worry free guarantee. NWR Imaging Solutions is committed to bringing value and customer service to our clients.</v>
      </c>
      <c r="D6571" s="3" t="s">
        <v>19298</v>
      </c>
      <c r="E6571" s="3" t="s">
        <v>19299</v>
      </c>
      <c r="F6571" s="3" t="str">
        <f>"1-877-609-8672"</f>
        <v>1-877-609-8672</v>
      </c>
      <c r="G6571" s="3">
        <v>45321</v>
      </c>
      <c r="H6571" s="3" t="s">
        <v>431</v>
      </c>
    </row>
    <row r="6572" spans="1:8" ht="115.5" x14ac:dyDescent="0.25">
      <c r="A6572" s="3" t="s">
        <v>19300</v>
      </c>
      <c r="B6572" s="3"/>
      <c r="C6572" s="3" t="s">
        <v>19301</v>
      </c>
      <c r="D6572" s="3" t="s">
        <v>9</v>
      </c>
      <c r="E6572" s="3" t="s">
        <v>19302</v>
      </c>
      <c r="F6572" s="3" t="str">
        <f>"574.272.9400"</f>
        <v>574.272.9400</v>
      </c>
      <c r="G6572" s="3">
        <v>541620</v>
      </c>
      <c r="H6572" s="3" t="s">
        <v>216</v>
      </c>
    </row>
    <row r="6573" spans="1:8" ht="90" x14ac:dyDescent="0.25">
      <c r="A6573" s="3" t="s">
        <v>19303</v>
      </c>
      <c r="B6573" s="3"/>
      <c r="C6573" s="3" t="str">
        <f>"We specialize in commercial, beauty, headshot and portrait assignments, and more. We also provide videography. graphic design, and web design services making NYC Photo Studio a one-stop creative studio for all your photography and videography needs."</f>
        <v>We specialize in commercial, beauty, headshot and portrait assignments, and more. We also provide videography. graphic design, and web design services making NYC Photo Studio a one-stop creative studio for all your photography and videography needs.</v>
      </c>
      <c r="D6573" s="3" t="s">
        <v>19304</v>
      </c>
      <c r="E6573" s="3" t="s">
        <v>19305</v>
      </c>
      <c r="F6573" s="3" t="str">
        <f>"317-429-0501"</f>
        <v>317-429-0501</v>
      </c>
      <c r="G6573" s="3">
        <v>711510</v>
      </c>
      <c r="H6573" s="3" t="s">
        <v>1980</v>
      </c>
    </row>
    <row r="6574" spans="1:8" ht="192" x14ac:dyDescent="0.25">
      <c r="A6574" s="3" t="s">
        <v>19306</v>
      </c>
      <c r="B6574" s="3"/>
      <c r="C6574" s="3" t="s">
        <v>19307</v>
      </c>
      <c r="D6574" s="3" t="s">
        <v>19308</v>
      </c>
      <c r="E6574" s="3" t="s">
        <v>19309</v>
      </c>
      <c r="F6574" s="3" t="str">
        <f>"317-219-6058"</f>
        <v>317-219-6058</v>
      </c>
      <c r="G6574" s="3">
        <v>339113</v>
      </c>
      <c r="H6574" s="3" t="s">
        <v>18825</v>
      </c>
    </row>
    <row r="6575" spans="1:8" ht="204.75" x14ac:dyDescent="0.25">
      <c r="A6575" s="3" t="s">
        <v>19310</v>
      </c>
      <c r="B6575" s="3"/>
      <c r="C6575" s="3" t="s">
        <v>19311</v>
      </c>
      <c r="D6575" s="3" t="s">
        <v>19308</v>
      </c>
      <c r="E6575" s="3" t="s">
        <v>19309</v>
      </c>
      <c r="F6575" s="3" t="str">
        <f>"317-376-9776"</f>
        <v>317-376-9776</v>
      </c>
      <c r="G6575" s="3">
        <v>92212</v>
      </c>
      <c r="H6575" s="3" t="s">
        <v>1293</v>
      </c>
    </row>
    <row r="6576" spans="1:8" ht="153.75" x14ac:dyDescent="0.25">
      <c r="A6576" s="3" t="s">
        <v>19312</v>
      </c>
      <c r="B6576" s="3"/>
      <c r="C6576" s="3" t="s">
        <v>19313</v>
      </c>
      <c r="D6576" s="3" t="s">
        <v>19314</v>
      </c>
      <c r="E6576" s="3" t="s">
        <v>19315</v>
      </c>
      <c r="F6576" s="3" t="str">
        <f>"812-476-6295"</f>
        <v>812-476-6295</v>
      </c>
      <c r="G6576" s="3">
        <v>45399</v>
      </c>
      <c r="H6576" s="3" t="s">
        <v>3215</v>
      </c>
    </row>
    <row r="6577" spans="1:8" ht="64.5" x14ac:dyDescent="0.25">
      <c r="A6577" s="3" t="s">
        <v>19316</v>
      </c>
      <c r="B6577" s="3"/>
      <c r="C6577" s="3" t="str">
        <f>"Full Charge Bookkeeping Services including A/P, A/R, Invoicing, Financial Reporting, Sales Tax, W9's, Conference Registration Management, Inventory, Daily Receipts and Deposits, etc."</f>
        <v>Full Charge Bookkeeping Services including A/P, A/R, Invoicing, Financial Reporting, Sales Tax, W9's, Conference Registration Management, Inventory, Daily Receipts and Deposits, etc.</v>
      </c>
      <c r="D6577" s="3" t="s">
        <v>9</v>
      </c>
      <c r="E6577" s="3" t="s">
        <v>19317</v>
      </c>
      <c r="F6577" s="3" t="str">
        <f>"317-802-1607"</f>
        <v>317-802-1607</v>
      </c>
      <c r="G6577" s="3">
        <v>54121</v>
      </c>
      <c r="H6577" s="3" t="s">
        <v>311</v>
      </c>
    </row>
    <row r="6578" spans="1:8" ht="39" x14ac:dyDescent="0.25">
      <c r="A6578" s="3" t="s">
        <v>19318</v>
      </c>
      <c r="B6578" s="3"/>
      <c r="C6578" s="3" t="str">
        <f>"Machine shop. Manufacturing - cut to length tubing, extrusion, drill, tap, deburr, welding"</f>
        <v>Machine shop. Manufacturing - cut to length tubing, extrusion, drill, tap, deburr, welding</v>
      </c>
      <c r="D6578" s="3" t="s">
        <v>9</v>
      </c>
      <c r="E6578" s="3" t="s">
        <v>19319</v>
      </c>
      <c r="F6578" s="3" t="str">
        <f>"765-458-5403"</f>
        <v>765-458-5403</v>
      </c>
      <c r="G6578" s="3">
        <v>332710</v>
      </c>
      <c r="H6578" s="3" t="s">
        <v>387</v>
      </c>
    </row>
    <row r="6579" spans="1:8" ht="77.25" x14ac:dyDescent="0.25">
      <c r="A6579" s="3" t="s">
        <v>19320</v>
      </c>
      <c r="B6579" s="3"/>
      <c r="C6579" s="3" t="str">
        <f>"Naptown Etching uses laser and sandcarving equipment to make awards trophies, plaques, name badges and signage. Product materials we engrave include glass, acrylic, plastic, wood, marble and brass."</f>
        <v>Naptown Etching uses laser and sandcarving equipment to make awards trophies, plaques, name badges and signage. Product materials we engrave include glass, acrylic, plastic, wood, marble and brass.</v>
      </c>
      <c r="D6579" s="3" t="s">
        <v>19321</v>
      </c>
      <c r="E6579" s="3" t="s">
        <v>19322</v>
      </c>
      <c r="F6579" s="3" t="str">
        <f>"317-733-8776"</f>
        <v>317-733-8776</v>
      </c>
      <c r="G6579" s="3">
        <v>453998</v>
      </c>
      <c r="H6579" s="3" t="s">
        <v>112</v>
      </c>
    </row>
    <row r="6580" spans="1:8" ht="64.5" x14ac:dyDescent="0.25">
      <c r="A6580" s="3" t="s">
        <v>19323</v>
      </c>
      <c r="B6580" s="3"/>
      <c r="C6580" s="3" t="str">
        <f>"Swimming pool / spa renovations and repairs service company. Chemical / storage tank / secondary containment lining systems service and repair. Industrial flooring systems."</f>
        <v>Swimming pool / spa renovations and repairs service company. Chemical / storage tank / secondary containment lining systems service and repair. Industrial flooring systems.</v>
      </c>
      <c r="D6580" s="3" t="s">
        <v>19324</v>
      </c>
      <c r="E6580" s="3" t="s">
        <v>46</v>
      </c>
      <c r="F6580" s="3" t="str">
        <f>"219-324-0877"</f>
        <v>219-324-0877</v>
      </c>
      <c r="G6580" s="3">
        <v>5617</v>
      </c>
      <c r="H6580" s="3" t="s">
        <v>812</v>
      </c>
    </row>
    <row r="6581" spans="1:8" ht="153.75" x14ac:dyDescent="0.25">
      <c r="A6581" s="3" t="s">
        <v>19325</v>
      </c>
      <c r="B6581" s="3"/>
      <c r="C6581" s="3" t="s">
        <v>19326</v>
      </c>
      <c r="D6581" s="3" t="s">
        <v>19327</v>
      </c>
      <c r="E6581" s="3" t="s">
        <v>19328</v>
      </c>
      <c r="F6581" s="3" t="str">
        <f>"317-290-0760"</f>
        <v>317-290-0760</v>
      </c>
      <c r="G6581" s="3">
        <v>5418</v>
      </c>
      <c r="H6581" s="3" t="s">
        <v>1337</v>
      </c>
    </row>
    <row r="6582" spans="1:8" ht="51.75" x14ac:dyDescent="0.25">
      <c r="A6582" s="3" t="s">
        <v>19329</v>
      </c>
      <c r="B6582" s="3"/>
      <c r="C6582" s="3" t="str">
        <f>"Nash &amp; Sons Trucking provides hauling, to and from construction sites. Such as, sand, gravel, stone, ect., and all removal. We have Tri-Axle Dump Trucks."</f>
        <v>Nash &amp; Sons Trucking provides hauling, to and from construction sites. Such as, sand, gravel, stone, ect., and all removal. We have Tri-Axle Dump Trucks.</v>
      </c>
      <c r="D6582" s="3" t="s">
        <v>9</v>
      </c>
      <c r="E6582" s="3" t="s">
        <v>19330</v>
      </c>
      <c r="F6582" s="3" t="str">
        <f>"765-281-0424"</f>
        <v>765-281-0424</v>
      </c>
      <c r="G6582" s="3">
        <v>238990</v>
      </c>
      <c r="H6582" s="3" t="s">
        <v>481</v>
      </c>
    </row>
    <row r="6583" spans="1:8" x14ac:dyDescent="0.25">
      <c r="A6583" s="3" t="s">
        <v>19331</v>
      </c>
      <c r="B6583" s="3"/>
      <c r="C6583" s="3" t="str">
        <f>" "</f>
        <v xml:space="preserve"> </v>
      </c>
      <c r="D6583" s="3" t="s">
        <v>9</v>
      </c>
      <c r="E6583" s="3" t="s">
        <v>46</v>
      </c>
      <c r="F6583" s="2"/>
      <c r="G6583" s="3">
        <v>522291</v>
      </c>
      <c r="H6583" s="3" t="s">
        <v>1966</v>
      </c>
    </row>
    <row r="6584" spans="1:8" ht="26.25" x14ac:dyDescent="0.25">
      <c r="A6584" s="3" t="s">
        <v>19332</v>
      </c>
      <c r="B6584" s="3"/>
      <c r="C6584" s="3" t="str">
        <f>"Unarmed security services; private investigation; escort; crowd control;"</f>
        <v>Unarmed security services; private investigation; escort; crowd control;</v>
      </c>
      <c r="D6584" s="3" t="s">
        <v>9</v>
      </c>
      <c r="E6584" s="3" t="s">
        <v>19333</v>
      </c>
      <c r="F6584" s="3" t="str">
        <f>"317-714-3435"</f>
        <v>317-714-3435</v>
      </c>
      <c r="G6584" s="3">
        <v>561612</v>
      </c>
      <c r="H6584" s="3" t="s">
        <v>362</v>
      </c>
    </row>
    <row r="6585" spans="1:8" ht="64.5" x14ac:dyDescent="0.25">
      <c r="A6585" s="3" t="s">
        <v>19334</v>
      </c>
      <c r="B6585" s="3"/>
      <c r="C6585" s="3" t="str">
        <f>"Our company is licensed in Indiana to provide contract security, patrol and private detective services within the State of Indiana. Our principal office in Indiana is located in Portage, Indiana."</f>
        <v>Our company is licensed in Indiana to provide contract security, patrol and private detective services within the State of Indiana. Our principal office in Indiana is located in Portage, Indiana.</v>
      </c>
      <c r="D6585" s="3" t="s">
        <v>19335</v>
      </c>
      <c r="E6585" s="3" t="s">
        <v>19336</v>
      </c>
      <c r="F6585" s="3" t="str">
        <f>"248-355-9709"</f>
        <v>248-355-9709</v>
      </c>
      <c r="G6585" s="3">
        <v>561612</v>
      </c>
      <c r="H6585" s="3" t="s">
        <v>362</v>
      </c>
    </row>
    <row r="6586" spans="1:8" ht="153.75" x14ac:dyDescent="0.25">
      <c r="A6586" s="3" t="s">
        <v>19337</v>
      </c>
      <c r="B6586" s="3"/>
      <c r="C6586" s="3" t="s">
        <v>19338</v>
      </c>
      <c r="D6586" s="3" t="s">
        <v>19339</v>
      </c>
      <c r="E6586" s="3" t="s">
        <v>19340</v>
      </c>
      <c r="F6586" s="3" t="str">
        <f>"765.425.5700"</f>
        <v>765.425.5700</v>
      </c>
      <c r="G6586" s="3">
        <v>454319</v>
      </c>
      <c r="H6586" s="3" t="s">
        <v>19341</v>
      </c>
    </row>
    <row r="6587" spans="1:8" ht="115.5" x14ac:dyDescent="0.25">
      <c r="A6587" s="3" t="s">
        <v>19342</v>
      </c>
      <c r="B6587" s="3"/>
      <c r="C6587" s="3" t="s">
        <v>19343</v>
      </c>
      <c r="D6587" s="3" t="s">
        <v>19344</v>
      </c>
      <c r="E6587" s="3" t="s">
        <v>19345</v>
      </c>
      <c r="F6587" s="3" t="str">
        <f>"317-859-7879"</f>
        <v>317-859-7879</v>
      </c>
      <c r="G6587" s="3">
        <v>444190</v>
      </c>
      <c r="H6587" s="3" t="s">
        <v>1188</v>
      </c>
    </row>
    <row r="6588" spans="1:8" ht="90" x14ac:dyDescent="0.25">
      <c r="A6588" s="3" t="s">
        <v>19346</v>
      </c>
      <c r="B6588" s="3"/>
      <c r="C6588" s="3" t="s">
        <v>19347</v>
      </c>
      <c r="D6588" s="3" t="s">
        <v>19348</v>
      </c>
      <c r="E6588" s="3" t="s">
        <v>19349</v>
      </c>
      <c r="F6588" s="3" t="str">
        <f>"317-908-5395"</f>
        <v>317-908-5395</v>
      </c>
      <c r="G6588" s="3">
        <v>517</v>
      </c>
      <c r="H6588" s="3" t="s">
        <v>682</v>
      </c>
    </row>
    <row r="6589" spans="1:8" ht="64.5" x14ac:dyDescent="0.25">
      <c r="A6589" s="3" t="s">
        <v>19350</v>
      </c>
      <c r="B6589" s="3"/>
      <c r="C6589" s="3" t="str">
        <f>"The National Domestic Violence Registry is an Indiana Corporation that lists the names of violent offenders and sexual predators in our national registry. We list offenders from every state and territory."</f>
        <v>The National Domestic Violence Registry is an Indiana Corporation that lists the names of violent offenders and sexual predators in our national registry. We list offenders from every state and territory.</v>
      </c>
      <c r="D6589" s="3" t="s">
        <v>9</v>
      </c>
      <c r="E6589" s="3" t="s">
        <v>19351</v>
      </c>
      <c r="F6589" s="3" t="str">
        <f>"219-810-3338"</f>
        <v>219-810-3338</v>
      </c>
      <c r="G6589" s="3">
        <v>518210</v>
      </c>
      <c r="H6589" s="3" t="s">
        <v>3133</v>
      </c>
    </row>
    <row r="6590" spans="1:8" ht="115.5" x14ac:dyDescent="0.25">
      <c r="A6590" s="3" t="s">
        <v>19352</v>
      </c>
      <c r="B6590" s="3"/>
      <c r="C6590" s="3" t="s">
        <v>19353</v>
      </c>
      <c r="D6590" s="3" t="s">
        <v>19354</v>
      </c>
      <c r="E6590" s="3" t="s">
        <v>46</v>
      </c>
      <c r="F6590" s="3" t="str">
        <f>"812-634-1413"</f>
        <v>812-634-1413</v>
      </c>
      <c r="G6590" s="3">
        <v>541611</v>
      </c>
      <c r="H6590" s="3" t="s">
        <v>278</v>
      </c>
    </row>
    <row r="6591" spans="1:8" ht="26.25" x14ac:dyDescent="0.25">
      <c r="A6591" s="3" t="s">
        <v>19355</v>
      </c>
      <c r="B6591" s="3"/>
      <c r="C6591" s="3" t="str">
        <f>"National Illiana is in the fence constructing business"</f>
        <v>National Illiana is in the fence constructing business</v>
      </c>
      <c r="D6591" s="3" t="s">
        <v>9</v>
      </c>
      <c r="E6591" s="3" t="s">
        <v>19356</v>
      </c>
      <c r="F6591" s="3" t="str">
        <f>"219-944-5000"</f>
        <v>219-944-5000</v>
      </c>
      <c r="G6591" s="3">
        <v>235</v>
      </c>
      <c r="H6591" s="3" t="s">
        <v>259</v>
      </c>
    </row>
    <row r="6592" spans="1:8" ht="90" x14ac:dyDescent="0.25">
      <c r="A6592" s="3" t="s">
        <v>19357</v>
      </c>
      <c r="B6592" s="3"/>
      <c r="C6592" s="3" t="s">
        <v>19358</v>
      </c>
      <c r="D6592" s="3" t="s">
        <v>19359</v>
      </c>
      <c r="E6592" s="3" t="s">
        <v>19360</v>
      </c>
      <c r="F6592" s="3" t="str">
        <f>"888-977-9352"</f>
        <v>888-977-9352</v>
      </c>
      <c r="G6592" s="3">
        <v>423310</v>
      </c>
      <c r="H6592" s="3" t="s">
        <v>19361</v>
      </c>
    </row>
    <row r="6593" spans="1:8" ht="102.75" x14ac:dyDescent="0.25">
      <c r="A6593" s="3" t="s">
        <v>19362</v>
      </c>
      <c r="B6593" s="3"/>
      <c r="C6593" s="3" t="s">
        <v>19363</v>
      </c>
      <c r="D6593" s="3" t="s">
        <v>19364</v>
      </c>
      <c r="E6593" s="3" t="s">
        <v>19365</v>
      </c>
      <c r="F6593" s="3" t="str">
        <f>"(219) 398-6660"</f>
        <v>(219) 398-6660</v>
      </c>
      <c r="G6593" s="3">
        <v>562998</v>
      </c>
      <c r="H6593" s="3" t="s">
        <v>1530</v>
      </c>
    </row>
    <row r="6594" spans="1:8" ht="64.5" x14ac:dyDescent="0.25">
      <c r="A6594" s="3" t="s">
        <v>19366</v>
      </c>
      <c r="B6594" s="3"/>
      <c r="C6594" s="3" t="str">
        <f>"National Office Furniture provides customers with office furniture at a better value with shorter lead times. Quality, Reliability, Style and Sustainability are part of everything we do."</f>
        <v>National Office Furniture provides customers with office furniture at a better value with shorter lead times. Quality, Reliability, Style and Sustainability are part of everything we do.</v>
      </c>
      <c r="D6594" s="3" t="s">
        <v>19367</v>
      </c>
      <c r="E6594" s="3" t="s">
        <v>19368</v>
      </c>
      <c r="F6594" s="3" t="str">
        <f>"800-482-1717"</f>
        <v>800-482-1717</v>
      </c>
      <c r="G6594" s="3">
        <v>337211</v>
      </c>
      <c r="H6594" s="3" t="s">
        <v>12624</v>
      </c>
    </row>
    <row r="6595" spans="1:8" ht="26.25" x14ac:dyDescent="0.25">
      <c r="A6595" s="3" t="s">
        <v>19369</v>
      </c>
      <c r="B6595" s="3"/>
      <c r="C6595" s="2"/>
      <c r="D6595" s="3" t="s">
        <v>19370</v>
      </c>
      <c r="E6595" s="3" t="s">
        <v>19371</v>
      </c>
      <c r="F6595" s="3" t="str">
        <f>"812-448-2555"</f>
        <v>812-448-2555</v>
      </c>
      <c r="G6595" s="3">
        <v>32311</v>
      </c>
      <c r="H6595" s="3" t="s">
        <v>531</v>
      </c>
    </row>
    <row r="6596" spans="1:8" ht="192" x14ac:dyDescent="0.25">
      <c r="A6596" s="3" t="s">
        <v>19372</v>
      </c>
      <c r="B6596" s="3"/>
      <c r="C6596" s="3" t="s">
        <v>19373</v>
      </c>
      <c r="D6596" s="3" t="s">
        <v>19374</v>
      </c>
      <c r="E6596" s="3" t="s">
        <v>19375</v>
      </c>
      <c r="F6596" s="3" t="str">
        <f>"317-924-1494"</f>
        <v>317-924-1494</v>
      </c>
      <c r="G6596" s="3">
        <v>424120</v>
      </c>
      <c r="H6596" s="3" t="s">
        <v>411</v>
      </c>
    </row>
    <row r="6597" spans="1:8" ht="39" x14ac:dyDescent="0.25">
      <c r="A6597" s="3" t="s">
        <v>19376</v>
      </c>
      <c r="B6597" s="3"/>
      <c r="C6597" s="3" t="str">
        <f>"We provide demolition, environmental remediation, and railroad dismantlement services."</f>
        <v>We provide demolition, environmental remediation, and railroad dismantlement services.</v>
      </c>
      <c r="D6597" s="3" t="s">
        <v>19377</v>
      </c>
      <c r="E6597" s="3" t="s">
        <v>19378</v>
      </c>
      <c r="F6597" s="3" t="str">
        <f>"812-339-9000"</f>
        <v>812-339-9000</v>
      </c>
      <c r="G6597" s="3">
        <v>2389</v>
      </c>
      <c r="H6597" s="3" t="s">
        <v>1236</v>
      </c>
    </row>
    <row r="6598" spans="1:8" ht="51.75" x14ac:dyDescent="0.25">
      <c r="A6598" s="3" t="s">
        <v>19379</v>
      </c>
      <c r="B6598" s="3"/>
      <c r="C6598" s="3" t="str">
        <f>"NYAP provides Foster Care, and Home Based services to children, youth and families involved in the child welfare, juvenile justice, and mental health systems."</f>
        <v>NYAP provides Foster Care, and Home Based services to children, youth and families involved in the child welfare, juvenile justice, and mental health systems.</v>
      </c>
      <c r="D6598" s="3" t="s">
        <v>19380</v>
      </c>
      <c r="E6598" s="3" t="s">
        <v>19381</v>
      </c>
      <c r="F6598" s="3" t="str">
        <f>"614-487-8758"</f>
        <v>614-487-8758</v>
      </c>
      <c r="G6598" s="3">
        <v>624190</v>
      </c>
      <c r="H6598" s="3" t="s">
        <v>54</v>
      </c>
    </row>
    <row r="6599" spans="1:8" ht="26.25" x14ac:dyDescent="0.25">
      <c r="A6599" s="3" t="s">
        <v>19382</v>
      </c>
      <c r="B6599" s="3"/>
      <c r="C6599" s="3" t="str">
        <f>"Parking management and revenue control srevices"</f>
        <v>Parking management and revenue control srevices</v>
      </c>
      <c r="D6599" s="3" t="s">
        <v>19383</v>
      </c>
      <c r="E6599" s="3" t="s">
        <v>19384</v>
      </c>
      <c r="F6599" s="3" t="str">
        <f>"303-378-2453"</f>
        <v>303-378-2453</v>
      </c>
      <c r="G6599" s="3">
        <v>812930</v>
      </c>
      <c r="H6599" s="3" t="s">
        <v>7920</v>
      </c>
    </row>
    <row r="6600" spans="1:8" ht="90" x14ac:dyDescent="0.25">
      <c r="A6600" s="3" t="s">
        <v>19385</v>
      </c>
      <c r="B6600" s="3"/>
      <c r="C6600" s="3" t="s">
        <v>19386</v>
      </c>
      <c r="D6600" s="3" t="s">
        <v>9</v>
      </c>
      <c r="E6600" s="3" t="s">
        <v>19387</v>
      </c>
      <c r="F6600" s="3" t="str">
        <f>"219-313-5311"</f>
        <v>219-313-5311</v>
      </c>
      <c r="G6600" s="3">
        <v>2373</v>
      </c>
      <c r="H6600" s="3" t="s">
        <v>768</v>
      </c>
    </row>
    <row r="6601" spans="1:8" ht="243" x14ac:dyDescent="0.25">
      <c r="A6601" s="3" t="s">
        <v>19388</v>
      </c>
      <c r="B6601" s="3"/>
      <c r="C6601" s="3" t="s">
        <v>19389</v>
      </c>
      <c r="D6601" s="3" t="s">
        <v>19390</v>
      </c>
      <c r="E6601" s="3" t="s">
        <v>19391</v>
      </c>
      <c r="F6601" s="3" t="str">
        <f>"219-938-2200"</f>
        <v>219-938-2200</v>
      </c>
      <c r="G6601" s="3">
        <v>561720</v>
      </c>
      <c r="H6601" s="3" t="s">
        <v>222</v>
      </c>
    </row>
    <row r="6602" spans="1:8" ht="64.5" x14ac:dyDescent="0.25">
      <c r="A6602" s="3" t="s">
        <v>19392</v>
      </c>
      <c r="B6602" s="3"/>
      <c r="C6602" s="3" t="str">
        <f>"Highway construction co, that does excavating, outlet protectors, under drains, slot drains, demo work, grading, surface masonry, road sign installation, and other misc. work."</f>
        <v>Highway construction co, that does excavating, outlet protectors, under drains, slot drains, demo work, grading, surface masonry, road sign installation, and other misc. work.</v>
      </c>
      <c r="D6602" s="3" t="s">
        <v>9</v>
      </c>
      <c r="E6602" s="3" t="s">
        <v>19393</v>
      </c>
      <c r="F6602" s="3" t="str">
        <f>"317-485-2145"</f>
        <v>317-485-2145</v>
      </c>
      <c r="G6602" s="3">
        <v>23411</v>
      </c>
      <c r="H6602" s="3" t="s">
        <v>2406</v>
      </c>
    </row>
    <row r="6603" spans="1:8" ht="141" x14ac:dyDescent="0.25">
      <c r="A6603" s="3" t="s">
        <v>19394</v>
      </c>
      <c r="B6603" s="3"/>
      <c r="C6603" s="3" t="s">
        <v>19395</v>
      </c>
      <c r="D6603" s="3" t="s">
        <v>9</v>
      </c>
      <c r="E6603" s="3" t="s">
        <v>19396</v>
      </c>
      <c r="F6603" s="3" t="str">
        <f>"3174433269"</f>
        <v>3174433269</v>
      </c>
      <c r="G6603" s="3">
        <v>115310</v>
      </c>
      <c r="H6603" s="3" t="s">
        <v>2505</v>
      </c>
    </row>
    <row r="6604" spans="1:8" ht="128.25" x14ac:dyDescent="0.25">
      <c r="A6604" s="3" t="s">
        <v>19397</v>
      </c>
      <c r="B6604" s="3"/>
      <c r="C6604" s="3" t="s">
        <v>19398</v>
      </c>
      <c r="D6604" s="3" t="s">
        <v>19399</v>
      </c>
      <c r="E6604" s="3" t="s">
        <v>19400</v>
      </c>
      <c r="F6604" s="3" t="str">
        <f>"812-405-2669"</f>
        <v>812-405-2669</v>
      </c>
      <c r="G6604" s="3">
        <v>11</v>
      </c>
      <c r="H6604" s="3" t="s">
        <v>175</v>
      </c>
    </row>
    <row r="6605" spans="1:8" ht="51.75" x14ac:dyDescent="0.25">
      <c r="A6605" s="3" t="s">
        <v>19401</v>
      </c>
      <c r="B6605" s="3"/>
      <c r="C6605" s="3" t="str">
        <f>"Recycling company that processes various paper, plastic, EPS foam, and wood waste. Manufacture compressed animal bedding products from wood waste."</f>
        <v>Recycling company that processes various paper, plastic, EPS foam, and wood waste. Manufacture compressed animal bedding products from wood waste.</v>
      </c>
      <c r="D6605" s="3" t="s">
        <v>19402</v>
      </c>
      <c r="E6605" s="3" t="s">
        <v>19403</v>
      </c>
      <c r="F6605" s="3" t="str">
        <f>"574 848-1900"</f>
        <v>574 848-1900</v>
      </c>
      <c r="G6605" s="3">
        <v>562920</v>
      </c>
      <c r="H6605" s="3" t="s">
        <v>11484</v>
      </c>
    </row>
    <row r="6606" spans="1:8" ht="268.5" x14ac:dyDescent="0.25">
      <c r="A6606" s="3" t="s">
        <v>19404</v>
      </c>
      <c r="B6606" s="3"/>
      <c r="C6606" s="3" t="s">
        <v>19405</v>
      </c>
      <c r="D6606" s="3" t="s">
        <v>19406</v>
      </c>
      <c r="E6606" s="3" t="s">
        <v>19407</v>
      </c>
      <c r="F6606" s="3" t="str">
        <f>"317-859-2193"</f>
        <v>317-859-2193</v>
      </c>
      <c r="G6606" s="3">
        <v>621399</v>
      </c>
      <c r="H6606" s="3" t="s">
        <v>2306</v>
      </c>
    </row>
    <row r="6607" spans="1:8" ht="51.75" x14ac:dyDescent="0.25">
      <c r="A6607" s="3" t="s">
        <v>19408</v>
      </c>
      <c r="B6607" s="3"/>
      <c r="C6607" s="3" t="str">
        <f>"General Contractor and Industrial Maintenance providers to Refineries, Pipelines, Steel Mills, Municipalities and other Commercial Accounts."</f>
        <v>General Contractor and Industrial Maintenance providers to Refineries, Pipelines, Steel Mills, Municipalities and other Commercial Accounts.</v>
      </c>
      <c r="D6607" s="3" t="s">
        <v>9</v>
      </c>
      <c r="E6607" s="3" t="s">
        <v>19409</v>
      </c>
      <c r="F6607" s="3" t="str">
        <f>"219-378-0014"</f>
        <v>219-378-0014</v>
      </c>
      <c r="G6607" s="3">
        <v>238990</v>
      </c>
      <c r="H6607" s="3" t="s">
        <v>481</v>
      </c>
    </row>
    <row r="6608" spans="1:8" ht="90" x14ac:dyDescent="0.25">
      <c r="A6608" s="3" t="s">
        <v>19410</v>
      </c>
      <c r="B6608" s="3"/>
      <c r="C6608" s="3" t="s">
        <v>19411</v>
      </c>
      <c r="D6608" s="3" t="s">
        <v>19412</v>
      </c>
      <c r="E6608" s="3" t="s">
        <v>19413</v>
      </c>
      <c r="F6608" s="2"/>
      <c r="G6608" s="3">
        <v>621111</v>
      </c>
      <c r="H6608" s="3" t="s">
        <v>2002</v>
      </c>
    </row>
    <row r="6609" spans="1:8" ht="102.75" x14ac:dyDescent="0.25">
      <c r="A6609" s="3" t="s">
        <v>19414</v>
      </c>
      <c r="B6609" s="3"/>
      <c r="C6609" s="3" t="s">
        <v>19415</v>
      </c>
      <c r="D6609" s="3" t="s">
        <v>9</v>
      </c>
      <c r="E6609" s="3" t="s">
        <v>19416</v>
      </c>
      <c r="F6609" s="2"/>
      <c r="G6609" s="3">
        <v>926110</v>
      </c>
      <c r="H6609" s="3" t="s">
        <v>19417</v>
      </c>
    </row>
    <row r="6610" spans="1:8" ht="64.5" x14ac:dyDescent="0.25">
      <c r="A6610" s="3" t="s">
        <v>19418</v>
      </c>
      <c r="B6610" s="3"/>
      <c r="C6610" s="3" t="str">
        <f>"Restaurant equipment, tabletop, smallwares, bar supplies, janitorial chemicals and cleaning supplies, personal disposable paper products and seasonal party decorations."</f>
        <v>Restaurant equipment, tabletop, smallwares, bar supplies, janitorial chemicals and cleaning supplies, personal disposable paper products and seasonal party decorations.</v>
      </c>
      <c r="D6610" s="3" t="s">
        <v>9</v>
      </c>
      <c r="E6610" s="3" t="s">
        <v>19419</v>
      </c>
      <c r="F6610" s="3" t="str">
        <f>"219-845-2622"</f>
        <v>219-845-2622</v>
      </c>
      <c r="G6610" s="3">
        <v>453998</v>
      </c>
      <c r="H6610" s="3" t="s">
        <v>112</v>
      </c>
    </row>
    <row r="6611" spans="1:8" ht="204.75" x14ac:dyDescent="0.25">
      <c r="A6611" s="3" t="s">
        <v>19420</v>
      </c>
      <c r="B6611" s="3"/>
      <c r="C6611" s="3" t="s">
        <v>19421</v>
      </c>
      <c r="D6611" s="3" t="s">
        <v>19422</v>
      </c>
      <c r="E6611" s="3" t="s">
        <v>19419</v>
      </c>
      <c r="F6611" s="3" t="str">
        <f>"219-845-2622"</f>
        <v>219-845-2622</v>
      </c>
      <c r="G6611" s="3">
        <v>424130</v>
      </c>
      <c r="H6611" s="3" t="s">
        <v>602</v>
      </c>
    </row>
    <row r="6612" spans="1:8" ht="64.5" x14ac:dyDescent="0.25">
      <c r="A6612" s="3" t="s">
        <v>19423</v>
      </c>
      <c r="B6612" s="3"/>
      <c r="C6612" s="3" t="str">
        <f>"Needles &amp; Stitches LLC: provide Seamstress/Tailor service, Clothing Repairs and Alterations, while specializing sewing service with Leather, Vinly and Canvas Materials. Pickup and Delivery Service."</f>
        <v>Needles &amp; Stitches LLC: provide Seamstress/Tailor service, Clothing Repairs and Alterations, while specializing sewing service with Leather, Vinly and Canvas Materials. Pickup and Delivery Service.</v>
      </c>
      <c r="D6612" s="3" t="s">
        <v>9</v>
      </c>
      <c r="E6612" s="3" t="s">
        <v>46</v>
      </c>
      <c r="F6612" s="2"/>
      <c r="G6612" s="3">
        <v>451130</v>
      </c>
      <c r="H6612" s="3" t="s">
        <v>6829</v>
      </c>
    </row>
    <row r="6613" spans="1:8" ht="153.75" x14ac:dyDescent="0.25">
      <c r="A6613" s="3" t="s">
        <v>19424</v>
      </c>
      <c r="B6613" s="3"/>
      <c r="C6613" s="3" t="s">
        <v>19425</v>
      </c>
      <c r="D6613" s="3" t="s">
        <v>19426</v>
      </c>
      <c r="E6613" s="3" t="s">
        <v>19427</v>
      </c>
      <c r="F6613" s="3" t="str">
        <f>"317-247-1100"</f>
        <v>317-247-1100</v>
      </c>
      <c r="G6613" s="3">
        <v>531120</v>
      </c>
      <c r="H6613" s="3" t="s">
        <v>2926</v>
      </c>
    </row>
    <row r="6614" spans="1:8" ht="179.25" x14ac:dyDescent="0.25">
      <c r="A6614" s="3" t="s">
        <v>19428</v>
      </c>
      <c r="B6614" s="3"/>
      <c r="C6614" s="3" t="s">
        <v>19429</v>
      </c>
      <c r="D6614" s="3" t="s">
        <v>19430</v>
      </c>
      <c r="E6614" s="3" t="s">
        <v>46</v>
      </c>
      <c r="F6614" s="3" t="str">
        <f>"317-915-9400"</f>
        <v>317-915-9400</v>
      </c>
      <c r="G6614" s="3">
        <v>54</v>
      </c>
      <c r="H6614" s="3" t="s">
        <v>179</v>
      </c>
    </row>
    <row r="6615" spans="1:8" ht="77.25" x14ac:dyDescent="0.25">
      <c r="A6615" s="3" t="s">
        <v>19431</v>
      </c>
      <c r="B6615" s="3"/>
      <c r="C6615" s="3" t="str">
        <f>"Neighborhood Health Clinics is a Community Health Center located in Fort Wayne, IN. It provides outpatient physician, dentist and WIC services. It employes about 130 staff in 2012 with a budget of over $9 million."</f>
        <v>Neighborhood Health Clinics is a Community Health Center located in Fort Wayne, IN. It provides outpatient physician, dentist and WIC services. It employes about 130 staff in 2012 with a budget of over $9 million.</v>
      </c>
      <c r="D6615" s="3" t="s">
        <v>19432</v>
      </c>
      <c r="E6615" s="3" t="s">
        <v>46</v>
      </c>
      <c r="F6615" s="3" t="str">
        <f>"260-458-2641"</f>
        <v>260-458-2641</v>
      </c>
      <c r="G6615" s="3">
        <v>621111</v>
      </c>
      <c r="H6615" s="3" t="s">
        <v>2002</v>
      </c>
    </row>
    <row r="6616" spans="1:8" ht="102.75" x14ac:dyDescent="0.25">
      <c r="A6616" s="3" t="s">
        <v>19433</v>
      </c>
      <c r="B6616" s="3"/>
      <c r="C6616" s="3" t="s">
        <v>19434</v>
      </c>
      <c r="D6616" s="3" t="s">
        <v>9</v>
      </c>
      <c r="E6616" s="3" t="s">
        <v>19435</v>
      </c>
      <c r="F6616" s="3" t="str">
        <f>"2606150153"</f>
        <v>2606150153</v>
      </c>
      <c r="G6616" s="3">
        <v>624110</v>
      </c>
      <c r="H6616" s="3" t="s">
        <v>628</v>
      </c>
    </row>
    <row r="6617" spans="1:8" ht="115.5" x14ac:dyDescent="0.25">
      <c r="A6617" s="3" t="s">
        <v>19433</v>
      </c>
      <c r="B6617" s="3"/>
      <c r="C6617" s="3" t="s">
        <v>19436</v>
      </c>
      <c r="D6617" s="3" t="s">
        <v>9</v>
      </c>
      <c r="E6617" s="3" t="s">
        <v>19435</v>
      </c>
      <c r="F6617" s="3" t="str">
        <f>"260-615-0153"</f>
        <v>260-615-0153</v>
      </c>
      <c r="G6617" s="3">
        <v>624110</v>
      </c>
      <c r="H6617" s="3" t="s">
        <v>628</v>
      </c>
    </row>
    <row r="6618" spans="1:8" ht="26.25" x14ac:dyDescent="0.25">
      <c r="A6618" s="3" t="s">
        <v>19437</v>
      </c>
      <c r="B6618" s="3"/>
      <c r="C6618" s="3" t="str">
        <f>"Charter High School and Adult Learning Center"</f>
        <v>Charter High School and Adult Learning Center</v>
      </c>
      <c r="D6618" s="3" t="s">
        <v>19438</v>
      </c>
      <c r="E6618" s="3" t="s">
        <v>19439</v>
      </c>
      <c r="F6618" s="3" t="str">
        <f>"2198504448"</f>
        <v>2198504448</v>
      </c>
      <c r="G6618" s="3">
        <v>611110</v>
      </c>
      <c r="H6618" s="3" t="s">
        <v>3876</v>
      </c>
    </row>
    <row r="6619" spans="1:8" ht="26.25" x14ac:dyDescent="0.25">
      <c r="A6619" s="3" t="s">
        <v>19440</v>
      </c>
      <c r="B6619" s="3"/>
      <c r="C6619" s="2"/>
      <c r="D6619" s="3" t="s">
        <v>9</v>
      </c>
      <c r="E6619" s="3" t="s">
        <v>19441</v>
      </c>
      <c r="F6619" s="3" t="str">
        <f>"3172413288"</f>
        <v>3172413288</v>
      </c>
      <c r="G6619" s="3">
        <v>236118</v>
      </c>
      <c r="H6619" s="3" t="s">
        <v>465</v>
      </c>
    </row>
    <row r="6620" spans="1:8" ht="26.25" x14ac:dyDescent="0.25">
      <c r="A6620" s="3" t="s">
        <v>19442</v>
      </c>
      <c r="B6620" s="3"/>
      <c r="C6620" s="3" t="str">
        <f>"Grounds Maintenance for Industrial and Commercial Properties"</f>
        <v>Grounds Maintenance for Industrial and Commercial Properties</v>
      </c>
      <c r="D6620" s="3" t="s">
        <v>9</v>
      </c>
      <c r="E6620" s="3" t="s">
        <v>46</v>
      </c>
      <c r="F6620" s="3" t="str">
        <f>"8124245272"</f>
        <v>8124245272</v>
      </c>
      <c r="G6620" s="3">
        <v>56173</v>
      </c>
      <c r="H6620" s="3" t="s">
        <v>65</v>
      </c>
    </row>
    <row r="6621" spans="1:8" ht="51.75" x14ac:dyDescent="0.25">
      <c r="A6621" s="3" t="s">
        <v>19443</v>
      </c>
      <c r="B6621" s="3"/>
      <c r="C6621" s="3" t="str">
        <f>"Petroleum and Lubricant lubricant distributor, on-site fueling, and For Hire Cargo Tanker Carrier and Diesel Exhaust Fluid"</f>
        <v>Petroleum and Lubricant lubricant distributor, on-site fueling, and For Hire Cargo Tanker Carrier and Diesel Exhaust Fluid</v>
      </c>
      <c r="D6621" s="3" t="s">
        <v>19444</v>
      </c>
      <c r="E6621" s="3" t="s">
        <v>19445</v>
      </c>
      <c r="F6621" s="3" t="str">
        <f>"877-881-6338"</f>
        <v>877-881-6338</v>
      </c>
      <c r="G6621" s="3">
        <v>454312</v>
      </c>
      <c r="H6621" s="3" t="s">
        <v>918</v>
      </c>
    </row>
    <row r="6622" spans="1:8" ht="77.25" x14ac:dyDescent="0.25">
      <c r="A6622" s="3" t="s">
        <v>19446</v>
      </c>
      <c r="B6622" s="3"/>
      <c r="C6622" s="3" t="str">
        <f>"Neptune Construction, Inc. is a waterproofing subcontractor specializing in below grade waterproofing, above grade air barriers and plaza waterproofing. We are currently in the process of filing for our WBE certification."</f>
        <v>Neptune Construction, Inc. is a waterproofing subcontractor specializing in below grade waterproofing, above grade air barriers and plaza waterproofing. We are currently in the process of filing for our WBE certification.</v>
      </c>
      <c r="D6622" s="3" t="s">
        <v>19447</v>
      </c>
      <c r="E6622" s="3" t="s">
        <v>19448</v>
      </c>
      <c r="F6622" s="3" t="str">
        <f>"3177806010"</f>
        <v>3177806010</v>
      </c>
      <c r="G6622" s="3">
        <v>238390</v>
      </c>
      <c r="H6622" s="3" t="s">
        <v>2109</v>
      </c>
    </row>
    <row r="6623" spans="1:8" ht="255.75" x14ac:dyDescent="0.25">
      <c r="A6623" s="3" t="s">
        <v>19449</v>
      </c>
      <c r="B6623" s="3"/>
      <c r="C6623" s="3" t="s">
        <v>19450</v>
      </c>
      <c r="D6623" s="3" t="s">
        <v>19451</v>
      </c>
      <c r="E6623" s="3" t="s">
        <v>19452</v>
      </c>
      <c r="F6623" s="3" t="str">
        <f>"765-993-2800"</f>
        <v>765-993-2800</v>
      </c>
      <c r="G6623" s="3">
        <v>541512</v>
      </c>
      <c r="H6623" s="3" t="s">
        <v>19</v>
      </c>
    </row>
    <row r="6624" spans="1:8" ht="153.75" x14ac:dyDescent="0.25">
      <c r="A6624" s="3" t="s">
        <v>19453</v>
      </c>
      <c r="B6624" s="3"/>
      <c r="C6624" s="3" t="s">
        <v>19454</v>
      </c>
      <c r="D6624" s="3" t="s">
        <v>19455</v>
      </c>
      <c r="E6624" s="3" t="s">
        <v>19456</v>
      </c>
      <c r="F6624" s="3" t="str">
        <f>"317-297-5073"</f>
        <v>317-297-5073</v>
      </c>
      <c r="G6624" s="3">
        <v>11</v>
      </c>
      <c r="H6624" s="3" t="s">
        <v>175</v>
      </c>
    </row>
    <row r="6625" spans="1:8" ht="319.5" x14ac:dyDescent="0.25">
      <c r="A6625" s="3" t="s">
        <v>19457</v>
      </c>
      <c r="B6625" s="3"/>
      <c r="C6625" s="3" t="s">
        <v>19458</v>
      </c>
      <c r="D6625" s="3" t="s">
        <v>19459</v>
      </c>
      <c r="E6625" s="3" t="s">
        <v>19460</v>
      </c>
      <c r="F6625" s="3" t="str">
        <f>"317-773-0620"</f>
        <v>317-773-0620</v>
      </c>
      <c r="G6625" s="3">
        <v>5415</v>
      </c>
      <c r="H6625" s="3" t="s">
        <v>188</v>
      </c>
    </row>
    <row r="6626" spans="1:8" ht="64.5" x14ac:dyDescent="0.25">
      <c r="A6626" s="3" t="s">
        <v>19461</v>
      </c>
      <c r="B6626" s="3"/>
      <c r="C6626" s="3" t="str">
        <f>"Netfor combines cutting-edge web portal technology with proven best practices in service management to provide comprehensive help desk, service desk and on-site support solutions."</f>
        <v>Netfor combines cutting-edge web portal technology with proven best practices in service management to provide comprehensive help desk, service desk and on-site support solutions.</v>
      </c>
      <c r="D6626" s="3" t="s">
        <v>19462</v>
      </c>
      <c r="E6626" s="3" t="s">
        <v>19463</v>
      </c>
      <c r="F6626" s="3" t="str">
        <f>"317-813-4500"</f>
        <v>317-813-4500</v>
      </c>
      <c r="G6626" s="3">
        <v>5415</v>
      </c>
      <c r="H6626" s="3" t="s">
        <v>188</v>
      </c>
    </row>
    <row r="6627" spans="1:8" ht="51.75" x14ac:dyDescent="0.25">
      <c r="A6627" s="3" t="s">
        <v>19464</v>
      </c>
      <c r="B6627" s="3"/>
      <c r="C6627" s="3" t="str">
        <f>"Distributor of cables for computers, networking, audio/video, and Power over Ethernet solutions. Network clocks and LED displays. Ethernet network patch cables."</f>
        <v>Distributor of cables for computers, networking, audio/video, and Power over Ethernet solutions. Network clocks and LED displays. Ethernet network patch cables.</v>
      </c>
      <c r="D6627" s="3" t="s">
        <v>19465</v>
      </c>
      <c r="E6627" s="3" t="s">
        <v>19466</v>
      </c>
      <c r="F6627" s="3" t="str">
        <f>"+1 (812) 216-2134"</f>
        <v>+1 (812) 216-2134</v>
      </c>
      <c r="G6627" s="3">
        <v>334419</v>
      </c>
      <c r="H6627" s="3" t="s">
        <v>7924</v>
      </c>
    </row>
    <row r="6628" spans="1:8" ht="77.25" x14ac:dyDescent="0.25">
      <c r="A6628" s="3" t="s">
        <v>19467</v>
      </c>
      <c r="B6628" s="3"/>
      <c r="C6628" s="3" t="str">
        <f>"Information life-cycle management consulting and solutions. Information technology integration and equipment. Specializing in RightFax, Alchemy, VMWare, Citrix, Cisco and Microsoft. LAN, WAN and SAN products and services."</f>
        <v>Information life-cycle management consulting and solutions. Information technology integration and equipment. Specializing in RightFax, Alchemy, VMWare, Citrix, Cisco and Microsoft. LAN, WAN and SAN products and services.</v>
      </c>
      <c r="D6628" s="3" t="s">
        <v>19468</v>
      </c>
      <c r="E6628" s="3" t="s">
        <v>19469</v>
      </c>
      <c r="F6628" s="3" t="str">
        <f>"617-595-6387"</f>
        <v>617-595-6387</v>
      </c>
      <c r="G6628" s="3">
        <v>44312</v>
      </c>
      <c r="H6628" s="3" t="s">
        <v>609</v>
      </c>
    </row>
    <row r="6629" spans="1:8" ht="268.5" x14ac:dyDescent="0.25">
      <c r="A6629" s="3" t="s">
        <v>19470</v>
      </c>
      <c r="B6629" s="3"/>
      <c r="C6629" s="3" t="s">
        <v>19471</v>
      </c>
      <c r="D6629" s="3" t="s">
        <v>19472</v>
      </c>
      <c r="E6629" s="3" t="s">
        <v>19473</v>
      </c>
      <c r="F6629" s="3" t="str">
        <f>"(317) 695-4968"</f>
        <v>(317) 695-4968</v>
      </c>
      <c r="G6629" s="3">
        <v>5418</v>
      </c>
      <c r="H6629" s="3" t="s">
        <v>1337</v>
      </c>
    </row>
    <row r="6630" spans="1:8" ht="319.5" x14ac:dyDescent="0.25">
      <c r="A6630" s="3" t="s">
        <v>19474</v>
      </c>
      <c r="B6630" s="3"/>
      <c r="C6630" s="3" t="s">
        <v>19475</v>
      </c>
      <c r="D6630" s="3" t="s">
        <v>19476</v>
      </c>
      <c r="E6630" s="3" t="s">
        <v>19477</v>
      </c>
      <c r="F6630" s="3" t="str">
        <f>"317-706-9642"</f>
        <v>317-706-9642</v>
      </c>
      <c r="G6630" s="3">
        <v>51821</v>
      </c>
      <c r="H6630" s="3" t="s">
        <v>3133</v>
      </c>
    </row>
    <row r="6631" spans="1:8" ht="141" x14ac:dyDescent="0.25">
      <c r="A6631" s="3" t="s">
        <v>19478</v>
      </c>
      <c r="B6631" s="3"/>
      <c r="C6631" s="3" t="s">
        <v>19479</v>
      </c>
      <c r="D6631" s="3" t="s">
        <v>19480</v>
      </c>
      <c r="E6631" s="3" t="s">
        <v>19481</v>
      </c>
      <c r="F6631" s="3" t="str">
        <f>"547-271-0900"</f>
        <v>547-271-0900</v>
      </c>
      <c r="G6631" s="3">
        <v>541512</v>
      </c>
      <c r="H6631" s="3" t="s">
        <v>19</v>
      </c>
    </row>
    <row r="6632" spans="1:8" ht="204.75" x14ac:dyDescent="0.25">
      <c r="A6632" s="3" t="s">
        <v>19482</v>
      </c>
      <c r="B6632" s="3"/>
      <c r="C6632" s="3" t="s">
        <v>19483</v>
      </c>
      <c r="D6632" s="3" t="s">
        <v>19484</v>
      </c>
      <c r="E6632" s="3" t="s">
        <v>19485</v>
      </c>
      <c r="F6632" s="3" t="str">
        <f>"3172518566"</f>
        <v>3172518566</v>
      </c>
      <c r="G6632" s="3">
        <v>541512</v>
      </c>
      <c r="H6632" s="3" t="s">
        <v>19</v>
      </c>
    </row>
    <row r="6633" spans="1:8" ht="26.25" x14ac:dyDescent="0.25">
      <c r="A6633" s="3" t="s">
        <v>19486</v>
      </c>
      <c r="B6633" s="3"/>
      <c r="C6633" s="3" t="str">
        <f>"David does Java staff supplementation and custom programming."</f>
        <v>David does Java staff supplementation and custom programming.</v>
      </c>
      <c r="D6633" s="3" t="s">
        <v>19487</v>
      </c>
      <c r="E6633" s="3" t="s">
        <v>19488</v>
      </c>
      <c r="F6633" s="3" t="str">
        <f>"812-926-1828"</f>
        <v>812-926-1828</v>
      </c>
      <c r="G6633" s="3">
        <v>5415</v>
      </c>
      <c r="H6633" s="3" t="s">
        <v>188</v>
      </c>
    </row>
    <row r="6634" spans="1:8" ht="115.5" x14ac:dyDescent="0.25">
      <c r="A6634" s="3" t="s">
        <v>19489</v>
      </c>
      <c r="B6634" s="3"/>
      <c r="C6634" s="3" t="s">
        <v>19490</v>
      </c>
      <c r="D6634" s="3" t="s">
        <v>19491</v>
      </c>
      <c r="E6634" s="3" t="s">
        <v>19492</v>
      </c>
      <c r="F6634" s="3" t="str">
        <f>"765-438-4889"</f>
        <v>765-438-4889</v>
      </c>
      <c r="G6634" s="3">
        <v>541330</v>
      </c>
      <c r="H6634" s="3" t="s">
        <v>82</v>
      </c>
    </row>
    <row r="6635" spans="1:8" ht="39" x14ac:dyDescent="0.25">
      <c r="A6635" s="3" t="s">
        <v>19493</v>
      </c>
      <c r="B6635" s="3"/>
      <c r="C6635" s="3" t="str">
        <f>"Medical clinic offering primary care, neurology specialty, physical therapy, sleep medicine and laboratory services."</f>
        <v>Medical clinic offering primary care, neurology specialty, physical therapy, sleep medicine and laboratory services.</v>
      </c>
      <c r="D6635" s="3" t="s">
        <v>2449</v>
      </c>
      <c r="E6635" s="3" t="s">
        <v>19494</v>
      </c>
      <c r="F6635" s="3" t="str">
        <f>"317-6353499"</f>
        <v>317-6353499</v>
      </c>
      <c r="G6635" s="3">
        <v>621111</v>
      </c>
      <c r="H6635" s="3" t="s">
        <v>2002</v>
      </c>
    </row>
    <row r="6636" spans="1:8" ht="90" x14ac:dyDescent="0.25">
      <c r="A6636" s="3" t="s">
        <v>19495</v>
      </c>
      <c r="B6636" s="3"/>
      <c r="C6636" s="3" t="s">
        <v>19496</v>
      </c>
      <c r="D6636" s="3" t="s">
        <v>19497</v>
      </c>
      <c r="E6636" s="3" t="s">
        <v>46</v>
      </c>
      <c r="F6636" s="3" t="str">
        <f>"317-272-3000"</f>
        <v>317-272-3000</v>
      </c>
      <c r="G6636" s="3">
        <v>454390</v>
      </c>
      <c r="H6636" s="3" t="s">
        <v>1348</v>
      </c>
    </row>
    <row r="6637" spans="1:8" ht="153.75" x14ac:dyDescent="0.25">
      <c r="A6637" s="3" t="s">
        <v>19495</v>
      </c>
      <c r="B6637" s="3"/>
      <c r="C6637" s="3" t="s">
        <v>19498</v>
      </c>
      <c r="D6637" s="3" t="s">
        <v>19499</v>
      </c>
      <c r="E6637" s="3" t="s">
        <v>19500</v>
      </c>
      <c r="F6637" s="3" t="str">
        <f>"317-272-6715"</f>
        <v>317-272-6715</v>
      </c>
      <c r="G6637" s="3">
        <v>423850</v>
      </c>
      <c r="H6637" s="3" t="s">
        <v>419</v>
      </c>
    </row>
    <row r="6638" spans="1:8" ht="26.25" x14ac:dyDescent="0.25">
      <c r="A6638" s="3" t="s">
        <v>19501</v>
      </c>
      <c r="B6638" s="3"/>
      <c r="C6638" s="3" t="str">
        <f>" "</f>
        <v xml:space="preserve"> </v>
      </c>
      <c r="D6638" s="3" t="s">
        <v>9</v>
      </c>
      <c r="E6638" s="3" t="s">
        <v>46</v>
      </c>
      <c r="F6638" s="2"/>
      <c r="G6638" s="3">
        <v>81</v>
      </c>
      <c r="H6638" s="3" t="s">
        <v>751</v>
      </c>
    </row>
    <row r="6639" spans="1:8" ht="141" x14ac:dyDescent="0.25">
      <c r="A6639" s="3" t="s">
        <v>19502</v>
      </c>
      <c r="B6639" s="3"/>
      <c r="C6639" s="3" t="s">
        <v>19503</v>
      </c>
      <c r="D6639" s="3" t="s">
        <v>9</v>
      </c>
      <c r="E6639" s="3" t="s">
        <v>19504</v>
      </c>
      <c r="F6639" s="3" t="str">
        <f>"2198801903"</f>
        <v>2198801903</v>
      </c>
      <c r="G6639" s="3">
        <v>621420</v>
      </c>
      <c r="H6639" s="3" t="s">
        <v>990</v>
      </c>
    </row>
    <row r="6640" spans="1:8" ht="51.75" x14ac:dyDescent="0.25">
      <c r="A6640" s="3" t="s">
        <v>19505</v>
      </c>
      <c r="B6640" s="3"/>
      <c r="C6640" s="3" t="str">
        <f>"We will be providing non emergency based transportation to and from medical related services by individuals and insurance companies public and private."</f>
        <v>We will be providing non emergency based transportation to and from medical related services by individuals and insurance companies public and private.</v>
      </c>
      <c r="D6640" s="3" t="s">
        <v>9</v>
      </c>
      <c r="E6640" s="3" t="s">
        <v>46</v>
      </c>
      <c r="F6640" s="2"/>
      <c r="G6640" s="3">
        <v>485111</v>
      </c>
      <c r="H6640" s="3" t="s">
        <v>13936</v>
      </c>
    </row>
    <row r="6641" spans="1:8" ht="128.25" x14ac:dyDescent="0.25">
      <c r="A6641" s="3" t="s">
        <v>19506</v>
      </c>
      <c r="B6641" s="3"/>
      <c r="C6641" s="3" t="s">
        <v>19507</v>
      </c>
      <c r="D6641" s="3" t="s">
        <v>19508</v>
      </c>
      <c r="E6641" s="3" t="s">
        <v>19509</v>
      </c>
      <c r="F6641" s="3" t="str">
        <f>"219-886-2700"</f>
        <v>219-886-2700</v>
      </c>
      <c r="G6641" s="3">
        <v>311991</v>
      </c>
      <c r="H6641" s="3" t="s">
        <v>15255</v>
      </c>
    </row>
    <row r="6642" spans="1:8" ht="51.75" x14ac:dyDescent="0.25">
      <c r="A6642" s="3" t="s">
        <v>19510</v>
      </c>
      <c r="B6642" s="3"/>
      <c r="C6642" s="3" t="str">
        <f>"Floor covering materials and installation. Including carpet, carpet tile, vinyl sheet and tile, ceramic, wood refinishing, concrete polishing."</f>
        <v>Floor covering materials and installation. Including carpet, carpet tile, vinyl sheet and tile, ceramic, wood refinishing, concrete polishing.</v>
      </c>
      <c r="D6642" s="3" t="s">
        <v>9</v>
      </c>
      <c r="E6642" s="3" t="s">
        <v>19511</v>
      </c>
      <c r="F6642" s="3" t="str">
        <f>"765-447-2681"</f>
        <v>765-447-2681</v>
      </c>
      <c r="G6642" s="3">
        <v>23552</v>
      </c>
      <c r="H6642" s="3" t="s">
        <v>955</v>
      </c>
    </row>
    <row r="6643" spans="1:8" ht="90" x14ac:dyDescent="0.25">
      <c r="A6643" s="3" t="s">
        <v>19512</v>
      </c>
      <c r="B6643" s="3"/>
      <c r="C6643" s="3" t="str">
        <f>"New Dawn Photo is a photography business. We specialize in photography for events, portraits, groups and by assignment. We also do senior photos, home interiors and special occassions. Visit www.newdawnphoto.net to see some of our work."</f>
        <v>New Dawn Photo is a photography business. We specialize in photography for events, portraits, groups and by assignment. We also do senior photos, home interiors and special occassions. Visit www.newdawnphoto.net to see some of our work.</v>
      </c>
      <c r="D6643" s="3" t="s">
        <v>19513</v>
      </c>
      <c r="E6643" s="3" t="s">
        <v>19514</v>
      </c>
      <c r="F6643" s="3" t="str">
        <f>"317-523-8940"</f>
        <v>317-523-8940</v>
      </c>
      <c r="G6643" s="3">
        <v>541921</v>
      </c>
      <c r="H6643" s="3" t="s">
        <v>1325</v>
      </c>
    </row>
    <row r="6644" spans="1:8" ht="102.75" x14ac:dyDescent="0.25">
      <c r="A6644" s="3" t="s">
        <v>19515</v>
      </c>
      <c r="B6644" s="3"/>
      <c r="C6644" s="3" t="s">
        <v>19516</v>
      </c>
      <c r="D6644" s="3" t="s">
        <v>9</v>
      </c>
      <c r="E6644" s="3" t="s">
        <v>19517</v>
      </c>
      <c r="F6644" s="3" t="str">
        <f>"317-716-3685"</f>
        <v>317-716-3685</v>
      </c>
      <c r="G6644" s="3">
        <v>561720</v>
      </c>
      <c r="H6644" s="3" t="s">
        <v>222</v>
      </c>
    </row>
    <row r="6645" spans="1:8" ht="64.5" x14ac:dyDescent="0.25">
      <c r="A6645" s="3" t="s">
        <v>19518</v>
      </c>
      <c r="B6645" s="3"/>
      <c r="C6645" s="3" t="str">
        <f>"We are an east central Indiana based company. We have been locally owned since 1957. We service, sell, and provide supplies for all makes and models of office equipment."</f>
        <v>We are an east central Indiana based company. We have been locally owned since 1957. We service, sell, and provide supplies for all makes and models of office equipment.</v>
      </c>
      <c r="D6645" s="3" t="s">
        <v>19519</v>
      </c>
      <c r="E6645" s="3" t="s">
        <v>19520</v>
      </c>
      <c r="F6645" s="3" t="str">
        <f>"765-288-5831"</f>
        <v>765-288-5831</v>
      </c>
      <c r="G6645" s="3">
        <v>453210</v>
      </c>
      <c r="H6645" s="3" t="s">
        <v>431</v>
      </c>
    </row>
    <row r="6646" spans="1:8" ht="64.5" x14ac:dyDescent="0.25">
      <c r="A6646" s="3" t="s">
        <v>19521</v>
      </c>
      <c r="B6646" s="3"/>
      <c r="C6646" s="3" t="str">
        <f>"New Focus HR, LLC is a human resources consulting and training company providing services in the areas of compensation, employee relations, HR compliance, and training and development, to name a few."</f>
        <v>New Focus HR, LLC is a human resources consulting and training company providing services in the areas of compensation, employee relations, HR compliance, and training and development, to name a few.</v>
      </c>
      <c r="D6646" s="3" t="s">
        <v>19522</v>
      </c>
      <c r="E6646" s="3" t="s">
        <v>46</v>
      </c>
      <c r="F6646" s="3" t="str">
        <f>"3174454163"</f>
        <v>3174454163</v>
      </c>
      <c r="G6646" s="3">
        <v>541990</v>
      </c>
      <c r="H6646" s="3" t="s">
        <v>378</v>
      </c>
    </row>
    <row r="6647" spans="1:8" ht="64.5" x14ac:dyDescent="0.25">
      <c r="A6647" s="3" t="s">
        <v>19523</v>
      </c>
      <c r="B6647" s="3"/>
      <c r="C6647" s="3" t="str">
        <f>"New Gary CDC is a not for profit agency located in Gary, Indiana. Our mission statement is to help meet the needs of families by teaching skills and providing services to improve their lifestyle."</f>
        <v>New Gary CDC is a not for profit agency located in Gary, Indiana. Our mission statement is to help meet the needs of families by teaching skills and providing services to improve their lifestyle.</v>
      </c>
      <c r="D6647" s="3" t="s">
        <v>9</v>
      </c>
      <c r="E6647" s="3" t="s">
        <v>19524</v>
      </c>
      <c r="F6647" s="3" t="str">
        <f>"2198876418"</f>
        <v>2198876418</v>
      </c>
      <c r="G6647" s="3">
        <v>624190</v>
      </c>
      <c r="H6647" s="3" t="s">
        <v>54</v>
      </c>
    </row>
    <row r="6648" spans="1:8" ht="64.5" x14ac:dyDescent="0.25">
      <c r="A6648" s="3" t="s">
        <v>19525</v>
      </c>
      <c r="B6648" s="3"/>
      <c r="C6648" s="3" t="str">
        <f>"Specializing in Commercial &amp; Residential Contract-Cleaning and Janitorial Services, Sanitation, Carpet Cleaning, Floor care, Debris Removal and Construction &amp; Maintenance."</f>
        <v>Specializing in Commercial &amp; Residential Contract-Cleaning and Janitorial Services, Sanitation, Carpet Cleaning, Floor care, Debris Removal and Construction &amp; Maintenance.</v>
      </c>
      <c r="D6648" s="3" t="s">
        <v>9</v>
      </c>
      <c r="E6648" s="3" t="s">
        <v>19526</v>
      </c>
      <c r="F6648" s="3" t="str">
        <f>"317-826-1447"</f>
        <v>317-826-1447</v>
      </c>
      <c r="G6648" s="3">
        <v>23</v>
      </c>
      <c r="H6648" s="3" t="s">
        <v>133</v>
      </c>
    </row>
    <row r="6649" spans="1:8" ht="26.25" x14ac:dyDescent="0.25">
      <c r="A6649" s="3" t="s">
        <v>19527</v>
      </c>
      <c r="B6649" s="3"/>
      <c r="C6649" s="3" t="str">
        <f>"Farm implement retail sales and service"</f>
        <v>Farm implement retail sales and service</v>
      </c>
      <c r="D6649" s="3" t="s">
        <v>9</v>
      </c>
      <c r="E6649" s="3" t="s">
        <v>46</v>
      </c>
      <c r="F6649" s="3" t="str">
        <f>"1-800-206-7782"</f>
        <v>1-800-206-7782</v>
      </c>
      <c r="G6649" s="3">
        <v>453</v>
      </c>
      <c r="H6649" s="3" t="s">
        <v>2187</v>
      </c>
    </row>
    <row r="6650" spans="1:8" ht="26.25" x14ac:dyDescent="0.25">
      <c r="A6650" s="3" t="s">
        <v>19528</v>
      </c>
      <c r="B6650" s="3"/>
      <c r="C6650" s="3" t="str">
        <f>"Ag equipment sales and service Lawn and Garden Sales and Service"</f>
        <v>Ag equipment sales and service Lawn and Garden Sales and Service</v>
      </c>
      <c r="D6650" s="3" t="s">
        <v>19529</v>
      </c>
      <c r="E6650" s="3" t="s">
        <v>19530</v>
      </c>
      <c r="F6650" s="3" t="str">
        <f>"574-753-6291"</f>
        <v>574-753-6291</v>
      </c>
      <c r="G6650" s="3">
        <v>11</v>
      </c>
      <c r="H6650" s="3" t="s">
        <v>175</v>
      </c>
    </row>
    <row r="6651" spans="1:8" ht="115.5" x14ac:dyDescent="0.25">
      <c r="A6651" s="3" t="s">
        <v>19531</v>
      </c>
      <c r="B6651" s="3"/>
      <c r="C6651" s="3" t="s">
        <v>19532</v>
      </c>
      <c r="D6651" s="3" t="s">
        <v>19533</v>
      </c>
      <c r="E6651" s="3" t="s">
        <v>19534</v>
      </c>
      <c r="F6651" s="3" t="str">
        <f>"812-288-8248"</f>
        <v>812-288-8248</v>
      </c>
      <c r="G6651" s="3">
        <v>62431</v>
      </c>
      <c r="H6651" s="3" t="s">
        <v>488</v>
      </c>
    </row>
    <row r="6652" spans="1:8" ht="64.5" x14ac:dyDescent="0.25">
      <c r="A6652" s="3" t="s">
        <v>19535</v>
      </c>
      <c r="B6652" s="3"/>
      <c r="C6652" s="3" t="str">
        <f>"Horizontal directional drilling for direct burial, conduit, gravity and force main sewer, and water main and water services. Also provide hydrovac-excavation and minor excavations."</f>
        <v>Horizontal directional drilling for direct burial, conduit, gravity and force main sewer, and water main and water services. Also provide hydrovac-excavation and minor excavations.</v>
      </c>
      <c r="D6652" s="3" t="s">
        <v>19536</v>
      </c>
      <c r="E6652" s="3" t="s">
        <v>19537</v>
      </c>
      <c r="F6652" s="3" t="str">
        <f>"574-266-7700"</f>
        <v>574-266-7700</v>
      </c>
      <c r="G6652" s="3">
        <v>237310</v>
      </c>
      <c r="H6652" s="3" t="s">
        <v>768</v>
      </c>
    </row>
    <row r="6653" spans="1:8" ht="306.75" x14ac:dyDescent="0.25">
      <c r="A6653" s="3" t="s">
        <v>19538</v>
      </c>
      <c r="B6653" s="3"/>
      <c r="C6653" s="3" t="s">
        <v>19539</v>
      </c>
      <c r="D6653" s="3" t="s">
        <v>12998</v>
      </c>
      <c r="E6653" s="3" t="s">
        <v>19540</v>
      </c>
      <c r="F6653" s="3" t="str">
        <f>"317-575-7600"</f>
        <v>317-575-7600</v>
      </c>
      <c r="G6653" s="3">
        <v>611420</v>
      </c>
      <c r="H6653" s="3" t="s">
        <v>39</v>
      </c>
    </row>
    <row r="6654" spans="1:8" ht="77.25" x14ac:dyDescent="0.25">
      <c r="A6654" s="3" t="s">
        <v>19541</v>
      </c>
      <c r="B6654" s="3"/>
      <c r="C6654" s="3" t="str">
        <f>"With over 300 centers in 70 countries, New Horizons is the world’s largest IT training company delivering a full range of IT training and business skills training through flexible and innovative learning methods."</f>
        <v>With over 300 centers in 70 countries, New Horizons is the world’s largest IT training company delivering a full range of IT training and business skills training through flexible and innovative learning methods.</v>
      </c>
      <c r="D6654" s="3" t="s">
        <v>19542</v>
      </c>
      <c r="E6654" s="3" t="s">
        <v>19543</v>
      </c>
      <c r="F6654" s="3" t="str">
        <f>"317-575-7600"</f>
        <v>317-575-7600</v>
      </c>
      <c r="G6654" s="3">
        <v>611420</v>
      </c>
      <c r="H6654" s="3" t="s">
        <v>39</v>
      </c>
    </row>
    <row r="6655" spans="1:8" ht="26.25" x14ac:dyDescent="0.25">
      <c r="A6655" s="3" t="s">
        <v>19544</v>
      </c>
      <c r="B6655" s="3"/>
      <c r="C6655" s="3" t="str">
        <f>"LEASES OFFICE BUILDINGS TO GOVERNMENT ENTITIES"</f>
        <v>LEASES OFFICE BUILDINGS TO GOVERNMENT ENTITIES</v>
      </c>
      <c r="D6655" s="3" t="s">
        <v>9</v>
      </c>
      <c r="E6655" s="3" t="s">
        <v>19545</v>
      </c>
      <c r="F6655" s="3" t="str">
        <f>"812 883-6602"</f>
        <v>812 883-6602</v>
      </c>
      <c r="G6655" s="3">
        <v>531120</v>
      </c>
      <c r="H6655" s="3" t="s">
        <v>2926</v>
      </c>
    </row>
    <row r="6656" spans="1:8" ht="64.5" x14ac:dyDescent="0.25">
      <c r="A6656" s="3" t="s">
        <v>19546</v>
      </c>
      <c r="B6656" s="3"/>
      <c r="C6656" s="3" t="str">
        <f>"New Life Properties LLC offers residential and corporate interior design services. Additionally, New Life offers staging solutions for properties on the market and also has rental properties available."</f>
        <v>New Life Properties LLC offers residential and corporate interior design services. Additionally, New Life offers staging solutions for properties on the market and also has rental properties available.</v>
      </c>
      <c r="D6656" s="3" t="s">
        <v>19547</v>
      </c>
      <c r="E6656" s="3" t="s">
        <v>19548</v>
      </c>
      <c r="F6656" s="3" t="str">
        <f>"317-442-4911"</f>
        <v>317-442-4911</v>
      </c>
      <c r="G6656" s="3">
        <v>337212</v>
      </c>
      <c r="H6656" s="3" t="s">
        <v>2359</v>
      </c>
    </row>
    <row r="6657" spans="1:8" ht="77.25" x14ac:dyDescent="0.25">
      <c r="A6657" s="3" t="s">
        <v>19549</v>
      </c>
      <c r="B6657" s="3"/>
      <c r="C6657" s="3" t="str">
        <f>"Our business is a faith-based institution. We provide community service. We offer a pre school for 3- 6 year olds, and a summer camp for disadvantaged children. We offer mentoring services for at-risk youth between the ages of 6- 21 years old."</f>
        <v>Our business is a faith-based institution. We provide community service. We offer a pre school for 3- 6 year olds, and a summer camp for disadvantaged children. We offer mentoring services for at-risk youth between the ages of 6- 21 years old.</v>
      </c>
      <c r="D6657" s="3" t="s">
        <v>9</v>
      </c>
      <c r="E6657" s="3" t="s">
        <v>19550</v>
      </c>
      <c r="F6657" s="3" t="str">
        <f>"317-926-0358"</f>
        <v>317-926-0358</v>
      </c>
      <c r="G6657" s="3">
        <v>624</v>
      </c>
      <c r="H6657" s="3" t="s">
        <v>6524</v>
      </c>
    </row>
    <row r="6658" spans="1:8" x14ac:dyDescent="0.25">
      <c r="A6658" s="3" t="s">
        <v>19551</v>
      </c>
      <c r="B6658" s="3"/>
      <c r="C6658" s="3" t="str">
        <f>"fire protection"</f>
        <v>fire protection</v>
      </c>
      <c r="D6658" s="3" t="s">
        <v>9</v>
      </c>
      <c r="E6658" s="3" t="s">
        <v>46</v>
      </c>
      <c r="F6658" s="2"/>
      <c r="G6658" s="3">
        <v>92216</v>
      </c>
      <c r="H6658" s="3" t="s">
        <v>2246</v>
      </c>
    </row>
    <row r="6659" spans="1:8" ht="26.25" x14ac:dyDescent="0.25">
      <c r="A6659" s="3" t="s">
        <v>19552</v>
      </c>
      <c r="B6659" s="3"/>
      <c r="C6659" s="3" t="str">
        <f>"Telecommunicatons and internet service provider"</f>
        <v>Telecommunicatons and internet service provider</v>
      </c>
      <c r="D6659" s="3" t="s">
        <v>9</v>
      </c>
      <c r="E6659" s="3" t="s">
        <v>19553</v>
      </c>
      <c r="F6659" s="3" t="str">
        <f>"765 332-2413"</f>
        <v>765 332-2413</v>
      </c>
      <c r="G6659" s="3">
        <v>517</v>
      </c>
      <c r="H6659" s="3" t="s">
        <v>682</v>
      </c>
    </row>
    <row r="6660" spans="1:8" ht="255.75" x14ac:dyDescent="0.25">
      <c r="A6660" s="3" t="s">
        <v>19554</v>
      </c>
      <c r="B6660" s="3"/>
      <c r="C6660" s="3" t="s">
        <v>19555</v>
      </c>
      <c r="D6660" s="3" t="s">
        <v>19556</v>
      </c>
      <c r="E6660" s="3" t="s">
        <v>19557</v>
      </c>
      <c r="F6660" s="3" t="str">
        <f>"313-269-0024"</f>
        <v>313-269-0024</v>
      </c>
      <c r="G6660" s="3">
        <v>611</v>
      </c>
      <c r="H6660" s="3" t="s">
        <v>140</v>
      </c>
    </row>
    <row r="6661" spans="1:8" ht="26.25" x14ac:dyDescent="0.25">
      <c r="A6661" s="3" t="s">
        <v>19558</v>
      </c>
      <c r="B6661" s="3"/>
      <c r="C6661" s="3" t="str">
        <f>"Crushed and broken limestone for building, asphalt, concrete and landscaping needs."</f>
        <v>Crushed and broken limestone for building, asphalt, concrete and landscaping needs.</v>
      </c>
      <c r="D6661" s="3" t="s">
        <v>9</v>
      </c>
      <c r="E6661" s="3" t="s">
        <v>46</v>
      </c>
      <c r="F6661" s="3" t="str">
        <f>"812-663-2021"</f>
        <v>812-663-2021</v>
      </c>
      <c r="G6661" s="3">
        <v>212312</v>
      </c>
      <c r="H6661" s="3" t="s">
        <v>3264</v>
      </c>
    </row>
    <row r="6662" spans="1:8" ht="26.25" x14ac:dyDescent="0.25">
      <c r="A6662" s="3" t="s">
        <v>19559</v>
      </c>
      <c r="B6662" s="3"/>
      <c r="C6662" s="3" t="str">
        <f>" "</f>
        <v xml:space="preserve"> </v>
      </c>
      <c r="D6662" s="3" t="s">
        <v>9</v>
      </c>
      <c r="E6662" s="3" t="s">
        <v>19560</v>
      </c>
      <c r="F6662" s="3" t="str">
        <f>"317-568-2838"</f>
        <v>317-568-2838</v>
      </c>
      <c r="G6662" s="3">
        <v>424990</v>
      </c>
      <c r="H6662" s="3" t="s">
        <v>1019</v>
      </c>
    </row>
    <row r="6663" spans="1:8" ht="39" x14ac:dyDescent="0.25">
      <c r="A6663" s="3" t="s">
        <v>19561</v>
      </c>
      <c r="B6663" s="3"/>
      <c r="C6663" s="3" t="str">
        <f>"General Contractors Commercial * Industrial Design / Build / Lease Project Management Steel Buildings"</f>
        <v>General Contractors Commercial * Industrial Design / Build / Lease Project Management Steel Buildings</v>
      </c>
      <c r="D6663" s="3" t="s">
        <v>9</v>
      </c>
      <c r="E6663" s="3" t="s">
        <v>19562</v>
      </c>
      <c r="F6663" s="3" t="str">
        <f>"812-858-4929"</f>
        <v>812-858-4929</v>
      </c>
      <c r="G6663" s="3">
        <v>233</v>
      </c>
      <c r="H6663" s="3" t="s">
        <v>131</v>
      </c>
    </row>
    <row r="6664" spans="1:8" x14ac:dyDescent="0.25">
      <c r="A6664" s="3" t="s">
        <v>19563</v>
      </c>
      <c r="B6664" s="3"/>
      <c r="C6664" s="3" t="str">
        <f>" "</f>
        <v xml:space="preserve"> </v>
      </c>
      <c r="D6664" s="3" t="s">
        <v>9</v>
      </c>
      <c r="E6664" s="3" t="s">
        <v>46</v>
      </c>
      <c r="F6664" s="2"/>
      <c r="G6664" s="3">
        <v>531</v>
      </c>
      <c r="H6664" s="3" t="s">
        <v>74</v>
      </c>
    </row>
    <row r="6665" spans="1:8" ht="90" x14ac:dyDescent="0.25">
      <c r="A6665" s="3" t="s">
        <v>19564</v>
      </c>
      <c r="B6665" s="3"/>
      <c r="C6665" s="3" t="s">
        <v>19565</v>
      </c>
      <c r="D6665" s="3" t="s">
        <v>9</v>
      </c>
      <c r="E6665" s="3" t="s">
        <v>19566</v>
      </c>
      <c r="F6665" s="3" t="str">
        <f>"317-861-0213"</f>
        <v>317-861-0213</v>
      </c>
      <c r="G6665" s="3">
        <v>54181</v>
      </c>
      <c r="H6665" s="3" t="s">
        <v>976</v>
      </c>
    </row>
    <row r="6666" spans="1:8" ht="230.25" x14ac:dyDescent="0.25">
      <c r="A6666" s="3" t="s">
        <v>19567</v>
      </c>
      <c r="B6666" s="3"/>
      <c r="C6666" s="3" t="s">
        <v>19568</v>
      </c>
      <c r="D6666" s="3" t="s">
        <v>19569</v>
      </c>
      <c r="E6666" s="3" t="s">
        <v>19570</v>
      </c>
      <c r="F6666" s="3" t="str">
        <f>"317-892-3580"</f>
        <v>317-892-3580</v>
      </c>
      <c r="G6666" s="3">
        <v>5133</v>
      </c>
      <c r="H6666" s="3" t="s">
        <v>682</v>
      </c>
    </row>
    <row r="6667" spans="1:8" ht="26.25" x14ac:dyDescent="0.25">
      <c r="A6667" s="3" t="s">
        <v>19571</v>
      </c>
      <c r="B6667" s="3"/>
      <c r="C6667" s="3" t="str">
        <f>" "</f>
        <v xml:space="preserve"> </v>
      </c>
      <c r="D6667" s="3" t="s">
        <v>19572</v>
      </c>
      <c r="E6667" s="3" t="s">
        <v>19573</v>
      </c>
      <c r="F6667" s="3" t="str">
        <f>"812-853-7651"</f>
        <v>812-853-7651</v>
      </c>
      <c r="G6667" s="3">
        <v>11</v>
      </c>
      <c r="H6667" s="3" t="s">
        <v>175</v>
      </c>
    </row>
    <row r="6668" spans="1:8" ht="26.25" x14ac:dyDescent="0.25">
      <c r="A6668" s="3" t="s">
        <v>19574</v>
      </c>
      <c r="B6668" s="3"/>
      <c r="C6668" s="3" t="str">
        <f>"Sod Farm, Sod Installation, &amp; Commercial Seeding"</f>
        <v>Sod Farm, Sod Installation, &amp; Commercial Seeding</v>
      </c>
      <c r="D6668" s="3" t="s">
        <v>9</v>
      </c>
      <c r="E6668" s="3" t="s">
        <v>46</v>
      </c>
      <c r="F6668" s="2"/>
      <c r="G6668" s="3">
        <v>11199</v>
      </c>
      <c r="H6668" s="3" t="s">
        <v>19575</v>
      </c>
    </row>
    <row r="6669" spans="1:8" ht="179.25" x14ac:dyDescent="0.25">
      <c r="A6669" s="3" t="s">
        <v>19576</v>
      </c>
      <c r="B6669" s="3"/>
      <c r="C6669" s="3" t="s">
        <v>19577</v>
      </c>
      <c r="D6669" s="3" t="s">
        <v>19578</v>
      </c>
      <c r="E6669" s="3" t="s">
        <v>19579</v>
      </c>
      <c r="F6669" s="3" t="str">
        <f>"317-669-2662"</f>
        <v>317-669-2662</v>
      </c>
      <c r="G6669" s="3">
        <v>48819</v>
      </c>
      <c r="H6669" s="3" t="s">
        <v>666</v>
      </c>
    </row>
    <row r="6670" spans="1:8" ht="51.75" x14ac:dyDescent="0.25">
      <c r="A6670" s="3" t="s">
        <v>19580</v>
      </c>
      <c r="B6670" s="3"/>
      <c r="C6670" s="3" t="str">
        <f>"Newman Construction Inc. is a licensed, bonded and insured “Complete Contracting Solutions” company established in 2007 providing general contracting services"</f>
        <v>Newman Construction Inc. is a licensed, bonded and insured “Complete Contracting Solutions” company established in 2007 providing general contracting services</v>
      </c>
      <c r="D6670" s="3" t="s">
        <v>9</v>
      </c>
      <c r="E6670" s="3" t="s">
        <v>19581</v>
      </c>
      <c r="F6670" s="3" t="str">
        <f>"317-258-2877"</f>
        <v>317-258-2877</v>
      </c>
      <c r="G6670" s="3">
        <v>236220</v>
      </c>
      <c r="H6670" s="3" t="s">
        <v>598</v>
      </c>
    </row>
    <row r="6671" spans="1:8" ht="39" x14ac:dyDescent="0.25">
      <c r="A6671" s="3" t="s">
        <v>19582</v>
      </c>
      <c r="B6671" s="3"/>
      <c r="C6671" s="3" t="str">
        <f>"Newman Equipment provides Heavy Equipment thru Sales, Service, and Rental Throughout the state of Indiana."</f>
        <v>Newman Equipment provides Heavy Equipment thru Sales, Service, and Rental Throughout the state of Indiana.</v>
      </c>
      <c r="D6671" s="3" t="s">
        <v>19583</v>
      </c>
      <c r="E6671" s="3" t="s">
        <v>19584</v>
      </c>
      <c r="F6671" s="3" t="str">
        <f>"317-781-8100"</f>
        <v>317-781-8100</v>
      </c>
      <c r="G6671" s="3">
        <v>532412</v>
      </c>
      <c r="H6671" s="3" t="s">
        <v>777</v>
      </c>
    </row>
    <row r="6672" spans="1:8" ht="64.5" x14ac:dyDescent="0.25">
      <c r="A6672" s="3" t="s">
        <v>19585</v>
      </c>
      <c r="B6672" s="3"/>
      <c r="C6672" s="3" t="str">
        <f>"Newpoint Pakring provides parking management services and solutions in the Indianapolis area. We work with the City of Indianapolis, Sate of Indiana and private clients."</f>
        <v>Newpoint Pakring provides parking management services and solutions in the Indianapolis area. We work with the City of Indianapolis, Sate of Indiana and private clients.</v>
      </c>
      <c r="D6672" s="3" t="s">
        <v>19586</v>
      </c>
      <c r="E6672" s="3" t="s">
        <v>19587</v>
      </c>
      <c r="F6672" s="3" t="str">
        <f>"317-255-7275"</f>
        <v>317-255-7275</v>
      </c>
      <c r="G6672" s="3">
        <v>812930</v>
      </c>
      <c r="H6672" s="3" t="s">
        <v>7920</v>
      </c>
    </row>
    <row r="6673" spans="1:8" ht="26.25" x14ac:dyDescent="0.25">
      <c r="A6673" s="3" t="s">
        <v>19588</v>
      </c>
      <c r="B6673" s="3"/>
      <c r="C6673" s="3" t="str">
        <f>"Specialty Plastic Injection Molding of tight tolerance parts and components"</f>
        <v>Specialty Plastic Injection Molding of tight tolerance parts and components</v>
      </c>
      <c r="D6673" s="3" t="s">
        <v>19589</v>
      </c>
      <c r="E6673" s="3" t="s">
        <v>19590</v>
      </c>
      <c r="F6673" s="3" t="str">
        <f>"812-945-3375"</f>
        <v>812-945-3375</v>
      </c>
      <c r="G6673" s="3">
        <v>325211</v>
      </c>
      <c r="H6673" s="3" t="s">
        <v>2906</v>
      </c>
    </row>
    <row r="6674" spans="1:8" ht="51.75" x14ac:dyDescent="0.25">
      <c r="A6674" s="3" t="s">
        <v>19591</v>
      </c>
      <c r="B6674" s="3"/>
      <c r="C6674" s="3" t="str">
        <f>"Next Generation Recruiting, Inc. provides healthcare consulting and permanent employment placement services for health care professionals."</f>
        <v>Next Generation Recruiting, Inc. provides healthcare consulting and permanent employment placement services for health care professionals.</v>
      </c>
      <c r="D6674" s="3" t="s">
        <v>9</v>
      </c>
      <c r="E6674" s="3" t="s">
        <v>46</v>
      </c>
      <c r="F6674" s="3" t="str">
        <f>"317-758-5548"</f>
        <v>317-758-5548</v>
      </c>
      <c r="G6674" s="3">
        <v>561310</v>
      </c>
      <c r="H6674" s="3" t="s">
        <v>1720</v>
      </c>
    </row>
    <row r="6675" spans="1:8" ht="51.75" x14ac:dyDescent="0.25">
      <c r="A6675" s="3" t="s">
        <v>19592</v>
      </c>
      <c r="B6675" s="3"/>
      <c r="C6675" s="3" t="str">
        <f>"Providing software product for the government sector. Specializing in e-government solutions and public safety applications."</f>
        <v>Providing software product for the government sector. Specializing in e-government solutions and public safety applications.</v>
      </c>
      <c r="D6675" s="3" t="s">
        <v>19593</v>
      </c>
      <c r="E6675" s="3" t="s">
        <v>19594</v>
      </c>
      <c r="F6675" s="3" t="str">
        <f>"219-714-2450"</f>
        <v>219-714-2450</v>
      </c>
      <c r="G6675" s="3">
        <v>541511</v>
      </c>
      <c r="H6675" s="3" t="s">
        <v>122</v>
      </c>
    </row>
    <row r="6676" spans="1:8" ht="39" x14ac:dyDescent="0.25">
      <c r="A6676" s="3" t="s">
        <v>19595</v>
      </c>
      <c r="B6676" s="3"/>
      <c r="C6676" s="3" t="str">
        <f>"Teaching studio which develops young people in architecture through design, history and appreciation."</f>
        <v>Teaching studio which develops young people in architecture through design, history and appreciation.</v>
      </c>
      <c r="D6676" s="3" t="s">
        <v>19596</v>
      </c>
      <c r="E6676" s="3" t="s">
        <v>19597</v>
      </c>
      <c r="F6676" s="3" t="str">
        <f>"317-937-5780"</f>
        <v>317-937-5780</v>
      </c>
      <c r="G6676" s="3">
        <v>611710</v>
      </c>
      <c r="H6676" s="3" t="s">
        <v>508</v>
      </c>
    </row>
    <row r="6677" spans="1:8" ht="141" x14ac:dyDescent="0.25">
      <c r="A6677" s="3" t="s">
        <v>19598</v>
      </c>
      <c r="B6677" s="3"/>
      <c r="C6677" s="3" t="s">
        <v>19599</v>
      </c>
      <c r="D6677" s="3" t="s">
        <v>19600</v>
      </c>
      <c r="E6677" s="3" t="s">
        <v>19601</v>
      </c>
      <c r="F6677" s="3" t="str">
        <f>"(317) 875-6728"</f>
        <v>(317) 875-6728</v>
      </c>
      <c r="G6677" s="3">
        <v>611420</v>
      </c>
      <c r="H6677" s="3" t="s">
        <v>39</v>
      </c>
    </row>
    <row r="6678" spans="1:8" ht="332.25" x14ac:dyDescent="0.25">
      <c r="A6678" s="3" t="s">
        <v>19602</v>
      </c>
      <c r="B6678" s="3"/>
      <c r="C6678" s="3" t="s">
        <v>19603</v>
      </c>
      <c r="D6678" s="3" t="s">
        <v>19604</v>
      </c>
      <c r="E6678" s="3" t="s">
        <v>19605</v>
      </c>
      <c r="F6678" s="3" t="str">
        <f>"812-733-4806"</f>
        <v>812-733-4806</v>
      </c>
      <c r="G6678" s="3">
        <v>541330</v>
      </c>
      <c r="H6678" s="3" t="s">
        <v>82</v>
      </c>
    </row>
    <row r="6679" spans="1:8" ht="217.5" x14ac:dyDescent="0.25">
      <c r="A6679" s="3" t="s">
        <v>19606</v>
      </c>
      <c r="B6679" s="3"/>
      <c r="C6679" s="3" t="s">
        <v>19607</v>
      </c>
      <c r="D6679" s="3" t="s">
        <v>19608</v>
      </c>
      <c r="E6679" s="3" t="s">
        <v>19609</v>
      </c>
      <c r="F6679" s="3" t="str">
        <f>"574-293-3591"</f>
        <v>574-293-3591</v>
      </c>
      <c r="G6679" s="3">
        <v>337211</v>
      </c>
      <c r="H6679" s="3" t="s">
        <v>12624</v>
      </c>
    </row>
    <row r="6680" spans="1:8" ht="39" x14ac:dyDescent="0.25">
      <c r="A6680" s="3" t="s">
        <v>19610</v>
      </c>
      <c r="B6680" s="3"/>
      <c r="C6680" s="3" t="str">
        <f>"Nexus Group provides property tax consulting to numerous Indiana counties, as well as businesses."</f>
        <v>Nexus Group provides property tax consulting to numerous Indiana counties, as well as businesses.</v>
      </c>
      <c r="D6680" s="3" t="s">
        <v>19611</v>
      </c>
      <c r="E6680" s="3" t="s">
        <v>19612</v>
      </c>
      <c r="F6680" s="3" t="str">
        <f>"317-753-0004"</f>
        <v>317-753-0004</v>
      </c>
      <c r="G6680" s="3">
        <v>812990</v>
      </c>
      <c r="H6680" s="3" t="s">
        <v>294</v>
      </c>
    </row>
    <row r="6681" spans="1:8" ht="115.5" x14ac:dyDescent="0.25">
      <c r="A6681" s="3" t="s">
        <v>19613</v>
      </c>
      <c r="B6681" s="3"/>
      <c r="C6681" s="3" t="s">
        <v>19614</v>
      </c>
      <c r="D6681" s="3" t="s">
        <v>9</v>
      </c>
      <c r="E6681" s="3" t="s">
        <v>19615</v>
      </c>
      <c r="F6681" s="3" t="str">
        <f>"219-746-3375"</f>
        <v>219-746-3375</v>
      </c>
      <c r="G6681" s="3">
        <v>2359</v>
      </c>
      <c r="H6681" s="3" t="s">
        <v>631</v>
      </c>
    </row>
    <row r="6682" spans="1:8" ht="51.75" x14ac:dyDescent="0.25">
      <c r="A6682" s="3" t="s">
        <v>19616</v>
      </c>
      <c r="B6682" s="3"/>
      <c r="C6682" s="3" t="str">
        <f>"Primarily a small to medium size mold manufacturer for invenstment casting industry. Also short to medium size production machining."</f>
        <v>Primarily a small to medium size mold manufacturer for invenstment casting industry. Also short to medium size production machining.</v>
      </c>
      <c r="D6682" s="3" t="s">
        <v>19617</v>
      </c>
      <c r="E6682" s="3" t="s">
        <v>19618</v>
      </c>
      <c r="F6682" s="3" t="str">
        <f>"574-654-7523"</f>
        <v>574-654-7523</v>
      </c>
      <c r="G6682" s="3">
        <v>811</v>
      </c>
      <c r="H6682" s="3" t="s">
        <v>816</v>
      </c>
    </row>
    <row r="6683" spans="1:8" ht="39" x14ac:dyDescent="0.25">
      <c r="A6683" s="3" t="s">
        <v>19619</v>
      </c>
      <c r="B6683" s="3"/>
      <c r="C6683" s="3" t="str">
        <f>"Service and Sales of Office Equipment, Fax Machines, Typewriters, Calculators,Desktop Copiers, Printers, and supplies."</f>
        <v>Service and Sales of Office Equipment, Fax Machines, Typewriters, Calculators,Desktop Copiers, Printers, and supplies.</v>
      </c>
      <c r="D6683" s="3" t="s">
        <v>9</v>
      </c>
      <c r="E6683" s="3" t="s">
        <v>46</v>
      </c>
      <c r="F6683" s="3" t="str">
        <f>"317-839-5203"</f>
        <v>317-839-5203</v>
      </c>
      <c r="G6683" s="3">
        <v>8112</v>
      </c>
      <c r="H6683" s="3" t="s">
        <v>13567</v>
      </c>
    </row>
    <row r="6684" spans="1:8" ht="141" x14ac:dyDescent="0.25">
      <c r="A6684" s="3" t="s">
        <v>19620</v>
      </c>
      <c r="B6684" s="3"/>
      <c r="C6684" s="3" t="s">
        <v>19621</v>
      </c>
      <c r="D6684" s="3" t="s">
        <v>9</v>
      </c>
      <c r="E6684" s="3" t="s">
        <v>19622</v>
      </c>
      <c r="F6684" s="3" t="str">
        <f>"812-401-9361"</f>
        <v>812-401-9361</v>
      </c>
      <c r="G6684" s="3">
        <v>56143</v>
      </c>
      <c r="H6684" s="3" t="s">
        <v>19623</v>
      </c>
    </row>
    <row r="6685" spans="1:8" ht="39" x14ac:dyDescent="0.25">
      <c r="A6685" s="3" t="s">
        <v>19624</v>
      </c>
      <c r="B6685" s="3"/>
      <c r="C6685" s="3" t="str">
        <f>"Nicki Lee, LLC provides a marketing services for small to medium sized businesses-specializing in internet marketing."</f>
        <v>Nicki Lee, LLC provides a marketing services for small to medium sized businesses-specializing in internet marketing.</v>
      </c>
      <c r="D6685" s="3" t="s">
        <v>9</v>
      </c>
      <c r="E6685" s="3" t="s">
        <v>19625</v>
      </c>
      <c r="F6685" s="3" t="str">
        <f>"3176278860"</f>
        <v>3176278860</v>
      </c>
      <c r="G6685" s="3">
        <v>541613</v>
      </c>
      <c r="H6685" s="3" t="s">
        <v>558</v>
      </c>
    </row>
    <row r="6686" spans="1:8" ht="77.25" x14ac:dyDescent="0.25">
      <c r="A6686" s="3" t="s">
        <v>19626</v>
      </c>
      <c r="B6686" s="3"/>
      <c r="C6686" s="3" t="str">
        <f>"Nickloy &amp; Higdon is a veteran-owned law firm in Noblesville, Indiana. The firm's practice primarily encompasses business law, civil litigation, contract law, employment law, legal ethics, real estate, family law and appeals."</f>
        <v>Nickloy &amp; Higdon is a veteran-owned law firm in Noblesville, Indiana. The firm's practice primarily encompasses business law, civil litigation, contract law, employment law, legal ethics, real estate, family law and appeals.</v>
      </c>
      <c r="D6686" s="3" t="s">
        <v>19627</v>
      </c>
      <c r="E6686" s="3" t="s">
        <v>19628</v>
      </c>
      <c r="F6686" s="3" t="str">
        <f>"317-773-3030"</f>
        <v>317-773-3030</v>
      </c>
      <c r="G6686" s="3">
        <v>541110</v>
      </c>
      <c r="H6686" s="3" t="s">
        <v>2978</v>
      </c>
    </row>
    <row r="6687" spans="1:8" ht="39" x14ac:dyDescent="0.25">
      <c r="A6687" s="3" t="s">
        <v>19629</v>
      </c>
      <c r="B6687" s="3"/>
      <c r="C6687" s="3" t="str">
        <f>"We provide support to general contractors by specializing in traffic control, site protection and material supply."</f>
        <v>We provide support to general contractors by specializing in traffic control, site protection and material supply.</v>
      </c>
      <c r="D6687" s="3" t="s">
        <v>9</v>
      </c>
      <c r="E6687" s="3" t="s">
        <v>19630</v>
      </c>
      <c r="F6687" s="3" t="str">
        <f>"480-278-4747"</f>
        <v>480-278-4747</v>
      </c>
      <c r="G6687" s="3">
        <v>238390</v>
      </c>
      <c r="H6687" s="3" t="s">
        <v>2109</v>
      </c>
    </row>
    <row r="6688" spans="1:8" ht="281.25" x14ac:dyDescent="0.25">
      <c r="A6688" s="3" t="s">
        <v>19631</v>
      </c>
      <c r="B6688" s="3"/>
      <c r="C6688" s="3" t="s">
        <v>19632</v>
      </c>
      <c r="D6688" s="3" t="s">
        <v>19633</v>
      </c>
      <c r="E6688" s="3" t="s">
        <v>19634</v>
      </c>
      <c r="F6688" s="3" t="str">
        <f>"317-331-4890"</f>
        <v>317-331-4890</v>
      </c>
      <c r="G6688" s="3">
        <v>541340</v>
      </c>
      <c r="H6688" s="3" t="s">
        <v>4040</v>
      </c>
    </row>
    <row r="6689" spans="1:8" ht="51.75" x14ac:dyDescent="0.25">
      <c r="A6689" s="3" t="s">
        <v>19635</v>
      </c>
      <c r="B6689" s="3"/>
      <c r="C6689" s="3" t="str">
        <f>"Nicon, Inc. is a powder coater coating various metals. We can handle parts up to approximately 20 foot in length and approximately 7 feet wide."</f>
        <v>Nicon, Inc. is a powder coater coating various metals. We can handle parts up to approximately 20 foot in length and approximately 7 feet wide.</v>
      </c>
      <c r="D6689" s="3" t="s">
        <v>9</v>
      </c>
      <c r="E6689" s="3" t="s">
        <v>19636</v>
      </c>
      <c r="F6689" s="3" t="str">
        <f>"765-742-2900"</f>
        <v>765-742-2900</v>
      </c>
      <c r="G6689" s="3">
        <v>33281</v>
      </c>
      <c r="H6689" s="3" t="s">
        <v>3477</v>
      </c>
    </row>
    <row r="6690" spans="1:8" ht="51.75" x14ac:dyDescent="0.25">
      <c r="A6690" s="3" t="s">
        <v>19637</v>
      </c>
      <c r="B6690" s="3"/>
      <c r="C6690" s="3" t="str">
        <f>"Great Family owned business since 1933 with location in Vincennes, Terra Haute, Robinson &amp; Evansville serving the building industry."</f>
        <v>Great Family owned business since 1933 with location in Vincennes, Terra Haute, Robinson &amp; Evansville serving the building industry.</v>
      </c>
      <c r="D6690" s="3" t="s">
        <v>19638</v>
      </c>
      <c r="E6690" s="3" t="s">
        <v>46</v>
      </c>
      <c r="F6690" s="3" t="str">
        <f>"1-800-234-1923"</f>
        <v>1-800-234-1923</v>
      </c>
      <c r="G6690" s="3">
        <v>444190</v>
      </c>
      <c r="H6690" s="3" t="s">
        <v>1188</v>
      </c>
    </row>
    <row r="6691" spans="1:8" ht="166.5" x14ac:dyDescent="0.25">
      <c r="A6691" s="3" t="s">
        <v>19639</v>
      </c>
      <c r="B6691" s="3"/>
      <c r="C6691" s="3" t="s">
        <v>19640</v>
      </c>
      <c r="D6691" s="3" t="s">
        <v>9</v>
      </c>
      <c r="E6691" s="3" t="s">
        <v>19641</v>
      </c>
      <c r="F6691" s="3" t="str">
        <f>"317-414-5192"</f>
        <v>317-414-5192</v>
      </c>
      <c r="G6691" s="3">
        <v>236116</v>
      </c>
      <c r="H6691" s="3" t="s">
        <v>438</v>
      </c>
    </row>
    <row r="6692" spans="1:8" ht="26.25" x14ac:dyDescent="0.25">
      <c r="A6692" s="3" t="s">
        <v>19642</v>
      </c>
      <c r="B6692" s="3"/>
      <c r="C6692" s="3" t="str">
        <f>"Repair, rebuild, and remanufacture automotive transmissions."</f>
        <v>Repair, rebuild, and remanufacture automotive transmissions.</v>
      </c>
      <c r="D6692" s="3" t="s">
        <v>19643</v>
      </c>
      <c r="E6692" s="3" t="s">
        <v>46</v>
      </c>
      <c r="F6692" s="3" t="str">
        <f>"219-938-8000"</f>
        <v>219-938-8000</v>
      </c>
      <c r="G6692" s="3">
        <v>441110</v>
      </c>
      <c r="H6692" s="3" t="s">
        <v>2588</v>
      </c>
    </row>
    <row r="6693" spans="1:8" ht="77.25" x14ac:dyDescent="0.25">
      <c r="A6693" s="3" t="s">
        <v>19644</v>
      </c>
      <c r="B6693" s="3"/>
      <c r="C6693" s="3" t="str">
        <f>"Nimet Industries is a Precision Metal Finisher specializing in Hard Anodizing and Electroless Nickel Plating. We offer special coatings to reduce friction, prevent wear, and improve corrosion protection. ISO 9000 certified."</f>
        <v>Nimet Industries is a Precision Metal Finisher specializing in Hard Anodizing and Electroless Nickel Plating. We offer special coatings to reduce friction, prevent wear, and improve corrosion protection. ISO 9000 certified.</v>
      </c>
      <c r="D6693" s="3" t="s">
        <v>19645</v>
      </c>
      <c r="E6693" s="3" t="s">
        <v>19646</v>
      </c>
      <c r="F6693" s="3" t="str">
        <f>"574-287-7239"</f>
        <v>574-287-7239</v>
      </c>
      <c r="G6693" s="3">
        <v>31</v>
      </c>
      <c r="H6693" s="3" t="s">
        <v>999</v>
      </c>
    </row>
    <row r="6694" spans="1:8" ht="128.25" x14ac:dyDescent="0.25">
      <c r="A6694" s="3" t="s">
        <v>19647</v>
      </c>
      <c r="B6694" s="3"/>
      <c r="C6694" s="3" t="s">
        <v>19648</v>
      </c>
      <c r="D6694" s="3" t="s">
        <v>19649</v>
      </c>
      <c r="E6694" s="3" t="s">
        <v>19650</v>
      </c>
      <c r="F6694" s="3" t="str">
        <f>"317-849-0466"</f>
        <v>317-849-0466</v>
      </c>
      <c r="G6694" s="3">
        <v>56172</v>
      </c>
      <c r="H6694" s="3" t="s">
        <v>222</v>
      </c>
    </row>
    <row r="6695" spans="1:8" ht="64.5" x14ac:dyDescent="0.25">
      <c r="A6695" s="3" t="s">
        <v>19651</v>
      </c>
      <c r="B6695" s="3"/>
      <c r="C6695" s="3" t="str">
        <f>"Provide business skills training, development and maintenance to business, churches and organizations. This includes customized training workshops and monitoring of performance results."</f>
        <v>Provide business skills training, development and maintenance to business, churches and organizations. This includes customized training workshops and monitoring of performance results.</v>
      </c>
      <c r="D6695" s="3" t="s">
        <v>9</v>
      </c>
      <c r="E6695" s="3" t="s">
        <v>19652</v>
      </c>
      <c r="F6695" s="3" t="str">
        <f>"(317)248-8859"</f>
        <v>(317)248-8859</v>
      </c>
      <c r="G6695" s="3">
        <v>54161</v>
      </c>
      <c r="H6695" s="3" t="s">
        <v>1221</v>
      </c>
    </row>
    <row r="6696" spans="1:8" ht="26.25" x14ac:dyDescent="0.25">
      <c r="A6696" s="3" t="s">
        <v>19653</v>
      </c>
      <c r="B6696" s="3"/>
      <c r="C6696" s="3" t="str">
        <f>"new and used vehicle sales, service and body shop"</f>
        <v>new and used vehicle sales, service and body shop</v>
      </c>
      <c r="D6696" s="3" t="s">
        <v>19654</v>
      </c>
      <c r="E6696" s="3" t="s">
        <v>19655</v>
      </c>
      <c r="F6696" s="3" t="str">
        <f>"812-874-2216"</f>
        <v>812-874-2216</v>
      </c>
      <c r="G6696" s="3">
        <v>44111</v>
      </c>
      <c r="H6696" s="3" t="s">
        <v>2588</v>
      </c>
    </row>
    <row r="6697" spans="1:8" ht="39" x14ac:dyDescent="0.25">
      <c r="A6697" s="3" t="s">
        <v>19656</v>
      </c>
      <c r="B6697" s="3"/>
      <c r="C6697" s="3" t="str">
        <f>"Service company specializing in the rental of portable toilets, sinks, holding tanks, and liquid waste pumping"</f>
        <v>Service company specializing in the rental of portable toilets, sinks, holding tanks, and liquid waste pumping</v>
      </c>
      <c r="D6697" s="3" t="s">
        <v>19657</v>
      </c>
      <c r="E6697" s="3" t="s">
        <v>19658</v>
      </c>
      <c r="F6697" s="3" t="str">
        <f>"812-897-4381"</f>
        <v>812-897-4381</v>
      </c>
      <c r="G6697" s="3">
        <v>2213</v>
      </c>
      <c r="H6697" s="3" t="s">
        <v>2486</v>
      </c>
    </row>
    <row r="6698" spans="1:8" ht="90" x14ac:dyDescent="0.25">
      <c r="A6698" s="3" t="s">
        <v>19659</v>
      </c>
      <c r="B6698" s="3"/>
      <c r="C6698" s="3" t="s">
        <v>19660</v>
      </c>
      <c r="D6698" s="3" t="s">
        <v>19661</v>
      </c>
      <c r="E6698" s="3" t="s">
        <v>19662</v>
      </c>
      <c r="F6698" s="2"/>
      <c r="G6698" s="3">
        <v>541511</v>
      </c>
      <c r="H6698" s="3" t="s">
        <v>122</v>
      </c>
    </row>
    <row r="6699" spans="1:8" ht="39" x14ac:dyDescent="0.25">
      <c r="A6699" s="3" t="s">
        <v>19663</v>
      </c>
      <c r="B6699" s="3"/>
      <c r="C6699" s="3" t="str">
        <f>"We supply medical equipment, accessories &amp; supplies, personal care items and promotional items."</f>
        <v>We supply medical equipment, accessories &amp; supplies, personal care items and promotional items.</v>
      </c>
      <c r="D6699" s="3" t="s">
        <v>9</v>
      </c>
      <c r="E6699" s="3" t="s">
        <v>19664</v>
      </c>
      <c r="F6699" s="3" t="str">
        <f>"2196880704"</f>
        <v>2196880704</v>
      </c>
      <c r="G6699" s="3">
        <v>446199</v>
      </c>
      <c r="H6699" s="3" t="s">
        <v>1760</v>
      </c>
    </row>
    <row r="6700" spans="1:8" ht="77.25" x14ac:dyDescent="0.25">
      <c r="A6700" s="3" t="s">
        <v>19665</v>
      </c>
      <c r="B6700" s="3"/>
      <c r="C6700" s="3" t="str">
        <f>"NoBi Corporation sells, installs and services various types of Secuity Equipment. This includes Burglary, Fire, Closed Circuit Television, Door Annunciation, Card Access in both Residential and Commercial Applications."</f>
        <v>NoBi Corporation sells, installs and services various types of Secuity Equipment. This includes Burglary, Fire, Closed Circuit Television, Door Annunciation, Card Access in both Residential and Commercial Applications.</v>
      </c>
      <c r="D6700" s="3" t="s">
        <v>19666</v>
      </c>
      <c r="E6700" s="3" t="s">
        <v>19667</v>
      </c>
      <c r="F6700" s="3" t="str">
        <f>"5742955765"</f>
        <v>5742955765</v>
      </c>
      <c r="G6700" s="3">
        <v>2359</v>
      </c>
      <c r="H6700" s="3" t="s">
        <v>631</v>
      </c>
    </row>
    <row r="6701" spans="1:8" ht="102.75" x14ac:dyDescent="0.25">
      <c r="A6701" s="3" t="s">
        <v>19668</v>
      </c>
      <c r="B6701" s="3"/>
      <c r="C6701" s="3" t="s">
        <v>19669</v>
      </c>
      <c r="D6701" s="3" t="s">
        <v>19670</v>
      </c>
      <c r="E6701" s="3" t="s">
        <v>19671</v>
      </c>
      <c r="F6701" s="3" t="str">
        <f>"260-347-9150"</f>
        <v>260-347-9150</v>
      </c>
      <c r="G6701" s="3">
        <v>56</v>
      </c>
      <c r="H6701" s="3" t="s">
        <v>9355</v>
      </c>
    </row>
    <row r="6702" spans="1:8" ht="39" x14ac:dyDescent="0.25">
      <c r="A6702" s="3" t="s">
        <v>19672</v>
      </c>
      <c r="B6702" s="3"/>
      <c r="C6702" s="3" t="str">
        <f>"New and used woodworking equipment. Sales, repair &amp; maintenance."</f>
        <v>New and used woodworking equipment. Sales, repair &amp; maintenance.</v>
      </c>
      <c r="D6702" s="3" t="s">
        <v>19673</v>
      </c>
      <c r="E6702" s="3" t="s">
        <v>19674</v>
      </c>
      <c r="F6702" s="3" t="str">
        <f>"260-422-8454"</f>
        <v>260-422-8454</v>
      </c>
      <c r="G6702" s="3">
        <v>81131</v>
      </c>
      <c r="H6702" s="3" t="s">
        <v>1895</v>
      </c>
    </row>
    <row r="6703" spans="1:8" ht="77.25" x14ac:dyDescent="0.25">
      <c r="A6703" s="3" t="s">
        <v>19675</v>
      </c>
      <c r="B6703" s="3"/>
      <c r="C6703" s="3" t="str">
        <f>"At NobleVision we use our experience, client-centered processes, and overall business knowledge to assist companies through the full life cycle of talent management, including attracting, developing, and retaining talent."</f>
        <v>At NobleVision we use our experience, client-centered processes, and overall business knowledge to assist companies through the full life cycle of talent management, including attracting, developing, and retaining talent.</v>
      </c>
      <c r="D6703" s="3" t="s">
        <v>19676</v>
      </c>
      <c r="E6703" s="3" t="s">
        <v>19677</v>
      </c>
      <c r="F6703" s="3" t="str">
        <f>"317-439-3428"</f>
        <v>317-439-3428</v>
      </c>
      <c r="G6703" s="3">
        <v>54161</v>
      </c>
      <c r="H6703" s="3" t="s">
        <v>1221</v>
      </c>
    </row>
    <row r="6704" spans="1:8" ht="204.75" x14ac:dyDescent="0.25">
      <c r="A6704" s="3" t="s">
        <v>19678</v>
      </c>
      <c r="B6704" s="3"/>
      <c r="C6704" s="3" t="s">
        <v>19679</v>
      </c>
      <c r="D6704" s="3" t="s">
        <v>19680</v>
      </c>
      <c r="E6704" s="3" t="s">
        <v>19681</v>
      </c>
      <c r="F6704" s="3" t="str">
        <f>"317.919.6474"</f>
        <v>317.919.6474</v>
      </c>
      <c r="G6704" s="3">
        <v>561612</v>
      </c>
      <c r="H6704" s="3" t="s">
        <v>362</v>
      </c>
    </row>
    <row r="6705" spans="1:8" ht="26.25" x14ac:dyDescent="0.25">
      <c r="A6705" s="3" t="s">
        <v>19682</v>
      </c>
      <c r="B6705" s="3"/>
      <c r="C6705" s="3" t="str">
        <f>"Excavating, hauling, septic work, storm/sanitary sewers."</f>
        <v>Excavating, hauling, septic work, storm/sanitary sewers.</v>
      </c>
      <c r="D6705" s="3" t="s">
        <v>9</v>
      </c>
      <c r="E6705" s="3" t="s">
        <v>19683</v>
      </c>
      <c r="F6705" s="3" t="str">
        <f>"7654523532"</f>
        <v>7654523532</v>
      </c>
      <c r="G6705" s="3">
        <v>238910</v>
      </c>
      <c r="H6705" s="3" t="s">
        <v>886</v>
      </c>
    </row>
    <row r="6706" spans="1:8" ht="64.5" x14ac:dyDescent="0.25">
      <c r="A6706" s="3" t="s">
        <v>19684</v>
      </c>
      <c r="B6706" s="3"/>
      <c r="C6706" s="3" t="str">
        <f>"Administrative management, general management, special event planning, project management consulting firm specializing in nonprofit entities - government and 501-c organizations"</f>
        <v>Administrative management, general management, special event planning, project management consulting firm specializing in nonprofit entities - government and 501-c organizations</v>
      </c>
      <c r="D6706" s="3" t="s">
        <v>19685</v>
      </c>
      <c r="E6706" s="3" t="s">
        <v>19686</v>
      </c>
      <c r="F6706" s="3" t="str">
        <f>"317-464-5156"</f>
        <v>317-464-5156</v>
      </c>
      <c r="G6706" s="3">
        <v>541611</v>
      </c>
      <c r="H6706" s="3" t="s">
        <v>278</v>
      </c>
    </row>
    <row r="6707" spans="1:8" ht="26.25" x14ac:dyDescent="0.25">
      <c r="A6707" s="3" t="s">
        <v>19687</v>
      </c>
      <c r="B6707" s="3"/>
      <c r="C6707" s="3" t="str">
        <f>"Selling Promotional Branded Products as an Independent Sales Rep. for Geiger."</f>
        <v>Selling Promotional Branded Products as an Independent Sales Rep. for Geiger.</v>
      </c>
      <c r="D6707" s="3" t="s">
        <v>9</v>
      </c>
      <c r="E6707" s="3" t="s">
        <v>19688</v>
      </c>
      <c r="F6707" s="3" t="str">
        <f>"765- 385-2435"</f>
        <v>765- 385-2435</v>
      </c>
      <c r="G6707" s="3">
        <v>541890</v>
      </c>
      <c r="H6707" s="3" t="s">
        <v>401</v>
      </c>
    </row>
    <row r="6708" spans="1:8" ht="204.75" x14ac:dyDescent="0.25">
      <c r="A6708" s="3" t="s">
        <v>19689</v>
      </c>
      <c r="B6708" s="3"/>
      <c r="C6708" s="3" t="s">
        <v>19690</v>
      </c>
      <c r="D6708" s="3" t="s">
        <v>19691</v>
      </c>
      <c r="E6708" s="3" t="s">
        <v>19692</v>
      </c>
      <c r="F6708" s="3" t="str">
        <f>"800-599-5000 EXT. 6343"</f>
        <v>800-599-5000 EXT. 6343</v>
      </c>
      <c r="G6708" s="3">
        <v>517110</v>
      </c>
      <c r="H6708" s="3" t="s">
        <v>8574</v>
      </c>
    </row>
    <row r="6709" spans="1:8" ht="39" x14ac:dyDescent="0.25">
      <c r="A6709" s="3" t="s">
        <v>19693</v>
      </c>
      <c r="B6709" s="3"/>
      <c r="C6709" s="3" t="str">
        <f>"Provides American Sign Language Interpreting services as well as Deaf Culture training."</f>
        <v>Provides American Sign Language Interpreting services as well as Deaf Culture training.</v>
      </c>
      <c r="D6709" s="3" t="s">
        <v>9</v>
      </c>
      <c r="E6709" s="3" t="s">
        <v>19694</v>
      </c>
      <c r="F6709" s="2"/>
      <c r="G6709" s="3">
        <v>624310</v>
      </c>
      <c r="H6709" s="3" t="s">
        <v>488</v>
      </c>
    </row>
    <row r="6710" spans="1:8" ht="77.25" x14ac:dyDescent="0.25">
      <c r="A6710" s="3" t="s">
        <v>19695</v>
      </c>
      <c r="B6710" s="3"/>
      <c r="C6710" s="3" t="str">
        <f>"Norman Noe Co Inc is a third-party inspection or evaluation and consulting firm specdializing in elevated and ground storage potable water tanks. We offer our clients professional third-party, unbiased inspections and consulting services."</f>
        <v>Norman Noe Co Inc is a third-party inspection or evaluation and consulting firm specdializing in elevated and ground storage potable water tanks. We offer our clients professional third-party, unbiased inspections and consulting services.</v>
      </c>
      <c r="D6710" s="3" t="s">
        <v>19696</v>
      </c>
      <c r="E6710" s="3" t="s">
        <v>19697</v>
      </c>
      <c r="F6710" s="3" t="str">
        <f>"317-933-2274"</f>
        <v>317-933-2274</v>
      </c>
      <c r="G6710" s="3">
        <v>928120</v>
      </c>
      <c r="H6710" s="3" t="s">
        <v>19698</v>
      </c>
    </row>
    <row r="6711" spans="1:8" ht="26.25" x14ac:dyDescent="0.25">
      <c r="A6711" s="3" t="s">
        <v>19699</v>
      </c>
      <c r="B6711" s="3"/>
      <c r="C6711" s="3" t="str">
        <f>"Provide painting, wall covering, epoxy floor coatings"</f>
        <v>Provide painting, wall covering, epoxy floor coatings</v>
      </c>
      <c r="D6711" s="3" t="s">
        <v>9</v>
      </c>
      <c r="E6711" s="3" t="s">
        <v>19700</v>
      </c>
      <c r="F6711" s="3" t="str">
        <f>"812.421.1674"</f>
        <v>812.421.1674</v>
      </c>
      <c r="G6711" s="3">
        <v>2352</v>
      </c>
      <c r="H6711" s="3" t="s">
        <v>462</v>
      </c>
    </row>
    <row r="6712" spans="1:8" ht="102.75" x14ac:dyDescent="0.25">
      <c r="A6712" s="3" t="s">
        <v>19701</v>
      </c>
      <c r="B6712" s="3"/>
      <c r="C6712" s="3" t="s">
        <v>19702</v>
      </c>
      <c r="D6712" s="3" t="s">
        <v>19703</v>
      </c>
      <c r="E6712" s="3" t="s">
        <v>19704</v>
      </c>
      <c r="F6712" s="3" t="str">
        <f>"217-0864-9011"</f>
        <v>217-0864-9011</v>
      </c>
      <c r="G6712" s="3">
        <v>2359</v>
      </c>
      <c r="H6712" s="3" t="s">
        <v>631</v>
      </c>
    </row>
    <row r="6713" spans="1:8" ht="141" x14ac:dyDescent="0.25">
      <c r="A6713" s="3" t="s">
        <v>19705</v>
      </c>
      <c r="B6713" s="3"/>
      <c r="C6713" s="3" t="s">
        <v>19706</v>
      </c>
      <c r="D6713" s="3" t="s">
        <v>19707</v>
      </c>
      <c r="E6713" s="3" t="s">
        <v>19708</v>
      </c>
      <c r="F6713" s="3" t="str">
        <f>"(888) 852-6667"</f>
        <v>(888) 852-6667</v>
      </c>
      <c r="G6713" s="3">
        <v>541690</v>
      </c>
      <c r="H6713" s="3" t="s">
        <v>652</v>
      </c>
    </row>
    <row r="6714" spans="1:8" ht="26.25" x14ac:dyDescent="0.25">
      <c r="A6714" s="3" t="s">
        <v>19709</v>
      </c>
      <c r="B6714" s="3"/>
      <c r="C6714" s="3" t="str">
        <f>" "</f>
        <v xml:space="preserve"> </v>
      </c>
      <c r="D6714" s="3" t="s">
        <v>19710</v>
      </c>
      <c r="E6714" s="3" t="s">
        <v>19711</v>
      </c>
      <c r="F6714" s="3" t="str">
        <f>"9088928683"</f>
        <v>9088928683</v>
      </c>
      <c r="G6714" s="3">
        <v>443120</v>
      </c>
      <c r="H6714" s="3" t="s">
        <v>609</v>
      </c>
    </row>
    <row r="6715" spans="1:8" ht="26.25" x14ac:dyDescent="0.25">
      <c r="A6715" s="3" t="s">
        <v>19712</v>
      </c>
      <c r="B6715" s="3"/>
      <c r="C6715" s="3" t="str">
        <f>"Progressive school district with early college high school certification."</f>
        <v>Progressive school district with early college high school certification.</v>
      </c>
      <c r="D6715" s="3" t="s">
        <v>19713</v>
      </c>
      <c r="E6715" s="3" t="s">
        <v>46</v>
      </c>
      <c r="F6715" s="3" t="str">
        <f>"260-724-7146"</f>
        <v>260-724-7146</v>
      </c>
      <c r="G6715" s="3">
        <v>611110</v>
      </c>
      <c r="H6715" s="3" t="s">
        <v>3876</v>
      </c>
    </row>
    <row r="6716" spans="1:8" ht="268.5" x14ac:dyDescent="0.25">
      <c r="A6716" s="3" t="s">
        <v>19714</v>
      </c>
      <c r="B6716" s="3"/>
      <c r="C6716" s="3" t="s">
        <v>19715</v>
      </c>
      <c r="D6716" s="3" t="s">
        <v>19716</v>
      </c>
      <c r="E6716" s="3" t="s">
        <v>19717</v>
      </c>
      <c r="F6716" s="3" t="str">
        <f>"800-772-2040"</f>
        <v>800-772-2040</v>
      </c>
      <c r="G6716" s="3">
        <v>339999</v>
      </c>
      <c r="H6716" s="3" t="s">
        <v>2044</v>
      </c>
    </row>
    <row r="6717" spans="1:8" ht="39" x14ac:dyDescent="0.25">
      <c r="A6717" s="3" t="s">
        <v>19718</v>
      </c>
      <c r="B6717" s="3"/>
      <c r="C6717" s="3" t="str">
        <f>"Crushed Stone, Construction Aggregate, Ag lime, High Calcium Limestone, Scrubber Stone."</f>
        <v>Crushed Stone, Construction Aggregate, Ag lime, High Calcium Limestone, Scrubber Stone.</v>
      </c>
      <c r="D6717" s="3" t="s">
        <v>19719</v>
      </c>
      <c r="E6717" s="3" t="s">
        <v>19720</v>
      </c>
      <c r="F6717" s="3" t="str">
        <f>"765-653-4100"</f>
        <v>765-653-4100</v>
      </c>
      <c r="G6717" s="3">
        <v>21231</v>
      </c>
      <c r="H6717" s="3" t="s">
        <v>19721</v>
      </c>
    </row>
    <row r="6718" spans="1:8" ht="39" x14ac:dyDescent="0.25">
      <c r="A6718" s="3" t="s">
        <v>19722</v>
      </c>
      <c r="B6718" s="3"/>
      <c r="C6718" s="3" t="str">
        <f>"Private, not-for-profit corporation providing assistance to low-income persons in La Porte, Starke, and Pulaski counties."</f>
        <v>Private, not-for-profit corporation providing assistance to low-income persons in La Porte, Starke, and Pulaski counties.</v>
      </c>
      <c r="D6718" s="3" t="s">
        <v>19723</v>
      </c>
      <c r="E6718" s="3" t="s">
        <v>19724</v>
      </c>
      <c r="F6718" s="3" t="str">
        <f>"219-872-0351"</f>
        <v>219-872-0351</v>
      </c>
      <c r="G6718" s="3">
        <v>6242</v>
      </c>
      <c r="H6718" s="3" t="s">
        <v>1946</v>
      </c>
    </row>
    <row r="6719" spans="1:8" ht="26.25" x14ac:dyDescent="0.25">
      <c r="A6719" s="3" t="s">
        <v>19725</v>
      </c>
      <c r="B6719" s="3"/>
      <c r="C6719" s="3" t="str">
        <f>"outdoor power sales and service (mowers, compact tractor sales, parts, service)"</f>
        <v>outdoor power sales and service (mowers, compact tractor sales, parts, service)</v>
      </c>
      <c r="D6719" s="3" t="s">
        <v>19726</v>
      </c>
      <c r="E6719" s="3" t="s">
        <v>19727</v>
      </c>
      <c r="F6719" s="3" t="str">
        <f>"765-457-1633"</f>
        <v>765-457-1633</v>
      </c>
      <c r="G6719" s="3">
        <v>444210</v>
      </c>
      <c r="H6719" s="3" t="s">
        <v>392</v>
      </c>
    </row>
    <row r="6720" spans="1:8" ht="51.75" x14ac:dyDescent="0.25">
      <c r="A6720" s="3" t="s">
        <v>19728</v>
      </c>
      <c r="B6720" s="3"/>
      <c r="C6720" s="3" t="str">
        <f>"Outdoor power equipment dealer and dealer of Electric Low Speed Vehicles and UTV. Sell Polaris, GEM, Stihl, Echo, Toro, Gravely, Husqvarna, Simplicity."</f>
        <v>Outdoor power equipment dealer and dealer of Electric Low Speed Vehicles and UTV. Sell Polaris, GEM, Stihl, Echo, Toro, Gravely, Husqvarna, Simplicity.</v>
      </c>
      <c r="D6720" s="3" t="s">
        <v>19729</v>
      </c>
      <c r="E6720" s="3" t="s">
        <v>19730</v>
      </c>
      <c r="F6720" s="3" t="str">
        <f>"574-295-5555"</f>
        <v>574-295-5555</v>
      </c>
      <c r="G6720" s="3">
        <v>423820</v>
      </c>
      <c r="H6720" s="3" t="s">
        <v>2902</v>
      </c>
    </row>
    <row r="6721" spans="1:8" ht="26.25" x14ac:dyDescent="0.25">
      <c r="A6721" s="3" t="s">
        <v>19731</v>
      </c>
      <c r="B6721" s="3"/>
      <c r="C6721" s="3" t="str">
        <f>" "</f>
        <v xml:space="preserve"> </v>
      </c>
      <c r="D6721" s="3" t="s">
        <v>19732</v>
      </c>
      <c r="E6721" s="3" t="s">
        <v>19733</v>
      </c>
      <c r="F6721" s="3" t="str">
        <f>"574-255-0577"</f>
        <v>574-255-0577</v>
      </c>
      <c r="G6721" s="3">
        <v>238220</v>
      </c>
      <c r="H6721" s="3" t="s">
        <v>348</v>
      </c>
    </row>
    <row r="6722" spans="1:8" ht="39" x14ac:dyDescent="0.25">
      <c r="A6722" s="3" t="s">
        <v>19734</v>
      </c>
      <c r="B6722" s="3"/>
      <c r="C6722" s="3" t="str">
        <f>"North Coast Lighting, LLC supplies lamps, ballasts and light fixtures. Commercial and residential."</f>
        <v>North Coast Lighting, LLC supplies lamps, ballasts and light fixtures. Commercial and residential.</v>
      </c>
      <c r="D6722" s="3" t="s">
        <v>9</v>
      </c>
      <c r="E6722" s="3" t="s">
        <v>19735</v>
      </c>
      <c r="F6722" s="3" t="str">
        <f>"219-947-4789"</f>
        <v>219-947-4789</v>
      </c>
      <c r="G6722" s="3">
        <v>423220</v>
      </c>
      <c r="H6722" s="3" t="s">
        <v>3550</v>
      </c>
    </row>
    <row r="6723" spans="1:8" ht="77.25" x14ac:dyDescent="0.25">
      <c r="A6723" s="3" t="s">
        <v>19736</v>
      </c>
      <c r="B6723" s="3"/>
      <c r="C6723" s="3" t="str">
        <f>"North Main Systems is an IT consulting company primarily serving southwest Indiana. Our services include installing and maintaining data networks, telecommunications systems and video security systems for businesses."</f>
        <v>North Main Systems is an IT consulting company primarily serving southwest Indiana. Our services include installing and maintaining data networks, telecommunications systems and video security systems for businesses.</v>
      </c>
      <c r="D6723" s="3" t="s">
        <v>19737</v>
      </c>
      <c r="E6723" s="3" t="s">
        <v>19738</v>
      </c>
      <c r="F6723" s="3" t="str">
        <f>"812-615-0068"</f>
        <v>812-615-0068</v>
      </c>
      <c r="G6723" s="3">
        <v>541513</v>
      </c>
      <c r="H6723" s="3" t="s">
        <v>2401</v>
      </c>
    </row>
    <row r="6724" spans="1:8" ht="128.25" x14ac:dyDescent="0.25">
      <c r="A6724" s="3" t="s">
        <v>19739</v>
      </c>
      <c r="B6724" s="3"/>
      <c r="C6724" s="3" t="s">
        <v>19740</v>
      </c>
      <c r="D6724" s="3" t="s">
        <v>9</v>
      </c>
      <c r="E6724" s="3" t="s">
        <v>19741</v>
      </c>
      <c r="F6724" s="3" t="str">
        <f>"317-546-7980"</f>
        <v>317-546-7980</v>
      </c>
      <c r="G6724" s="3">
        <v>2353</v>
      </c>
      <c r="H6724" s="3" t="s">
        <v>306</v>
      </c>
    </row>
    <row r="6725" spans="1:8" ht="39" x14ac:dyDescent="0.25">
      <c r="A6725" s="3" t="s">
        <v>19742</v>
      </c>
      <c r="B6725" s="3"/>
      <c r="C6725" s="3" t="str">
        <f>"We are a family owned business that specializes in heating, cooling, electrical and plumbing."</f>
        <v>We are a family owned business that specializes in heating, cooling, electrical and plumbing.</v>
      </c>
      <c r="D6725" s="3" t="s">
        <v>9</v>
      </c>
      <c r="E6725" s="3" t="s">
        <v>46</v>
      </c>
      <c r="F6725" s="3" t="str">
        <f>"765-569-3924"</f>
        <v>765-569-3924</v>
      </c>
      <c r="G6725" s="3">
        <v>2353</v>
      </c>
      <c r="H6725" s="3" t="s">
        <v>306</v>
      </c>
    </row>
    <row r="6726" spans="1:8" ht="51.75" x14ac:dyDescent="0.25">
      <c r="A6726" s="3" t="s">
        <v>19743</v>
      </c>
      <c r="B6726" s="3"/>
      <c r="C6726" s="3" t="str">
        <f>"Company does contract cleaning either at night or during day time hours. Stripping, waxing, tile floors, clean carpet, furniture, etc. Has been in business for 10 years."</f>
        <v>Company does contract cleaning either at night or during day time hours. Stripping, waxing, tile floors, clean carpet, furniture, etc. Has been in business for 10 years.</v>
      </c>
      <c r="D6726" s="3" t="s">
        <v>9</v>
      </c>
      <c r="E6726" s="3" t="s">
        <v>46</v>
      </c>
      <c r="F6726" s="3" t="str">
        <f>"260-238-4631"</f>
        <v>260-238-4631</v>
      </c>
      <c r="G6726" s="3">
        <v>56172</v>
      </c>
      <c r="H6726" s="3" t="s">
        <v>222</v>
      </c>
    </row>
    <row r="6727" spans="1:8" ht="128.25" x14ac:dyDescent="0.25">
      <c r="A6727" s="3" t="s">
        <v>19744</v>
      </c>
      <c r="B6727" s="3"/>
      <c r="C6727" s="3" t="s">
        <v>19745</v>
      </c>
      <c r="D6727" s="3" t="s">
        <v>19746</v>
      </c>
      <c r="E6727" s="3" t="s">
        <v>46</v>
      </c>
      <c r="F6727" s="3" t="str">
        <f>"260-347-2453"</f>
        <v>260-347-2453</v>
      </c>
      <c r="G6727" s="3">
        <v>621420</v>
      </c>
      <c r="H6727" s="3" t="s">
        <v>990</v>
      </c>
    </row>
    <row r="6728" spans="1:8" ht="128.25" x14ac:dyDescent="0.25">
      <c r="A6728" s="3" t="s">
        <v>19747</v>
      </c>
      <c r="B6728" s="3"/>
      <c r="C6728" s="3" t="s">
        <v>19748</v>
      </c>
      <c r="D6728" s="3" t="s">
        <v>19749</v>
      </c>
      <c r="E6728" s="3" t="s">
        <v>19750</v>
      </c>
      <c r="F6728" s="3" t="str">
        <f>"260-637-2739"</f>
        <v>260-637-2739</v>
      </c>
      <c r="G6728" s="3">
        <v>334111</v>
      </c>
      <c r="H6728" s="3" t="s">
        <v>7007</v>
      </c>
    </row>
    <row r="6729" spans="1:8" ht="26.25" x14ac:dyDescent="0.25">
      <c r="A6729" s="3" t="s">
        <v>19751</v>
      </c>
      <c r="B6729" s="3"/>
      <c r="C6729" s="3" t="str">
        <f>"Sales and Service of heavy equipment"</f>
        <v>Sales and Service of heavy equipment</v>
      </c>
      <c r="D6729" s="3" t="s">
        <v>19752</v>
      </c>
      <c r="E6729" s="3" t="s">
        <v>19753</v>
      </c>
      <c r="F6729" s="3" t="str">
        <f>"574-936-9683"</f>
        <v>574-936-9683</v>
      </c>
      <c r="G6729" s="3">
        <v>2373</v>
      </c>
      <c r="H6729" s="3" t="s">
        <v>768</v>
      </c>
    </row>
    <row r="6730" spans="1:8" ht="39" x14ac:dyDescent="0.25">
      <c r="A6730" s="3" t="s">
        <v>19754</v>
      </c>
      <c r="B6730" s="3"/>
      <c r="C6730" s="3" t="str">
        <f>"Wholesale and retail of industrial gases, welding /cutting equipment/ supplies, safety, and industrial tool supplies."</f>
        <v>Wholesale and retail of industrial gases, welding /cutting equipment/ supplies, safety, and industrial tool supplies.</v>
      </c>
      <c r="D6730" s="3" t="s">
        <v>19755</v>
      </c>
      <c r="E6730" s="3" t="s">
        <v>19756</v>
      </c>
      <c r="F6730" s="3" t="str">
        <f>"574-594-2551"</f>
        <v>574-594-2551</v>
      </c>
      <c r="G6730" s="3">
        <v>325120</v>
      </c>
      <c r="H6730" s="3" t="s">
        <v>1670</v>
      </c>
    </row>
    <row r="6731" spans="1:8" ht="39" x14ac:dyDescent="0.25">
      <c r="A6731" s="3" t="s">
        <v>19757</v>
      </c>
      <c r="B6731" s="3"/>
      <c r="C6731" s="3" t="str">
        <f>"We stock and sell all types of batteries. From small hearing aid batteries to the large truck batteries."</f>
        <v>We stock and sell all types of batteries. From small hearing aid batteries to the large truck batteries.</v>
      </c>
      <c r="D6731" s="3" t="s">
        <v>19758</v>
      </c>
      <c r="E6731" s="3" t="s">
        <v>19759</v>
      </c>
      <c r="F6731" s="3" t="str">
        <f>"219-879-7394"</f>
        <v>219-879-7394</v>
      </c>
      <c r="G6731" s="3">
        <v>45399</v>
      </c>
      <c r="H6731" s="3" t="s">
        <v>3215</v>
      </c>
    </row>
    <row r="6732" spans="1:8" ht="26.25" x14ac:dyDescent="0.25">
      <c r="A6732" s="3" t="s">
        <v>19760</v>
      </c>
      <c r="B6732" s="3"/>
      <c r="C6732" s="3" t="str">
        <f>" "</f>
        <v xml:space="preserve"> </v>
      </c>
      <c r="D6732" s="3" t="s">
        <v>9</v>
      </c>
      <c r="E6732" s="3" t="s">
        <v>46</v>
      </c>
      <c r="F6732" s="3" t="str">
        <f>"574-256-1811"</f>
        <v>574-256-1811</v>
      </c>
      <c r="G6732" s="3">
        <v>237310</v>
      </c>
      <c r="H6732" s="3" t="s">
        <v>768</v>
      </c>
    </row>
    <row r="6733" spans="1:8" ht="153.75" x14ac:dyDescent="0.25">
      <c r="A6733" s="3" t="s">
        <v>19761</v>
      </c>
      <c r="B6733" s="3"/>
      <c r="C6733" s="3" t="s">
        <v>19762</v>
      </c>
      <c r="D6733" s="3" t="s">
        <v>9</v>
      </c>
      <c r="E6733" s="3" t="s">
        <v>19763</v>
      </c>
      <c r="F6733" s="3" t="str">
        <f>"(574) 893-4621"</f>
        <v>(574) 893-4621</v>
      </c>
      <c r="G6733" s="3">
        <v>811121</v>
      </c>
      <c r="H6733" s="3" t="s">
        <v>1432</v>
      </c>
    </row>
    <row r="6734" spans="1:8" ht="90" x14ac:dyDescent="0.25">
      <c r="A6734" s="3" t="s">
        <v>19764</v>
      </c>
      <c r="B6734" s="3"/>
      <c r="C6734" s="3" t="s">
        <v>19765</v>
      </c>
      <c r="D6734" s="3" t="s">
        <v>9</v>
      </c>
      <c r="E6734" s="3" t="s">
        <v>19766</v>
      </c>
      <c r="F6734" s="3" t="str">
        <f>"219-963-1640"</f>
        <v>219-963-1640</v>
      </c>
      <c r="G6734" s="3">
        <v>235</v>
      </c>
      <c r="H6734" s="3" t="s">
        <v>259</v>
      </c>
    </row>
    <row r="6735" spans="1:8" ht="26.25" x14ac:dyDescent="0.25">
      <c r="A6735" s="3" t="s">
        <v>19767</v>
      </c>
      <c r="B6735" s="3"/>
      <c r="C6735" s="2"/>
      <c r="D6735" s="3" t="s">
        <v>9</v>
      </c>
      <c r="E6735" s="3" t="s">
        <v>46</v>
      </c>
      <c r="F6735" s="3" t="str">
        <f>"800-382-8868"</f>
        <v>800-382-8868</v>
      </c>
      <c r="G6735" s="3">
        <v>423840</v>
      </c>
      <c r="H6735" s="3" t="s">
        <v>553</v>
      </c>
    </row>
    <row r="6736" spans="1:8" ht="51.75" x14ac:dyDescent="0.25">
      <c r="A6736" s="3" t="s">
        <v>19768</v>
      </c>
      <c r="B6736" s="3"/>
      <c r="C6736" s="3" t="str">
        <f>"Assist those who are unemployed with Unemployment Insurance filings and to help those who are unemployed find jobs and provide them with training."</f>
        <v>Assist those who are unemployed with Unemployment Insurance filings and to help those who are unemployed find jobs and provide them with training.</v>
      </c>
      <c r="D6736" s="3" t="s">
        <v>19769</v>
      </c>
      <c r="E6736" s="3" t="s">
        <v>19770</v>
      </c>
      <c r="F6736" s="3" t="str">
        <f>"574-237-9675"</f>
        <v>574-237-9675</v>
      </c>
      <c r="G6736" s="3">
        <v>923130</v>
      </c>
      <c r="H6736" s="3" t="s">
        <v>724</v>
      </c>
    </row>
    <row r="6737" spans="1:8" ht="51.75" x14ac:dyDescent="0.25">
      <c r="A6737" s="3" t="s">
        <v>19771</v>
      </c>
      <c r="B6737" s="3"/>
      <c r="C6737" s="3" t="str">
        <f>"A 501(c)3 not-for-profit health center providing medical and dental services primarily to the uninsured and underinsured."</f>
        <v>A 501(c)3 not-for-profit health center providing medical and dental services primarily to the uninsured and underinsured.</v>
      </c>
      <c r="D6737" s="3" t="s">
        <v>19772</v>
      </c>
      <c r="E6737" s="3" t="s">
        <v>19773</v>
      </c>
      <c r="F6737" s="3" t="str">
        <f>"219-763-8112"</f>
        <v>219-763-8112</v>
      </c>
      <c r="G6737" s="3">
        <v>62</v>
      </c>
      <c r="H6737" s="3" t="s">
        <v>1168</v>
      </c>
    </row>
    <row r="6738" spans="1:8" ht="51.75" x14ac:dyDescent="0.25">
      <c r="A6738" s="3" t="s">
        <v>19774</v>
      </c>
      <c r="B6738" s="3"/>
      <c r="C6738" s="3" t="str">
        <f>"With over 20 years of experience, we provide AutoCAD drafting services for all types of engineering &amp; architectural applications."</f>
        <v>With over 20 years of experience, we provide AutoCAD drafting services for all types of engineering &amp; architectural applications.</v>
      </c>
      <c r="D6738" s="3" t="s">
        <v>9</v>
      </c>
      <c r="E6738" s="3" t="s">
        <v>19775</v>
      </c>
      <c r="F6738" s="3" t="str">
        <f>"317-841-3836"</f>
        <v>317-841-3836</v>
      </c>
      <c r="G6738" s="3">
        <v>54134</v>
      </c>
      <c r="H6738" s="3" t="s">
        <v>4040</v>
      </c>
    </row>
    <row r="6739" spans="1:8" ht="26.25" x14ac:dyDescent="0.25">
      <c r="A6739" s="3" t="s">
        <v>19776</v>
      </c>
      <c r="B6739" s="3"/>
      <c r="C6739" s="3" t="str">
        <f>"Providing a range of cleaning services from basic janitorial to construction cleanup."</f>
        <v>Providing a range of cleaning services from basic janitorial to construction cleanup.</v>
      </c>
      <c r="D6739" s="3" t="s">
        <v>9</v>
      </c>
      <c r="E6739" s="3" t="s">
        <v>19777</v>
      </c>
      <c r="F6739" s="3" t="str">
        <f>"317-833-4130"</f>
        <v>317-833-4130</v>
      </c>
      <c r="G6739" s="3">
        <v>238330</v>
      </c>
      <c r="H6739" s="3" t="s">
        <v>2995</v>
      </c>
    </row>
    <row r="6740" spans="1:8" ht="64.5" x14ac:dyDescent="0.25">
      <c r="A6740" s="3" t="s">
        <v>19778</v>
      </c>
      <c r="B6740" s="3"/>
      <c r="C6740" s="3" t="str">
        <f>"We are the Area 1 Agency on Aging along with the Community Action Agency for Northwest Indiana. We provide services to the elderly and disabled, along with the low-income population."</f>
        <v>We are the Area 1 Agency on Aging along with the Community Action Agency for Northwest Indiana. We provide services to the elderly and disabled, along with the low-income population.</v>
      </c>
      <c r="D6740" s="3" t="s">
        <v>19779</v>
      </c>
      <c r="E6740" s="3" t="s">
        <v>19780</v>
      </c>
      <c r="F6740" s="3" t="str">
        <f>"800/826-7871"</f>
        <v>800/826-7871</v>
      </c>
      <c r="G6740" s="3">
        <v>624</v>
      </c>
      <c r="H6740" s="3" t="s">
        <v>6524</v>
      </c>
    </row>
    <row r="6741" spans="1:8" ht="51.75" x14ac:dyDescent="0.25">
      <c r="A6741" s="3" t="s">
        <v>19781</v>
      </c>
      <c r="B6741" s="3"/>
      <c r="C6741" s="3" t="str">
        <f>"Glass repair and replacement for residential, automotive and business. Storefront installation, shower doors and mirrors, windows and doors."</f>
        <v>Glass repair and replacement for residential, automotive and business. Storefront installation, shower doors and mirrors, windows and doors.</v>
      </c>
      <c r="D6741" s="3" t="s">
        <v>19782</v>
      </c>
      <c r="E6741" s="3" t="s">
        <v>19783</v>
      </c>
      <c r="F6741" s="3" t="str">
        <f>"(219) 462-1149"</f>
        <v>(219) 462-1149</v>
      </c>
      <c r="G6741" s="3">
        <v>238150</v>
      </c>
      <c r="H6741" s="3" t="s">
        <v>2530</v>
      </c>
    </row>
    <row r="6742" spans="1:8" ht="281.25" x14ac:dyDescent="0.25">
      <c r="A6742" s="3" t="s">
        <v>19784</v>
      </c>
      <c r="B6742" s="3"/>
      <c r="C6742" s="3" t="s">
        <v>19785</v>
      </c>
      <c r="D6742" s="3" t="s">
        <v>19786</v>
      </c>
      <c r="E6742" s="3" t="s">
        <v>19787</v>
      </c>
      <c r="F6742" s="3" t="str">
        <f>"3172932255"</f>
        <v>3172932255</v>
      </c>
      <c r="G6742" s="3">
        <v>711310</v>
      </c>
      <c r="H6742" s="3" t="s">
        <v>19788</v>
      </c>
    </row>
    <row r="6743" spans="1:8" ht="64.5" x14ac:dyDescent="0.25">
      <c r="A6743" s="3" t="s">
        <v>19789</v>
      </c>
      <c r="B6743" s="3"/>
      <c r="C6743" s="3" t="str">
        <f>"Install coax, fiber and any cable in aerial or underground applications, this includes splicing said cable. We do boring/trenching we also install or repair underground piping for any application."</f>
        <v>Install coax, fiber and any cable in aerial or underground applications, this includes splicing said cable. We do boring/trenching we also install or repair underground piping for any application.</v>
      </c>
      <c r="D6743" s="3" t="s">
        <v>9</v>
      </c>
      <c r="E6743" s="3" t="s">
        <v>19790</v>
      </c>
      <c r="F6743" s="3" t="str">
        <f>"219-801-4057"</f>
        <v>219-801-4057</v>
      </c>
      <c r="G6743" s="3">
        <v>237130</v>
      </c>
      <c r="H6743" s="3" t="s">
        <v>3432</v>
      </c>
    </row>
    <row r="6744" spans="1:8" ht="39" x14ac:dyDescent="0.25">
      <c r="A6744" s="3" t="s">
        <v>19791</v>
      </c>
      <c r="B6744" s="3"/>
      <c r="C6744" s="3" t="str">
        <f>"Notary Bond, Notary Errors &amp; Omissions insurance, Notary Stamp, Notary Embossers, Notary Commission"</f>
        <v>Notary Bond, Notary Errors &amp; Omissions insurance, Notary Stamp, Notary Embossers, Notary Commission</v>
      </c>
      <c r="D6744" s="3" t="s">
        <v>19792</v>
      </c>
      <c r="E6744" s="3" t="s">
        <v>19793</v>
      </c>
      <c r="F6744" s="3" t="str">
        <f>"800-821-0828"</f>
        <v>800-821-0828</v>
      </c>
      <c r="G6744" s="3">
        <v>52412</v>
      </c>
      <c r="H6744" s="3" t="s">
        <v>13213</v>
      </c>
    </row>
    <row r="6745" spans="1:8" ht="51.75" x14ac:dyDescent="0.25">
      <c r="A6745" s="3" t="s">
        <v>19794</v>
      </c>
      <c r="B6745" s="3"/>
      <c r="C6745" s="3" t="str">
        <f>"Nova Graphics, Inc. is a small WBE Indiana Printing and Promotional business. We specialize in Commercial Printing and Advertising Materials."</f>
        <v>Nova Graphics, Inc. is a small WBE Indiana Printing and Promotional business. We specialize in Commercial Printing and Advertising Materials.</v>
      </c>
      <c r="D6745" s="3" t="s">
        <v>19795</v>
      </c>
      <c r="E6745" s="3" t="s">
        <v>19796</v>
      </c>
      <c r="F6745" s="3" t="str">
        <f>"317-577-6682"</f>
        <v>317-577-6682</v>
      </c>
      <c r="G6745" s="3">
        <v>32311</v>
      </c>
      <c r="H6745" s="3" t="s">
        <v>531</v>
      </c>
    </row>
    <row r="6746" spans="1:8" ht="26.25" x14ac:dyDescent="0.25">
      <c r="A6746" s="3" t="s">
        <v>19797</v>
      </c>
      <c r="B6746" s="3"/>
      <c r="C6746" s="3" t="str">
        <f>"financial planning and mortgages"</f>
        <v>financial planning and mortgages</v>
      </c>
      <c r="D6746" s="3" t="s">
        <v>9</v>
      </c>
      <c r="E6746" s="3" t="s">
        <v>19798</v>
      </c>
      <c r="F6746" s="3" t="str">
        <f>"765/884-8444"</f>
        <v>765/884-8444</v>
      </c>
      <c r="G6746" s="3">
        <v>523930</v>
      </c>
      <c r="H6746" s="3" t="s">
        <v>2936</v>
      </c>
    </row>
    <row r="6747" spans="1:8" ht="102.75" x14ac:dyDescent="0.25">
      <c r="A6747" s="3" t="s">
        <v>19799</v>
      </c>
      <c r="B6747" s="3"/>
      <c r="C6747" s="3" t="s">
        <v>19800</v>
      </c>
      <c r="D6747" s="3" t="s">
        <v>19801</v>
      </c>
      <c r="E6747" s="3" t="s">
        <v>19802</v>
      </c>
      <c r="F6747" s="3" t="str">
        <f>"312-613-9399"</f>
        <v>312-613-9399</v>
      </c>
      <c r="G6747" s="3">
        <v>561</v>
      </c>
      <c r="H6747" s="3" t="s">
        <v>2836</v>
      </c>
    </row>
    <row r="6748" spans="1:8" ht="64.5" x14ac:dyDescent="0.25">
      <c r="A6748" s="3" t="s">
        <v>19803</v>
      </c>
      <c r="B6748" s="3"/>
      <c r="C6748" s="3" t="str">
        <f>"Nu Creation Fitness offers personal training services to men, women, and children. Our mission is to encourage active, healthy lifestyles through physical fitness and proper nutrition."</f>
        <v>Nu Creation Fitness offers personal training services to men, women, and children. Our mission is to encourage active, healthy lifestyles through physical fitness and proper nutrition.</v>
      </c>
      <c r="D6748" s="3" t="s">
        <v>19804</v>
      </c>
      <c r="E6748" s="3" t="s">
        <v>19805</v>
      </c>
      <c r="F6748" s="3" t="str">
        <f>"317-508-2997"</f>
        <v>317-508-2997</v>
      </c>
      <c r="G6748" s="3">
        <v>713940</v>
      </c>
      <c r="H6748" s="3" t="s">
        <v>1471</v>
      </c>
    </row>
    <row r="6749" spans="1:8" ht="90" x14ac:dyDescent="0.25">
      <c r="A6749" s="3" t="s">
        <v>19806</v>
      </c>
      <c r="B6749" s="3"/>
      <c r="C6749" s="3" t="s">
        <v>19807</v>
      </c>
      <c r="D6749" s="3" t="s">
        <v>9</v>
      </c>
      <c r="E6749" s="3" t="s">
        <v>19808</v>
      </c>
      <c r="F6749" s="3" t="str">
        <f>"317-828-4795"</f>
        <v>317-828-4795</v>
      </c>
      <c r="G6749" s="3">
        <v>238</v>
      </c>
      <c r="H6749" s="3" t="s">
        <v>397</v>
      </c>
    </row>
    <row r="6750" spans="1:8" ht="39" x14ac:dyDescent="0.25">
      <c r="A6750" s="3" t="s">
        <v>19809</v>
      </c>
      <c r="B6750" s="3"/>
      <c r="C6750" s="3" t="str">
        <f>"Retail Cellular Business. Selling Sprint/Nextel, Tmobile, Verizon, Revol, Boost, Helio and all accessories."</f>
        <v>Retail Cellular Business. Selling Sprint/Nextel, Tmobile, Verizon, Revol, Boost, Helio and all accessories.</v>
      </c>
      <c r="D6750" s="3" t="s">
        <v>19810</v>
      </c>
      <c r="E6750" s="3" t="s">
        <v>46</v>
      </c>
      <c r="F6750" s="3" t="str">
        <f>"317-290-8699"</f>
        <v>317-290-8699</v>
      </c>
      <c r="G6750" s="3">
        <v>513322</v>
      </c>
      <c r="H6750" s="3" t="s">
        <v>6947</v>
      </c>
    </row>
    <row r="6751" spans="1:8" ht="26.25" x14ac:dyDescent="0.25">
      <c r="A6751" s="3" t="s">
        <v>19811</v>
      </c>
      <c r="B6751" s="3"/>
      <c r="C6751" s="3" t="str">
        <f>" "</f>
        <v xml:space="preserve"> </v>
      </c>
      <c r="D6751" s="3" t="s">
        <v>9</v>
      </c>
      <c r="E6751" s="3" t="s">
        <v>19812</v>
      </c>
      <c r="F6751" s="3" t="str">
        <f>"317-255-4464"</f>
        <v>317-255-4464</v>
      </c>
      <c r="G6751" s="3">
        <v>238160</v>
      </c>
      <c r="H6751" s="3" t="s">
        <v>144</v>
      </c>
    </row>
    <row r="6752" spans="1:8" ht="26.25" x14ac:dyDescent="0.25">
      <c r="A6752" s="3" t="s">
        <v>19813</v>
      </c>
      <c r="B6752" s="3"/>
      <c r="C6752" s="3" t="str">
        <f>"NuFocus provides on site maintenance services on computers and printers."</f>
        <v>NuFocus provides on site maintenance services on computers and printers.</v>
      </c>
      <c r="D6752" s="3" t="s">
        <v>19814</v>
      </c>
      <c r="E6752" s="3" t="s">
        <v>19815</v>
      </c>
      <c r="F6752" s="3" t="str">
        <f>"5742541417"</f>
        <v>5742541417</v>
      </c>
      <c r="G6752" s="3">
        <v>811212</v>
      </c>
      <c r="H6752" s="3" t="s">
        <v>1632</v>
      </c>
    </row>
    <row r="6753" spans="1:8" ht="26.25" x14ac:dyDescent="0.25">
      <c r="A6753" s="3" t="s">
        <v>19816</v>
      </c>
      <c r="B6753" s="3"/>
      <c r="C6753" s="3" t="str">
        <f>"Web Site Development and Internet Application Development"</f>
        <v>Web Site Development and Internet Application Development</v>
      </c>
      <c r="D6753" s="3" t="s">
        <v>19817</v>
      </c>
      <c r="E6753" s="3" t="s">
        <v>19818</v>
      </c>
      <c r="F6753" s="3" t="str">
        <f>"812-524-0125"</f>
        <v>812-524-0125</v>
      </c>
      <c r="G6753" s="3">
        <v>541519</v>
      </c>
      <c r="H6753" s="3" t="s">
        <v>898</v>
      </c>
    </row>
    <row r="6754" spans="1:8" ht="77.25" x14ac:dyDescent="0.25">
      <c r="A6754" s="3" t="s">
        <v>19819</v>
      </c>
      <c r="B6754" s="3"/>
      <c r="C6754" s="3" t="str">
        <f>"Nuance, Inc. provides telecommunications equipment and services. Primary areas of expertise include telephone systems, voice messaging systems, unified communications, Voice over IP and wiring for these systems."</f>
        <v>Nuance, Inc. provides telecommunications equipment and services. Primary areas of expertise include telephone systems, voice messaging systems, unified communications, Voice over IP and wiring for these systems.</v>
      </c>
      <c r="D6754" s="3" t="s">
        <v>19820</v>
      </c>
      <c r="E6754" s="3" t="s">
        <v>19821</v>
      </c>
      <c r="F6754" s="3" t="str">
        <f>"317-777-7199X100"</f>
        <v>317-777-7199X100</v>
      </c>
      <c r="G6754" s="3">
        <v>541330</v>
      </c>
      <c r="H6754" s="3" t="s">
        <v>82</v>
      </c>
    </row>
    <row r="6755" spans="1:8" ht="90" x14ac:dyDescent="0.25">
      <c r="A6755" s="3" t="s">
        <v>19822</v>
      </c>
      <c r="B6755" s="3"/>
      <c r="C6755" s="3" t="s">
        <v>19823</v>
      </c>
      <c r="D6755" s="3" t="s">
        <v>19824</v>
      </c>
      <c r="E6755" s="3" t="s">
        <v>19825</v>
      </c>
      <c r="F6755" s="3" t="str">
        <f>"317-783-4196"</f>
        <v>317-783-4196</v>
      </c>
      <c r="G6755" s="3">
        <v>423720</v>
      </c>
      <c r="H6755" s="3" t="s">
        <v>2695</v>
      </c>
    </row>
    <row r="6756" spans="1:8" ht="115.5" x14ac:dyDescent="0.25">
      <c r="A6756" s="3" t="s">
        <v>19826</v>
      </c>
      <c r="B6756" s="3"/>
      <c r="C6756" s="3" t="s">
        <v>19827</v>
      </c>
      <c r="D6756" s="3" t="s">
        <v>19828</v>
      </c>
      <c r="E6756" s="3" t="s">
        <v>19829</v>
      </c>
      <c r="F6756" s="3" t="str">
        <f>"812-466-5261"</f>
        <v>812-466-5261</v>
      </c>
      <c r="G6756" s="3">
        <v>332</v>
      </c>
      <c r="H6756" s="3" t="s">
        <v>2580</v>
      </c>
    </row>
    <row r="6757" spans="1:8" ht="153.75" x14ac:dyDescent="0.25">
      <c r="A6757" s="3" t="s">
        <v>19830</v>
      </c>
      <c r="B6757" s="3"/>
      <c r="C6757" s="3" t="s">
        <v>19831</v>
      </c>
      <c r="D6757" s="3" t="s">
        <v>19832</v>
      </c>
      <c r="E6757" s="3" t="s">
        <v>19833</v>
      </c>
      <c r="F6757" s="3" t="str">
        <f>"812-421-8899"</f>
        <v>812-421-8899</v>
      </c>
      <c r="G6757" s="3">
        <v>2351</v>
      </c>
      <c r="H6757" s="3" t="s">
        <v>892</v>
      </c>
    </row>
    <row r="6758" spans="1:8" ht="90" x14ac:dyDescent="0.25">
      <c r="A6758" s="3" t="s">
        <v>19834</v>
      </c>
      <c r="B6758" s="3"/>
      <c r="C6758" s="3" t="str">
        <f>"Currently providing nurse consultant services to the state of Indiana as the state's Trauma System Manager, with additional nurse consultant duties for the State Office of Rural Health and the Indiana Spinal Cord and Brain Injury Research Board."</f>
        <v>Currently providing nurse consultant services to the state of Indiana as the state's Trauma System Manager, with additional nurse consultant duties for the State Office of Rural Health and the Indiana Spinal Cord and Brain Injury Research Board.</v>
      </c>
      <c r="D6758" s="3" t="s">
        <v>9</v>
      </c>
      <c r="E6758" s="3" t="s">
        <v>19835</v>
      </c>
      <c r="F6758" s="2"/>
      <c r="G6758" s="3">
        <v>541611</v>
      </c>
      <c r="H6758" s="3" t="s">
        <v>278</v>
      </c>
    </row>
    <row r="6759" spans="1:8" ht="332.25" x14ac:dyDescent="0.25">
      <c r="A6759" s="3" t="s">
        <v>19836</v>
      </c>
      <c r="B6759" s="3"/>
      <c r="C6759" s="3" t="s">
        <v>19837</v>
      </c>
      <c r="D6759" s="3" t="s">
        <v>9</v>
      </c>
      <c r="E6759" s="3" t="s">
        <v>19838</v>
      </c>
      <c r="F6759" s="3" t="str">
        <f>"614-537-3171"</f>
        <v>614-537-3171</v>
      </c>
      <c r="G6759" s="3">
        <v>54151</v>
      </c>
      <c r="H6759" s="3" t="s">
        <v>188</v>
      </c>
    </row>
    <row r="6760" spans="1:8" ht="90" x14ac:dyDescent="0.25">
      <c r="A6760" s="3" t="s">
        <v>19839</v>
      </c>
      <c r="B6760" s="3"/>
      <c r="C6760" s="3" t="s">
        <v>19840</v>
      </c>
      <c r="D6760" s="3" t="s">
        <v>19841</v>
      </c>
      <c r="E6760" s="3" t="s">
        <v>19842</v>
      </c>
      <c r="F6760" s="3" t="str">
        <f>"574-551-1127"</f>
        <v>574-551-1127</v>
      </c>
      <c r="G6760" s="3">
        <v>624190</v>
      </c>
      <c r="H6760" s="3" t="s">
        <v>54</v>
      </c>
    </row>
    <row r="6761" spans="1:8" ht="39" x14ac:dyDescent="0.25">
      <c r="A6761" s="3" t="s">
        <v>19843</v>
      </c>
      <c r="B6761" s="3"/>
      <c r="C6761" s="3" t="str">
        <f>"I am a regisered and ceritified dietitian. The company provides dietitic services, nutritional counseling and menu planning."</f>
        <v>I am a regisered and ceritified dietitian. The company provides dietitic services, nutritional counseling and menu planning.</v>
      </c>
      <c r="D6761" s="3" t="s">
        <v>9</v>
      </c>
      <c r="E6761" s="3" t="s">
        <v>19844</v>
      </c>
      <c r="F6761" s="3" t="str">
        <f>"765-498-5326"</f>
        <v>765-498-5326</v>
      </c>
      <c r="G6761" s="3">
        <v>62</v>
      </c>
      <c r="H6761" s="3" t="s">
        <v>1168</v>
      </c>
    </row>
    <row r="6762" spans="1:8" ht="90" x14ac:dyDescent="0.25">
      <c r="A6762" s="3" t="s">
        <v>19845</v>
      </c>
      <c r="B6762" s="3"/>
      <c r="C6762" s="3" t="s">
        <v>19846</v>
      </c>
      <c r="D6762" s="3" t="s">
        <v>9</v>
      </c>
      <c r="E6762" s="3" t="s">
        <v>46</v>
      </c>
      <c r="F6762" s="3" t="str">
        <f>"765 282 5092"</f>
        <v>765 282 5092</v>
      </c>
      <c r="G6762" s="3">
        <v>488410</v>
      </c>
      <c r="H6762" s="3" t="s">
        <v>4171</v>
      </c>
    </row>
    <row r="6763" spans="1:8" ht="77.25" x14ac:dyDescent="0.25">
      <c r="A6763" s="3" t="s">
        <v>19847</v>
      </c>
      <c r="B6763" s="3"/>
      <c r="C6763" s="3" t="str">
        <f>"distributor of safety products and personal protective equipment, including, but not all inclusive, eye, ear, and fall protection, respiratory and special clothing, foot and head protection, traffic control, and environmental monitoring equipment."</f>
        <v>distributor of safety products and personal protective equipment, including, but not all inclusive, eye, ear, and fall protection, respiratory and special clothing, foot and head protection, traffic control, and environmental monitoring equipment.</v>
      </c>
      <c r="D6763" s="3" t="s">
        <v>19848</v>
      </c>
      <c r="E6763" s="3" t="s">
        <v>46</v>
      </c>
      <c r="F6763" s="3" t="str">
        <f>"800-234-0536"</f>
        <v>800-234-0536</v>
      </c>
      <c r="G6763" s="3">
        <v>424990</v>
      </c>
      <c r="H6763" s="3" t="s">
        <v>1019</v>
      </c>
    </row>
    <row r="6764" spans="1:8" ht="39" x14ac:dyDescent="0.25">
      <c r="A6764" s="3" t="s">
        <v>19849</v>
      </c>
      <c r="B6764" s="3"/>
      <c r="C6764" s="3" t="str">
        <f>"Operator and Maintenance consulting and training for utilities and associated industry."</f>
        <v>Operator and Maintenance consulting and training for utilities and associated industry.</v>
      </c>
      <c r="D6764" s="3" t="s">
        <v>19850</v>
      </c>
      <c r="E6764" s="3" t="s">
        <v>19851</v>
      </c>
      <c r="F6764" s="3" t="str">
        <f>"812-926-0187"</f>
        <v>812-926-0187</v>
      </c>
      <c r="G6764" s="3">
        <v>611710</v>
      </c>
      <c r="H6764" s="3" t="s">
        <v>508</v>
      </c>
    </row>
    <row r="6765" spans="1:8" ht="26.25" x14ac:dyDescent="0.25">
      <c r="A6765" s="3" t="s">
        <v>19852</v>
      </c>
      <c r="B6765" s="3"/>
      <c r="C6765" s="3" t="str">
        <f>"Manufacturer of hydro jetters, trailer jetters, cart jetters, and toolbox jetters"</f>
        <v>Manufacturer of hydro jetters, trailer jetters, cart jetters, and toolbox jetters</v>
      </c>
      <c r="D6765" s="3" t="s">
        <v>19853</v>
      </c>
      <c r="E6765" s="3" t="s">
        <v>19854</v>
      </c>
      <c r="F6765" s="3" t="str">
        <f>"574-542-2222"</f>
        <v>574-542-2222</v>
      </c>
      <c r="G6765" s="3">
        <v>336212</v>
      </c>
      <c r="H6765" s="3" t="s">
        <v>8686</v>
      </c>
    </row>
    <row r="6766" spans="1:8" ht="39" x14ac:dyDescent="0.25">
      <c r="A6766" s="3" t="s">
        <v>19855</v>
      </c>
      <c r="B6766" s="3"/>
      <c r="C6766" s="3" t="str">
        <f>"O'BRIEN TOYOTA/SCION SELLS NEW TOYOTA/SCION VEHICLES, USED VEHICLES, SERVICE MAINTENANCE REPAIRS, AND PARTS."</f>
        <v>O'BRIEN TOYOTA/SCION SELLS NEW TOYOTA/SCION VEHICLES, USED VEHICLES, SERVICE MAINTENANCE REPAIRS, AND PARTS.</v>
      </c>
      <c r="D6766" s="3" t="s">
        <v>19856</v>
      </c>
      <c r="E6766" s="3" t="s">
        <v>19857</v>
      </c>
      <c r="F6766" s="3" t="str">
        <f>"317-351-7000"</f>
        <v>317-351-7000</v>
      </c>
      <c r="G6766" s="3">
        <v>441110</v>
      </c>
      <c r="H6766" s="3" t="s">
        <v>2588</v>
      </c>
    </row>
    <row r="6767" spans="1:8" ht="26.25" x14ac:dyDescent="0.25">
      <c r="A6767" s="3" t="s">
        <v>19858</v>
      </c>
      <c r="B6767" s="3"/>
      <c r="C6767" s="2"/>
      <c r="D6767" s="3" t="s">
        <v>19859</v>
      </c>
      <c r="E6767" s="3" t="s">
        <v>46</v>
      </c>
      <c r="F6767" s="3" t="str">
        <f>"260-748-6200"</f>
        <v>260-748-6200</v>
      </c>
      <c r="G6767" s="3">
        <v>441110</v>
      </c>
      <c r="H6767" s="3" t="s">
        <v>2588</v>
      </c>
    </row>
    <row r="6768" spans="1:8" ht="306.75" x14ac:dyDescent="0.25">
      <c r="A6768" s="3" t="s">
        <v>19860</v>
      </c>
      <c r="B6768" s="3"/>
      <c r="C6768" s="3" t="s">
        <v>19861</v>
      </c>
      <c r="D6768" s="3" t="s">
        <v>19862</v>
      </c>
      <c r="E6768" s="3" t="s">
        <v>19863</v>
      </c>
      <c r="F6768" s="3" t="str">
        <f>"800-915-4768"</f>
        <v>800-915-4768</v>
      </c>
      <c r="G6768" s="3">
        <v>541611</v>
      </c>
      <c r="H6768" s="3" t="s">
        <v>278</v>
      </c>
    </row>
    <row r="6769" spans="1:8" x14ac:dyDescent="0.25">
      <c r="A6769" s="3" t="s">
        <v>19864</v>
      </c>
      <c r="B6769" s="3"/>
      <c r="C6769" s="3" t="str">
        <f>"office cleaning service."</f>
        <v>office cleaning service.</v>
      </c>
      <c r="D6769" s="3" t="s">
        <v>9</v>
      </c>
      <c r="E6769" s="3" t="s">
        <v>19865</v>
      </c>
      <c r="F6769" s="2"/>
      <c r="G6769" s="3">
        <v>5617</v>
      </c>
      <c r="H6769" s="3" t="s">
        <v>812</v>
      </c>
    </row>
    <row r="6770" spans="1:8" ht="26.25" x14ac:dyDescent="0.25">
      <c r="A6770" s="3" t="s">
        <v>19866</v>
      </c>
      <c r="B6770" s="3"/>
      <c r="C6770" s="3" t="str">
        <f>"Optical Retail Store -"</f>
        <v>Optical Retail Store -</v>
      </c>
      <c r="D6770" s="3" t="s">
        <v>19867</v>
      </c>
      <c r="E6770" s="3" t="s">
        <v>46</v>
      </c>
      <c r="F6770" s="3" t="str">
        <f>"574-291-9200"</f>
        <v>574-291-9200</v>
      </c>
      <c r="G6770" s="3">
        <v>446130</v>
      </c>
      <c r="H6770" s="3" t="s">
        <v>16911</v>
      </c>
    </row>
    <row r="6771" spans="1:8" ht="51.75" x14ac:dyDescent="0.25">
      <c r="A6771" s="3" t="s">
        <v>19868</v>
      </c>
      <c r="B6771" s="3"/>
      <c r="C6771" s="3" t="str">
        <f>"Photogrammetry, digital mapping, digital terrain modeling, stockpile computations, black and white and color aerial photography"</f>
        <v>Photogrammetry, digital mapping, digital terrain modeling, stockpile computations, black and white and color aerial photography</v>
      </c>
      <c r="D6771" s="3" t="s">
        <v>19869</v>
      </c>
      <c r="E6771" s="3" t="s">
        <v>19870</v>
      </c>
      <c r="F6771" s="3" t="str">
        <f>"812-523-1919"</f>
        <v>812-523-1919</v>
      </c>
      <c r="G6771" s="3">
        <v>541370</v>
      </c>
      <c r="H6771" s="3" t="s">
        <v>160</v>
      </c>
    </row>
    <row r="6772" spans="1:8" ht="39" x14ac:dyDescent="0.25">
      <c r="A6772" s="3" t="s">
        <v>19871</v>
      </c>
      <c r="B6772" s="3"/>
      <c r="C6772" s="3" t="str">
        <f>"Software investment firm. We develop custom applications for Windows operating system that we resell to niche markets."</f>
        <v>Software investment firm. We develop custom applications for Windows operating system that we resell to niche markets.</v>
      </c>
      <c r="D6772" s="3" t="s">
        <v>19872</v>
      </c>
      <c r="E6772" s="3" t="s">
        <v>19873</v>
      </c>
      <c r="F6772" s="3" t="str">
        <f>"574-968-0819"</f>
        <v>574-968-0819</v>
      </c>
      <c r="G6772" s="3">
        <v>541511</v>
      </c>
      <c r="H6772" s="3" t="s">
        <v>122</v>
      </c>
    </row>
    <row r="6773" spans="1:8" ht="166.5" x14ac:dyDescent="0.25">
      <c r="A6773" s="3" t="s">
        <v>19874</v>
      </c>
      <c r="B6773" s="3"/>
      <c r="C6773" s="3" t="s">
        <v>19875</v>
      </c>
      <c r="D6773" s="3" t="s">
        <v>19876</v>
      </c>
      <c r="E6773" s="3" t="s">
        <v>19877</v>
      </c>
      <c r="F6773" s="3" t="str">
        <f>"410-654-5759"</f>
        <v>410-654-5759</v>
      </c>
      <c r="G6773" s="3">
        <v>541620</v>
      </c>
      <c r="H6773" s="3" t="s">
        <v>216</v>
      </c>
    </row>
    <row r="6774" spans="1:8" ht="51.75" x14ac:dyDescent="0.25">
      <c r="A6774" s="3" t="s">
        <v>19878</v>
      </c>
      <c r="B6774" s="3"/>
      <c r="C6774" s="3" t="str">
        <f>"We are available to service all office furniture installation needs. Office, Cubecles, Partions, Etc. Pannels, Shelves. Business and Residentail Office Furniture."</f>
        <v>We are available to service all office furniture installation needs. Office, Cubecles, Partions, Etc. Pannels, Shelves. Business and Residentail Office Furniture.</v>
      </c>
      <c r="D6774" s="3" t="s">
        <v>9</v>
      </c>
      <c r="E6774" s="3" t="s">
        <v>19879</v>
      </c>
      <c r="F6774" s="3" t="str">
        <f>"3176908900"</f>
        <v>3176908900</v>
      </c>
      <c r="G6774" s="3">
        <v>5617</v>
      </c>
      <c r="H6774" s="3" t="s">
        <v>812</v>
      </c>
    </row>
    <row r="6775" spans="1:8" ht="128.25" x14ac:dyDescent="0.25">
      <c r="A6775" s="3" t="s">
        <v>19880</v>
      </c>
      <c r="B6775" s="3"/>
      <c r="C6775" s="3" t="s">
        <v>19881</v>
      </c>
      <c r="D6775" s="3" t="s">
        <v>9</v>
      </c>
      <c r="E6775" s="3" t="s">
        <v>19882</v>
      </c>
      <c r="F6775" s="2"/>
      <c r="G6775" s="3">
        <v>485991</v>
      </c>
      <c r="H6775" s="3" t="s">
        <v>6936</v>
      </c>
    </row>
    <row r="6776" spans="1:8" ht="268.5" x14ac:dyDescent="0.25">
      <c r="A6776" s="3" t="s">
        <v>19883</v>
      </c>
      <c r="B6776" s="3"/>
      <c r="C6776" s="3" t="s">
        <v>19884</v>
      </c>
      <c r="D6776" s="3" t="s">
        <v>9</v>
      </c>
      <c r="E6776" s="3" t="s">
        <v>19885</v>
      </c>
      <c r="F6776" s="3" t="str">
        <f>"317-926-5448"</f>
        <v>317-926-5448</v>
      </c>
      <c r="G6776" s="3">
        <v>541990</v>
      </c>
      <c r="H6776" s="3" t="s">
        <v>378</v>
      </c>
    </row>
    <row r="6777" spans="1:8" ht="153.75" x14ac:dyDescent="0.25">
      <c r="A6777" s="3" t="s">
        <v>19886</v>
      </c>
      <c r="B6777" s="3"/>
      <c r="C6777" s="3" t="s">
        <v>19887</v>
      </c>
      <c r="D6777" s="3" t="s">
        <v>19888</v>
      </c>
      <c r="E6777" s="3" t="s">
        <v>19889</v>
      </c>
      <c r="F6777" s="3" t="str">
        <f>"317-926-5448"</f>
        <v>317-926-5448</v>
      </c>
      <c r="G6777" s="3">
        <v>541611</v>
      </c>
      <c r="H6777" s="3" t="s">
        <v>278</v>
      </c>
    </row>
    <row r="6778" spans="1:8" ht="39" x14ac:dyDescent="0.25">
      <c r="A6778" s="3" t="s">
        <v>19890</v>
      </c>
      <c r="B6778" s="3"/>
      <c r="C6778" s="3" t="str">
        <f>"Sales and service of office equipment. Copiers, printers and fax. including supplies for all equipment."</f>
        <v>Sales and service of office equipment. Copiers, printers and fax. including supplies for all equipment.</v>
      </c>
      <c r="D6778" s="3" t="s">
        <v>19891</v>
      </c>
      <c r="E6778" s="3" t="s">
        <v>19892</v>
      </c>
      <c r="F6778" s="3" t="str">
        <f>"260.747.0581"</f>
        <v>260.747.0581</v>
      </c>
      <c r="G6778" s="3">
        <v>811212</v>
      </c>
      <c r="H6778" s="3" t="s">
        <v>1632</v>
      </c>
    </row>
    <row r="6779" spans="1:8" ht="26.25" x14ac:dyDescent="0.25">
      <c r="A6779" s="3" t="s">
        <v>19893</v>
      </c>
      <c r="B6779" s="3"/>
      <c r="C6779" s="3" t="str">
        <f>"CUSTOMIZED OFFICE CLEANING"</f>
        <v>CUSTOMIZED OFFICE CLEANING</v>
      </c>
      <c r="D6779" s="3" t="s">
        <v>9</v>
      </c>
      <c r="E6779" s="3" t="s">
        <v>19894</v>
      </c>
      <c r="F6779" s="3" t="str">
        <f>"2605715678"</f>
        <v>2605715678</v>
      </c>
      <c r="G6779" s="3">
        <v>5617</v>
      </c>
      <c r="H6779" s="3" t="s">
        <v>812</v>
      </c>
    </row>
    <row r="6780" spans="1:8" ht="39" x14ac:dyDescent="0.25">
      <c r="A6780" s="3" t="s">
        <v>19895</v>
      </c>
      <c r="B6780" s="3"/>
      <c r="C6780" s="3" t="str">
        <f>"Major distributor of office supplies, toner, paper, furniture, and information technology products."</f>
        <v>Major distributor of office supplies, toner, paper, furniture, and information technology products.</v>
      </c>
      <c r="D6780" s="3" t="s">
        <v>19896</v>
      </c>
      <c r="E6780" s="3" t="s">
        <v>19897</v>
      </c>
      <c r="F6780" s="3" t="str">
        <f>"317-874-0146 X3034"</f>
        <v>317-874-0146 X3034</v>
      </c>
      <c r="G6780" s="3">
        <v>424120</v>
      </c>
      <c r="H6780" s="3" t="s">
        <v>411</v>
      </c>
    </row>
    <row r="6781" spans="1:8" ht="26.25" x14ac:dyDescent="0.25">
      <c r="A6781" s="3" t="s">
        <v>19898</v>
      </c>
      <c r="B6781" s="3"/>
      <c r="C6781" s="3" t="str">
        <f>"Commercial printing"</f>
        <v>Commercial printing</v>
      </c>
      <c r="D6781" s="3" t="s">
        <v>19899</v>
      </c>
      <c r="E6781" s="3" t="s">
        <v>19900</v>
      </c>
      <c r="F6781" s="3" t="str">
        <f>"(317) 849-5155"</f>
        <v>(317) 849-5155</v>
      </c>
      <c r="G6781" s="3">
        <v>32311</v>
      </c>
      <c r="H6781" s="3" t="s">
        <v>531</v>
      </c>
    </row>
    <row r="6782" spans="1:8" ht="115.5" x14ac:dyDescent="0.25">
      <c r="A6782" s="3" t="s">
        <v>19901</v>
      </c>
      <c r="B6782" s="3"/>
      <c r="C6782" s="3" t="s">
        <v>19902</v>
      </c>
      <c r="D6782" s="3" t="s">
        <v>19903</v>
      </c>
      <c r="E6782" s="3" t="s">
        <v>19904</v>
      </c>
      <c r="F6782" s="3" t="str">
        <f>"800-521-5381"</f>
        <v>800-521-5381</v>
      </c>
      <c r="G6782" s="3">
        <v>337211</v>
      </c>
      <c r="H6782" s="3" t="s">
        <v>12624</v>
      </c>
    </row>
    <row r="6783" spans="1:8" ht="64.5" x14ac:dyDescent="0.25">
      <c r="A6783" s="3" t="s">
        <v>19905</v>
      </c>
      <c r="B6783" s="3"/>
      <c r="C6783" s="3" t="str">
        <f>"Water Treatment Supplies and Services Water Softeners and Conditioners Iron/Odor Filters Drinking Water Systems and Supplies Salt and Chemicals Ultra-Pure Water Systems"</f>
        <v>Water Treatment Supplies and Services Water Softeners and Conditioners Iron/Odor Filters Drinking Water Systems and Supplies Salt and Chemicals Ultra-Pure Water Systems</v>
      </c>
      <c r="D6783" s="3" t="s">
        <v>9</v>
      </c>
      <c r="E6783" s="3" t="s">
        <v>46</v>
      </c>
      <c r="F6783" s="3" t="str">
        <f>"765-747-5600"</f>
        <v>765-747-5600</v>
      </c>
      <c r="G6783" s="3">
        <v>2213</v>
      </c>
      <c r="H6783" s="3" t="s">
        <v>2486</v>
      </c>
    </row>
    <row r="6784" spans="1:8" ht="179.25" x14ac:dyDescent="0.25">
      <c r="A6784" s="3" t="s">
        <v>19906</v>
      </c>
      <c r="B6784" s="3"/>
      <c r="C6784" s="3" t="s">
        <v>19907</v>
      </c>
      <c r="D6784" s="3" t="s">
        <v>19908</v>
      </c>
      <c r="E6784" s="3" t="s">
        <v>19909</v>
      </c>
      <c r="F6784" s="3" t="str">
        <f>"317-525-1037"</f>
        <v>317-525-1037</v>
      </c>
      <c r="G6784" s="3">
        <v>541613</v>
      </c>
      <c r="H6784" s="3" t="s">
        <v>558</v>
      </c>
    </row>
    <row r="6785" spans="1:8" x14ac:dyDescent="0.25">
      <c r="A6785" s="3" t="s">
        <v>19910</v>
      </c>
      <c r="B6785" s="3"/>
      <c r="C6785" s="2"/>
      <c r="D6785" s="3" t="s">
        <v>9</v>
      </c>
      <c r="E6785" s="3" t="s">
        <v>46</v>
      </c>
      <c r="F6785" s="2"/>
      <c r="G6785" s="3">
        <v>531390</v>
      </c>
      <c r="H6785" s="3" t="s">
        <v>623</v>
      </c>
    </row>
    <row r="6786" spans="1:8" ht="153.75" x14ac:dyDescent="0.25">
      <c r="A6786" s="3" t="s">
        <v>19911</v>
      </c>
      <c r="B6786" s="3"/>
      <c r="C6786" s="3" t="s">
        <v>19912</v>
      </c>
      <c r="D6786" s="3" t="s">
        <v>19913</v>
      </c>
      <c r="E6786" s="3" t="s">
        <v>19914</v>
      </c>
      <c r="F6786" s="3" t="str">
        <f>"800-962-7267"</f>
        <v>800-962-7267</v>
      </c>
      <c r="G6786" s="3">
        <v>541890</v>
      </c>
      <c r="H6786" s="3" t="s">
        <v>401</v>
      </c>
    </row>
    <row r="6787" spans="1:8" ht="102.75" x14ac:dyDescent="0.25">
      <c r="A6787" s="3" t="s">
        <v>19915</v>
      </c>
      <c r="B6787" s="3"/>
      <c r="C6787" s="3" t="s">
        <v>19916</v>
      </c>
      <c r="D6787" s="3" t="s">
        <v>19917</v>
      </c>
      <c r="E6787" s="3" t="s">
        <v>19918</v>
      </c>
      <c r="F6787" s="3" t="str">
        <f>"866-935-6764"</f>
        <v>866-935-6764</v>
      </c>
      <c r="G6787" s="3">
        <v>335312</v>
      </c>
      <c r="H6787" s="3" t="s">
        <v>19919</v>
      </c>
    </row>
    <row r="6788" spans="1:8" ht="77.25" x14ac:dyDescent="0.25">
      <c r="A6788" s="3" t="s">
        <v>19920</v>
      </c>
      <c r="B6788" s="3"/>
      <c r="C6788" s="3" t="str">
        <f>"Third Party Claims Administrator for property,casualty,workers compensation,disability and FMLA administration. Inter-governmental Pool Administration, Underwriting Programs for Public Entities"</f>
        <v>Third Party Claims Administrator for property,casualty,workers compensation,disability and FMLA administration. Inter-governmental Pool Administration, Underwriting Programs for Public Entities</v>
      </c>
      <c r="D6788" s="3" t="s">
        <v>19921</v>
      </c>
      <c r="E6788" s="3" t="s">
        <v>19922</v>
      </c>
      <c r="F6788" s="3" t="str">
        <f>"317-706-9500"</f>
        <v>317-706-9500</v>
      </c>
      <c r="G6788" s="3">
        <v>524292</v>
      </c>
      <c r="H6788" s="3" t="s">
        <v>4892</v>
      </c>
    </row>
    <row r="6789" spans="1:8" ht="319.5" x14ac:dyDescent="0.25">
      <c r="A6789" s="3" t="s">
        <v>19923</v>
      </c>
      <c r="B6789" s="3"/>
      <c r="C6789" s="3" t="s">
        <v>19924</v>
      </c>
      <c r="D6789" s="3" t="s">
        <v>19925</v>
      </c>
      <c r="E6789" s="3" t="s">
        <v>19926</v>
      </c>
      <c r="F6789" s="3" t="str">
        <f>"765-477-1155"</f>
        <v>765-477-1155</v>
      </c>
      <c r="G6789" s="3">
        <v>532412</v>
      </c>
      <c r="H6789" s="3" t="s">
        <v>777</v>
      </c>
    </row>
    <row r="6790" spans="1:8" ht="51.75" x14ac:dyDescent="0.25">
      <c r="A6790" s="3" t="s">
        <v>19927</v>
      </c>
      <c r="B6790" s="3"/>
      <c r="C6790" s="3" t="str">
        <f>"Corporate apparel, promotional products, uniforms, safety programs, athletic, sports,facility equipment, i.e. lockers, playground equipment"</f>
        <v>Corporate apparel, promotional products, uniforms, safety programs, athletic, sports,facility equipment, i.e. lockers, playground equipment</v>
      </c>
      <c r="D6790" s="3" t="s">
        <v>19928</v>
      </c>
      <c r="E6790" s="3" t="s">
        <v>19929</v>
      </c>
      <c r="F6790" s="3" t="str">
        <f>"317-773-7368"</f>
        <v>317-773-7368</v>
      </c>
      <c r="G6790" s="3">
        <v>54189</v>
      </c>
      <c r="H6790" s="3" t="s">
        <v>401</v>
      </c>
    </row>
    <row r="6791" spans="1:8" ht="26.25" x14ac:dyDescent="0.25">
      <c r="A6791" s="3" t="s">
        <v>19930</v>
      </c>
      <c r="B6791" s="3"/>
      <c r="C6791" s="3" t="str">
        <f>"OPEN DOOR REALTY HELPS CLIENTS BUY AND SELL PROPERTIES."</f>
        <v>OPEN DOOR REALTY HELPS CLIENTS BUY AND SELL PROPERTIES.</v>
      </c>
      <c r="D6791" s="3" t="s">
        <v>19931</v>
      </c>
      <c r="E6791" s="3" t="s">
        <v>19932</v>
      </c>
      <c r="F6791" s="3" t="str">
        <f>"317-291-0423"</f>
        <v>317-291-0423</v>
      </c>
      <c r="G6791" s="3">
        <v>23611</v>
      </c>
      <c r="H6791" s="3" t="s">
        <v>3466</v>
      </c>
    </row>
    <row r="6792" spans="1:8" ht="179.25" x14ac:dyDescent="0.25">
      <c r="A6792" s="3" t="s">
        <v>19933</v>
      </c>
      <c r="B6792" s="3"/>
      <c r="C6792" s="3" t="s">
        <v>19934</v>
      </c>
      <c r="D6792" s="3" t="s">
        <v>19935</v>
      </c>
      <c r="E6792" s="3" t="s">
        <v>19936</v>
      </c>
      <c r="F6792" s="3" t="str">
        <f>"3178228150"</f>
        <v>3178228150</v>
      </c>
      <c r="G6792" s="3">
        <v>541519</v>
      </c>
      <c r="H6792" s="3" t="s">
        <v>898</v>
      </c>
    </row>
    <row r="6793" spans="1:8" ht="26.25" x14ac:dyDescent="0.25">
      <c r="A6793" s="3" t="s">
        <v>19937</v>
      </c>
      <c r="B6793" s="3"/>
      <c r="C6793" s="3" t="str">
        <f>"printing, graphic design and layout, media publications and promotional items"</f>
        <v>printing, graphic design and layout, media publications and promotional items</v>
      </c>
      <c r="D6793" s="3" t="s">
        <v>9</v>
      </c>
      <c r="E6793" s="3" t="s">
        <v>19938</v>
      </c>
      <c r="F6793" s="3" t="str">
        <f>"219-746-4410"</f>
        <v>219-746-4410</v>
      </c>
      <c r="G6793" s="3">
        <v>32311</v>
      </c>
      <c r="H6793" s="3" t="s">
        <v>531</v>
      </c>
    </row>
    <row r="6794" spans="1:8" ht="26.25" x14ac:dyDescent="0.25">
      <c r="A6794" s="3" t="s">
        <v>19939</v>
      </c>
      <c r="B6794" s="3"/>
      <c r="C6794" s="3" t="str">
        <f>"On-site paper shredding for document destruction"</f>
        <v>On-site paper shredding for document destruction</v>
      </c>
      <c r="D6794" s="3" t="s">
        <v>9</v>
      </c>
      <c r="E6794" s="3" t="s">
        <v>19940</v>
      </c>
      <c r="F6794" s="3" t="str">
        <f>"317-782-3719"</f>
        <v>317-782-3719</v>
      </c>
      <c r="G6794" s="3">
        <v>812990</v>
      </c>
      <c r="H6794" s="3" t="s">
        <v>294</v>
      </c>
    </row>
    <row r="6795" spans="1:8" ht="77.25" x14ac:dyDescent="0.25">
      <c r="A6795" s="3" t="s">
        <v>19941</v>
      </c>
      <c r="B6795" s="3"/>
      <c r="C6795" s="3" t="str">
        <f>"WE SELL AND REPAIR ALTERNATORS AND STARTERS AS WELL AS ARE DEALERS FOR CLUB CAR, SCAG, TORO, ECHO, KIOTI TRACTORS, BOTH OREN AND ENCLOSED TRAILERS, EQUIPMENT TRAILERS AND HAVE BATTERIES FOR EVERYTHING."</f>
        <v>WE SELL AND REPAIR ALTERNATORS AND STARTERS AS WELL AS ARE DEALERS FOR CLUB CAR, SCAG, TORO, ECHO, KIOTI TRACTORS, BOTH OREN AND ENCLOSED TRAILERS, EQUIPMENT TRAILERS AND HAVE BATTERIES FOR EVERYTHING.</v>
      </c>
      <c r="D6795" s="3" t="s">
        <v>19942</v>
      </c>
      <c r="E6795" s="3" t="s">
        <v>19943</v>
      </c>
      <c r="F6795" s="3" t="str">
        <f>"812-882-6474"</f>
        <v>812-882-6474</v>
      </c>
      <c r="G6795" s="3">
        <v>235</v>
      </c>
      <c r="H6795" s="3" t="s">
        <v>259</v>
      </c>
    </row>
    <row r="6796" spans="1:8" ht="39" x14ac:dyDescent="0.25">
      <c r="A6796" s="3" t="s">
        <v>19944</v>
      </c>
      <c r="B6796" s="3"/>
      <c r="C6796" s="3" t="str">
        <f>"My goal is to provide Construction Management for commercial projects with an emphasis on structural steel erection."</f>
        <v>My goal is to provide Construction Management for commercial projects with an emphasis on structural steel erection.</v>
      </c>
      <c r="D6796" s="3" t="s">
        <v>19945</v>
      </c>
      <c r="E6796" s="3" t="s">
        <v>19946</v>
      </c>
      <c r="F6796" s="3" t="str">
        <f>"317-545-1261"</f>
        <v>317-545-1261</v>
      </c>
      <c r="G6796" s="3">
        <v>236220</v>
      </c>
      <c r="H6796" s="3" t="s">
        <v>598</v>
      </c>
    </row>
    <row r="6797" spans="1:8" ht="39" x14ac:dyDescent="0.25">
      <c r="A6797" s="3" t="s">
        <v>19947</v>
      </c>
      <c r="B6797" s="3"/>
      <c r="C6797" s="3" t="str">
        <f>"We have one of the largest selection of printer and office supplies in the Midwest. Guaranteed to beat any price."</f>
        <v>We have one of the largest selection of printer and office supplies in the Midwest. Guaranteed to beat any price.</v>
      </c>
      <c r="D6797" s="3" t="s">
        <v>9</v>
      </c>
      <c r="E6797" s="3" t="s">
        <v>19948</v>
      </c>
      <c r="F6797" s="3" t="str">
        <f>"219-838-5107"</f>
        <v>219-838-5107</v>
      </c>
      <c r="G6797" s="3">
        <v>45321</v>
      </c>
      <c r="H6797" s="3" t="s">
        <v>431</v>
      </c>
    </row>
    <row r="6798" spans="1:8" ht="64.5" x14ac:dyDescent="0.25">
      <c r="A6798" s="3" t="s">
        <v>19949</v>
      </c>
      <c r="B6798" s="3"/>
      <c r="C6798" s="3" t="str">
        <f>"Sales, Service, &amp; Installation of Automotive Shop Equipment such as lifts, compressors, workbenches, exhaust systems, tire changers, balancers, etc...all your shop needs."</f>
        <v>Sales, Service, &amp; Installation of Automotive Shop Equipment such as lifts, compressors, workbenches, exhaust systems, tire changers, balancers, etc...all your shop needs.</v>
      </c>
      <c r="D6798" s="3" t="s">
        <v>19950</v>
      </c>
      <c r="E6798" s="3" t="s">
        <v>19951</v>
      </c>
      <c r="F6798" s="3" t="str">
        <f>"317-773-8941"</f>
        <v>317-773-8941</v>
      </c>
      <c r="G6798" s="3">
        <v>2389</v>
      </c>
      <c r="H6798" s="3" t="s">
        <v>1236</v>
      </c>
    </row>
    <row r="6799" spans="1:8" ht="115.5" x14ac:dyDescent="0.25">
      <c r="A6799" s="3" t="s">
        <v>19952</v>
      </c>
      <c r="B6799" s="3"/>
      <c r="C6799" s="3" t="s">
        <v>19953</v>
      </c>
      <c r="D6799" s="3" t="s">
        <v>19954</v>
      </c>
      <c r="E6799" s="3" t="s">
        <v>19955</v>
      </c>
      <c r="F6799" s="3" t="str">
        <f>"1-877-313-4813"</f>
        <v>1-877-313-4813</v>
      </c>
      <c r="G6799" s="3">
        <v>44221</v>
      </c>
      <c r="H6799" s="3" t="s">
        <v>2301</v>
      </c>
    </row>
    <row r="6800" spans="1:8" ht="128.25" x14ac:dyDescent="0.25">
      <c r="A6800" s="3" t="s">
        <v>19956</v>
      </c>
      <c r="B6800" s="3"/>
      <c r="C6800" s="3" t="s">
        <v>19957</v>
      </c>
      <c r="D6800" s="3" t="s">
        <v>19958</v>
      </c>
      <c r="E6800" s="3" t="s">
        <v>19959</v>
      </c>
      <c r="F6800" s="3" t="str">
        <f>"317-575-0262"</f>
        <v>317-575-0262</v>
      </c>
      <c r="G6800" s="3">
        <v>321999</v>
      </c>
      <c r="H6800" s="3" t="s">
        <v>2185</v>
      </c>
    </row>
    <row r="6801" spans="1:8" ht="26.25" x14ac:dyDescent="0.25">
      <c r="A6801" s="3" t="s">
        <v>19960</v>
      </c>
      <c r="B6801" s="3"/>
      <c r="C6801" s="3" t="str">
        <f>"Stand and Patented keying systems;Locking hardware;Door related hardware"</f>
        <v>Stand and Patented keying systems;Locking hardware;Door related hardware</v>
      </c>
      <c r="D6801" s="3" t="s">
        <v>19961</v>
      </c>
      <c r="E6801" s="3" t="s">
        <v>19962</v>
      </c>
      <c r="F6801" s="3" t="str">
        <f>"877-674-5625"</f>
        <v>877-674-5625</v>
      </c>
      <c r="G6801" s="3">
        <v>423710</v>
      </c>
      <c r="H6801" s="3" t="s">
        <v>6956</v>
      </c>
    </row>
    <row r="6802" spans="1:8" ht="26.25" x14ac:dyDescent="0.25">
      <c r="A6802" s="3" t="s">
        <v>19963</v>
      </c>
      <c r="B6802" s="3"/>
      <c r="C6802" s="3" t="str">
        <f>"Education"</f>
        <v>Education</v>
      </c>
      <c r="D6802" s="3" t="s">
        <v>19964</v>
      </c>
      <c r="E6802" s="3" t="s">
        <v>19965</v>
      </c>
      <c r="F6802" s="3" t="str">
        <f>"812-749-4781"</f>
        <v>812-749-4781</v>
      </c>
      <c r="G6802" s="3">
        <v>611310</v>
      </c>
      <c r="H6802" s="3" t="s">
        <v>2063</v>
      </c>
    </row>
    <row r="6803" spans="1:8" ht="51.75" x14ac:dyDescent="0.25">
      <c r="A6803" s="3" t="s">
        <v>19966</v>
      </c>
      <c r="B6803" s="3"/>
      <c r="C6803" s="3" t="str">
        <f>"A free standing psychiatric hospital providing inpatient, residential, and outpatient mental health and substance abuse services."</f>
        <v>A free standing psychiatric hospital providing inpatient, residential, and outpatient mental health and substance abuse services.</v>
      </c>
      <c r="D6803" s="3" t="s">
        <v>19967</v>
      </c>
      <c r="E6803" s="3" t="s">
        <v>19968</v>
      </c>
      <c r="F6803" s="3" t="str">
        <f>"574-533-1234"</f>
        <v>574-533-1234</v>
      </c>
      <c r="G6803" s="3">
        <v>622210</v>
      </c>
      <c r="H6803" s="3" t="s">
        <v>9815</v>
      </c>
    </row>
    <row r="6804" spans="1:8" ht="26.25" x14ac:dyDescent="0.25">
      <c r="A6804" s="3" t="s">
        <v>19969</v>
      </c>
      <c r="B6804" s="3"/>
      <c r="C6804" s="3" t="str">
        <f>"Catering and Event Management Services at the Murat Shrine Temple"</f>
        <v>Catering and Event Management Services at the Murat Shrine Temple</v>
      </c>
      <c r="D6804" s="3" t="s">
        <v>3033</v>
      </c>
      <c r="E6804" s="3" t="s">
        <v>3034</v>
      </c>
      <c r="F6804" s="3" t="str">
        <f>"317-348-0006"</f>
        <v>317-348-0006</v>
      </c>
      <c r="G6804" s="3">
        <v>722310</v>
      </c>
      <c r="H6804" s="3" t="s">
        <v>3051</v>
      </c>
    </row>
    <row r="6805" spans="1:8" ht="51.75" x14ac:dyDescent="0.25">
      <c r="A6805" s="3" t="s">
        <v>19970</v>
      </c>
      <c r="B6805" s="3"/>
      <c r="C6805" s="3" t="str">
        <f>"Oberle &amp; Associates is a General Contractor specializing in Commercial Construction, Industrial Construction, and Millwright and Rigging."</f>
        <v>Oberle &amp; Associates is a General Contractor specializing in Commercial Construction, Industrial Construction, and Millwright and Rigging.</v>
      </c>
      <c r="D6805" s="3" t="s">
        <v>19971</v>
      </c>
      <c r="E6805" s="3" t="s">
        <v>46</v>
      </c>
      <c r="F6805" s="3" t="str">
        <f>"765-966-7715"</f>
        <v>765-966-7715</v>
      </c>
      <c r="G6805" s="3">
        <v>236</v>
      </c>
      <c r="H6805" s="3" t="s">
        <v>291</v>
      </c>
    </row>
    <row r="6806" spans="1:8" ht="179.25" x14ac:dyDescent="0.25">
      <c r="A6806" s="3" t="s">
        <v>19972</v>
      </c>
      <c r="B6806" s="3"/>
      <c r="C6806" s="3" t="s">
        <v>19973</v>
      </c>
      <c r="D6806" s="3" t="s">
        <v>19974</v>
      </c>
      <c r="E6806" s="3" t="s">
        <v>19975</v>
      </c>
      <c r="F6806" s="3" t="str">
        <f>"317-544-4328"</f>
        <v>317-544-4328</v>
      </c>
      <c r="G6806" s="3">
        <v>238220</v>
      </c>
      <c r="H6806" s="3" t="s">
        <v>348</v>
      </c>
    </row>
    <row r="6807" spans="1:8" ht="77.25" x14ac:dyDescent="0.25">
      <c r="A6807" s="3" t="s">
        <v>19976</v>
      </c>
      <c r="B6807" s="3"/>
      <c r="C6807" s="3" t="str">
        <f>"We have demostic and foreign travel maps, business and ZIP code maps, topos, navigational charts, globes, travel guides. Services provided, dry mounting, lamenating and framing. We also have antique maps and reproductions."</f>
        <v>We have demostic and foreign travel maps, business and ZIP code maps, topos, navigational charts, globes, travel guides. Services provided, dry mounting, lamenating and framing. We also have antique maps and reproductions.</v>
      </c>
      <c r="D6807" s="3" t="s">
        <v>9</v>
      </c>
      <c r="E6807" s="3" t="s">
        <v>46</v>
      </c>
      <c r="F6807" s="3" t="str">
        <f>"317-635-3837"</f>
        <v>317-635-3837</v>
      </c>
      <c r="G6807" s="3">
        <v>44</v>
      </c>
      <c r="H6807" s="3" t="s">
        <v>574</v>
      </c>
    </row>
    <row r="6808" spans="1:8" ht="306.75" x14ac:dyDescent="0.25">
      <c r="A6808" s="3" t="s">
        <v>19977</v>
      </c>
      <c r="B6808" s="3"/>
      <c r="C6808" s="3" t="s">
        <v>19978</v>
      </c>
      <c r="D6808" s="3" t="s">
        <v>19979</v>
      </c>
      <c r="E6808" s="3" t="s">
        <v>46</v>
      </c>
      <c r="F6808" s="3" t="str">
        <f>"574-257-7555"</f>
        <v>574-257-7555</v>
      </c>
      <c r="G6808" s="3">
        <v>541710</v>
      </c>
      <c r="H6808" s="3" t="s">
        <v>3733</v>
      </c>
    </row>
    <row r="6809" spans="1:8" ht="128.25" x14ac:dyDescent="0.25">
      <c r="A6809" s="3" t="s">
        <v>19980</v>
      </c>
      <c r="B6809" s="3"/>
      <c r="C6809" s="3" t="s">
        <v>19981</v>
      </c>
      <c r="D6809" s="3" t="s">
        <v>9</v>
      </c>
      <c r="E6809" s="3" t="s">
        <v>19982</v>
      </c>
      <c r="F6809" s="3" t="str">
        <f>"260.424.6743"</f>
        <v>260.424.6743</v>
      </c>
      <c r="G6809" s="3">
        <v>446110</v>
      </c>
      <c r="H6809" s="3" t="s">
        <v>3738</v>
      </c>
    </row>
    <row r="6810" spans="1:8" ht="51.75" x14ac:dyDescent="0.25">
      <c r="A6810" s="3" t="s">
        <v>19983</v>
      </c>
      <c r="B6810" s="3"/>
      <c r="C6810" s="3" t="str">
        <f>"I am an small Indiana owned business located in Greenfield, IN, Hancock County, who sells office supplies, office furniture, printing, copy service, etc."</f>
        <v>I am an small Indiana owned business located in Greenfield, IN, Hancock County, who sells office supplies, office furniture, printing, copy service, etc.</v>
      </c>
      <c r="D6810" s="3" t="s">
        <v>19984</v>
      </c>
      <c r="E6810" s="3" t="s">
        <v>19985</v>
      </c>
      <c r="F6810" s="3" t="str">
        <f>"317-462-4274"</f>
        <v>317-462-4274</v>
      </c>
      <c r="G6810" s="3">
        <v>453210</v>
      </c>
      <c r="H6810" s="3" t="s">
        <v>431</v>
      </c>
    </row>
    <row r="6811" spans="1:8" ht="51.75" x14ac:dyDescent="0.25">
      <c r="A6811" s="3" t="s">
        <v>19986</v>
      </c>
      <c r="B6811" s="3"/>
      <c r="C6811" s="3" t="str">
        <f>"Office products including office supplies, printing, forms, office furniture, computer printer ink and toner, office machines, copy service, coffee service."</f>
        <v>Office products including office supplies, printing, forms, office furniture, computer printer ink and toner, office machines, copy service, coffee service.</v>
      </c>
      <c r="D6811" s="3" t="s">
        <v>9</v>
      </c>
      <c r="E6811" s="3" t="s">
        <v>19987</v>
      </c>
      <c r="F6811" s="3" t="str">
        <f>"765-529-3900"</f>
        <v>765-529-3900</v>
      </c>
      <c r="G6811" s="3">
        <v>45321</v>
      </c>
      <c r="H6811" s="3" t="s">
        <v>431</v>
      </c>
    </row>
    <row r="6812" spans="1:8" ht="26.25" x14ac:dyDescent="0.25">
      <c r="A6812" s="3" t="s">
        <v>19988</v>
      </c>
      <c r="B6812" s="3"/>
      <c r="C6812" s="2"/>
      <c r="D6812" s="3" t="s">
        <v>9</v>
      </c>
      <c r="E6812" s="3" t="s">
        <v>46</v>
      </c>
      <c r="F6812" s="3" t="str">
        <f>"260-484-0451"</f>
        <v>260-484-0451</v>
      </c>
      <c r="G6812" s="3">
        <v>333313</v>
      </c>
      <c r="H6812" s="3" t="s">
        <v>19989</v>
      </c>
    </row>
    <row r="6813" spans="1:8" ht="64.5" x14ac:dyDescent="0.25">
      <c r="A6813" s="3" t="s">
        <v>19990</v>
      </c>
      <c r="B6813" s="3"/>
      <c r="C6813" s="3" t="str">
        <f>"We offer a comprehensive package of products and services,including Business Relocation, Workspace Design, Build-out/Construction, New/Used Furniture, and Office Cleaning."</f>
        <v>We offer a comprehensive package of products and services,including Business Relocation, Workspace Design, Build-out/Construction, New/Used Furniture, and Office Cleaning.</v>
      </c>
      <c r="D6813" s="3" t="s">
        <v>19991</v>
      </c>
      <c r="E6813" s="3" t="s">
        <v>19992</v>
      </c>
      <c r="F6813" s="3" t="str">
        <f>"317-865-1392"</f>
        <v>317-865-1392</v>
      </c>
      <c r="G6813" s="3">
        <v>561720</v>
      </c>
      <c r="H6813" s="3" t="s">
        <v>222</v>
      </c>
    </row>
    <row r="6814" spans="1:8" ht="39" x14ac:dyDescent="0.25">
      <c r="A6814" s="3" t="s">
        <v>19993</v>
      </c>
      <c r="B6814" s="3"/>
      <c r="C6814" s="3" t="str">
        <f>"Business paper/ forms; product neutral network design, implementation and management."</f>
        <v>Business paper/ forms; product neutral network design, implementation and management.</v>
      </c>
      <c r="D6814" s="3" t="s">
        <v>19994</v>
      </c>
      <c r="E6814" s="3" t="s">
        <v>19995</v>
      </c>
      <c r="F6814" s="3" t="str">
        <f>"317-809-3202"</f>
        <v>317-809-3202</v>
      </c>
      <c r="G6814" s="3">
        <v>4241</v>
      </c>
      <c r="H6814" s="3" t="s">
        <v>19996</v>
      </c>
    </row>
    <row r="6815" spans="1:8" ht="102.75" x14ac:dyDescent="0.25">
      <c r="A6815" s="3" t="s">
        <v>19997</v>
      </c>
      <c r="B6815" s="3"/>
      <c r="C6815" s="3" t="s">
        <v>19998</v>
      </c>
      <c r="D6815" s="3" t="s">
        <v>19999</v>
      </c>
      <c r="E6815" s="3" t="s">
        <v>20000</v>
      </c>
      <c r="F6815" s="3" t="str">
        <f>"317-686-5754"</f>
        <v>317-686-5754</v>
      </c>
      <c r="G6815" s="3">
        <v>45321</v>
      </c>
      <c r="H6815" s="3" t="s">
        <v>431</v>
      </c>
    </row>
    <row r="6816" spans="1:8" ht="51.75" x14ac:dyDescent="0.25">
      <c r="A6816" s="3" t="s">
        <v>20001</v>
      </c>
      <c r="B6816" s="3"/>
      <c r="C6816" s="3" t="str">
        <f>"Serving East Central Indiana with Office Supplies, Office Furniture, Janitorial Supplies and Chemicals, Breakroom, Promotional Items."</f>
        <v>Serving East Central Indiana with Office Supplies, Office Furniture, Janitorial Supplies and Chemicals, Breakroom, Promotional Items.</v>
      </c>
      <c r="D6816" s="3" t="s">
        <v>20002</v>
      </c>
      <c r="E6816" s="3" t="s">
        <v>20003</v>
      </c>
      <c r="F6816" s="3" t="str">
        <f>"765-962-5543"</f>
        <v>765-962-5543</v>
      </c>
      <c r="G6816" s="3">
        <v>322231</v>
      </c>
      <c r="H6816" s="3" t="s">
        <v>20004</v>
      </c>
    </row>
    <row r="6817" spans="1:8" ht="51.75" x14ac:dyDescent="0.25">
      <c r="A6817" s="3" t="s">
        <v>20005</v>
      </c>
      <c r="B6817" s="3"/>
      <c r="C6817" s="3" t="str">
        <f>"Spanish/English Interpretation/Translation Services. State Court Certified in Indiana and Kentucky. Twelve years experience. Excellent references. Competitive prices."</f>
        <v>Spanish/English Interpretation/Translation Services. State Court Certified in Indiana and Kentucky. Twelve years experience. Excellent references. Competitive prices.</v>
      </c>
      <c r="D6817" s="3" t="s">
        <v>9</v>
      </c>
      <c r="E6817" s="3" t="s">
        <v>20006</v>
      </c>
      <c r="F6817" s="3" t="str">
        <f>"502/356-4166"</f>
        <v>502/356-4166</v>
      </c>
      <c r="G6817" s="3">
        <v>541930</v>
      </c>
      <c r="H6817" s="3" t="s">
        <v>971</v>
      </c>
    </row>
    <row r="6818" spans="1:8" ht="26.25" x14ac:dyDescent="0.25">
      <c r="A6818" s="3" t="s">
        <v>20007</v>
      </c>
      <c r="B6818" s="3"/>
      <c r="C6818" s="3" t="str">
        <f>"OFFICE FURNITURE SALES"</f>
        <v>OFFICE FURNITURE SALES</v>
      </c>
      <c r="D6818" s="3" t="s">
        <v>20008</v>
      </c>
      <c r="E6818" s="3" t="s">
        <v>46</v>
      </c>
      <c r="F6818" s="3" t="str">
        <f>"317-577-3510"</f>
        <v>317-577-3510</v>
      </c>
      <c r="G6818" s="3">
        <v>4232</v>
      </c>
      <c r="H6818" s="3" t="s">
        <v>14487</v>
      </c>
    </row>
    <row r="6819" spans="1:8" ht="90" x14ac:dyDescent="0.25">
      <c r="A6819" s="3" t="s">
        <v>20009</v>
      </c>
      <c r="B6819" s="3"/>
      <c r="C6819" s="3" t="s">
        <v>20010</v>
      </c>
      <c r="D6819" s="3" t="s">
        <v>20011</v>
      </c>
      <c r="E6819" s="3" t="s">
        <v>20012</v>
      </c>
      <c r="F6819" s="3" t="str">
        <f>"5139317448"</f>
        <v>5139317448</v>
      </c>
      <c r="G6819" s="3">
        <v>561612</v>
      </c>
      <c r="H6819" s="3" t="s">
        <v>362</v>
      </c>
    </row>
    <row r="6820" spans="1:8" ht="102.75" x14ac:dyDescent="0.25">
      <c r="A6820" s="3" t="s">
        <v>20013</v>
      </c>
      <c r="B6820" s="3"/>
      <c r="C6820" s="3" t="s">
        <v>20014</v>
      </c>
      <c r="D6820" s="3" t="s">
        <v>9</v>
      </c>
      <c r="E6820" s="3" t="s">
        <v>20015</v>
      </c>
      <c r="F6820" s="3" t="str">
        <f>"317.509.3296"</f>
        <v>317.509.3296</v>
      </c>
      <c r="G6820" s="3">
        <v>624190</v>
      </c>
      <c r="H6820" s="3" t="s">
        <v>54</v>
      </c>
    </row>
    <row r="6821" spans="1:8" ht="128.25" x14ac:dyDescent="0.25">
      <c r="A6821" s="3" t="s">
        <v>20016</v>
      </c>
      <c r="B6821" s="3"/>
      <c r="C6821" s="3" t="s">
        <v>20017</v>
      </c>
      <c r="D6821" s="3" t="s">
        <v>9</v>
      </c>
      <c r="E6821" s="3" t="s">
        <v>20018</v>
      </c>
      <c r="F6821" s="3" t="str">
        <f>"812-423-4286"</f>
        <v>812-423-4286</v>
      </c>
      <c r="G6821" s="3">
        <v>238220</v>
      </c>
      <c r="H6821" s="3" t="s">
        <v>348</v>
      </c>
    </row>
    <row r="6822" spans="1:8" ht="77.25" x14ac:dyDescent="0.25">
      <c r="A6822" s="3" t="s">
        <v>20019</v>
      </c>
      <c r="B6822" s="3"/>
      <c r="C6822" s="3" t="str">
        <f>"We are an Underground Utility Construction Company. We specialize in both distribution and main line Natural Gas Pipelines. We install both plastic and steel lines. As small as 2 inch and as large as 24 inch. We also do Directional Boring."</f>
        <v>We are an Underground Utility Construction Company. We specialize in both distribution and main line Natural Gas Pipelines. We install both plastic and steel lines. As small as 2 inch and as large as 24 inch. We also do Directional Boring.</v>
      </c>
      <c r="D6822" s="3" t="s">
        <v>9</v>
      </c>
      <c r="E6822" s="3" t="s">
        <v>46</v>
      </c>
      <c r="F6822" s="2"/>
      <c r="G6822" s="3">
        <v>237120</v>
      </c>
      <c r="H6822" s="3" t="s">
        <v>20020</v>
      </c>
    </row>
    <row r="6823" spans="1:8" ht="26.25" x14ac:dyDescent="0.25">
      <c r="A6823" s="3" t="s">
        <v>20021</v>
      </c>
      <c r="B6823" s="3"/>
      <c r="C6823" s="3" t="str">
        <f>"Ohio Valley Search and Rescue Team in Evansville, Indiana"</f>
        <v>Ohio Valley Search and Rescue Team in Evansville, Indiana</v>
      </c>
      <c r="D6823" s="3" t="s">
        <v>20022</v>
      </c>
      <c r="E6823" s="3" t="s">
        <v>46</v>
      </c>
      <c r="F6823" s="2"/>
      <c r="G6823" s="3">
        <v>621910</v>
      </c>
      <c r="H6823" s="3" t="s">
        <v>18321</v>
      </c>
    </row>
    <row r="6824" spans="1:8" ht="77.25" x14ac:dyDescent="0.25">
      <c r="A6824" s="3" t="s">
        <v>20023</v>
      </c>
      <c r="B6824" s="3"/>
      <c r="C6824" s="3" t="str">
        <f>"Metal Fabrication plant. We fabricate steel and aluminum fixtures, tools, equipment, trailers. We custom design and prototype fabrication. Both the President and Vice Presidents are Mechanical Engineering with over 30 years of combined experience"</f>
        <v>Metal Fabrication plant. We fabricate steel and aluminum fixtures, tools, equipment, trailers. We custom design and prototype fabrication. Both the President and Vice Presidents are Mechanical Engineering with over 30 years of combined experience</v>
      </c>
      <c r="D6824" s="3" t="s">
        <v>20024</v>
      </c>
      <c r="E6824" s="3" t="s">
        <v>20025</v>
      </c>
      <c r="F6824" s="3" t="str">
        <f>"8128795455"</f>
        <v>8128795455</v>
      </c>
      <c r="G6824" s="3">
        <v>332322</v>
      </c>
      <c r="H6824" s="3" t="s">
        <v>2534</v>
      </c>
    </row>
    <row r="6825" spans="1:8" ht="26.25" x14ac:dyDescent="0.25">
      <c r="A6825" s="3" t="s">
        <v>20026</v>
      </c>
      <c r="B6825" s="3"/>
      <c r="C6825" s="3" t="str">
        <f>" "</f>
        <v xml:space="preserve"> </v>
      </c>
      <c r="D6825" s="3" t="s">
        <v>9</v>
      </c>
      <c r="E6825" s="3" t="s">
        <v>20027</v>
      </c>
      <c r="F6825" s="3" t="str">
        <f>"8126901685"</f>
        <v>8126901685</v>
      </c>
      <c r="G6825" s="3">
        <v>561730</v>
      </c>
      <c r="H6825" s="3" t="s">
        <v>65</v>
      </c>
    </row>
    <row r="6826" spans="1:8" ht="90" x14ac:dyDescent="0.25">
      <c r="A6826" s="3" t="s">
        <v>20028</v>
      </c>
      <c r="B6826" s="3"/>
      <c r="C6826" s="3" t="str">
        <f>"Amish hamndcrafted retail furniture store. Tables, chairs, office furniture, desk, cabinets, bookcases, bedroom furniture, living room furniture, hickory, rustic hickory and log funriture. Family owned and operated with all employees residing in Indiana."</f>
        <v>Amish hamndcrafted retail furniture store. Tables, chairs, office furniture, desk, cabinets, bookcases, bedroom furniture, living room furniture, hickory, rustic hickory and log funriture. Family owned and operated with all employees residing in Indiana.</v>
      </c>
      <c r="D6826" s="3" t="s">
        <v>20029</v>
      </c>
      <c r="E6826" s="3" t="s">
        <v>20030</v>
      </c>
      <c r="F6826" s="3" t="str">
        <f>"260/768-8003"</f>
        <v>260/768-8003</v>
      </c>
      <c r="G6826" s="3">
        <v>442110</v>
      </c>
      <c r="H6826" s="3" t="s">
        <v>117</v>
      </c>
    </row>
    <row r="6827" spans="1:8" ht="90" x14ac:dyDescent="0.25">
      <c r="A6827" s="3" t="s">
        <v>20031</v>
      </c>
      <c r="B6827" s="3"/>
      <c r="C6827" s="3" t="s">
        <v>20032</v>
      </c>
      <c r="D6827" s="3" t="s">
        <v>20033</v>
      </c>
      <c r="E6827" s="3" t="s">
        <v>20034</v>
      </c>
      <c r="F6827" s="3" t="str">
        <f>"765-962-2933"</f>
        <v>765-962-2933</v>
      </c>
      <c r="G6827" s="3">
        <v>238</v>
      </c>
      <c r="H6827" s="3" t="s">
        <v>397</v>
      </c>
    </row>
    <row r="6828" spans="1:8" ht="39" x14ac:dyDescent="0.25">
      <c r="A6828" s="3" t="s">
        <v>20035</v>
      </c>
      <c r="B6828" s="3"/>
      <c r="C6828" s="3" t="str">
        <f>"Web site design and development, Internet marketing and social networking, and print and graphic design services."</f>
        <v>Web site design and development, Internet marketing and social networking, and print and graphic design services.</v>
      </c>
      <c r="D6828" s="3" t="s">
        <v>20036</v>
      </c>
      <c r="E6828" s="3" t="s">
        <v>20037</v>
      </c>
      <c r="F6828" s="3" t="str">
        <f>"317-679-6711"</f>
        <v>317-679-6711</v>
      </c>
      <c r="G6828" s="3">
        <v>541511</v>
      </c>
      <c r="H6828" s="3" t="s">
        <v>122</v>
      </c>
    </row>
    <row r="6829" spans="1:8" ht="39" x14ac:dyDescent="0.25">
      <c r="A6829" s="3" t="s">
        <v>20038</v>
      </c>
      <c r="B6829" s="3"/>
      <c r="C6829" s="3" t="str">
        <f>"Landscape Installation, Lawn/Landscape Maintenance, Grade Work and Grass Seeding"</f>
        <v>Landscape Installation, Lawn/Landscape Maintenance, Grade Work and Grass Seeding</v>
      </c>
      <c r="D6829" s="3" t="s">
        <v>9</v>
      </c>
      <c r="E6829" s="3" t="s">
        <v>20039</v>
      </c>
      <c r="F6829" s="3" t="str">
        <f>"765-520-8009"</f>
        <v>765-520-8009</v>
      </c>
      <c r="G6829" s="3">
        <v>561730</v>
      </c>
      <c r="H6829" s="3" t="s">
        <v>65</v>
      </c>
    </row>
    <row r="6830" spans="1:8" ht="90" x14ac:dyDescent="0.25">
      <c r="A6830" s="3" t="s">
        <v>20040</v>
      </c>
      <c r="B6830" s="3"/>
      <c r="C6830" s="3" t="s">
        <v>20041</v>
      </c>
      <c r="D6830" s="3" t="s">
        <v>20042</v>
      </c>
      <c r="E6830" s="3" t="s">
        <v>20043</v>
      </c>
      <c r="F6830" s="3" t="str">
        <f>"317-508-6065"</f>
        <v>317-508-6065</v>
      </c>
      <c r="G6830" s="3">
        <v>541820</v>
      </c>
      <c r="H6830" s="3" t="s">
        <v>795</v>
      </c>
    </row>
    <row r="6831" spans="1:8" ht="51.75" x14ac:dyDescent="0.25">
      <c r="A6831" s="3" t="s">
        <v>20044</v>
      </c>
      <c r="B6831" s="3"/>
      <c r="C6831" s="3" t="str">
        <f>"A commercial real estate brokerage company specializing in the lease and sale of office, retail and industrial property, and the sale of land and investment property."</f>
        <v>A commercial real estate brokerage company specializing in the lease and sale of office, retail and industrial property, and the sale of land and investment property.</v>
      </c>
      <c r="D6831" s="3" t="s">
        <v>20045</v>
      </c>
      <c r="E6831" s="3" t="s">
        <v>20046</v>
      </c>
      <c r="F6831" s="3" t="str">
        <f>"317.264.9400"</f>
        <v>317.264.9400</v>
      </c>
      <c r="G6831" s="3">
        <v>531210</v>
      </c>
      <c r="H6831" s="3" t="s">
        <v>1101</v>
      </c>
    </row>
    <row r="6832" spans="1:8" ht="39" x14ac:dyDescent="0.25">
      <c r="A6832" s="3" t="s">
        <v>20047</v>
      </c>
      <c r="B6832" s="3"/>
      <c r="C6832" s="3" t="str">
        <f>"We sell cleaning and maintenance supplies, to include: paper products, chemicals, floor care machines, and lightbulbs."</f>
        <v>We sell cleaning and maintenance supplies, to include: paper products, chemicals, floor care machines, and lightbulbs.</v>
      </c>
      <c r="D6832" s="3" t="s">
        <v>9</v>
      </c>
      <c r="E6832" s="3" t="s">
        <v>20048</v>
      </c>
      <c r="F6832" s="3" t="str">
        <f>"317-547-6161"</f>
        <v>317-547-6161</v>
      </c>
      <c r="G6832" s="3">
        <v>423850</v>
      </c>
      <c r="H6832" s="3" t="s">
        <v>419</v>
      </c>
    </row>
    <row r="6833" spans="1:8" ht="64.5" x14ac:dyDescent="0.25">
      <c r="A6833" s="3" t="s">
        <v>20049</v>
      </c>
      <c r="B6833" s="3"/>
      <c r="C6833" s="3" t="str">
        <f>"We sell outdoor advertising space in Indiana. We will work with our clients to maximize their opportunity from creative advertisements and will offer them space on our large number of billboard structures."</f>
        <v>We sell outdoor advertising space in Indiana. We will work with our clients to maximize their opportunity from creative advertisements and will offer them space on our large number of billboard structures.</v>
      </c>
      <c r="D6833" s="3" t="s">
        <v>20050</v>
      </c>
      <c r="E6833" s="3" t="s">
        <v>20051</v>
      </c>
      <c r="F6833" s="3" t="str">
        <f>"317-598-7000"</f>
        <v>317-598-7000</v>
      </c>
      <c r="G6833" s="3">
        <v>5418</v>
      </c>
      <c r="H6833" s="3" t="s">
        <v>1337</v>
      </c>
    </row>
    <row r="6834" spans="1:8" ht="294" x14ac:dyDescent="0.25">
      <c r="A6834" s="3" t="s">
        <v>20052</v>
      </c>
      <c r="B6834" s="3"/>
      <c r="C6834" s="3" t="s">
        <v>20053</v>
      </c>
      <c r="D6834" s="3" t="s">
        <v>20054</v>
      </c>
      <c r="E6834" s="3" t="s">
        <v>20055</v>
      </c>
      <c r="F6834" s="3" t="str">
        <f>"847-367-6383"</f>
        <v>847-367-6383</v>
      </c>
      <c r="G6834" s="3">
        <v>611</v>
      </c>
      <c r="H6834" s="3" t="s">
        <v>140</v>
      </c>
    </row>
    <row r="6835" spans="1:8" ht="26.25" x14ac:dyDescent="0.25">
      <c r="A6835" s="3" t="s">
        <v>20056</v>
      </c>
      <c r="B6835" s="3"/>
      <c r="C6835" s="3" t="str">
        <f>"Commercial and industrial painting contractor"</f>
        <v>Commercial and industrial painting contractor</v>
      </c>
      <c r="D6835" s="3" t="s">
        <v>20057</v>
      </c>
      <c r="E6835" s="3" t="s">
        <v>20058</v>
      </c>
      <c r="F6835" s="3" t="str">
        <f>"317-333-6955"</f>
        <v>317-333-6955</v>
      </c>
      <c r="G6835" s="3">
        <v>238320</v>
      </c>
      <c r="H6835" s="3" t="s">
        <v>462</v>
      </c>
    </row>
    <row r="6836" spans="1:8" ht="64.5" x14ac:dyDescent="0.25">
      <c r="A6836" s="3" t="s">
        <v>20059</v>
      </c>
      <c r="B6836" s="3"/>
      <c r="C6836" s="3" t="str">
        <f>"Paper &amp; Plastic packaging converter, including corrugated boxes, chip board, labels, film, foam, molded pulp, cores, vacuum forming, injection molding and molded polystyrene."</f>
        <v>Paper &amp; Plastic packaging converter, including corrugated boxes, chip board, labels, film, foam, molded pulp, cores, vacuum forming, injection molding and molded polystyrene.</v>
      </c>
      <c r="D6836" s="3" t="s">
        <v>20060</v>
      </c>
      <c r="E6836" s="3" t="s">
        <v>20061</v>
      </c>
      <c r="F6836" s="3" t="str">
        <f>"317-695-4777"</f>
        <v>317-695-4777</v>
      </c>
      <c r="G6836" s="3">
        <v>32221</v>
      </c>
      <c r="H6836" s="3" t="s">
        <v>20062</v>
      </c>
    </row>
    <row r="6837" spans="1:8" ht="90" x14ac:dyDescent="0.25">
      <c r="A6837" s="3" t="s">
        <v>20063</v>
      </c>
      <c r="B6837" s="3"/>
      <c r="C6837" s="3" t="str">
        <f>"Drug detection at home,workplace or school,Drug-free workplace documentation and certification ,court DNA and paternity tests,Alcohol testing,hair folicule drug testing,Steroid testing,Professional investigation and background checks at all levels"</f>
        <v>Drug detection at home,workplace or school,Drug-free workplace documentation and certification ,court DNA and paternity tests,Alcohol testing,hair folicule drug testing,Steroid testing,Professional investigation and background checks at all levels</v>
      </c>
      <c r="D6837" s="3" t="s">
        <v>20064</v>
      </c>
      <c r="E6837" s="3" t="s">
        <v>20065</v>
      </c>
      <c r="F6837" s="3" t="str">
        <f>"317-595-0725"</f>
        <v>317-595-0725</v>
      </c>
      <c r="G6837" s="3">
        <v>62151</v>
      </c>
      <c r="H6837" s="3" t="s">
        <v>9841</v>
      </c>
    </row>
    <row r="6838" spans="1:8" ht="51.75" x14ac:dyDescent="0.25">
      <c r="A6838" s="3" t="s">
        <v>20066</v>
      </c>
      <c r="B6838" s="3"/>
      <c r="C6838" s="3" t="str">
        <f>"OmniSource Marketing Group, Inc. is a full service promotional agency, specializing in graphic design, decorated apparel and promotional products"</f>
        <v>OmniSource Marketing Group, Inc. is a full service promotional agency, specializing in graphic design, decorated apparel and promotional products</v>
      </c>
      <c r="D6838" s="3" t="s">
        <v>20067</v>
      </c>
      <c r="E6838" s="3" t="s">
        <v>20068</v>
      </c>
      <c r="F6838" s="3" t="str">
        <f>"317-541-1234"</f>
        <v>317-541-1234</v>
      </c>
      <c r="G6838" s="3">
        <v>323110</v>
      </c>
      <c r="H6838" s="3" t="s">
        <v>1900</v>
      </c>
    </row>
    <row r="6839" spans="1:8" ht="51.75" x14ac:dyDescent="0.25">
      <c r="A6839" s="3" t="s">
        <v>20069</v>
      </c>
      <c r="B6839" s="3"/>
      <c r="C6839" s="3" t="str">
        <f>"On 3 Photography provides corporate, event, head shot's and portrait photography. Onsite printing also available for events."</f>
        <v>On 3 Photography provides corporate, event, head shot's and portrait photography. Onsite printing also available for events.</v>
      </c>
      <c r="D6839" s="3" t="s">
        <v>20070</v>
      </c>
      <c r="E6839" s="3" t="s">
        <v>20071</v>
      </c>
      <c r="F6839" s="3" t="str">
        <f>"317-213-6949"</f>
        <v>317-213-6949</v>
      </c>
      <c r="G6839" s="3">
        <v>541921</v>
      </c>
      <c r="H6839" s="3" t="s">
        <v>1325</v>
      </c>
    </row>
    <row r="6840" spans="1:8" ht="90" x14ac:dyDescent="0.25">
      <c r="A6840" s="3" t="s">
        <v>20072</v>
      </c>
      <c r="B6840" s="3"/>
      <c r="C6840" s="3" t="str">
        <f>"On Demand Staffing, Inc. is a staffing company based out of Indianapolis, Indiana. We staff many companies in and around the Indianapolis area. On Demand Staffing core business is general labor, clean-up, construction, clerical, banquets, and much more."</f>
        <v>On Demand Staffing, Inc. is a staffing company based out of Indianapolis, Indiana. We staff many companies in and around the Indianapolis area. On Demand Staffing core business is general labor, clean-up, construction, clerical, banquets, and much more.</v>
      </c>
      <c r="D6840" s="3" t="s">
        <v>20073</v>
      </c>
      <c r="E6840" s="3" t="s">
        <v>46</v>
      </c>
      <c r="F6840" s="3" t="str">
        <f>"317.635.7736"</f>
        <v>317.635.7736</v>
      </c>
      <c r="G6840" s="3">
        <v>561310</v>
      </c>
      <c r="H6840" s="3" t="s">
        <v>1720</v>
      </c>
    </row>
    <row r="6841" spans="1:8" ht="166.5" x14ac:dyDescent="0.25">
      <c r="A6841" s="3" t="s">
        <v>20074</v>
      </c>
      <c r="B6841" s="3"/>
      <c r="C6841" s="3" t="s">
        <v>20075</v>
      </c>
      <c r="D6841" s="3" t="s">
        <v>9</v>
      </c>
      <c r="E6841" s="3" t="s">
        <v>20076</v>
      </c>
      <c r="F6841" s="3" t="str">
        <f>"317 407 2904"</f>
        <v>317 407 2904</v>
      </c>
      <c r="G6841" s="3">
        <v>541921</v>
      </c>
      <c r="H6841" s="3" t="s">
        <v>1325</v>
      </c>
    </row>
    <row r="6842" spans="1:8" ht="39" x14ac:dyDescent="0.25">
      <c r="A6842" s="3" t="s">
        <v>20077</v>
      </c>
      <c r="B6842" s="3"/>
      <c r="C6842" s="3" t="str">
        <f>"We help our clients create and maintain brand awareness through promotional products and decorated apparel."</f>
        <v>We help our clients create and maintain brand awareness through promotional products and decorated apparel.</v>
      </c>
      <c r="D6842" s="3" t="s">
        <v>20078</v>
      </c>
      <c r="E6842" s="3" t="s">
        <v>20079</v>
      </c>
      <c r="F6842" s="3" t="str">
        <f>"317-762-4309"</f>
        <v>317-762-4309</v>
      </c>
      <c r="G6842" s="3">
        <v>541810</v>
      </c>
      <c r="H6842" s="3" t="s">
        <v>976</v>
      </c>
    </row>
    <row r="6843" spans="1:8" ht="77.25" x14ac:dyDescent="0.25">
      <c r="A6843" s="3" t="s">
        <v>20080</v>
      </c>
      <c r="B6843" s="3"/>
      <c r="C6843" s="3" t="str">
        <f>"On The Scene provides crime scene, trauma scene, unattended death, decomposition, and odor elimination restoration services throughout the state of Indiana. We service apartments, homes, condos, all vehicle types, and more. We are OSHA compliant"</f>
        <v>On The Scene provides crime scene, trauma scene, unattended death, decomposition, and odor elimination restoration services throughout the state of Indiana. We service apartments, homes, condos, all vehicle types, and more. We are OSHA compliant</v>
      </c>
      <c r="D6843" s="3" t="s">
        <v>20081</v>
      </c>
      <c r="E6843" s="3" t="s">
        <v>20082</v>
      </c>
      <c r="F6843" s="3" t="str">
        <f>"317 581 0687"</f>
        <v>317 581 0687</v>
      </c>
      <c r="G6843" s="3">
        <v>561720</v>
      </c>
      <c r="H6843" s="3" t="s">
        <v>222</v>
      </c>
    </row>
    <row r="6844" spans="1:8" ht="51.75" x14ac:dyDescent="0.25">
      <c r="A6844" s="3" t="s">
        <v>20083</v>
      </c>
      <c r="B6844" s="3"/>
      <c r="C6844" s="3" t="str">
        <f>"We provide quality repair and service of industrial, construction, and agricultural equipment at your location or in our shop by ASE certified mechanics."</f>
        <v>We provide quality repair and service of industrial, construction, and agricultural equipment at your location or in our shop by ASE certified mechanics.</v>
      </c>
      <c r="D6844" s="3" t="s">
        <v>20084</v>
      </c>
      <c r="E6844" s="3" t="s">
        <v>20085</v>
      </c>
      <c r="F6844" s="3" t="str">
        <f>"574-291-1095"</f>
        <v>574-291-1095</v>
      </c>
      <c r="G6844" s="3">
        <v>81111</v>
      </c>
      <c r="H6844" s="3" t="s">
        <v>96</v>
      </c>
    </row>
    <row r="6845" spans="1:8" ht="153.75" x14ac:dyDescent="0.25">
      <c r="A6845" s="3" t="s">
        <v>20086</v>
      </c>
      <c r="B6845" s="3"/>
      <c r="C6845" s="3" t="s">
        <v>20087</v>
      </c>
      <c r="D6845" s="3" t="s">
        <v>9</v>
      </c>
      <c r="E6845" s="3" t="s">
        <v>20088</v>
      </c>
      <c r="F6845" s="3" t="str">
        <f>"317-858-3666"</f>
        <v>317-858-3666</v>
      </c>
      <c r="G6845" s="3">
        <v>424950</v>
      </c>
      <c r="H6845" s="3" t="s">
        <v>7232</v>
      </c>
    </row>
    <row r="6846" spans="1:8" ht="51.75" x14ac:dyDescent="0.25">
      <c r="A6846" s="3" t="s">
        <v>20089</v>
      </c>
      <c r="B6846" s="3"/>
      <c r="C6846" s="3" t="str">
        <f>"We are a small real estate firm in Columbia City, IN. We represent buyers and sellers in real estate transactions both residential and commercial."</f>
        <v>We are a small real estate firm in Columbia City, IN. We represent buyers and sellers in real estate transactions both residential and commercial.</v>
      </c>
      <c r="D6846" s="3" t="s">
        <v>20090</v>
      </c>
      <c r="E6846" s="3" t="s">
        <v>20091</v>
      </c>
      <c r="F6846" s="3" t="str">
        <f>"260-248-8333"</f>
        <v>260-248-8333</v>
      </c>
      <c r="G6846" s="3">
        <v>531210</v>
      </c>
      <c r="H6846" s="3" t="s">
        <v>1101</v>
      </c>
    </row>
    <row r="6847" spans="1:8" ht="51.75" x14ac:dyDescent="0.25">
      <c r="A6847" s="3" t="s">
        <v>20092</v>
      </c>
      <c r="B6847" s="3"/>
      <c r="C6847" s="3" t="str">
        <f>"We are a full service interior design firm, offering complete space planning services, selection and sales of interior finishes, window treatments and interior furnishings."</f>
        <v>We are a full service interior design firm, offering complete space planning services, selection and sales of interior finishes, window treatments and interior furnishings.</v>
      </c>
      <c r="D6847" s="3" t="s">
        <v>20093</v>
      </c>
      <c r="E6847" s="3" t="s">
        <v>20094</v>
      </c>
      <c r="F6847" s="3" t="str">
        <f>"765-452-4442"</f>
        <v>765-452-4442</v>
      </c>
      <c r="G6847" s="3">
        <v>541410</v>
      </c>
      <c r="H6847" s="3" t="s">
        <v>687</v>
      </c>
    </row>
    <row r="6848" spans="1:8" ht="51.75" x14ac:dyDescent="0.25">
      <c r="A6848" s="3" t="s">
        <v>20095</v>
      </c>
      <c r="B6848" s="3"/>
      <c r="C6848" s="3" t="str">
        <f>"Supplier of vehicle equipment for law enforcement, duty gear, lighting equipment for public vehicles, and personal safety equipment."</f>
        <v>Supplier of vehicle equipment for law enforcement, duty gear, lighting equipment for public vehicles, and personal safety equipment.</v>
      </c>
      <c r="D6848" s="3" t="s">
        <v>20096</v>
      </c>
      <c r="E6848" s="3" t="s">
        <v>20097</v>
      </c>
      <c r="F6848" s="3" t="str">
        <f>"317-770-7661"</f>
        <v>317-770-7661</v>
      </c>
      <c r="G6848" s="3">
        <v>423120</v>
      </c>
      <c r="H6848" s="3" t="s">
        <v>1033</v>
      </c>
    </row>
    <row r="6849" spans="1:8" ht="204.75" x14ac:dyDescent="0.25">
      <c r="A6849" s="3" t="s">
        <v>20098</v>
      </c>
      <c r="B6849" s="3"/>
      <c r="C6849" s="3" t="s">
        <v>20099</v>
      </c>
      <c r="D6849" s="3" t="s">
        <v>20100</v>
      </c>
      <c r="E6849" s="3" t="s">
        <v>20101</v>
      </c>
      <c r="F6849" s="3" t="str">
        <f>"888-239-0535"</f>
        <v>888-239-0535</v>
      </c>
      <c r="G6849" s="3">
        <v>518</v>
      </c>
      <c r="H6849" s="3" t="s">
        <v>1003</v>
      </c>
    </row>
    <row r="6850" spans="1:8" ht="115.5" x14ac:dyDescent="0.25">
      <c r="A6850" s="3" t="s">
        <v>20102</v>
      </c>
      <c r="B6850" s="3"/>
      <c r="C6850" s="3" t="s">
        <v>20103</v>
      </c>
      <c r="D6850" s="3" t="s">
        <v>20104</v>
      </c>
      <c r="E6850" s="3" t="s">
        <v>20105</v>
      </c>
      <c r="F6850" s="3" t="str">
        <f>"812-464-5433"</f>
        <v>812-464-5433</v>
      </c>
      <c r="G6850" s="3">
        <v>812990</v>
      </c>
      <c r="H6850" s="3" t="s">
        <v>294</v>
      </c>
    </row>
    <row r="6851" spans="1:8" ht="306.75" x14ac:dyDescent="0.25">
      <c r="A6851" s="3" t="s">
        <v>20106</v>
      </c>
      <c r="B6851" s="3"/>
      <c r="C6851" s="3" t="s">
        <v>20107</v>
      </c>
      <c r="D6851" s="3" t="s">
        <v>20108</v>
      </c>
      <c r="E6851" s="3" t="s">
        <v>20109</v>
      </c>
      <c r="F6851" s="3" t="str">
        <f>"574/243-5108"</f>
        <v>574/243-5108</v>
      </c>
      <c r="G6851" s="3">
        <v>621999</v>
      </c>
      <c r="H6851" s="3" t="s">
        <v>3480</v>
      </c>
    </row>
    <row r="6852" spans="1:8" ht="179.25" x14ac:dyDescent="0.25">
      <c r="A6852" s="3" t="s">
        <v>20110</v>
      </c>
      <c r="B6852" s="3"/>
      <c r="C6852" s="3" t="s">
        <v>20111</v>
      </c>
      <c r="D6852" s="3" t="s">
        <v>20112</v>
      </c>
      <c r="E6852" s="3" t="s">
        <v>20113</v>
      </c>
      <c r="F6852" s="3" t="str">
        <f>"317-259-7788"</f>
        <v>317-259-7788</v>
      </c>
      <c r="G6852" s="3">
        <v>423840</v>
      </c>
      <c r="H6852" s="3" t="s">
        <v>553</v>
      </c>
    </row>
    <row r="6853" spans="1:8" ht="64.5" x14ac:dyDescent="0.25">
      <c r="A6853" s="3" t="s">
        <v>20114</v>
      </c>
      <c r="B6853" s="3"/>
      <c r="C6853" s="3" t="str">
        <f>"We provide contract labor in the welding , millwright and masonry fields. All of our employees are highly experienced craftsman, each with over 10 yrs experience in their fields."</f>
        <v>We provide contract labor in the welding , millwright and masonry fields. All of our employees are highly experienced craftsman, each with over 10 yrs experience in their fields.</v>
      </c>
      <c r="D6853" s="3" t="s">
        <v>9</v>
      </c>
      <c r="E6853" s="3" t="s">
        <v>20115</v>
      </c>
      <c r="F6853" s="3" t="str">
        <f>"317-843-9773"</f>
        <v>317-843-9773</v>
      </c>
      <c r="G6853" s="3">
        <v>238190</v>
      </c>
      <c r="H6853" s="3" t="s">
        <v>1072</v>
      </c>
    </row>
    <row r="6854" spans="1:8" ht="77.25" x14ac:dyDescent="0.25">
      <c r="A6854" s="3" t="s">
        <v>20116</v>
      </c>
      <c r="B6854" s="3"/>
      <c r="C6854" s="3" t="str">
        <f>"On-Target Consulting provides management consulting services primarily in the information technology field. Primary services provided are strategic planning, business plan development, program and project management capabilities."</f>
        <v>On-Target Consulting provides management consulting services primarily in the information technology field. Primary services provided are strategic planning, business plan development, program and project management capabilities.</v>
      </c>
      <c r="D6854" s="3" t="s">
        <v>9</v>
      </c>
      <c r="E6854" s="3" t="s">
        <v>20117</v>
      </c>
      <c r="F6854" s="3" t="str">
        <f>"317-414-6979"</f>
        <v>317-414-6979</v>
      </c>
      <c r="G6854" s="3">
        <v>541519</v>
      </c>
      <c r="H6854" s="3" t="s">
        <v>898</v>
      </c>
    </row>
    <row r="6855" spans="1:8" ht="26.25" x14ac:dyDescent="0.25">
      <c r="A6855" s="3" t="s">
        <v>20118</v>
      </c>
      <c r="B6855" s="3"/>
      <c r="C6855" s="3" t="str">
        <f>"Filling and Packaging of Bleach and Windshield Wash"</f>
        <v>Filling and Packaging of Bleach and Windshield Wash</v>
      </c>
      <c r="D6855" s="3" t="s">
        <v>9</v>
      </c>
      <c r="E6855" s="3" t="s">
        <v>20119</v>
      </c>
      <c r="F6855" s="3" t="str">
        <f>"219-872-0925"</f>
        <v>219-872-0925</v>
      </c>
      <c r="G6855" s="3">
        <v>325</v>
      </c>
      <c r="H6855" s="3" t="s">
        <v>4643</v>
      </c>
    </row>
    <row r="6856" spans="1:8" ht="102.75" x14ac:dyDescent="0.25">
      <c r="A6856" s="3" t="s">
        <v>20120</v>
      </c>
      <c r="B6856" s="3"/>
      <c r="C6856" s="3" t="s">
        <v>20121</v>
      </c>
      <c r="D6856" s="3" t="s">
        <v>20122</v>
      </c>
      <c r="E6856" s="3" t="s">
        <v>46</v>
      </c>
      <c r="F6856" s="3" t="str">
        <f>"317-202-3300"</f>
        <v>317-202-3300</v>
      </c>
      <c r="G6856" s="3">
        <v>56142</v>
      </c>
      <c r="H6856" s="3" t="s">
        <v>20123</v>
      </c>
    </row>
    <row r="6857" spans="1:8" ht="204.75" x14ac:dyDescent="0.25">
      <c r="A6857" s="3" t="s">
        <v>20124</v>
      </c>
      <c r="B6857" s="3"/>
      <c r="C6857" s="3" t="s">
        <v>20125</v>
      </c>
      <c r="D6857" s="3" t="s">
        <v>20126</v>
      </c>
      <c r="E6857" s="3" t="s">
        <v>20127</v>
      </c>
      <c r="F6857" s="3" t="str">
        <f>"765.274.0555"</f>
        <v>765.274.0555</v>
      </c>
      <c r="G6857" s="3">
        <v>541512</v>
      </c>
      <c r="H6857" s="3" t="s">
        <v>19</v>
      </c>
    </row>
    <row r="6858" spans="1:8" ht="90" x14ac:dyDescent="0.25">
      <c r="A6858" s="3" t="s">
        <v>20128</v>
      </c>
      <c r="B6858" s="3"/>
      <c r="C6858" s="3" t="str">
        <f>"One Planet Solar is a new business in Indiana that specializes in residential and commercial solar and wind power installations. We had our grand opening in February 2009 and are members of the Greater Terre Haute Chamber of Commerce. We have WBE status."</f>
        <v>One Planet Solar is a new business in Indiana that specializes in residential and commercial solar and wind power installations. We had our grand opening in February 2009 and are members of the Greater Terre Haute Chamber of Commerce. We have WBE status.</v>
      </c>
      <c r="D6858" s="3" t="s">
        <v>20129</v>
      </c>
      <c r="E6858" s="3" t="s">
        <v>20130</v>
      </c>
      <c r="F6858" s="3" t="str">
        <f>"812-235-1380"</f>
        <v>812-235-1380</v>
      </c>
      <c r="G6858" s="3">
        <v>221119</v>
      </c>
      <c r="H6858" s="3" t="s">
        <v>12939</v>
      </c>
    </row>
    <row r="6859" spans="1:8" ht="39" x14ac:dyDescent="0.25">
      <c r="A6859" s="3" t="s">
        <v>20131</v>
      </c>
      <c r="B6859" s="3"/>
      <c r="C6859" s="3" t="str">
        <f>"One Source Distribution is a wholesaler and retailer of hunting products, hunting trips, and musical instruments."</f>
        <v>One Source Distribution is a wholesaler and retailer of hunting products, hunting trips, and musical instruments.</v>
      </c>
      <c r="D6859" s="3" t="s">
        <v>20132</v>
      </c>
      <c r="E6859" s="3" t="s">
        <v>20133</v>
      </c>
      <c r="F6859" s="3" t="str">
        <f>"219-763-2067"</f>
        <v>219-763-2067</v>
      </c>
      <c r="G6859" s="3">
        <v>451</v>
      </c>
      <c r="H6859" s="3" t="s">
        <v>20134</v>
      </c>
    </row>
    <row r="6860" spans="1:8" ht="90" x14ac:dyDescent="0.25">
      <c r="A6860" s="3" t="s">
        <v>20135</v>
      </c>
      <c r="B6860" s="3"/>
      <c r="C6860" s="3" t="s">
        <v>20136</v>
      </c>
      <c r="D6860" s="3" t="s">
        <v>20137</v>
      </c>
      <c r="E6860" s="3" t="s">
        <v>20138</v>
      </c>
      <c r="F6860" s="3" t="str">
        <f>"888-282-1499"</f>
        <v>888-282-1499</v>
      </c>
      <c r="G6860" s="3">
        <v>42</v>
      </c>
      <c r="H6860" s="3" t="s">
        <v>674</v>
      </c>
    </row>
    <row r="6861" spans="1:8" ht="115.5" x14ac:dyDescent="0.25">
      <c r="A6861" s="3" t="s">
        <v>20139</v>
      </c>
      <c r="B6861" s="3"/>
      <c r="C6861" s="3" t="s">
        <v>20140</v>
      </c>
      <c r="D6861" s="3" t="s">
        <v>9</v>
      </c>
      <c r="E6861" s="3" t="s">
        <v>20141</v>
      </c>
      <c r="F6861" s="3" t="str">
        <f>"317-549-0133"</f>
        <v>317-549-0133</v>
      </c>
      <c r="G6861" s="3">
        <v>333312</v>
      </c>
      <c r="H6861" s="3" t="s">
        <v>20142</v>
      </c>
    </row>
    <row r="6862" spans="1:8" ht="26.25" x14ac:dyDescent="0.25">
      <c r="A6862" s="3" t="s">
        <v>20143</v>
      </c>
      <c r="B6862" s="3"/>
      <c r="C6862" s="3" t="str">
        <f>"Property management specializing in vacant homes and multi-family housing."</f>
        <v>Property management specializing in vacant homes and multi-family housing.</v>
      </c>
      <c r="D6862" s="3" t="s">
        <v>20144</v>
      </c>
      <c r="E6862" s="3" t="s">
        <v>20145</v>
      </c>
      <c r="F6862" s="3" t="str">
        <f>"317-345-6838"</f>
        <v>317-345-6838</v>
      </c>
      <c r="G6862" s="3">
        <v>53131</v>
      </c>
      <c r="H6862" s="3" t="s">
        <v>7550</v>
      </c>
    </row>
    <row r="6863" spans="1:8" ht="115.5" x14ac:dyDescent="0.25">
      <c r="A6863" s="3" t="s">
        <v>20146</v>
      </c>
      <c r="B6863" s="3"/>
      <c r="C6863" s="3" t="s">
        <v>20147</v>
      </c>
      <c r="D6863" s="3" t="s">
        <v>9</v>
      </c>
      <c r="E6863" s="3" t="s">
        <v>20148</v>
      </c>
      <c r="F6863" s="3" t="str">
        <f>"(317)281-7182"</f>
        <v>(317)281-7182</v>
      </c>
      <c r="G6863" s="3">
        <v>561720</v>
      </c>
      <c r="H6863" s="3" t="s">
        <v>222</v>
      </c>
    </row>
    <row r="6864" spans="1:8" ht="77.25" x14ac:dyDescent="0.25">
      <c r="A6864" s="3" t="s">
        <v>20149</v>
      </c>
      <c r="B6864" s="3"/>
      <c r="C6864" s="3" t="str">
        <f>"Retail of Travel related items: world globes, luggage, healthy back bags, travel accessories, dual voltage travel appliances, electrical converters and adapter plugs, water fountains, aquariums, promotional items and awards."</f>
        <v>Retail of Travel related items: world globes, luggage, healthy back bags, travel accessories, dual voltage travel appliances, electrical converters and adapter plugs, water fountains, aquariums, promotional items and awards.</v>
      </c>
      <c r="D6864" s="3" t="s">
        <v>20150</v>
      </c>
      <c r="E6864" s="3" t="s">
        <v>20151</v>
      </c>
      <c r="F6864" s="3" t="str">
        <f>"877-822-9889"</f>
        <v>877-822-9889</v>
      </c>
      <c r="G6864" s="3">
        <v>45399</v>
      </c>
      <c r="H6864" s="3" t="s">
        <v>3215</v>
      </c>
    </row>
    <row r="6865" spans="1:8" ht="39" x14ac:dyDescent="0.25">
      <c r="A6865" s="3" t="s">
        <v>20152</v>
      </c>
      <c r="B6865" s="3"/>
      <c r="C6865" s="3" t="str">
        <f>"Long haul and short haul trucking company. We haul 53' air ride box trailers. Five years experience."</f>
        <v>Long haul and short haul trucking company. We haul 53' air ride box trailers. Five years experience.</v>
      </c>
      <c r="D6865" s="3" t="s">
        <v>9</v>
      </c>
      <c r="E6865" s="3" t="s">
        <v>20153</v>
      </c>
      <c r="F6865" s="3" t="str">
        <f>"812-662-0149"</f>
        <v>812-662-0149</v>
      </c>
      <c r="G6865" s="3">
        <v>484121</v>
      </c>
      <c r="H6865" s="3" t="s">
        <v>342</v>
      </c>
    </row>
    <row r="6866" spans="1:8" ht="179.25" x14ac:dyDescent="0.25">
      <c r="A6866" s="3" t="s">
        <v>20154</v>
      </c>
      <c r="B6866" s="3"/>
      <c r="C6866" s="3" t="s">
        <v>20155</v>
      </c>
      <c r="D6866" s="3" t="s">
        <v>20156</v>
      </c>
      <c r="E6866" s="3" t="s">
        <v>20157</v>
      </c>
      <c r="F6866" s="3" t="str">
        <f>"800-626-5738"</f>
        <v>800-626-5738</v>
      </c>
      <c r="G6866" s="3">
        <v>561621</v>
      </c>
      <c r="H6866" s="3" t="s">
        <v>827</v>
      </c>
    </row>
    <row r="6867" spans="1:8" ht="192" x14ac:dyDescent="0.25">
      <c r="A6867" s="3" t="s">
        <v>20158</v>
      </c>
      <c r="B6867" s="3"/>
      <c r="C6867" s="3" t="s">
        <v>20159</v>
      </c>
      <c r="D6867" s="3" t="s">
        <v>20160</v>
      </c>
      <c r="E6867" s="3" t="s">
        <v>20161</v>
      </c>
      <c r="F6867" s="3" t="str">
        <f>"1-734-480-4178"</f>
        <v>1-734-480-4178</v>
      </c>
      <c r="G6867" s="3">
        <v>484210</v>
      </c>
      <c r="H6867" s="3" t="s">
        <v>8993</v>
      </c>
    </row>
    <row r="6868" spans="1:8" ht="77.25" x14ac:dyDescent="0.25">
      <c r="A6868" s="3" t="s">
        <v>20162</v>
      </c>
      <c r="B6868" s="3"/>
      <c r="C6868" s="3" t="str">
        <f>"Established firm that specializes in dynamic website development, database applications, flash animations, audio and video streaming, CD-ROM applications, content management systems, and shopping cart applications."</f>
        <v>Established firm that specializes in dynamic website development, database applications, flash animations, audio and video streaming, CD-ROM applications, content management systems, and shopping cart applications.</v>
      </c>
      <c r="D6868" s="3" t="s">
        <v>9</v>
      </c>
      <c r="E6868" s="3" t="s">
        <v>20163</v>
      </c>
      <c r="F6868" s="3" t="str">
        <f>"317-253-2900"</f>
        <v>317-253-2900</v>
      </c>
      <c r="G6868" s="3">
        <v>541519</v>
      </c>
      <c r="H6868" s="3" t="s">
        <v>898</v>
      </c>
    </row>
    <row r="6869" spans="1:8" ht="64.5" x14ac:dyDescent="0.25">
      <c r="A6869" s="3" t="s">
        <v>20164</v>
      </c>
      <c r="B6869" s="3"/>
      <c r="C6869" s="3" t="str">
        <f>"Solution provider for Internet related services. Broadband, wireless, satellite, DSL, T1, Fractional, web hosting, email solutions, anti-virus, anti-spam, web page design and development."</f>
        <v>Solution provider for Internet related services. Broadband, wireless, satellite, DSL, T1, Fractional, web hosting, email solutions, anti-virus, anti-spam, web page design and development.</v>
      </c>
      <c r="D6869" s="3" t="s">
        <v>20165</v>
      </c>
      <c r="E6869" s="3" t="s">
        <v>20166</v>
      </c>
      <c r="F6869" s="3" t="str">
        <f>"260-824-9612"</f>
        <v>260-824-9612</v>
      </c>
      <c r="G6869" s="3">
        <v>541511</v>
      </c>
      <c r="H6869" s="3" t="s">
        <v>122</v>
      </c>
    </row>
    <row r="6870" spans="1:8" ht="26.25" x14ac:dyDescent="0.25">
      <c r="A6870" s="3" t="s">
        <v>20167</v>
      </c>
      <c r="B6870" s="3"/>
      <c r="C6870" s="3" t="str">
        <f>" "</f>
        <v xml:space="preserve"> </v>
      </c>
      <c r="D6870" s="3" t="s">
        <v>20168</v>
      </c>
      <c r="E6870" s="3" t="s">
        <v>20169</v>
      </c>
      <c r="F6870" s="3" t="str">
        <f>"812-770-4480"</f>
        <v>812-770-4480</v>
      </c>
      <c r="G6870" s="3">
        <v>621111</v>
      </c>
      <c r="H6870" s="3" t="s">
        <v>2002</v>
      </c>
    </row>
    <row r="6871" spans="1:8" ht="26.25" x14ac:dyDescent="0.25">
      <c r="A6871" s="3" t="s">
        <v>20170</v>
      </c>
      <c r="B6871" s="3"/>
      <c r="C6871" s="3" t="str">
        <f>"The Construction of Post Frame Buildings for all different applications."</f>
        <v>The Construction of Post Frame Buildings for all different applications.</v>
      </c>
      <c r="D6871" s="3" t="s">
        <v>20171</v>
      </c>
      <c r="E6871" s="3" t="s">
        <v>20172</v>
      </c>
      <c r="F6871" s="3" t="str">
        <f>"1-800-644-5888"</f>
        <v>1-800-644-5888</v>
      </c>
      <c r="G6871" s="3">
        <v>321213</v>
      </c>
      <c r="H6871" s="3" t="s">
        <v>20173</v>
      </c>
    </row>
    <row r="6872" spans="1:8" ht="26.25" x14ac:dyDescent="0.25">
      <c r="A6872" s="3" t="s">
        <v>20174</v>
      </c>
      <c r="B6872" s="3"/>
      <c r="C6872" s="3" t="str">
        <f>" "</f>
        <v xml:space="preserve"> </v>
      </c>
      <c r="D6872" s="3" t="s">
        <v>20175</v>
      </c>
      <c r="E6872" s="3" t="s">
        <v>20176</v>
      </c>
      <c r="F6872" s="3" t="str">
        <f>"202-430-5240"</f>
        <v>202-430-5240</v>
      </c>
      <c r="G6872" s="3">
        <v>541611</v>
      </c>
      <c r="H6872" s="3" t="s">
        <v>278</v>
      </c>
    </row>
    <row r="6873" spans="1:8" ht="26.25" x14ac:dyDescent="0.25">
      <c r="A6873" s="3" t="s">
        <v>20177</v>
      </c>
      <c r="B6873" s="3"/>
      <c r="C6873" s="3" t="str">
        <f>"Tri-Axle dump trucks. Hauling."</f>
        <v>Tri-Axle dump trucks. Hauling.</v>
      </c>
      <c r="D6873" s="3" t="s">
        <v>9</v>
      </c>
      <c r="E6873" s="3" t="s">
        <v>20178</v>
      </c>
      <c r="F6873" s="3" t="str">
        <f>"317-281-9651"</f>
        <v>317-281-9651</v>
      </c>
      <c r="G6873" s="3">
        <v>23</v>
      </c>
      <c r="H6873" s="3" t="s">
        <v>133</v>
      </c>
    </row>
    <row r="6874" spans="1:8" ht="102.75" x14ac:dyDescent="0.25">
      <c r="A6874" s="3" t="s">
        <v>20179</v>
      </c>
      <c r="B6874" s="3"/>
      <c r="C6874" s="3" t="s">
        <v>20180</v>
      </c>
      <c r="D6874" s="3" t="s">
        <v>20181</v>
      </c>
      <c r="E6874" s="3" t="s">
        <v>20182</v>
      </c>
      <c r="F6874" s="3" t="str">
        <f>"317-918-8867"</f>
        <v>317-918-8867</v>
      </c>
      <c r="G6874" s="3">
        <v>541511</v>
      </c>
      <c r="H6874" s="3" t="s">
        <v>122</v>
      </c>
    </row>
    <row r="6875" spans="1:8" ht="51.75" x14ac:dyDescent="0.25">
      <c r="A6875" s="3" t="s">
        <v>20183</v>
      </c>
      <c r="B6875" s="3"/>
      <c r="C6875" s="3" t="str">
        <f>"Open Arms operates a licensed Residential Group Home for females ages 6-21 years of age and a foster care program for males and females birth to 18."</f>
        <v>Open Arms operates a licensed Residential Group Home for females ages 6-21 years of age and a foster care program for males and females birth to 18.</v>
      </c>
      <c r="D6875" s="3" t="s">
        <v>20184</v>
      </c>
      <c r="E6875" s="3" t="s">
        <v>20185</v>
      </c>
      <c r="F6875" s="3" t="str">
        <f>"(812)659-2533"</f>
        <v>(812)659-2533</v>
      </c>
      <c r="G6875" s="3">
        <v>62322</v>
      </c>
      <c r="H6875" s="3" t="s">
        <v>17001</v>
      </c>
    </row>
    <row r="6876" spans="1:8" ht="26.25" x14ac:dyDescent="0.25">
      <c r="A6876" s="3" t="s">
        <v>20186</v>
      </c>
      <c r="B6876" s="3"/>
      <c r="C6876" s="3" t="str">
        <f>"Temperature Control Contractor"</f>
        <v>Temperature Control Contractor</v>
      </c>
      <c r="D6876" s="3" t="s">
        <v>9</v>
      </c>
      <c r="E6876" s="3" t="s">
        <v>46</v>
      </c>
      <c r="F6876" s="3" t="str">
        <f>"317-259-7604"</f>
        <v>317-259-7604</v>
      </c>
      <c r="G6876" s="3">
        <v>23821</v>
      </c>
      <c r="H6876" s="3" t="s">
        <v>306</v>
      </c>
    </row>
    <row r="6877" spans="1:8" ht="192" x14ac:dyDescent="0.25">
      <c r="A6877" s="3" t="s">
        <v>20187</v>
      </c>
      <c r="B6877" s="3"/>
      <c r="C6877" s="3" t="s">
        <v>20188</v>
      </c>
      <c r="D6877" s="3" t="s">
        <v>20189</v>
      </c>
      <c r="E6877" s="3" t="s">
        <v>20190</v>
      </c>
      <c r="F6877" s="3" t="str">
        <f>"317-353-6684"</f>
        <v>317-353-6684</v>
      </c>
      <c r="G6877" s="3">
        <v>423990</v>
      </c>
      <c r="H6877" s="3" t="s">
        <v>983</v>
      </c>
    </row>
    <row r="6878" spans="1:8" ht="319.5" x14ac:dyDescent="0.25">
      <c r="A6878" s="3" t="s">
        <v>20191</v>
      </c>
      <c r="B6878" s="3"/>
      <c r="C6878" s="3" t="s">
        <v>20192</v>
      </c>
      <c r="D6878" s="3" t="s">
        <v>20193</v>
      </c>
      <c r="E6878" s="3" t="s">
        <v>20194</v>
      </c>
      <c r="F6878" s="3" t="str">
        <f>"219-464-9621"</f>
        <v>219-464-9621</v>
      </c>
      <c r="G6878" s="3">
        <v>561990</v>
      </c>
      <c r="H6878" s="3" t="s">
        <v>219</v>
      </c>
    </row>
    <row r="6879" spans="1:8" ht="51.75" x14ac:dyDescent="0.25">
      <c r="A6879" s="3" t="s">
        <v>20195</v>
      </c>
      <c r="B6879" s="3"/>
      <c r="C6879" s="3" t="str">
        <f>"Opportunity Management LLC acts as a Sales Representative for remanufactured ink cartridges and toner. Also involved in Real Estate Management."</f>
        <v>Opportunity Management LLC acts as a Sales Representative for remanufactured ink cartridges and toner. Also involved in Real Estate Management.</v>
      </c>
      <c r="D6879" s="3" t="s">
        <v>9</v>
      </c>
      <c r="E6879" s="3" t="s">
        <v>20196</v>
      </c>
      <c r="F6879" s="3" t="str">
        <f>"317-844-3191"</f>
        <v>317-844-3191</v>
      </c>
      <c r="G6879" s="3">
        <v>811212</v>
      </c>
      <c r="H6879" s="3" t="s">
        <v>1632</v>
      </c>
    </row>
    <row r="6880" spans="1:8" ht="26.25" x14ac:dyDescent="0.25">
      <c r="A6880" s="3" t="s">
        <v>20197</v>
      </c>
      <c r="B6880" s="3"/>
      <c r="C6880" s="3" t="str">
        <f>"An Integrated security company that covers all technical security needs."</f>
        <v>An Integrated security company that covers all technical security needs.</v>
      </c>
      <c r="D6880" s="3" t="s">
        <v>9</v>
      </c>
      <c r="E6880" s="3" t="s">
        <v>20198</v>
      </c>
      <c r="F6880" s="3" t="str">
        <f>"812-265-9825"</f>
        <v>812-265-9825</v>
      </c>
      <c r="G6880" s="3">
        <v>561621</v>
      </c>
      <c r="H6880" s="3" t="s">
        <v>827</v>
      </c>
    </row>
    <row r="6881" spans="1:8" ht="51.75" x14ac:dyDescent="0.25">
      <c r="A6881" s="3" t="s">
        <v>20199</v>
      </c>
      <c r="B6881" s="3"/>
      <c r="C6881" s="3" t="str">
        <f>"Optometry Office providing Vision and Medical care, contact lenses and eyeglasses, Vision Reshaping Therapy and Laser Vision Care."</f>
        <v>Optometry Office providing Vision and Medical care, contact lenses and eyeglasses, Vision Reshaping Therapy and Laser Vision Care.</v>
      </c>
      <c r="D6881" s="3" t="s">
        <v>20200</v>
      </c>
      <c r="E6881" s="3" t="s">
        <v>20201</v>
      </c>
      <c r="F6881" s="3" t="str">
        <f>"317-634-9909"</f>
        <v>317-634-9909</v>
      </c>
      <c r="G6881" s="3">
        <v>621320</v>
      </c>
      <c r="H6881" s="3" t="s">
        <v>9878</v>
      </c>
    </row>
    <row r="6882" spans="1:8" x14ac:dyDescent="0.25">
      <c r="A6882" s="3" t="s">
        <v>20202</v>
      </c>
      <c r="B6882" s="3"/>
      <c r="C6882" s="3" t="str">
        <f>" "</f>
        <v xml:space="preserve"> </v>
      </c>
      <c r="D6882" s="3" t="s">
        <v>9</v>
      </c>
      <c r="E6882" s="3" t="s">
        <v>46</v>
      </c>
      <c r="F6882" s="2"/>
      <c r="G6882" s="3">
        <v>611110</v>
      </c>
      <c r="H6882" s="3" t="s">
        <v>3876</v>
      </c>
    </row>
    <row r="6883" spans="1:8" ht="77.25" x14ac:dyDescent="0.25">
      <c r="A6883" s="3" t="s">
        <v>20203</v>
      </c>
      <c r="B6883" s="3"/>
      <c r="C6883" s="3" t="str">
        <f>"ACUTE CARE HOSPITAL ABLE TO TREAT ADOLESCENTS AND ADULTS WITH PSYCHIATRIC DISORDERS. RESIDENTIAL TREATMENT FACILITY ABLE TO TREAT ADOLESCENTS WITH PSYCHIATRIC DISORDERS."</f>
        <v>ACUTE CARE HOSPITAL ABLE TO TREAT ADOLESCENTS AND ADULTS WITH PSYCHIATRIC DISORDERS. RESIDENTIAL TREATMENT FACILITY ABLE TO TREAT ADOLESCENTS WITH PSYCHIATRIC DISORDERS.</v>
      </c>
      <c r="D6883" s="3" t="s">
        <v>20204</v>
      </c>
      <c r="E6883" s="3" t="s">
        <v>20205</v>
      </c>
      <c r="F6883" s="3" t="str">
        <f>"317-544-4340"</f>
        <v>317-544-4340</v>
      </c>
      <c r="G6883" s="3">
        <v>623220</v>
      </c>
      <c r="H6883" s="3" t="s">
        <v>17001</v>
      </c>
    </row>
    <row r="6884" spans="1:8" ht="243" x14ac:dyDescent="0.25">
      <c r="A6884" s="3" t="s">
        <v>20206</v>
      </c>
      <c r="B6884" s="3"/>
      <c r="C6884" s="3" t="s">
        <v>20207</v>
      </c>
      <c r="D6884" s="3" t="s">
        <v>20208</v>
      </c>
      <c r="E6884" s="3" t="s">
        <v>46</v>
      </c>
      <c r="F6884" s="3" t="str">
        <f>"317-275-2300"</f>
        <v>317-275-2300</v>
      </c>
      <c r="G6884" s="3">
        <v>541511</v>
      </c>
      <c r="H6884" s="3" t="s">
        <v>122</v>
      </c>
    </row>
    <row r="6885" spans="1:8" ht="90" x14ac:dyDescent="0.25">
      <c r="A6885" s="3" t="s">
        <v>20209</v>
      </c>
      <c r="B6885" s="3"/>
      <c r="C6885" s="3" t="s">
        <v>20210</v>
      </c>
      <c r="D6885" s="3" t="s">
        <v>9</v>
      </c>
      <c r="E6885" s="3" t="s">
        <v>20211</v>
      </c>
      <c r="F6885" s="3" t="str">
        <f>"3173316048"</f>
        <v>3173316048</v>
      </c>
      <c r="G6885" s="3">
        <v>62142</v>
      </c>
      <c r="H6885" s="3" t="s">
        <v>990</v>
      </c>
    </row>
    <row r="6886" spans="1:8" ht="90" x14ac:dyDescent="0.25">
      <c r="A6886" s="3" t="s">
        <v>20212</v>
      </c>
      <c r="B6886" s="3"/>
      <c r="C6886" s="3" t="s">
        <v>20213</v>
      </c>
      <c r="D6886" s="3" t="s">
        <v>9</v>
      </c>
      <c r="E6886" s="3" t="s">
        <v>20214</v>
      </c>
      <c r="F6886" s="3" t="str">
        <f>"812-865-4891"</f>
        <v>812-865-4891</v>
      </c>
      <c r="G6886" s="3">
        <v>2351</v>
      </c>
      <c r="H6886" s="3" t="s">
        <v>892</v>
      </c>
    </row>
    <row r="6887" spans="1:8" ht="26.25" x14ac:dyDescent="0.25">
      <c r="A6887" s="3" t="s">
        <v>20215</v>
      </c>
      <c r="B6887" s="3"/>
      <c r="C6887" s="3" t="str">
        <f>"Small assembly packaging and janitorial"</f>
        <v>Small assembly packaging and janitorial</v>
      </c>
      <c r="D6887" s="3" t="s">
        <v>9</v>
      </c>
      <c r="E6887" s="3" t="s">
        <v>20216</v>
      </c>
      <c r="F6887" s="3" t="str">
        <f>"812-723-4486"</f>
        <v>812-723-4486</v>
      </c>
      <c r="G6887" s="3">
        <v>624120</v>
      </c>
      <c r="H6887" s="3" t="s">
        <v>22</v>
      </c>
    </row>
    <row r="6888" spans="1:8" ht="64.5" x14ac:dyDescent="0.25">
      <c r="A6888" s="3" t="s">
        <v>20217</v>
      </c>
      <c r="B6888" s="3"/>
      <c r="C6888" s="3" t="str">
        <f>"Retail Sales and installation of Vehicle Electronics and Audio systems. We specialize in Keyless entry systems, Window tint, alarms, custom audio systems, remote starters, and much more."</f>
        <v>Retail Sales and installation of Vehicle Electronics and Audio systems. We specialize in Keyless entry systems, Window tint, alarms, custom audio systems, remote starters, and much more.</v>
      </c>
      <c r="D6888" s="3" t="s">
        <v>20218</v>
      </c>
      <c r="E6888" s="3" t="s">
        <v>20219</v>
      </c>
      <c r="F6888" s="3" t="str">
        <f>"317-773-1460"</f>
        <v>317-773-1460</v>
      </c>
      <c r="G6888" s="3">
        <v>4413</v>
      </c>
      <c r="H6888" s="3" t="s">
        <v>1210</v>
      </c>
    </row>
    <row r="6889" spans="1:8" ht="51.75" x14ac:dyDescent="0.25">
      <c r="A6889" s="3" t="s">
        <v>20220</v>
      </c>
      <c r="B6889" s="3"/>
      <c r="C6889" s="3" t="str">
        <f>"The Order Fulfillment Group provides data entry, sales lead management, literature fulfillment, kitting and product fulfillment services."</f>
        <v>The Order Fulfillment Group provides data entry, sales lead management, literature fulfillment, kitting and product fulfillment services.</v>
      </c>
      <c r="D6889" s="3" t="s">
        <v>20221</v>
      </c>
      <c r="E6889" s="3" t="s">
        <v>20222</v>
      </c>
      <c r="F6889" s="3" t="str">
        <f>"317-733-7755"</f>
        <v>317-733-7755</v>
      </c>
      <c r="G6889" s="3">
        <v>5142</v>
      </c>
      <c r="H6889" s="3" t="s">
        <v>20223</v>
      </c>
    </row>
    <row r="6890" spans="1:8" ht="306.75" x14ac:dyDescent="0.25">
      <c r="A6890" s="3" t="s">
        <v>20224</v>
      </c>
      <c r="B6890" s="3"/>
      <c r="C6890" s="3" t="s">
        <v>20225</v>
      </c>
      <c r="D6890" s="3" t="s">
        <v>20226</v>
      </c>
      <c r="E6890" s="3" t="s">
        <v>20227</v>
      </c>
      <c r="F6890" s="3" t="str">
        <f>"219-395-9564"</f>
        <v>219-395-9564</v>
      </c>
      <c r="G6890" s="3">
        <v>561499</v>
      </c>
      <c r="H6890" s="3" t="s">
        <v>3092</v>
      </c>
    </row>
    <row r="6891" spans="1:8" ht="128.25" x14ac:dyDescent="0.25">
      <c r="A6891" s="3" t="s">
        <v>20228</v>
      </c>
      <c r="B6891" s="3"/>
      <c r="C6891" s="3" t="s">
        <v>20229</v>
      </c>
      <c r="D6891" s="3" t="s">
        <v>20230</v>
      </c>
      <c r="E6891" s="3" t="s">
        <v>20231</v>
      </c>
      <c r="F6891" s="3" t="str">
        <f>"317-409-3607"</f>
        <v>317-409-3607</v>
      </c>
      <c r="G6891" s="3">
        <v>541614</v>
      </c>
      <c r="H6891" s="3" t="s">
        <v>107</v>
      </c>
    </row>
    <row r="6892" spans="1:8" ht="64.5" x14ac:dyDescent="0.25">
      <c r="A6892" s="3" t="s">
        <v>20232</v>
      </c>
      <c r="B6892" s="3"/>
      <c r="C6892" s="3" t="str">
        <f>"Oriental MedTran provides medical transcription services for hospitals and other medical and/or related institutions. The service is provided 24/7 with accuracy and at competitive rates."</f>
        <v>Oriental MedTran provides medical transcription services for hospitals and other medical and/or related institutions. The service is provided 24/7 with accuracy and at competitive rates.</v>
      </c>
      <c r="D6892" s="3" t="s">
        <v>9</v>
      </c>
      <c r="E6892" s="3" t="s">
        <v>46</v>
      </c>
      <c r="F6892" s="2"/>
      <c r="G6892" s="3">
        <v>561410</v>
      </c>
      <c r="H6892" s="3" t="s">
        <v>4164</v>
      </c>
    </row>
    <row r="6893" spans="1:8" ht="26.25" x14ac:dyDescent="0.25">
      <c r="A6893" s="3" t="s">
        <v>20233</v>
      </c>
      <c r="B6893" s="3"/>
      <c r="C6893" s="3" t="str">
        <f>"Retail, wholesale, law enforcement firearms, ammunition and accessories."</f>
        <v>Retail, wholesale, law enforcement firearms, ammunition and accessories.</v>
      </c>
      <c r="D6893" s="3" t="s">
        <v>20234</v>
      </c>
      <c r="E6893" s="3" t="s">
        <v>46</v>
      </c>
      <c r="F6893" s="3" t="str">
        <f>"812-284-4867"</f>
        <v>812-284-4867</v>
      </c>
      <c r="G6893" s="3">
        <v>444130</v>
      </c>
      <c r="H6893" s="3" t="s">
        <v>2597</v>
      </c>
    </row>
    <row r="6894" spans="1:8" ht="26.25" x14ac:dyDescent="0.25">
      <c r="A6894" s="3" t="s">
        <v>20235</v>
      </c>
      <c r="B6894" s="3"/>
      <c r="C6894" s="3" t="str">
        <f>"We implement computers, software and support for all systems"</f>
        <v>We implement computers, software and support for all systems</v>
      </c>
      <c r="D6894" s="3" t="s">
        <v>20236</v>
      </c>
      <c r="E6894" s="3" t="s">
        <v>20237</v>
      </c>
      <c r="F6894" s="3" t="str">
        <f>"574-968-2647"</f>
        <v>574-968-2647</v>
      </c>
      <c r="G6894" s="3">
        <v>541512</v>
      </c>
      <c r="H6894" s="3" t="s">
        <v>19</v>
      </c>
    </row>
    <row r="6895" spans="1:8" ht="39" x14ac:dyDescent="0.25">
      <c r="A6895" s="3" t="s">
        <v>20238</v>
      </c>
      <c r="B6895" s="3"/>
      <c r="C6895" s="3" t="str">
        <f>"Counseling, evaluation, and consulting services for individual, business, and private entities."</f>
        <v>Counseling, evaluation, and consulting services for individual, business, and private entities.</v>
      </c>
      <c r="D6895" s="3" t="s">
        <v>9</v>
      </c>
      <c r="E6895" s="3" t="s">
        <v>20239</v>
      </c>
      <c r="F6895" s="3" t="str">
        <f>"317-283-2871"</f>
        <v>317-283-2871</v>
      </c>
      <c r="G6895" s="3">
        <v>621330</v>
      </c>
      <c r="H6895" s="3" t="s">
        <v>2643</v>
      </c>
    </row>
    <row r="6896" spans="1:8" ht="26.25" x14ac:dyDescent="0.25">
      <c r="A6896" s="3" t="s">
        <v>20240</v>
      </c>
      <c r="B6896" s="3"/>
      <c r="C6896" s="3" t="str">
        <f>"water softeners and reverse osmosis residential and commercial"</f>
        <v>water softeners and reverse osmosis residential and commercial</v>
      </c>
      <c r="D6896" s="3" t="s">
        <v>20241</v>
      </c>
      <c r="E6896" s="3" t="s">
        <v>20242</v>
      </c>
      <c r="F6896" s="3" t="str">
        <f>"219-996-4743"</f>
        <v>219-996-4743</v>
      </c>
      <c r="G6896" s="3">
        <v>221310</v>
      </c>
      <c r="H6896" s="3" t="s">
        <v>1833</v>
      </c>
    </row>
    <row r="6897" spans="1:8" ht="64.5" x14ac:dyDescent="0.25">
      <c r="A6897" s="3" t="s">
        <v>20243</v>
      </c>
      <c r="B6897" s="3"/>
      <c r="C6897" s="3" t="str">
        <f>"Community Mental Health Center providing comprehensive behaviorial health care services since 1961 serving the counties of Allen, Huntington, Kosciusko, Marshall, Noble, Wabash, and Whitley."</f>
        <v>Community Mental Health Center providing comprehensive behaviorial health care services since 1961 serving the counties of Allen, Huntington, Kosciusko, Marshall, Noble, Wabash, and Whitley.</v>
      </c>
      <c r="D6897" s="3" t="s">
        <v>20244</v>
      </c>
      <c r="E6897" s="3" t="s">
        <v>20245</v>
      </c>
      <c r="F6897" s="3" t="str">
        <f>"574-267-7169"</f>
        <v>574-267-7169</v>
      </c>
      <c r="G6897" s="3">
        <v>621330</v>
      </c>
      <c r="H6897" s="3" t="s">
        <v>2643</v>
      </c>
    </row>
    <row r="6898" spans="1:8" ht="26.25" x14ac:dyDescent="0.25">
      <c r="A6898" s="3" t="s">
        <v>20246</v>
      </c>
      <c r="B6898" s="3"/>
      <c r="C6898" s="3" t="str">
        <f>" "</f>
        <v xml:space="preserve"> </v>
      </c>
      <c r="D6898" s="3" t="s">
        <v>20247</v>
      </c>
      <c r="E6898" s="3" t="s">
        <v>46</v>
      </c>
      <c r="F6898" s="3" t="str">
        <f>"317-882-8933"</f>
        <v>317-882-8933</v>
      </c>
      <c r="G6898" s="3">
        <v>237310</v>
      </c>
      <c r="H6898" s="3" t="s">
        <v>768</v>
      </c>
    </row>
    <row r="6899" spans="1:8" ht="51.75" x14ac:dyDescent="0.25">
      <c r="A6899" s="3" t="s">
        <v>20248</v>
      </c>
      <c r="B6899" s="3"/>
      <c r="C6899" s="3" t="str">
        <f>"We supply vending machines to local businesses, for the convenience of their employees and customers, that are maintained by us."</f>
        <v>We supply vending machines to local businesses, for the convenience of their employees and customers, that are maintained by us.</v>
      </c>
      <c r="D6899" s="3" t="s">
        <v>9</v>
      </c>
      <c r="E6899" s="3" t="s">
        <v>20249</v>
      </c>
      <c r="F6899" s="3" t="str">
        <f>"3177895140"</f>
        <v>3177895140</v>
      </c>
      <c r="G6899" s="3">
        <v>333311</v>
      </c>
      <c r="H6899" s="3" t="s">
        <v>20250</v>
      </c>
    </row>
    <row r="6900" spans="1:8" ht="51.75" x14ac:dyDescent="0.25">
      <c r="A6900" s="3" t="s">
        <v>20251</v>
      </c>
      <c r="B6900" s="3"/>
      <c r="C6900" s="3" t="str">
        <f>"Our House Property Development is a woman owned and family operated business specializing in property development and management."</f>
        <v>Our House Property Development is a woman owned and family operated business specializing in property development and management.</v>
      </c>
      <c r="D6900" s="3" t="s">
        <v>9</v>
      </c>
      <c r="E6900" s="3" t="s">
        <v>20252</v>
      </c>
      <c r="F6900" s="3" t="str">
        <f>"317-902-6454"</f>
        <v>317-902-6454</v>
      </c>
      <c r="G6900" s="3">
        <v>238320</v>
      </c>
      <c r="H6900" s="3" t="s">
        <v>462</v>
      </c>
    </row>
    <row r="6901" spans="1:8" ht="77.25" x14ac:dyDescent="0.25">
      <c r="A6901" s="3" t="s">
        <v>20253</v>
      </c>
      <c r="B6901" s="3"/>
      <c r="C6901" s="3" t="str">
        <f>"Provide drug and alcohol abuse education, prevention, intervention and treatment services to youth, individuals and families, organizations and communities who are or are potentially at risk due to alcohol, tobacco and other drug abuse."</f>
        <v>Provide drug and alcohol abuse education, prevention, intervention and treatment services to youth, individuals and families, organizations and communities who are or are potentially at risk due to alcohol, tobacco and other drug abuse.</v>
      </c>
      <c r="D6901" s="3" t="s">
        <v>20254</v>
      </c>
      <c r="E6901" s="3" t="s">
        <v>20255</v>
      </c>
      <c r="F6901" s="3" t="str">
        <f>"812-945-3400"</f>
        <v>812-945-3400</v>
      </c>
      <c r="G6901" s="3">
        <v>624110</v>
      </c>
      <c r="H6901" s="3" t="s">
        <v>628</v>
      </c>
    </row>
    <row r="6902" spans="1:8" ht="51.75" x14ac:dyDescent="0.25">
      <c r="A6902" s="3" t="s">
        <v>20256</v>
      </c>
      <c r="B6902" s="3"/>
      <c r="C6902" s="3" t="str">
        <f>"OurHealth provides on-site clinic services focused on the primary healthcare needs of your employees to improve wellness and control healthcare costs."</f>
        <v>OurHealth provides on-site clinic services focused on the primary healthcare needs of your employees to improve wellness and control healthcare costs.</v>
      </c>
      <c r="D6902" s="3" t="s">
        <v>20257</v>
      </c>
      <c r="E6902" s="3" t="s">
        <v>20258</v>
      </c>
      <c r="F6902" s="3" t="str">
        <f>"317-522-1268"</f>
        <v>317-522-1268</v>
      </c>
      <c r="G6902" s="3">
        <v>621498</v>
      </c>
      <c r="H6902" s="3" t="s">
        <v>937</v>
      </c>
    </row>
    <row r="6903" spans="1:8" ht="115.5" x14ac:dyDescent="0.25">
      <c r="A6903" s="3" t="s">
        <v>20259</v>
      </c>
      <c r="B6903" s="3"/>
      <c r="C6903" s="3" t="s">
        <v>20260</v>
      </c>
      <c r="D6903" s="3" t="s">
        <v>9</v>
      </c>
      <c r="E6903" s="3" t="s">
        <v>20261</v>
      </c>
      <c r="F6903" s="3" t="str">
        <f>"3178799663"</f>
        <v>3178799663</v>
      </c>
      <c r="G6903" s="3">
        <v>561720</v>
      </c>
      <c r="H6903" s="3" t="s">
        <v>222</v>
      </c>
    </row>
    <row r="6904" spans="1:8" ht="268.5" x14ac:dyDescent="0.25">
      <c r="A6904" s="3" t="s">
        <v>20262</v>
      </c>
      <c r="B6904" s="3"/>
      <c r="C6904" s="3" t="s">
        <v>20263</v>
      </c>
      <c r="D6904" s="3" t="s">
        <v>20264</v>
      </c>
      <c r="E6904" s="3" t="s">
        <v>20265</v>
      </c>
      <c r="F6904" s="3" t="str">
        <f>"317-885-0640"</f>
        <v>317-885-0640</v>
      </c>
      <c r="G6904" s="3">
        <v>238</v>
      </c>
      <c r="H6904" s="3" t="s">
        <v>397</v>
      </c>
    </row>
    <row r="6905" spans="1:8" ht="128.25" x14ac:dyDescent="0.25">
      <c r="A6905" s="3" t="s">
        <v>20266</v>
      </c>
      <c r="B6905" s="3"/>
      <c r="C6905" s="3" t="s">
        <v>20267</v>
      </c>
      <c r="D6905" s="3" t="s">
        <v>20268</v>
      </c>
      <c r="E6905" s="3" t="s">
        <v>20269</v>
      </c>
      <c r="F6905" s="3" t="str">
        <f>"765-654-8514"</f>
        <v>765-654-8514</v>
      </c>
      <c r="G6905" s="3">
        <v>4442</v>
      </c>
      <c r="H6905" s="3" t="s">
        <v>852</v>
      </c>
    </row>
    <row r="6906" spans="1:8" ht="102.75" x14ac:dyDescent="0.25">
      <c r="A6906" s="3" t="s">
        <v>20270</v>
      </c>
      <c r="B6906" s="3"/>
      <c r="C6906" s="3" t="s">
        <v>20271</v>
      </c>
      <c r="D6906" s="3" t="s">
        <v>20272</v>
      </c>
      <c r="E6906" s="3" t="s">
        <v>20273</v>
      </c>
      <c r="F6906" s="3" t="str">
        <f>"317-834-2962"</f>
        <v>317-834-2962</v>
      </c>
      <c r="G6906" s="3">
        <v>454390</v>
      </c>
      <c r="H6906" s="3" t="s">
        <v>1348</v>
      </c>
    </row>
    <row r="6907" spans="1:8" ht="39" x14ac:dyDescent="0.25">
      <c r="A6907" s="3" t="s">
        <v>20274</v>
      </c>
      <c r="B6907" s="3"/>
      <c r="C6907" s="3" t="str">
        <f>"OuterLimits Technologies provides custom software solutions, project management, help desk, and consulting services."</f>
        <v>OuterLimits Technologies provides custom software solutions, project management, help desk, and consulting services.</v>
      </c>
      <c r="D6907" s="3" t="s">
        <v>20275</v>
      </c>
      <c r="E6907" s="3" t="s">
        <v>20276</v>
      </c>
      <c r="F6907" s="3" t="str">
        <f>"317-203-3044"</f>
        <v>317-203-3044</v>
      </c>
      <c r="G6907" s="3">
        <v>541511</v>
      </c>
      <c r="H6907" s="3" t="s">
        <v>122</v>
      </c>
    </row>
    <row r="6908" spans="1:8" ht="51.75" x14ac:dyDescent="0.25">
      <c r="A6908" s="3" t="s">
        <v>20277</v>
      </c>
      <c r="B6908" s="3"/>
      <c r="C6908" s="3" t="str">
        <f>"Project Management, Quality Assurance, and Business Strategic Planning Consulting Services (Computer Systems, Business Process Automation)"</f>
        <v>Project Management, Quality Assurance, and Business Strategic Planning Consulting Services (Computer Systems, Business Process Automation)</v>
      </c>
      <c r="D6908" s="3" t="s">
        <v>20278</v>
      </c>
      <c r="E6908" s="3" t="s">
        <v>20279</v>
      </c>
      <c r="F6908" s="3" t="str">
        <f>"317 574 0203"</f>
        <v>317 574 0203</v>
      </c>
      <c r="G6908" s="3">
        <v>5415</v>
      </c>
      <c r="H6908" s="3" t="s">
        <v>188</v>
      </c>
    </row>
    <row r="6909" spans="1:8" ht="102.75" x14ac:dyDescent="0.25">
      <c r="A6909" s="3" t="s">
        <v>20280</v>
      </c>
      <c r="B6909" s="3"/>
      <c r="C6909" s="3" t="s">
        <v>20281</v>
      </c>
      <c r="D6909" s="3" t="s">
        <v>20282</v>
      </c>
      <c r="E6909" s="3" t="s">
        <v>20283</v>
      </c>
      <c r="F6909" s="3" t="str">
        <f>"317-455-1364"</f>
        <v>317-455-1364</v>
      </c>
      <c r="G6909" s="3">
        <v>561730</v>
      </c>
      <c r="H6909" s="3" t="s">
        <v>65</v>
      </c>
    </row>
    <row r="6910" spans="1:8" ht="39" x14ac:dyDescent="0.25">
      <c r="A6910" s="3" t="s">
        <v>20284</v>
      </c>
      <c r="B6910" s="3"/>
      <c r="C6910" s="3" t="str">
        <f>"Service and installation of overhead doors and operators including rolling steel doors and dock equipment."</f>
        <v>Service and installation of overhead doors and operators including rolling steel doors and dock equipment.</v>
      </c>
      <c r="D6910" s="3" t="s">
        <v>20285</v>
      </c>
      <c r="E6910" s="3" t="s">
        <v>20286</v>
      </c>
      <c r="F6910" s="3" t="str">
        <f>"812-232-2527"</f>
        <v>812-232-2527</v>
      </c>
      <c r="G6910" s="3">
        <v>238290</v>
      </c>
      <c r="H6910" s="3" t="s">
        <v>237</v>
      </c>
    </row>
    <row r="6911" spans="1:8" ht="26.25" x14ac:dyDescent="0.25">
      <c r="A6911" s="3" t="s">
        <v>20287</v>
      </c>
      <c r="B6911" s="3"/>
      <c r="C6911" s="3" t="str">
        <f>"Women Owned promotional importer."</f>
        <v>Women Owned promotional importer.</v>
      </c>
      <c r="D6911" s="3" t="s">
        <v>9</v>
      </c>
      <c r="E6911" s="3" t="s">
        <v>20288</v>
      </c>
      <c r="F6911" s="3" t="str">
        <f>"219-662-1299"</f>
        <v>219-662-1299</v>
      </c>
      <c r="G6911" s="3">
        <v>541890</v>
      </c>
      <c r="H6911" s="3" t="s">
        <v>401</v>
      </c>
    </row>
    <row r="6912" spans="1:8" ht="281.25" x14ac:dyDescent="0.25">
      <c r="A6912" s="3" t="s">
        <v>20289</v>
      </c>
      <c r="B6912" s="3"/>
      <c r="C6912" s="3" t="s">
        <v>20290</v>
      </c>
      <c r="D6912" s="3" t="s">
        <v>20291</v>
      </c>
      <c r="E6912" s="3" t="s">
        <v>20292</v>
      </c>
      <c r="F6912" s="3" t="str">
        <f>"(734) 729-7921"</f>
        <v>(734) 729-7921</v>
      </c>
      <c r="G6912" s="3">
        <v>5616</v>
      </c>
      <c r="H6912" s="3" t="s">
        <v>415</v>
      </c>
    </row>
    <row r="6913" spans="1:8" ht="39" x14ac:dyDescent="0.25">
      <c r="A6913" s="3" t="s">
        <v>20293</v>
      </c>
      <c r="B6913" s="3"/>
      <c r="C6913" s="3" t="str">
        <f>"Supplier of carpet, vinyl, hardwood, ceramic tile. We can supply and install most any kind of flooring"</f>
        <v>Supplier of carpet, vinyl, hardwood, ceramic tile. We can supply and install most any kind of flooring</v>
      </c>
      <c r="D6913" s="3" t="s">
        <v>20294</v>
      </c>
      <c r="E6913" s="3" t="s">
        <v>46</v>
      </c>
      <c r="F6913" s="3" t="str">
        <f>"812-879-4204"</f>
        <v>812-879-4204</v>
      </c>
      <c r="G6913" s="3">
        <v>442210</v>
      </c>
      <c r="H6913" s="3" t="s">
        <v>2301</v>
      </c>
    </row>
    <row r="6914" spans="1:8" ht="51.75" x14ac:dyDescent="0.25">
      <c r="A6914" s="3" t="s">
        <v>20295</v>
      </c>
      <c r="B6914" s="3"/>
      <c r="C6914" s="3" t="str">
        <f>"Motorola authorized 2- way radio dealer and service center specializing in the design, sale, installation, and maintenance of wireless telecommunication products."</f>
        <v>Motorola authorized 2- way radio dealer and service center specializing in the design, sale, installation, and maintenance of wireless telecommunication products.</v>
      </c>
      <c r="D6914" s="3" t="s">
        <v>20296</v>
      </c>
      <c r="E6914" s="3" t="s">
        <v>20297</v>
      </c>
      <c r="F6914" s="3" t="str">
        <f>"812-376-9652"</f>
        <v>812-376-9652</v>
      </c>
      <c r="G6914" s="3">
        <v>811213</v>
      </c>
      <c r="H6914" s="3" t="s">
        <v>1077</v>
      </c>
    </row>
    <row r="6915" spans="1:8" ht="268.5" x14ac:dyDescent="0.25">
      <c r="A6915" s="3" t="s">
        <v>20298</v>
      </c>
      <c r="B6915" s="3"/>
      <c r="C6915" s="3" t="s">
        <v>20299</v>
      </c>
      <c r="D6915" s="3" t="s">
        <v>20300</v>
      </c>
      <c r="E6915" s="3" t="s">
        <v>20301</v>
      </c>
      <c r="F6915" s="3" t="str">
        <f>"317-275-5963"</f>
        <v>317-275-5963</v>
      </c>
      <c r="G6915" s="3">
        <v>611710</v>
      </c>
      <c r="H6915" s="3" t="s">
        <v>508</v>
      </c>
    </row>
    <row r="6916" spans="1:8" ht="64.5" x14ac:dyDescent="0.25">
      <c r="A6916" s="3" t="s">
        <v>20302</v>
      </c>
      <c r="B6916" s="3"/>
      <c r="C6916" s="3" t="str">
        <f>"Fully accredited DME Company providing respiratory services and assessments for individuals, nursing facilities, hospice and any other business needing oxygen/respiratory equipment and supplies."</f>
        <v>Fully accredited DME Company providing respiratory services and assessments for individuals, nursing facilities, hospice and any other business needing oxygen/respiratory equipment and supplies.</v>
      </c>
      <c r="D6916" s="3" t="s">
        <v>9</v>
      </c>
      <c r="E6916" s="3" t="s">
        <v>20303</v>
      </c>
      <c r="F6916" s="3" t="str">
        <f>"574-583-4747"</f>
        <v>574-583-4747</v>
      </c>
      <c r="G6916" s="3">
        <v>532291</v>
      </c>
      <c r="H6916" s="3" t="s">
        <v>1861</v>
      </c>
    </row>
    <row r="6917" spans="1:8" ht="26.25" x14ac:dyDescent="0.25">
      <c r="A6917" s="3" t="s">
        <v>20304</v>
      </c>
      <c r="B6917" s="3"/>
      <c r="C6917" s="3" t="str">
        <f>"Producer of ready mixed concrete."</f>
        <v>Producer of ready mixed concrete.</v>
      </c>
      <c r="D6917" s="3" t="s">
        <v>20305</v>
      </c>
      <c r="E6917" s="3" t="s">
        <v>20306</v>
      </c>
      <c r="F6917" s="3" t="str">
        <f>"219.949.9800"</f>
        <v>219.949.9800</v>
      </c>
      <c r="G6917" s="3">
        <v>23</v>
      </c>
      <c r="H6917" s="3" t="s">
        <v>133</v>
      </c>
    </row>
    <row r="6918" spans="1:8" ht="39" x14ac:dyDescent="0.25">
      <c r="A6918" s="3" t="s">
        <v>20307</v>
      </c>
      <c r="B6918" s="3"/>
      <c r="C6918" s="3" t="str">
        <f>"Metal fabrication and welding service. With over 30 years of experience. Located in Southern Indiana."</f>
        <v>Metal fabrication and welding service. With over 30 years of experience. Located in Southern Indiana.</v>
      </c>
      <c r="D6918" s="3" t="s">
        <v>9</v>
      </c>
      <c r="E6918" s="3" t="s">
        <v>20308</v>
      </c>
      <c r="F6918" s="3" t="str">
        <f>"1-866-590-2311 TOLL FREE"</f>
        <v>1-866-590-2311 TOLL FREE</v>
      </c>
      <c r="G6918" s="3">
        <v>332312</v>
      </c>
      <c r="H6918" s="3" t="s">
        <v>2180</v>
      </c>
    </row>
    <row r="6919" spans="1:8" ht="26.25" x14ac:dyDescent="0.25">
      <c r="A6919" s="3" t="s">
        <v>20309</v>
      </c>
      <c r="B6919" s="3"/>
      <c r="C6919" s="3" t="str">
        <f>" "</f>
        <v xml:space="preserve"> </v>
      </c>
      <c r="D6919" s="3" t="s">
        <v>9</v>
      </c>
      <c r="E6919" s="3" t="s">
        <v>46</v>
      </c>
      <c r="F6919" s="2"/>
      <c r="G6919" s="3">
        <v>233</v>
      </c>
      <c r="H6919" s="3" t="s">
        <v>131</v>
      </c>
    </row>
    <row r="6920" spans="1:8" ht="153.75" x14ac:dyDescent="0.25">
      <c r="A6920" s="3" t="s">
        <v>20310</v>
      </c>
      <c r="B6920" s="3"/>
      <c r="C6920" s="3" t="s">
        <v>20311</v>
      </c>
      <c r="D6920" s="3" t="s">
        <v>20312</v>
      </c>
      <c r="E6920" s="3" t="s">
        <v>20313</v>
      </c>
      <c r="F6920" s="3" t="str">
        <f>"317-422-8080"</f>
        <v>317-422-8080</v>
      </c>
      <c r="G6920" s="3">
        <v>238210</v>
      </c>
      <c r="H6920" s="3" t="s">
        <v>306</v>
      </c>
    </row>
    <row r="6921" spans="1:8" ht="26.25" x14ac:dyDescent="0.25">
      <c r="A6921" s="3" t="s">
        <v>20314</v>
      </c>
      <c r="B6921" s="3"/>
      <c r="C6921" s="3" t="str">
        <f>"Commercial and Industrial Maintenance supplier"</f>
        <v>Commercial and Industrial Maintenance supplier</v>
      </c>
      <c r="D6921" s="3" t="s">
        <v>20315</v>
      </c>
      <c r="E6921" s="3" t="s">
        <v>20316</v>
      </c>
      <c r="F6921" s="3" t="str">
        <f>"(317) 839-1518"</f>
        <v>(317) 839-1518</v>
      </c>
      <c r="G6921" s="3">
        <v>454390</v>
      </c>
      <c r="H6921" s="3" t="s">
        <v>1348</v>
      </c>
    </row>
    <row r="6922" spans="1:8" ht="166.5" x14ac:dyDescent="0.25">
      <c r="A6922" s="3" t="s">
        <v>20317</v>
      </c>
      <c r="B6922" s="3"/>
      <c r="C6922" s="3" t="s">
        <v>20318</v>
      </c>
      <c r="D6922" s="3" t="s">
        <v>9</v>
      </c>
      <c r="E6922" s="3" t="s">
        <v>20319</v>
      </c>
      <c r="F6922" s="3" t="str">
        <f>"317-410-8559"</f>
        <v>317-410-8559</v>
      </c>
      <c r="G6922" s="3">
        <v>23</v>
      </c>
      <c r="H6922" s="3" t="s">
        <v>133</v>
      </c>
    </row>
    <row r="6923" spans="1:8" ht="39" x14ac:dyDescent="0.25">
      <c r="A6923" s="3" t="s">
        <v>20320</v>
      </c>
      <c r="B6923" s="3"/>
      <c r="C6923" s="3" t="str">
        <f>"Ephedrine Sales Tracking, Crime Network Analysis, Jail Data Analysis, Investigations, Research Grant Writing"</f>
        <v>Ephedrine Sales Tracking, Crime Network Analysis, Jail Data Analysis, Investigations, Research Grant Writing</v>
      </c>
      <c r="D6923" s="3" t="s">
        <v>20321</v>
      </c>
      <c r="E6923" s="3" t="s">
        <v>20322</v>
      </c>
      <c r="F6923" s="3" t="str">
        <f>"812-235-4847"</f>
        <v>812-235-4847</v>
      </c>
      <c r="G6923" s="3">
        <v>518210</v>
      </c>
      <c r="H6923" s="3" t="s">
        <v>3133</v>
      </c>
    </row>
    <row r="6924" spans="1:8" ht="90" x14ac:dyDescent="0.25">
      <c r="A6924" s="3" t="s">
        <v>20323</v>
      </c>
      <c r="B6924" s="3"/>
      <c r="C6924" s="3" t="s">
        <v>20324</v>
      </c>
      <c r="D6924" s="3" t="s">
        <v>20325</v>
      </c>
      <c r="E6924" s="3" t="s">
        <v>20326</v>
      </c>
      <c r="F6924" s="3" t="str">
        <f>"219 872 0038"</f>
        <v>219 872 0038</v>
      </c>
      <c r="G6924" s="3">
        <v>541612</v>
      </c>
      <c r="H6924" s="3" t="s">
        <v>1923</v>
      </c>
    </row>
    <row r="6925" spans="1:8" ht="26.25" x14ac:dyDescent="0.25">
      <c r="A6925" s="3" t="s">
        <v>20327</v>
      </c>
      <c r="B6925" s="3"/>
      <c r="C6925" s="3" t="str">
        <f>"Paper Products and Drug &amp; Alcohol Testing"</f>
        <v>Paper Products and Drug &amp; Alcohol Testing</v>
      </c>
      <c r="D6925" s="3" t="s">
        <v>9</v>
      </c>
      <c r="E6925" s="3" t="s">
        <v>20328</v>
      </c>
      <c r="F6925" s="3" t="str">
        <f>"812-284-1568"</f>
        <v>812-284-1568</v>
      </c>
      <c r="G6925" s="3">
        <v>621999</v>
      </c>
      <c r="H6925" s="3" t="s">
        <v>3480</v>
      </c>
    </row>
    <row r="6926" spans="1:8" ht="102.75" x14ac:dyDescent="0.25">
      <c r="A6926" s="3" t="s">
        <v>20329</v>
      </c>
      <c r="B6926" s="3"/>
      <c r="C6926" s="3" t="s">
        <v>20330</v>
      </c>
      <c r="D6926" s="3" t="s">
        <v>9</v>
      </c>
      <c r="E6926" s="3" t="s">
        <v>20331</v>
      </c>
      <c r="F6926" s="3" t="str">
        <f>"317-298-3882"</f>
        <v>317-298-3882</v>
      </c>
      <c r="G6926" s="3">
        <v>238320</v>
      </c>
      <c r="H6926" s="3" t="s">
        <v>462</v>
      </c>
    </row>
    <row r="6927" spans="1:8" ht="39" x14ac:dyDescent="0.25">
      <c r="A6927" s="3" t="s">
        <v>20332</v>
      </c>
      <c r="B6927" s="3"/>
      <c r="C6927" s="3" t="str">
        <f>"Indianapolis Office Supply sells office products to businesses and government agenices throughout Indiana"</f>
        <v>Indianapolis Office Supply sells office products to businesses and government agenices throughout Indiana</v>
      </c>
      <c r="D6927" s="3" t="s">
        <v>20333</v>
      </c>
      <c r="E6927" s="3" t="s">
        <v>20334</v>
      </c>
      <c r="F6927" s="3" t="str">
        <f>"317-322-7600"</f>
        <v>317-322-7600</v>
      </c>
      <c r="G6927" s="3">
        <v>453210</v>
      </c>
      <c r="H6927" s="3" t="s">
        <v>431</v>
      </c>
    </row>
    <row r="6928" spans="1:8" ht="39" x14ac:dyDescent="0.25">
      <c r="A6928" s="3" t="s">
        <v>20335</v>
      </c>
      <c r="B6928" s="3"/>
      <c r="C6928" s="3" t="str">
        <f>"Digital printing to various medias. Non-illuminated sign manufacturing, installation and maintenance."</f>
        <v>Digital printing to various medias. Non-illuminated sign manufacturing, installation and maintenance.</v>
      </c>
      <c r="D6928" s="3" t="s">
        <v>9</v>
      </c>
      <c r="E6928" s="3" t="s">
        <v>20336</v>
      </c>
      <c r="F6928" s="3" t="str">
        <f>"219-947-3481"</f>
        <v>219-947-3481</v>
      </c>
      <c r="G6928" s="3">
        <v>323115</v>
      </c>
      <c r="H6928" s="3" t="s">
        <v>5281</v>
      </c>
    </row>
    <row r="6929" spans="1:8" ht="26.25" x14ac:dyDescent="0.25">
      <c r="A6929" s="3" t="s">
        <v>20337</v>
      </c>
      <c r="B6929" s="3"/>
      <c r="C6929" s="3" t="str">
        <f>"We are a licensed plumbing, heating and cooling contractor."</f>
        <v>We are a licensed plumbing, heating and cooling contractor.</v>
      </c>
      <c r="D6929" s="3" t="s">
        <v>20338</v>
      </c>
      <c r="E6929" s="3" t="s">
        <v>20339</v>
      </c>
      <c r="F6929" s="3" t="str">
        <f>"812-522-9671"</f>
        <v>812-522-9671</v>
      </c>
      <c r="G6929" s="3">
        <v>238220</v>
      </c>
      <c r="H6929" s="3" t="s">
        <v>348</v>
      </c>
    </row>
    <row r="6930" spans="1:8" ht="39" x14ac:dyDescent="0.25">
      <c r="A6930" s="3" t="s">
        <v>20340</v>
      </c>
      <c r="B6930" s="3"/>
      <c r="C6930" s="3" t="str">
        <f>"Manufacture and distribute bag-in-box liquid packaging materials and filling equipment."</f>
        <v>Manufacture and distribute bag-in-box liquid packaging materials and filling equipment.</v>
      </c>
      <c r="D6930" s="3" t="s">
        <v>9</v>
      </c>
      <c r="E6930" s="3" t="s">
        <v>20341</v>
      </c>
      <c r="F6930" s="3" t="str">
        <f>"317-872-0172"</f>
        <v>317-872-0172</v>
      </c>
      <c r="G6930" s="3">
        <v>326111</v>
      </c>
      <c r="H6930" s="3" t="s">
        <v>4202</v>
      </c>
    </row>
    <row r="6931" spans="1:8" ht="26.25" x14ac:dyDescent="0.25">
      <c r="A6931" s="3" t="s">
        <v>20342</v>
      </c>
      <c r="B6931" s="3"/>
      <c r="C6931" s="3" t="str">
        <f>"Not-for-profit community mental health center"</f>
        <v>Not-for-profit community mental health center</v>
      </c>
      <c r="D6931" s="3" t="s">
        <v>20343</v>
      </c>
      <c r="E6931" s="3" t="s">
        <v>46</v>
      </c>
      <c r="F6931" s="3" t="str">
        <f>"260-481-2700"</f>
        <v>260-481-2700</v>
      </c>
      <c r="G6931" s="3">
        <v>62142</v>
      </c>
      <c r="H6931" s="3" t="s">
        <v>990</v>
      </c>
    </row>
    <row r="6932" spans="1:8" ht="51.75" x14ac:dyDescent="0.25">
      <c r="A6932" s="3" t="s">
        <v>20344</v>
      </c>
      <c r="B6932" s="3"/>
      <c r="C6932" s="3" t="str">
        <f>"Charitable, not-for-profit, community-owned hospital located in Ft. Wayne, Indiana. Member of Parkview Health since 1995"</f>
        <v>Charitable, not-for-profit, community-owned hospital located in Ft. Wayne, Indiana. Member of Parkview Health since 1995</v>
      </c>
      <c r="D6932" s="3" t="s">
        <v>4934</v>
      </c>
      <c r="E6932" s="3" t="s">
        <v>46</v>
      </c>
      <c r="F6932" s="3" t="str">
        <f>"260-373-4000"</f>
        <v>260-373-4000</v>
      </c>
      <c r="G6932" s="3">
        <v>622110</v>
      </c>
      <c r="H6932" s="3" t="s">
        <v>3335</v>
      </c>
    </row>
    <row r="6933" spans="1:8" ht="102.75" x14ac:dyDescent="0.25">
      <c r="A6933" s="3" t="s">
        <v>20345</v>
      </c>
      <c r="B6933" s="3"/>
      <c r="C6933" s="3" t="s">
        <v>20346</v>
      </c>
      <c r="D6933" s="3" t="s">
        <v>20347</v>
      </c>
      <c r="E6933" s="3" t="s">
        <v>46</v>
      </c>
      <c r="F6933" s="3" t="str">
        <f>"317-554-8000"</f>
        <v>317-554-8000</v>
      </c>
      <c r="G6933" s="3">
        <v>512110</v>
      </c>
      <c r="H6933" s="3" t="s">
        <v>406</v>
      </c>
    </row>
    <row r="6934" spans="1:8" ht="77.25" x14ac:dyDescent="0.25">
      <c r="A6934" s="3" t="s">
        <v>20348</v>
      </c>
      <c r="B6934" s="3"/>
      <c r="C6934" s="3" t="str">
        <f>"Emerald property care provides commercial and residential mowing, &amp; landscaping maintenance services, to include fertilizing, aeration, pruning, etc. We also provide winter need such as snow and ice control, thanks"</f>
        <v>Emerald property care provides commercial and residential mowing, &amp; landscaping maintenance services, to include fertilizing, aeration, pruning, etc. We also provide winter need such as snow and ice control, thanks</v>
      </c>
      <c r="D6934" s="3" t="s">
        <v>9</v>
      </c>
      <c r="E6934" s="3" t="s">
        <v>46</v>
      </c>
      <c r="F6934" s="2"/>
      <c r="G6934" s="3">
        <v>561730</v>
      </c>
      <c r="H6934" s="3" t="s">
        <v>65</v>
      </c>
    </row>
    <row r="6935" spans="1:8" ht="26.25" x14ac:dyDescent="0.25">
      <c r="A6935" s="3" t="s">
        <v>20349</v>
      </c>
      <c r="B6935" s="3"/>
      <c r="C6935" s="3" t="str">
        <f>"Complete trailer repair.. no tires or refrigerated units"</f>
        <v>Complete trailer repair.. no tires or refrigerated units</v>
      </c>
      <c r="D6935" s="3" t="s">
        <v>20350</v>
      </c>
      <c r="E6935" s="3" t="s">
        <v>20351</v>
      </c>
      <c r="F6935" s="3" t="str">
        <f>"3177819212"</f>
        <v>3177819212</v>
      </c>
      <c r="G6935" s="3">
        <v>811</v>
      </c>
      <c r="H6935" s="3" t="s">
        <v>816</v>
      </c>
    </row>
    <row r="6936" spans="1:8" ht="179.25" x14ac:dyDescent="0.25">
      <c r="A6936" s="3" t="s">
        <v>20352</v>
      </c>
      <c r="B6936" s="3"/>
      <c r="C6936" s="3" t="s">
        <v>20353</v>
      </c>
      <c r="D6936" s="3" t="s">
        <v>20354</v>
      </c>
      <c r="E6936" s="3" t="s">
        <v>20355</v>
      </c>
      <c r="F6936" s="3" t="str">
        <f>"317-972-1500"</f>
        <v>317-972-1500</v>
      </c>
      <c r="G6936" s="3">
        <v>722110</v>
      </c>
      <c r="H6936" s="3" t="s">
        <v>1307</v>
      </c>
    </row>
    <row r="6937" spans="1:8" ht="217.5" x14ac:dyDescent="0.25">
      <c r="A6937" s="3" t="s">
        <v>20356</v>
      </c>
      <c r="B6937" s="3"/>
      <c r="C6937" s="3" t="s">
        <v>20357</v>
      </c>
      <c r="D6937" s="3" t="s">
        <v>9</v>
      </c>
      <c r="E6937" s="3" t="s">
        <v>20358</v>
      </c>
      <c r="F6937" s="3" t="str">
        <f>"219-663-5210"</f>
        <v>219-663-5210</v>
      </c>
      <c r="G6937" s="3">
        <v>484220</v>
      </c>
      <c r="H6937" s="3" t="s">
        <v>11</v>
      </c>
    </row>
    <row r="6938" spans="1:8" ht="26.25" x14ac:dyDescent="0.25">
      <c r="A6938" s="3" t="s">
        <v>20359</v>
      </c>
      <c r="B6938" s="3"/>
      <c r="C6938" s="3" t="str">
        <f>"Prepare Payroll, Individual Tax Returns, Corporate Tax Returns &amp; Electronic Filing"</f>
        <v>Prepare Payroll, Individual Tax Returns, Corporate Tax Returns &amp; Electronic Filing</v>
      </c>
      <c r="D6938" s="3" t="s">
        <v>9</v>
      </c>
      <c r="E6938" s="3" t="s">
        <v>20360</v>
      </c>
      <c r="F6938" s="3" t="str">
        <f>"(219)838-2546"</f>
        <v>(219)838-2546</v>
      </c>
      <c r="G6938" s="3">
        <v>541219</v>
      </c>
      <c r="H6938" s="3" t="s">
        <v>2010</v>
      </c>
    </row>
    <row r="6939" spans="1:8" ht="306.75" x14ac:dyDescent="0.25">
      <c r="A6939" s="3" t="s">
        <v>20361</v>
      </c>
      <c r="B6939" s="3"/>
      <c r="C6939" s="3" t="s">
        <v>20362</v>
      </c>
      <c r="D6939" s="3" t="s">
        <v>20363</v>
      </c>
      <c r="E6939" s="3" t="s">
        <v>20364</v>
      </c>
      <c r="F6939" s="3" t="str">
        <f>"812-423-9693"</f>
        <v>812-423-9693</v>
      </c>
      <c r="G6939" s="3">
        <v>54151</v>
      </c>
      <c r="H6939" s="3" t="s">
        <v>188</v>
      </c>
    </row>
    <row r="6940" spans="1:8" ht="217.5" x14ac:dyDescent="0.25">
      <c r="A6940" s="3" t="s">
        <v>20365</v>
      </c>
      <c r="B6940" s="3"/>
      <c r="C6940" s="3" t="s">
        <v>20366</v>
      </c>
      <c r="D6940" s="3" t="s">
        <v>20367</v>
      </c>
      <c r="E6940" s="3" t="s">
        <v>20368</v>
      </c>
      <c r="F6940" s="3" t="str">
        <f>"574-935-4090"</f>
        <v>574-935-4090</v>
      </c>
      <c r="G6940" s="3">
        <v>5415</v>
      </c>
      <c r="H6940" s="3" t="s">
        <v>188</v>
      </c>
    </row>
    <row r="6941" spans="1:8" ht="26.25" x14ac:dyDescent="0.25">
      <c r="A6941" s="3" t="s">
        <v>20369</v>
      </c>
      <c r="B6941" s="3"/>
      <c r="C6941" s="2"/>
      <c r="D6941" s="3" t="s">
        <v>20370</v>
      </c>
      <c r="E6941" s="3" t="s">
        <v>20371</v>
      </c>
      <c r="F6941" s="3" t="str">
        <f>"317-677-0094"</f>
        <v>317-677-0094</v>
      </c>
      <c r="G6941" s="3">
        <v>238210</v>
      </c>
      <c r="H6941" s="3" t="s">
        <v>306</v>
      </c>
    </row>
    <row r="6942" spans="1:8" ht="51.75" x14ac:dyDescent="0.25">
      <c r="A6942" s="3" t="s">
        <v>20372</v>
      </c>
      <c r="B6942" s="3"/>
      <c r="C6942" s="3" t="str">
        <f>"PCA provides wholesale pharmaceuticals and repackaged pharmaceuticals to medical clinics, veterinary clinics and other wholesalers."</f>
        <v>PCA provides wholesale pharmaceuticals and repackaged pharmaceuticals to medical clinics, veterinary clinics and other wholesalers.</v>
      </c>
      <c r="D6942" s="3" t="s">
        <v>20373</v>
      </c>
      <c r="E6942" s="3" t="s">
        <v>46</v>
      </c>
      <c r="F6942" s="3" t="str">
        <f>"317-616-4500"</f>
        <v>317-616-4500</v>
      </c>
      <c r="G6942" s="3">
        <v>424210</v>
      </c>
      <c r="H6942" s="3" t="s">
        <v>7535</v>
      </c>
    </row>
    <row r="6943" spans="1:8" ht="77.25" x14ac:dyDescent="0.25">
      <c r="A6943" s="3" t="s">
        <v>20374</v>
      </c>
      <c r="B6943" s="3"/>
      <c r="C6943" s="3" t="str">
        <f>"We are a commercial printing and mailing company that offers web, sheetfed, digital and bindery/mailing services. We serve a variety of local, regional and national accounts from our Indianapolis, IN headquarters."</f>
        <v>We are a commercial printing and mailing company that offers web, sheetfed, digital and bindery/mailing services. We serve a variety of local, regional and national accounts from our Indianapolis, IN headquarters.</v>
      </c>
      <c r="D6943" s="3" t="s">
        <v>17175</v>
      </c>
      <c r="E6943" s="3" t="s">
        <v>20375</v>
      </c>
      <c r="F6943" s="3" t="str">
        <f>"317.266.8208"</f>
        <v>317.266.8208</v>
      </c>
      <c r="G6943" s="3">
        <v>323110</v>
      </c>
      <c r="H6943" s="3" t="s">
        <v>1900</v>
      </c>
    </row>
    <row r="6944" spans="1:8" ht="102.75" x14ac:dyDescent="0.25">
      <c r="A6944" s="3" t="s">
        <v>20376</v>
      </c>
      <c r="B6944" s="3"/>
      <c r="C6944" s="3" t="s">
        <v>20377</v>
      </c>
      <c r="D6944" s="3" t="s">
        <v>20378</v>
      </c>
      <c r="E6944" s="3" t="s">
        <v>20379</v>
      </c>
      <c r="F6944" s="3" t="str">
        <f>"317-426-7378"</f>
        <v>317-426-7378</v>
      </c>
      <c r="G6944" s="3">
        <v>236118</v>
      </c>
      <c r="H6944" s="3" t="s">
        <v>465</v>
      </c>
    </row>
    <row r="6945" spans="1:8" ht="319.5" x14ac:dyDescent="0.25">
      <c r="A6945" s="3" t="s">
        <v>20380</v>
      </c>
      <c r="B6945" s="3"/>
      <c r="C6945" s="3" t="s">
        <v>20381</v>
      </c>
      <c r="D6945" s="3" t="s">
        <v>20382</v>
      </c>
      <c r="E6945" s="3" t="s">
        <v>20383</v>
      </c>
      <c r="F6945" s="3" t="str">
        <f>"317-815-8680"</f>
        <v>317-815-8680</v>
      </c>
      <c r="G6945" s="3">
        <v>541611</v>
      </c>
      <c r="H6945" s="3" t="s">
        <v>278</v>
      </c>
    </row>
    <row r="6946" spans="1:8" ht="217.5" x14ac:dyDescent="0.25">
      <c r="A6946" s="3" t="s">
        <v>20384</v>
      </c>
      <c r="B6946" s="3"/>
      <c r="C6946" s="3" t="s">
        <v>20385</v>
      </c>
      <c r="D6946" s="3" t="s">
        <v>20386</v>
      </c>
      <c r="E6946" s="3" t="s">
        <v>20387</v>
      </c>
      <c r="F6946" s="3" t="str">
        <f>"317-295-3032"</f>
        <v>317-295-3032</v>
      </c>
      <c r="G6946" s="3">
        <v>541890</v>
      </c>
      <c r="H6946" s="3" t="s">
        <v>401</v>
      </c>
    </row>
    <row r="6947" spans="1:8" ht="90" x14ac:dyDescent="0.25">
      <c r="A6947" s="3" t="s">
        <v>20388</v>
      </c>
      <c r="B6947" s="3"/>
      <c r="C6947" s="3" t="str">
        <f>"Consultant work for Emergency Management and Homeland Security Issues Company expertise in the design, development and execution of emergency preparedness exercises Company expertise in all facets of Emergency Management Plans"</f>
        <v>Consultant work for Emergency Management and Homeland Security Issues Company expertise in the design, development and execution of emergency preparedness exercises Company expertise in all facets of Emergency Management Plans</v>
      </c>
      <c r="D6947" s="3" t="s">
        <v>9</v>
      </c>
      <c r="E6947" s="3" t="s">
        <v>20389</v>
      </c>
      <c r="F6947" s="3" t="str">
        <f>"260-563-5200"</f>
        <v>260-563-5200</v>
      </c>
      <c r="G6947" s="3">
        <v>5416</v>
      </c>
      <c r="H6947" s="3" t="s">
        <v>194</v>
      </c>
    </row>
    <row r="6948" spans="1:8" ht="319.5" x14ac:dyDescent="0.25">
      <c r="A6948" s="3" t="s">
        <v>20390</v>
      </c>
      <c r="B6948" s="3"/>
      <c r="C6948" s="3" t="s">
        <v>20391</v>
      </c>
      <c r="D6948" s="3" t="s">
        <v>20392</v>
      </c>
      <c r="E6948" s="3" t="s">
        <v>20393</v>
      </c>
      <c r="F6948" s="3" t="str">
        <f>"317.696.1615"</f>
        <v>317.696.1615</v>
      </c>
      <c r="G6948" s="3">
        <v>54143</v>
      </c>
      <c r="H6948" s="3" t="s">
        <v>78</v>
      </c>
    </row>
    <row r="6949" spans="1:8" ht="90" x14ac:dyDescent="0.25">
      <c r="A6949" s="3" t="s">
        <v>20394</v>
      </c>
      <c r="B6949" s="3"/>
      <c r="C6949" s="3" t="s">
        <v>20395</v>
      </c>
      <c r="D6949" s="3" t="s">
        <v>20396</v>
      </c>
      <c r="E6949" s="3" t="s">
        <v>20397</v>
      </c>
      <c r="F6949" s="3" t="str">
        <f>"574-254-9050"</f>
        <v>574-254-9050</v>
      </c>
      <c r="G6949" s="3">
        <v>221310</v>
      </c>
      <c r="H6949" s="3" t="s">
        <v>1833</v>
      </c>
    </row>
    <row r="6950" spans="1:8" ht="77.25" x14ac:dyDescent="0.25">
      <c r="A6950" s="3" t="s">
        <v>20398</v>
      </c>
      <c r="B6950" s="3"/>
      <c r="C6950" s="3" t="str">
        <f>"Connectors (Military &amp; Commercial) Switches / Connector accessories / Hand tools/ Indicators / Leds / Value Added Distributor / Specialty &amp; unique harness / Cable / Relays / Terminal Blocks / Tubing / Convulted Tubing."</f>
        <v>Connectors (Military &amp; Commercial) Switches / Connector accessories / Hand tools/ Indicators / Leds / Value Added Distributor / Specialty &amp; unique harness / Cable / Relays / Terminal Blocks / Tubing / Convulted Tubing.</v>
      </c>
      <c r="D6950" s="3" t="s">
        <v>20399</v>
      </c>
      <c r="E6950" s="3" t="s">
        <v>20400</v>
      </c>
      <c r="F6950" s="3" t="str">
        <f>"800-523-0727"</f>
        <v>800-523-0727</v>
      </c>
      <c r="G6950" s="3">
        <v>423690</v>
      </c>
      <c r="H6950" s="3" t="s">
        <v>6724</v>
      </c>
    </row>
    <row r="6951" spans="1:8" ht="51.75" x14ac:dyDescent="0.25">
      <c r="A6951" s="3" t="s">
        <v>20401</v>
      </c>
      <c r="B6951" s="3"/>
      <c r="C6951" s="3" t="str">
        <f>"Office Furniture, cleaning chemicals, bedding, detention furniture, dorm furniture, custom designed furniture, printing, metal lockers"</f>
        <v>Office Furniture, cleaning chemicals, bedding, detention furniture, dorm furniture, custom designed furniture, printing, metal lockers</v>
      </c>
      <c r="D6951" s="3" t="s">
        <v>20402</v>
      </c>
      <c r="E6951" s="3" t="s">
        <v>20403</v>
      </c>
      <c r="F6951" s="3" t="str">
        <f>"317-955-6800"</f>
        <v>317-955-6800</v>
      </c>
      <c r="G6951" s="3">
        <v>238390</v>
      </c>
      <c r="H6951" s="3" t="s">
        <v>2109</v>
      </c>
    </row>
    <row r="6952" spans="1:8" ht="51.75" x14ac:dyDescent="0.25">
      <c r="A6952" s="3" t="s">
        <v>20404</v>
      </c>
      <c r="B6952" s="3"/>
      <c r="C6952" s="3" t="str">
        <f>"We are a retail store selling building materials and hardware supplies including lumber, plumbing, electrical, paint, tools, garden, etc."</f>
        <v>We are a retail store selling building materials and hardware supplies including lumber, plumbing, electrical, paint, tools, garden, etc.</v>
      </c>
      <c r="D6952" s="3" t="s">
        <v>9</v>
      </c>
      <c r="E6952" s="3" t="s">
        <v>20405</v>
      </c>
      <c r="F6952" s="3" t="str">
        <f>"765-778-2411"</f>
        <v>765-778-2411</v>
      </c>
      <c r="G6952" s="3">
        <v>444110</v>
      </c>
      <c r="H6952" s="3" t="s">
        <v>3072</v>
      </c>
    </row>
    <row r="6953" spans="1:8" ht="26.25" x14ac:dyDescent="0.25">
      <c r="A6953" s="3" t="s">
        <v>20406</v>
      </c>
      <c r="B6953" s="3"/>
      <c r="C6953" s="3" t="str">
        <f>"PRINTING SUPPLIES AND EQUIPMENT"</f>
        <v>PRINTING SUPPLIES AND EQUIPMENT</v>
      </c>
      <c r="D6953" s="3" t="s">
        <v>9</v>
      </c>
      <c r="E6953" s="3" t="s">
        <v>20407</v>
      </c>
      <c r="F6953" s="3" t="str">
        <f>"317-255-0150"</f>
        <v>317-255-0150</v>
      </c>
      <c r="G6953" s="3">
        <v>424110</v>
      </c>
      <c r="H6953" s="3" t="s">
        <v>355</v>
      </c>
    </row>
    <row r="6954" spans="1:8" ht="115.5" x14ac:dyDescent="0.25">
      <c r="A6954" s="3" t="s">
        <v>20408</v>
      </c>
      <c r="B6954" s="3"/>
      <c r="C6954" s="3" t="s">
        <v>20409</v>
      </c>
      <c r="D6954" s="3" t="s">
        <v>20410</v>
      </c>
      <c r="E6954" s="3" t="s">
        <v>20411</v>
      </c>
      <c r="F6954" s="3" t="str">
        <f>"317-585-0000"</f>
        <v>317-585-0000</v>
      </c>
      <c r="G6954" s="3">
        <v>54183</v>
      </c>
      <c r="H6954" s="3" t="s">
        <v>20412</v>
      </c>
    </row>
    <row r="6955" spans="1:8" ht="319.5" x14ac:dyDescent="0.25">
      <c r="A6955" s="3" t="s">
        <v>20413</v>
      </c>
      <c r="B6955" s="3"/>
      <c r="C6955" s="3" t="s">
        <v>20414</v>
      </c>
      <c r="D6955" s="3" t="s">
        <v>20415</v>
      </c>
      <c r="E6955" s="3" t="s">
        <v>20416</v>
      </c>
      <c r="F6955" s="3" t="str">
        <f>"317-824-0393"</f>
        <v>317-824-0393</v>
      </c>
      <c r="G6955" s="3">
        <v>541512</v>
      </c>
      <c r="H6955" s="3" t="s">
        <v>19</v>
      </c>
    </row>
    <row r="6956" spans="1:8" ht="26.25" x14ac:dyDescent="0.25">
      <c r="A6956" s="3" t="s">
        <v>20417</v>
      </c>
      <c r="B6956" s="3"/>
      <c r="C6956" s="3" t="str">
        <f>"AUTO BODY SHOP"</f>
        <v>AUTO BODY SHOP</v>
      </c>
      <c r="D6956" s="3" t="s">
        <v>9</v>
      </c>
      <c r="E6956" s="3" t="s">
        <v>46</v>
      </c>
      <c r="F6956" s="2"/>
      <c r="G6956" s="3">
        <v>811121</v>
      </c>
      <c r="H6956" s="3" t="s">
        <v>1432</v>
      </c>
    </row>
    <row r="6957" spans="1:8" ht="39" x14ac:dyDescent="0.25">
      <c r="A6957" s="3" t="s">
        <v>20418</v>
      </c>
      <c r="B6957" s="3"/>
      <c r="C6957" s="3" t="str">
        <f>"sell gasoline, diesel fuel, and heating oil"</f>
        <v>sell gasoline, diesel fuel, and heating oil</v>
      </c>
      <c r="D6957" s="3" t="s">
        <v>20419</v>
      </c>
      <c r="E6957" s="3" t="s">
        <v>20420</v>
      </c>
      <c r="F6957" s="3" t="str">
        <f>"800-348-3705"</f>
        <v>800-348-3705</v>
      </c>
      <c r="G6957" s="3">
        <v>424720</v>
      </c>
      <c r="H6957" s="3" t="s">
        <v>6992</v>
      </c>
    </row>
    <row r="6958" spans="1:8" ht="51.75" x14ac:dyDescent="0.25">
      <c r="A6958" s="3" t="s">
        <v>20421</v>
      </c>
      <c r="B6958" s="3"/>
      <c r="C6958" s="3" t="str">
        <f>"PFC Cornerstone is flooring company that specializes in the installation of resonus, polymer, tarrazza, conercrete and epoxy floors"</f>
        <v>PFC Cornerstone is flooring company that specializes in the installation of resonus, polymer, tarrazza, conercrete and epoxy floors</v>
      </c>
      <c r="D6958" s="3" t="s">
        <v>9</v>
      </c>
      <c r="E6958" s="3" t="s">
        <v>46</v>
      </c>
      <c r="F6958" s="2"/>
      <c r="G6958" s="3">
        <v>23552</v>
      </c>
      <c r="H6958" s="3" t="s">
        <v>955</v>
      </c>
    </row>
    <row r="6959" spans="1:8" ht="102.75" x14ac:dyDescent="0.25">
      <c r="A6959" s="3" t="s">
        <v>20422</v>
      </c>
      <c r="B6959" s="3"/>
      <c r="C6959" s="3" t="s">
        <v>20423</v>
      </c>
      <c r="D6959" s="3" t="s">
        <v>20424</v>
      </c>
      <c r="E6959" s="3" t="s">
        <v>20425</v>
      </c>
      <c r="F6959" s="3" t="str">
        <f>"812-455-0700"</f>
        <v>812-455-0700</v>
      </c>
      <c r="G6959" s="3">
        <v>424910</v>
      </c>
      <c r="H6959" s="3" t="s">
        <v>1636</v>
      </c>
    </row>
    <row r="6960" spans="1:8" ht="26.25" x14ac:dyDescent="0.25">
      <c r="A6960" s="3" t="s">
        <v>20426</v>
      </c>
      <c r="B6960" s="3"/>
      <c r="C6960" s="3" t="str">
        <f>"Provide residential and commercial carpet cleaning services."</f>
        <v>Provide residential and commercial carpet cleaning services.</v>
      </c>
      <c r="D6960" s="3" t="s">
        <v>9</v>
      </c>
      <c r="E6960" s="3" t="s">
        <v>46</v>
      </c>
      <c r="F6960" s="2"/>
      <c r="G6960" s="3">
        <v>561740</v>
      </c>
      <c r="H6960" s="3" t="s">
        <v>241</v>
      </c>
    </row>
    <row r="6961" spans="1:8" ht="153.75" x14ac:dyDescent="0.25">
      <c r="A6961" s="3" t="s">
        <v>20427</v>
      </c>
      <c r="B6961" s="3"/>
      <c r="C6961" s="3" t="s">
        <v>20428</v>
      </c>
      <c r="D6961" s="3" t="s">
        <v>20429</v>
      </c>
      <c r="E6961" s="3" t="s">
        <v>20430</v>
      </c>
      <c r="F6961" s="3" t="str">
        <f>"317-839-2683"</f>
        <v>317-839-2683</v>
      </c>
      <c r="G6961" s="3">
        <v>2353</v>
      </c>
      <c r="H6961" s="3" t="s">
        <v>306</v>
      </c>
    </row>
    <row r="6962" spans="1:8" ht="102.75" x14ac:dyDescent="0.25">
      <c r="A6962" s="3" t="s">
        <v>20431</v>
      </c>
      <c r="B6962" s="3"/>
      <c r="C6962" s="3" t="s">
        <v>20432</v>
      </c>
      <c r="D6962" s="3" t="s">
        <v>20429</v>
      </c>
      <c r="E6962" s="3" t="s">
        <v>20433</v>
      </c>
      <c r="F6962" s="3" t="str">
        <f>"317-839-2683"</f>
        <v>317-839-2683</v>
      </c>
      <c r="G6962" s="3">
        <v>238910</v>
      </c>
      <c r="H6962" s="3" t="s">
        <v>886</v>
      </c>
    </row>
    <row r="6963" spans="1:8" ht="90" x14ac:dyDescent="0.25">
      <c r="A6963" s="3" t="s">
        <v>20434</v>
      </c>
      <c r="B6963" s="3"/>
      <c r="C6963" s="3" t="str">
        <f>"WBE certified, custom packager of HVAC and Refrigeration packages and systems. Custom packager of pump skids, pump/tank skids, control panels (PLC's), heat transfer packages, filtering skids, and process piping skids. ANSI B31.1, B31.3 &amp; B31.5 certified"</f>
        <v>WBE certified, custom packager of HVAC and Refrigeration packages and systems. Custom packager of pump skids, pump/tank skids, control panels (PLC's), heat transfer packages, filtering skids, and process piping skids. ANSI B31.1, B31.3 &amp; B31.5 certified</v>
      </c>
      <c r="D6963" s="3" t="s">
        <v>20435</v>
      </c>
      <c r="E6963" s="3" t="s">
        <v>20436</v>
      </c>
      <c r="F6963" s="3" t="str">
        <f>"317-388-7017"</f>
        <v>317-388-7017</v>
      </c>
      <c r="G6963" s="3">
        <v>3334</v>
      </c>
      <c r="H6963" s="3" t="s">
        <v>20437</v>
      </c>
    </row>
    <row r="6964" spans="1:8" ht="102.75" x14ac:dyDescent="0.25">
      <c r="A6964" s="3" t="s">
        <v>20438</v>
      </c>
      <c r="B6964" s="3"/>
      <c r="C6964" s="3" t="str">
        <f>"PAPER TUBES, ROUND, SQUARE,AND RECTANGULAR.ELECTRICAL,PACKAGING,MEDICAL,MILITARY,DISPLAYS,AND SPECIALTY APPLICATIONS. MATERIALS: KRAFT, FISH(VULCANIZED FIBRE)PHENOLIC,TUBESTOCK,NOMEX,MYLAR,FOILS,RELEASE COATS,COLORS, AND COMBINATIONS."</f>
        <v>PAPER TUBES, ROUND, SQUARE,AND RECTANGULAR.ELECTRICAL,PACKAGING,MEDICAL,MILITARY,DISPLAYS,AND SPECIALTY APPLICATIONS. MATERIALS: KRAFT, FISH(VULCANIZED FIBRE)PHENOLIC,TUBESTOCK,NOMEX,MYLAR,FOILS,RELEASE COATS,COLORS, AND COMBINATIONS.</v>
      </c>
      <c r="D6964" s="3" t="s">
        <v>20439</v>
      </c>
      <c r="E6964" s="3" t="s">
        <v>20440</v>
      </c>
      <c r="F6964" s="3" t="str">
        <f>"260/424-3734"</f>
        <v>260/424-3734</v>
      </c>
      <c r="G6964" s="3">
        <v>322214</v>
      </c>
      <c r="H6964" s="3" t="s">
        <v>20441</v>
      </c>
    </row>
    <row r="6965" spans="1:8" ht="26.25" x14ac:dyDescent="0.25">
      <c r="A6965" s="3" t="s">
        <v>20442</v>
      </c>
      <c r="B6965" s="3"/>
      <c r="C6965" s="3" t="str">
        <f>"Steel storage and fabrication. Trailer repair and arching."</f>
        <v>Steel storage and fabrication. Trailer repair and arching.</v>
      </c>
      <c r="D6965" s="3" t="s">
        <v>20443</v>
      </c>
      <c r="E6965" s="3" t="s">
        <v>20444</v>
      </c>
      <c r="F6965" s="3" t="str">
        <f>"219-345-5812"</f>
        <v>219-345-5812</v>
      </c>
      <c r="G6965" s="3">
        <v>23499</v>
      </c>
      <c r="H6965" s="3" t="s">
        <v>4574</v>
      </c>
    </row>
    <row r="6966" spans="1:8" ht="166.5" x14ac:dyDescent="0.25">
      <c r="A6966" s="3" t="s">
        <v>20445</v>
      </c>
      <c r="B6966" s="3"/>
      <c r="C6966" s="3" t="s">
        <v>20446</v>
      </c>
      <c r="D6966" s="3" t="s">
        <v>20447</v>
      </c>
      <c r="E6966" s="3" t="s">
        <v>20448</v>
      </c>
      <c r="F6966" s="3" t="str">
        <f>"317/656-8530"</f>
        <v>317/656-8530</v>
      </c>
      <c r="G6966" s="3">
        <v>62</v>
      </c>
      <c r="H6966" s="3" t="s">
        <v>1168</v>
      </c>
    </row>
    <row r="6967" spans="1:8" ht="141" x14ac:dyDescent="0.25">
      <c r="A6967" s="3" t="s">
        <v>20449</v>
      </c>
      <c r="B6967" s="3"/>
      <c r="C6967" s="3" t="s">
        <v>20450</v>
      </c>
      <c r="D6967" s="3" t="s">
        <v>9</v>
      </c>
      <c r="E6967" s="3" t="s">
        <v>20451</v>
      </c>
      <c r="F6967" s="3" t="str">
        <f>"317-823-2503"</f>
        <v>317-823-2503</v>
      </c>
      <c r="G6967" s="3">
        <v>23</v>
      </c>
      <c r="H6967" s="3" t="s">
        <v>133</v>
      </c>
    </row>
    <row r="6968" spans="1:8" ht="26.25" x14ac:dyDescent="0.25">
      <c r="A6968" s="3" t="s">
        <v>20452</v>
      </c>
      <c r="B6968" s="3"/>
      <c r="C6968" s="3" t="str">
        <f>"High quality vascular access including PICC line placement."</f>
        <v>High quality vascular access including PICC line placement.</v>
      </c>
      <c r="D6968" s="3" t="s">
        <v>20453</v>
      </c>
      <c r="E6968" s="3" t="s">
        <v>20454</v>
      </c>
      <c r="F6968" s="3" t="str">
        <f>"(888) 344-7690"</f>
        <v>(888) 344-7690</v>
      </c>
      <c r="G6968" s="3">
        <v>6219</v>
      </c>
      <c r="H6968" s="3" t="s">
        <v>1534</v>
      </c>
    </row>
    <row r="6969" spans="1:8" ht="255.75" x14ac:dyDescent="0.25">
      <c r="A6969" s="3" t="s">
        <v>20455</v>
      </c>
      <c r="B6969" s="3"/>
      <c r="C6969" s="3" t="s">
        <v>20456</v>
      </c>
      <c r="D6969" s="3" t="s">
        <v>20457</v>
      </c>
      <c r="E6969" s="3" t="s">
        <v>20458</v>
      </c>
      <c r="F6969" s="3" t="str">
        <f>"(765)-405-1194"</f>
        <v>(765)-405-1194</v>
      </c>
      <c r="G6969" s="3">
        <v>423420</v>
      </c>
      <c r="H6969" s="3" t="s">
        <v>521</v>
      </c>
    </row>
    <row r="6970" spans="1:8" ht="102.75" x14ac:dyDescent="0.25">
      <c r="A6970" s="3" t="s">
        <v>20459</v>
      </c>
      <c r="B6970" s="3"/>
      <c r="C6970" s="3" t="s">
        <v>20460</v>
      </c>
      <c r="D6970" s="3" t="s">
        <v>9</v>
      </c>
      <c r="E6970" s="3" t="s">
        <v>20461</v>
      </c>
      <c r="F6970" s="3" t="str">
        <f>"260-367-1323"</f>
        <v>260-367-1323</v>
      </c>
      <c r="G6970" s="3">
        <v>541620</v>
      </c>
      <c r="H6970" s="3" t="s">
        <v>216</v>
      </c>
    </row>
    <row r="6971" spans="1:8" ht="39" x14ac:dyDescent="0.25">
      <c r="A6971" s="3" t="s">
        <v>20462</v>
      </c>
      <c r="B6971" s="3"/>
      <c r="C6971" s="3" t="str">
        <f>"The sale and installation of all flooring products. We also install ceramic/stone counter tops and showers."</f>
        <v>The sale and installation of all flooring products. We also install ceramic/stone counter tops and showers.</v>
      </c>
      <c r="D6971" s="3" t="s">
        <v>9</v>
      </c>
      <c r="E6971" s="3" t="s">
        <v>46</v>
      </c>
      <c r="F6971" s="2"/>
      <c r="G6971" s="3">
        <v>23833</v>
      </c>
      <c r="H6971" s="3" t="s">
        <v>2995</v>
      </c>
    </row>
    <row r="6972" spans="1:8" ht="39" x14ac:dyDescent="0.25">
      <c r="A6972" s="3" t="s">
        <v>20463</v>
      </c>
      <c r="B6972" s="3"/>
      <c r="C6972" s="3" t="str">
        <f>"General Construction, Renovation, Remodeling, Carpentry, and Selective Demolition"</f>
        <v>General Construction, Renovation, Remodeling, Carpentry, and Selective Demolition</v>
      </c>
      <c r="D6972" s="3" t="s">
        <v>9</v>
      </c>
      <c r="E6972" s="3" t="s">
        <v>20464</v>
      </c>
      <c r="F6972" s="3" t="str">
        <f>"317-354-1070"</f>
        <v>317-354-1070</v>
      </c>
      <c r="G6972" s="3">
        <v>233</v>
      </c>
      <c r="H6972" s="3" t="s">
        <v>131</v>
      </c>
    </row>
    <row r="6973" spans="1:8" ht="39" x14ac:dyDescent="0.25">
      <c r="A6973" s="3" t="s">
        <v>20465</v>
      </c>
      <c r="B6973" s="3"/>
      <c r="C6973" s="3" t="str">
        <f>"Family owned (since 1930) Indiana business that provides customized uniform rental and floor mats services in Indiana"</f>
        <v>Family owned (since 1930) Indiana business that provides customized uniform rental and floor mats services in Indiana</v>
      </c>
      <c r="D6973" s="3" t="s">
        <v>20466</v>
      </c>
      <c r="E6973" s="3" t="s">
        <v>20467</v>
      </c>
      <c r="F6973" s="3" t="str">
        <f>"317-392-3283"</f>
        <v>317-392-3283</v>
      </c>
      <c r="G6973" s="3">
        <v>812332</v>
      </c>
      <c r="H6973" s="3" t="s">
        <v>2883</v>
      </c>
    </row>
    <row r="6974" spans="1:8" ht="26.25" x14ac:dyDescent="0.25">
      <c r="A6974" s="3" t="s">
        <v>20468</v>
      </c>
      <c r="B6974" s="3"/>
      <c r="C6974" s="3" t="str">
        <f>"Consulting Firm for IT and Project Management"</f>
        <v>Consulting Firm for IT and Project Management</v>
      </c>
      <c r="D6974" s="3" t="s">
        <v>20469</v>
      </c>
      <c r="E6974" s="3" t="s">
        <v>20470</v>
      </c>
      <c r="F6974" s="3" t="str">
        <f>"317-429-9961"</f>
        <v>317-429-9961</v>
      </c>
      <c r="G6974" s="3">
        <v>514</v>
      </c>
      <c r="H6974" s="3" t="s">
        <v>322</v>
      </c>
    </row>
    <row r="6975" spans="1:8" ht="102.75" x14ac:dyDescent="0.25">
      <c r="A6975" s="3" t="s">
        <v>20471</v>
      </c>
      <c r="B6975" s="3"/>
      <c r="C6975" s="3" t="s">
        <v>20472</v>
      </c>
      <c r="D6975" s="3" t="s">
        <v>9</v>
      </c>
      <c r="E6975" s="3" t="s">
        <v>20473</v>
      </c>
      <c r="F6975" s="3" t="str">
        <f>"2129-628-2492"</f>
        <v>2129-628-2492</v>
      </c>
      <c r="G6975" s="3">
        <v>5416</v>
      </c>
      <c r="H6975" s="3" t="s">
        <v>194</v>
      </c>
    </row>
    <row r="6976" spans="1:8" ht="90" x14ac:dyDescent="0.25">
      <c r="A6976" s="3" t="s">
        <v>20474</v>
      </c>
      <c r="B6976" s="3"/>
      <c r="C6976" s="3" t="s">
        <v>20475</v>
      </c>
      <c r="D6976" s="3" t="s">
        <v>20476</v>
      </c>
      <c r="E6976" s="3" t="s">
        <v>20477</v>
      </c>
      <c r="F6976" s="3" t="str">
        <f>"317-776-1871"</f>
        <v>317-776-1871</v>
      </c>
      <c r="G6976" s="3">
        <v>451110</v>
      </c>
      <c r="H6976" s="3" t="s">
        <v>3110</v>
      </c>
    </row>
    <row r="6977" spans="1:8" ht="319.5" x14ac:dyDescent="0.25">
      <c r="A6977" s="3" t="s">
        <v>20478</v>
      </c>
      <c r="B6977" s="3"/>
      <c r="C6977" s="3" t="s">
        <v>20479</v>
      </c>
      <c r="D6977" s="3" t="s">
        <v>9</v>
      </c>
      <c r="E6977" s="3" t="s">
        <v>46</v>
      </c>
      <c r="F6977" s="2"/>
      <c r="G6977" s="3">
        <v>23</v>
      </c>
      <c r="H6977" s="3" t="s">
        <v>133</v>
      </c>
    </row>
    <row r="6978" spans="1:8" ht="115.5" x14ac:dyDescent="0.25">
      <c r="A6978" s="3" t="s">
        <v>20480</v>
      </c>
      <c r="B6978" s="3"/>
      <c r="C6978" s="3" t="s">
        <v>20481</v>
      </c>
      <c r="D6978" s="3" t="s">
        <v>20482</v>
      </c>
      <c r="E6978" s="3" t="s">
        <v>20483</v>
      </c>
      <c r="F6978" s="3" t="str">
        <f>"317-514-5096"</f>
        <v>317-514-5096</v>
      </c>
      <c r="G6978" s="3">
        <v>541330</v>
      </c>
      <c r="H6978" s="3" t="s">
        <v>82</v>
      </c>
    </row>
    <row r="6979" spans="1:8" ht="102.75" x14ac:dyDescent="0.25">
      <c r="A6979" s="3" t="s">
        <v>20484</v>
      </c>
      <c r="B6979" s="3"/>
      <c r="C6979" s="3" t="s">
        <v>20485</v>
      </c>
      <c r="D6979" s="3" t="s">
        <v>9</v>
      </c>
      <c r="E6979" s="3" t="s">
        <v>20486</v>
      </c>
      <c r="F6979" s="3" t="str">
        <f>"812-322-3416"</f>
        <v>812-322-3416</v>
      </c>
      <c r="G6979" s="3">
        <v>238910</v>
      </c>
      <c r="H6979" s="3" t="s">
        <v>886</v>
      </c>
    </row>
    <row r="6980" spans="1:8" ht="39" x14ac:dyDescent="0.25">
      <c r="A6980" s="3" t="s">
        <v>20487</v>
      </c>
      <c r="B6980" s="3"/>
      <c r="C6980" s="3" t="str">
        <f>"PNC Medical provides medical supplies and devices to Hospitals and Physician Practices."</f>
        <v>PNC Medical provides medical supplies and devices to Hospitals and Physician Practices.</v>
      </c>
      <c r="D6980" s="3" t="s">
        <v>9</v>
      </c>
      <c r="E6980" s="3" t="s">
        <v>20488</v>
      </c>
      <c r="F6980" s="3" t="str">
        <f>"317-506-9084"</f>
        <v>317-506-9084</v>
      </c>
      <c r="G6980" s="3">
        <v>541990</v>
      </c>
      <c r="H6980" s="3" t="s">
        <v>378</v>
      </c>
    </row>
    <row r="6981" spans="1:8" ht="39" x14ac:dyDescent="0.25">
      <c r="A6981" s="3" t="s">
        <v>20489</v>
      </c>
      <c r="B6981" s="3"/>
      <c r="C6981" s="3" t="str">
        <f>"Provider of digital photo identification card solutions and full service identification card production outsourcing."</f>
        <v>Provider of digital photo identification card solutions and full service identification card production outsourcing.</v>
      </c>
      <c r="D6981" s="3" t="s">
        <v>20490</v>
      </c>
      <c r="E6981" s="3" t="s">
        <v>46</v>
      </c>
      <c r="F6981" s="3" t="str">
        <f>"(866) 437-4686"</f>
        <v>(866) 437-4686</v>
      </c>
      <c r="G6981" s="3">
        <v>333315</v>
      </c>
      <c r="H6981" s="3" t="s">
        <v>8399</v>
      </c>
    </row>
    <row r="6982" spans="1:8" ht="90" x14ac:dyDescent="0.25">
      <c r="A6982" s="3" t="s">
        <v>20491</v>
      </c>
      <c r="B6982" s="3"/>
      <c r="C6982" s="3" t="str">
        <f>"Enterprise Risk Solutions and Services, including: Information Security Governance (Assess, Implement, Monitor); Business Continuity and Disaster Recovery Planning; and Compliance Preparation Services (regulatory, privacy, financial audit, trust-based)"</f>
        <v>Enterprise Risk Solutions and Services, including: Information Security Governance (Assess, Implement, Monitor); Business Continuity and Disaster Recovery Planning; and Compliance Preparation Services (regulatory, privacy, financial audit, trust-based)</v>
      </c>
      <c r="D6982" s="3" t="s">
        <v>20492</v>
      </c>
      <c r="E6982" s="3" t="s">
        <v>20493</v>
      </c>
      <c r="F6982" s="3" t="str">
        <f>"317-414-6461"</f>
        <v>317-414-6461</v>
      </c>
      <c r="G6982" s="3">
        <v>5416</v>
      </c>
      <c r="H6982" s="3" t="s">
        <v>194</v>
      </c>
    </row>
    <row r="6983" spans="1:8" ht="39" x14ac:dyDescent="0.25">
      <c r="A6983" s="3" t="s">
        <v>20494</v>
      </c>
      <c r="B6983" s="3"/>
      <c r="C6983" s="3" t="str">
        <f>"Complete outsourced computer network support including help desk, installation, maintenance, and disposal."</f>
        <v>Complete outsourced computer network support including help desk, installation, maintenance, and disposal.</v>
      </c>
      <c r="D6983" s="3" t="s">
        <v>20495</v>
      </c>
      <c r="E6983" s="3" t="s">
        <v>20496</v>
      </c>
      <c r="F6983" s="3" t="str">
        <f>"317-624-9380"</f>
        <v>317-624-9380</v>
      </c>
      <c r="G6983" s="3">
        <v>5415</v>
      </c>
      <c r="H6983" s="3" t="s">
        <v>188</v>
      </c>
    </row>
    <row r="6984" spans="1:8" ht="26.25" x14ac:dyDescent="0.25">
      <c r="A6984" s="3" t="s">
        <v>20497</v>
      </c>
      <c r="B6984" s="3"/>
      <c r="C6984" s="2"/>
      <c r="D6984" s="3" t="s">
        <v>9</v>
      </c>
      <c r="E6984" s="3" t="s">
        <v>20498</v>
      </c>
      <c r="F6984" s="3" t="str">
        <f>"219-926-5604"</f>
        <v>219-926-5604</v>
      </c>
      <c r="G6984" s="3">
        <v>922120</v>
      </c>
      <c r="H6984" s="3" t="s">
        <v>1293</v>
      </c>
    </row>
    <row r="6985" spans="1:8" ht="51.75" x14ac:dyDescent="0.25">
      <c r="A6985" s="3" t="s">
        <v>20499</v>
      </c>
      <c r="B6985" s="3"/>
      <c r="C6985" s="3" t="str">
        <f>"Boilers, Heating - A/C and Industrial Equipment Repairs, Service and Sales, Speciality Steel Manufacturing, Heat Exchanger Fabrication and Repairs"</f>
        <v>Boilers, Heating - A/C and Industrial Equipment Repairs, Service and Sales, Speciality Steel Manufacturing, Heat Exchanger Fabrication and Repairs</v>
      </c>
      <c r="D6985" s="3" t="s">
        <v>20500</v>
      </c>
      <c r="E6985" s="3" t="s">
        <v>20501</v>
      </c>
      <c r="F6985" s="3" t="str">
        <f>"260-432-6716"</f>
        <v>260-432-6716</v>
      </c>
      <c r="G6985" s="3">
        <v>238220</v>
      </c>
      <c r="H6985" s="3" t="s">
        <v>348</v>
      </c>
    </row>
    <row r="6986" spans="1:8" ht="26.25" x14ac:dyDescent="0.25">
      <c r="A6986" s="3" t="s">
        <v>20502</v>
      </c>
      <c r="B6986" s="3"/>
      <c r="C6986" s="3" t="str">
        <f>"Law Enforcement Product and Vehicle Specialists"</f>
        <v>Law Enforcement Product and Vehicle Specialists</v>
      </c>
      <c r="D6986" s="3" t="s">
        <v>20503</v>
      </c>
      <c r="E6986" s="3" t="s">
        <v>20504</v>
      </c>
      <c r="F6986" s="3" t="str">
        <f>"317-774-7575"</f>
        <v>317-774-7575</v>
      </c>
      <c r="G6986" s="3">
        <v>3363</v>
      </c>
      <c r="H6986" s="3" t="s">
        <v>20505</v>
      </c>
    </row>
    <row r="6987" spans="1:8" ht="26.25" x14ac:dyDescent="0.25">
      <c r="A6987" s="3" t="s">
        <v>20506</v>
      </c>
      <c r="B6987" s="3"/>
      <c r="C6987" s="3" t="str">
        <f>"Provide Drug and alcohol screening and visitation services."</f>
        <v>Provide Drug and alcohol screening and visitation services.</v>
      </c>
      <c r="D6987" s="3" t="s">
        <v>9</v>
      </c>
      <c r="E6987" s="3" t="s">
        <v>20507</v>
      </c>
      <c r="F6987" s="3" t="str">
        <f>"317-418-0882"</f>
        <v>317-418-0882</v>
      </c>
      <c r="G6987" s="3">
        <v>624190</v>
      </c>
      <c r="H6987" s="3" t="s">
        <v>54</v>
      </c>
    </row>
    <row r="6988" spans="1:8" ht="115.5" x14ac:dyDescent="0.25">
      <c r="A6988" s="3" t="s">
        <v>20508</v>
      </c>
      <c r="B6988" s="3"/>
      <c r="C6988" s="3" t="s">
        <v>20509</v>
      </c>
      <c r="D6988" s="3" t="s">
        <v>20510</v>
      </c>
      <c r="E6988" s="3" t="s">
        <v>20511</v>
      </c>
      <c r="F6988" s="3" t="str">
        <f>"260/638-4370"</f>
        <v>260/638-4370</v>
      </c>
      <c r="G6988" s="3">
        <v>541320</v>
      </c>
      <c r="H6988" s="3" t="s">
        <v>2241</v>
      </c>
    </row>
    <row r="6989" spans="1:8" ht="153.75" x14ac:dyDescent="0.25">
      <c r="A6989" s="3" t="s">
        <v>20512</v>
      </c>
      <c r="B6989" s="3"/>
      <c r="C6989" s="3" t="s">
        <v>20513</v>
      </c>
      <c r="D6989" s="3" t="s">
        <v>9</v>
      </c>
      <c r="E6989" s="3" t="s">
        <v>20514</v>
      </c>
      <c r="F6989" s="3" t="str">
        <f>"219-944-1449"</f>
        <v>219-944-1449</v>
      </c>
      <c r="G6989" s="3">
        <v>233</v>
      </c>
      <c r="H6989" s="3" t="s">
        <v>131</v>
      </c>
    </row>
    <row r="6990" spans="1:8" ht="51.75" x14ac:dyDescent="0.25">
      <c r="A6990" s="3" t="s">
        <v>20515</v>
      </c>
      <c r="B6990" s="3"/>
      <c r="C6990" s="3" t="str">
        <f>"Factory and Remanufactured small arms ammunition. Proudly located in Indiana since 1986. We also purchase brass for reloading."</f>
        <v>Factory and Remanufactured small arms ammunition. Proudly located in Indiana since 1986. We also purchase brass for reloading.</v>
      </c>
      <c r="D6990" s="3" t="s">
        <v>20516</v>
      </c>
      <c r="E6990" s="3" t="s">
        <v>20517</v>
      </c>
      <c r="F6990" s="3" t="str">
        <f>"219-942-2400"</f>
        <v>219-942-2400</v>
      </c>
      <c r="G6990" s="3">
        <v>332992</v>
      </c>
      <c r="H6990" s="3" t="s">
        <v>20518</v>
      </c>
    </row>
    <row r="6991" spans="1:8" ht="102.75" x14ac:dyDescent="0.25">
      <c r="A6991" s="3" t="s">
        <v>20519</v>
      </c>
      <c r="B6991" s="3"/>
      <c r="C6991" s="3" t="s">
        <v>20520</v>
      </c>
      <c r="D6991" s="3" t="s">
        <v>9</v>
      </c>
      <c r="E6991" s="3" t="s">
        <v>20521</v>
      </c>
      <c r="F6991" s="3" t="str">
        <f>"260-482-4600"</f>
        <v>260-482-4600</v>
      </c>
      <c r="G6991" s="3">
        <v>238220</v>
      </c>
      <c r="H6991" s="3" t="s">
        <v>348</v>
      </c>
    </row>
    <row r="6992" spans="1:8" ht="39" x14ac:dyDescent="0.25">
      <c r="A6992" s="3" t="s">
        <v>20522</v>
      </c>
      <c r="B6992" s="3"/>
      <c r="C6992" s="3" t="str">
        <f>"PAINTING INTERIOR AND EXTERIOR RESIDENTIAL AND COMMERCIAL BUILDINGS IN INDIANA."</f>
        <v>PAINTING INTERIOR AND EXTERIOR RESIDENTIAL AND COMMERCIAL BUILDINGS IN INDIANA.</v>
      </c>
      <c r="D6992" s="3" t="s">
        <v>9</v>
      </c>
      <c r="E6992" s="3" t="s">
        <v>20523</v>
      </c>
      <c r="F6992" s="3" t="str">
        <f>"317-213-4394"</f>
        <v>317-213-4394</v>
      </c>
      <c r="G6992" s="3">
        <v>238320</v>
      </c>
      <c r="H6992" s="3" t="s">
        <v>462</v>
      </c>
    </row>
    <row r="6993" spans="1:8" ht="26.25" x14ac:dyDescent="0.25">
      <c r="A6993" s="3" t="s">
        <v>20524</v>
      </c>
      <c r="B6993" s="3"/>
      <c r="C6993" s="3" t="str">
        <f>"AFTER MARKET TRANSIT BUS PARTS, ASSEMBLIES,"</f>
        <v>AFTER MARKET TRANSIT BUS PARTS, ASSEMBLIES,</v>
      </c>
      <c r="D6993" s="3" t="s">
        <v>9</v>
      </c>
      <c r="E6993" s="3" t="s">
        <v>46</v>
      </c>
      <c r="F6993" s="3" t="str">
        <f>"574-231-9698"</f>
        <v>574-231-9698</v>
      </c>
      <c r="G6993" s="3">
        <v>4413</v>
      </c>
      <c r="H6993" s="3" t="s">
        <v>1210</v>
      </c>
    </row>
    <row r="6994" spans="1:8" ht="26.25" x14ac:dyDescent="0.25">
      <c r="A6994" s="3" t="s">
        <v>20525</v>
      </c>
      <c r="B6994" s="3"/>
      <c r="C6994" s="3" t="str">
        <f>"Service duplication machinery."</f>
        <v>Service duplication machinery.</v>
      </c>
      <c r="D6994" s="3" t="s">
        <v>9</v>
      </c>
      <c r="E6994" s="3" t="s">
        <v>46</v>
      </c>
      <c r="F6994" s="3" t="str">
        <f>"765/563-6405"</f>
        <v>765/563-6405</v>
      </c>
      <c r="G6994" s="3">
        <v>42385</v>
      </c>
      <c r="H6994" s="3" t="s">
        <v>419</v>
      </c>
    </row>
    <row r="6995" spans="1:8" ht="102.75" x14ac:dyDescent="0.25">
      <c r="A6995" s="3" t="s">
        <v>20526</v>
      </c>
      <c r="B6995" s="3"/>
      <c r="C6995" s="3" t="s">
        <v>20527</v>
      </c>
      <c r="D6995" s="3" t="s">
        <v>20528</v>
      </c>
      <c r="E6995" s="3" t="s">
        <v>20529</v>
      </c>
      <c r="F6995" s="3" t="str">
        <f>"317-863-3300"</f>
        <v>317-863-3300</v>
      </c>
      <c r="G6995" s="3">
        <v>423420</v>
      </c>
      <c r="H6995" s="3" t="s">
        <v>521</v>
      </c>
    </row>
    <row r="6996" spans="1:8" ht="26.25" x14ac:dyDescent="0.25">
      <c r="A6996" s="3" t="s">
        <v>20530</v>
      </c>
      <c r="B6996" s="3"/>
      <c r="C6996" s="3" t="str">
        <f>"Design and manufacture gasoline engine components"</f>
        <v>Design and manufacture gasoline engine components</v>
      </c>
      <c r="D6996" s="3" t="s">
        <v>20531</v>
      </c>
      <c r="E6996" s="3" t="s">
        <v>46</v>
      </c>
      <c r="F6996" s="3" t="str">
        <f>"812-546-4220"</f>
        <v>812-546-4220</v>
      </c>
      <c r="G6996" s="3">
        <v>336312</v>
      </c>
      <c r="H6996" s="3" t="s">
        <v>16129</v>
      </c>
    </row>
    <row r="6997" spans="1:8" ht="115.5" x14ac:dyDescent="0.25">
      <c r="A6997" s="3" t="s">
        <v>20532</v>
      </c>
      <c r="B6997" s="3"/>
      <c r="C6997" s="3" t="s">
        <v>20533</v>
      </c>
      <c r="D6997" s="3" t="s">
        <v>20534</v>
      </c>
      <c r="E6997" s="3" t="s">
        <v>20535</v>
      </c>
      <c r="F6997" s="3" t="str">
        <f>"786-348-1237"</f>
        <v>786-348-1237</v>
      </c>
      <c r="G6997" s="3">
        <v>236</v>
      </c>
      <c r="H6997" s="3" t="s">
        <v>291</v>
      </c>
    </row>
    <row r="6998" spans="1:8" ht="26.25" x14ac:dyDescent="0.25">
      <c r="A6998" s="3" t="s">
        <v>20536</v>
      </c>
      <c r="B6998" s="3"/>
      <c r="C6998" s="2"/>
      <c r="D6998" s="3" t="s">
        <v>9</v>
      </c>
      <c r="E6998" s="3" t="s">
        <v>46</v>
      </c>
      <c r="F6998" s="2"/>
      <c r="G6998" s="3">
        <v>2341</v>
      </c>
      <c r="H6998" s="3" t="s">
        <v>4867</v>
      </c>
    </row>
    <row r="6999" spans="1:8" ht="51.75" x14ac:dyDescent="0.25">
      <c r="A6999" s="3" t="s">
        <v>20537</v>
      </c>
      <c r="B6999" s="3"/>
      <c r="C6999" s="3" t="str">
        <f>"commercial &amp; quick printing, copy center, ad speciality items, type &amp; design, prepress, bindery, shipping, mailing, delivery, fulfillment, variable data, digital color"</f>
        <v>commercial &amp; quick printing, copy center, ad speciality items, type &amp; design, prepress, bindery, shipping, mailing, delivery, fulfillment, variable data, digital color</v>
      </c>
      <c r="D6999" s="3" t="s">
        <v>20538</v>
      </c>
      <c r="E6999" s="3" t="s">
        <v>20539</v>
      </c>
      <c r="F6999" s="3" t="str">
        <f>"317-635-2282"</f>
        <v>317-635-2282</v>
      </c>
      <c r="G6999" s="3">
        <v>323</v>
      </c>
      <c r="H6999" s="3" t="s">
        <v>302</v>
      </c>
    </row>
    <row r="7000" spans="1:8" ht="51.75" x14ac:dyDescent="0.25">
      <c r="A7000" s="3" t="s">
        <v>20540</v>
      </c>
      <c r="B7000" s="3"/>
      <c r="C7000" s="3" t="str">
        <f>"We manufacture wire harnesses and cable assemblies. Also we provide out side plant cabling and fiber optic cabling for communication services."</f>
        <v>We manufacture wire harnesses and cable assemblies. Also we provide out side plant cabling and fiber optic cabling for communication services.</v>
      </c>
      <c r="D7000" s="3" t="s">
        <v>9</v>
      </c>
      <c r="E7000" s="3" t="s">
        <v>46</v>
      </c>
      <c r="F7000" s="2"/>
      <c r="G7000" s="3">
        <v>541330</v>
      </c>
      <c r="H7000" s="3" t="s">
        <v>82</v>
      </c>
    </row>
    <row r="7001" spans="1:8" ht="39" x14ac:dyDescent="0.25">
      <c r="A7001" s="3" t="s">
        <v>20541</v>
      </c>
      <c r="B7001" s="3"/>
      <c r="C7001" s="3" t="str">
        <f>"We specialize in short-run, quick-turn custom silkscreen printing for T-shirts and other apparel."</f>
        <v>We specialize in short-run, quick-turn custom silkscreen printing for T-shirts and other apparel.</v>
      </c>
      <c r="D7001" s="3" t="s">
        <v>20542</v>
      </c>
      <c r="E7001" s="3" t="s">
        <v>20543</v>
      </c>
      <c r="F7001" s="3" t="str">
        <f>"317-921-0151"</f>
        <v>317-921-0151</v>
      </c>
      <c r="G7001" s="3">
        <v>323113</v>
      </c>
      <c r="H7001" s="3" t="s">
        <v>1606</v>
      </c>
    </row>
    <row r="7002" spans="1:8" ht="64.5" x14ac:dyDescent="0.25">
      <c r="A7002" s="3" t="s">
        <v>20544</v>
      </c>
      <c r="B7002" s="3"/>
      <c r="C7002" s="3" t="str">
        <f>"Founded in 1960, PAR's niche is customized, proprietary data collection and reporting. Our mission is to deliver high quality marketing services within budget, on time, every time."</f>
        <v>Founded in 1960, PAR's niche is customized, proprietary data collection and reporting. Our mission is to deliver high quality marketing services within budget, on time, every time.</v>
      </c>
      <c r="D7002" s="3" t="s">
        <v>20545</v>
      </c>
      <c r="E7002" s="3" t="s">
        <v>20546</v>
      </c>
      <c r="F7002" s="3" t="str">
        <f>"812-867-8600"</f>
        <v>812-867-8600</v>
      </c>
      <c r="G7002" s="3">
        <v>54191</v>
      </c>
      <c r="H7002" s="3" t="s">
        <v>510</v>
      </c>
    </row>
    <row r="7003" spans="1:8" ht="64.5" x14ac:dyDescent="0.25">
      <c r="A7003" s="3" t="s">
        <v>20547</v>
      </c>
      <c r="B7003" s="3"/>
      <c r="C7003" s="3" t="str">
        <f>"Full-service meeting planning company specializing in meeting and event planning, registration and housing for conferences, seminars, conventions, and trade shows for local, statewide and national events."</f>
        <v>Full-service meeting planning company specializing in meeting and event planning, registration and housing for conferences, seminars, conventions, and trade shows for local, statewide and national events.</v>
      </c>
      <c r="D7003" s="3" t="s">
        <v>20548</v>
      </c>
      <c r="E7003" s="3" t="s">
        <v>20549</v>
      </c>
      <c r="F7003" s="3" t="str">
        <f>"317-852-5734"</f>
        <v>317-852-5734</v>
      </c>
      <c r="G7003" s="3">
        <v>561920</v>
      </c>
      <c r="H7003" s="3" t="s">
        <v>7034</v>
      </c>
    </row>
    <row r="7004" spans="1:8" ht="39" x14ac:dyDescent="0.25">
      <c r="A7004" s="3" t="s">
        <v>20550</v>
      </c>
      <c r="B7004" s="3"/>
      <c r="C7004" s="3" t="str">
        <f>"Distributor of EZGO golf cars. Sell and service golf cars. Short term and long term leasing. Sale of golf car parts."</f>
        <v>Distributor of EZGO golf cars. Sell and service golf cars. Short term and long term leasing. Sale of golf car parts.</v>
      </c>
      <c r="D7004" s="3" t="s">
        <v>20551</v>
      </c>
      <c r="E7004" s="3" t="s">
        <v>20552</v>
      </c>
      <c r="F7004" s="3" t="str">
        <f>"812-825-2121"</f>
        <v>812-825-2121</v>
      </c>
      <c r="G7004" s="3">
        <v>4412</v>
      </c>
      <c r="H7004" s="3" t="s">
        <v>4634</v>
      </c>
    </row>
    <row r="7005" spans="1:8" ht="64.5" x14ac:dyDescent="0.25">
      <c r="A7005" s="3" t="s">
        <v>20553</v>
      </c>
      <c r="B7005" s="3"/>
      <c r="C7005" s="3" t="str">
        <f>"We will provide quality American Sign Language (ASL) interpretation and transliteration services to persons who are deaf or hard of hearing and their hearing interlocutors."</f>
        <v>We will provide quality American Sign Language (ASL) interpretation and transliteration services to persons who are deaf or hard of hearing and their hearing interlocutors.</v>
      </c>
      <c r="D7005" s="3" t="s">
        <v>20554</v>
      </c>
      <c r="E7005" s="3" t="s">
        <v>20555</v>
      </c>
      <c r="F7005" s="3" t="str">
        <f>"219-736-7512"</f>
        <v>219-736-7512</v>
      </c>
      <c r="G7005" s="3">
        <v>541930</v>
      </c>
      <c r="H7005" s="3" t="s">
        <v>971</v>
      </c>
    </row>
    <row r="7006" spans="1:8" ht="51.75" x14ac:dyDescent="0.25">
      <c r="A7006" s="3" t="s">
        <v>20553</v>
      </c>
      <c r="B7006" s="3"/>
      <c r="C7006" s="3" t="str">
        <f>"PID provides interpreters to help facilitate communication with hearing consumers. Also we provide video relay services to our consumers"</f>
        <v>PID provides interpreters to help facilitate communication with hearing consumers. Also we provide video relay services to our consumers</v>
      </c>
      <c r="D7006" s="3" t="s">
        <v>20554</v>
      </c>
      <c r="E7006" s="3" t="s">
        <v>20556</v>
      </c>
      <c r="F7006" s="3" t="str">
        <f>"219-736-7512"</f>
        <v>219-736-7512</v>
      </c>
      <c r="G7006" s="3">
        <v>541930</v>
      </c>
      <c r="H7006" s="3" t="s">
        <v>971</v>
      </c>
    </row>
    <row r="7007" spans="1:8" ht="77.25" x14ac:dyDescent="0.25">
      <c r="A7007" s="3" t="s">
        <v>20557</v>
      </c>
      <c r="B7007" s="3"/>
      <c r="C7007" s="3" t="str">
        <f>"Service First Cleaning- the premier Janitorial and Carpet Cleaning Services. Offers a variety of cleaning service from tile and grout, textile, floor care to specialty services for both corporate and residential envoiroments."</f>
        <v>Service First Cleaning- the premier Janitorial and Carpet Cleaning Services. Offers a variety of cleaning service from tile and grout, textile, floor care to specialty services for both corporate and residential envoiroments.</v>
      </c>
      <c r="D7007" s="3" t="s">
        <v>20558</v>
      </c>
      <c r="E7007" s="3" t="s">
        <v>20559</v>
      </c>
      <c r="F7007" s="3" t="str">
        <f>"317-770-8042"</f>
        <v>317-770-8042</v>
      </c>
      <c r="G7007" s="3">
        <v>561740</v>
      </c>
      <c r="H7007" s="3" t="s">
        <v>241</v>
      </c>
    </row>
    <row r="7008" spans="1:8" ht="26.25" x14ac:dyDescent="0.25">
      <c r="A7008" s="3" t="s">
        <v>20560</v>
      </c>
      <c r="B7008" s="3"/>
      <c r="C7008" s="3" t="str">
        <f>"Ambulance Service"</f>
        <v>Ambulance Service</v>
      </c>
      <c r="D7008" s="3" t="s">
        <v>20561</v>
      </c>
      <c r="E7008" s="3" t="s">
        <v>46</v>
      </c>
      <c r="F7008" s="3" t="str">
        <f>"2199341010"</f>
        <v>2199341010</v>
      </c>
      <c r="G7008" s="3">
        <v>621910</v>
      </c>
      <c r="H7008" s="3" t="s">
        <v>18321</v>
      </c>
    </row>
    <row r="7009" spans="1:8" ht="39" x14ac:dyDescent="0.25">
      <c r="A7009" s="3" t="s">
        <v>20562</v>
      </c>
      <c r="B7009" s="3"/>
      <c r="C7009" s="3" t="str">
        <f>"General construction company providing servicing the commercial and residential markets."</f>
        <v>General construction company providing servicing the commercial and residential markets.</v>
      </c>
      <c r="D7009" s="3" t="s">
        <v>20563</v>
      </c>
      <c r="E7009" s="3" t="s">
        <v>20564</v>
      </c>
      <c r="F7009" s="3" t="str">
        <f>"(317) 319-1578"</f>
        <v>(317) 319-1578</v>
      </c>
      <c r="G7009" s="3">
        <v>233</v>
      </c>
      <c r="H7009" s="3" t="s">
        <v>131</v>
      </c>
    </row>
    <row r="7010" spans="1:8" ht="77.25" x14ac:dyDescent="0.25">
      <c r="A7010" s="3" t="s">
        <v>20565</v>
      </c>
      <c r="B7010" s="3"/>
      <c r="C7010" s="3" t="str">
        <f>"WE PROVIDE FULL SERVICE AND STORAGE FOR THE MARINE INDUSTRY. WE SPECIALIZE IN INBOARD AND PWC REPAIR. WE ARE CERTIFIED IN INDMAR AND PCM ENGINES AND TRANSMISSIONS. COMBINED 30+ YEARS EXPERIENCE."</f>
        <v>WE PROVIDE FULL SERVICE AND STORAGE FOR THE MARINE INDUSTRY. WE SPECIALIZE IN INBOARD AND PWC REPAIR. WE ARE CERTIFIED IN INDMAR AND PCM ENGINES AND TRANSMISSIONS. COMBINED 30+ YEARS EXPERIENCE.</v>
      </c>
      <c r="D7010" s="3" t="s">
        <v>9</v>
      </c>
      <c r="E7010" s="3" t="s">
        <v>20566</v>
      </c>
      <c r="F7010" s="3" t="str">
        <f>"574-457-2908"</f>
        <v>574-457-2908</v>
      </c>
      <c r="G7010" s="3">
        <v>812990</v>
      </c>
      <c r="H7010" s="3" t="s">
        <v>294</v>
      </c>
    </row>
    <row r="7011" spans="1:8" ht="39" x14ac:dyDescent="0.25">
      <c r="A7011" s="3" t="s">
        <v>20567</v>
      </c>
      <c r="B7011" s="3"/>
      <c r="C7011" s="3" t="str">
        <f>"Traffic Flaggers, Construction Security, On Site Security officers. Also, off duty police officers."</f>
        <v>Traffic Flaggers, Construction Security, On Site Security officers. Also, off duty police officers.</v>
      </c>
      <c r="D7011" s="3" t="s">
        <v>20568</v>
      </c>
      <c r="E7011" s="3" t="s">
        <v>20569</v>
      </c>
      <c r="F7011" s="3" t="str">
        <f>"317-244-7569"</f>
        <v>317-244-7569</v>
      </c>
      <c r="G7011" s="3">
        <v>561612</v>
      </c>
      <c r="H7011" s="3" t="s">
        <v>362</v>
      </c>
    </row>
    <row r="7012" spans="1:8" ht="166.5" x14ac:dyDescent="0.25">
      <c r="A7012" s="3" t="s">
        <v>20570</v>
      </c>
      <c r="B7012" s="3"/>
      <c r="C7012" s="3" t="s">
        <v>20571</v>
      </c>
      <c r="D7012" s="3" t="s">
        <v>20572</v>
      </c>
      <c r="E7012" s="3" t="s">
        <v>20573</v>
      </c>
      <c r="F7012" s="3" t="str">
        <f>"3175138946"</f>
        <v>3175138946</v>
      </c>
      <c r="G7012" s="3">
        <v>54151</v>
      </c>
      <c r="H7012" s="3" t="s">
        <v>188</v>
      </c>
    </row>
    <row r="7013" spans="1:8" ht="192" x14ac:dyDescent="0.25">
      <c r="A7013" s="3" t="s">
        <v>20574</v>
      </c>
      <c r="B7013" s="3"/>
      <c r="C7013" s="3" t="s">
        <v>20575</v>
      </c>
      <c r="D7013" s="3" t="s">
        <v>20576</v>
      </c>
      <c r="E7013" s="3" t="s">
        <v>20577</v>
      </c>
      <c r="F7013" s="3" t="str">
        <f>"317-915-8200"</f>
        <v>317-915-8200</v>
      </c>
      <c r="G7013" s="3">
        <v>442210</v>
      </c>
      <c r="H7013" s="3" t="s">
        <v>2301</v>
      </c>
    </row>
    <row r="7014" spans="1:8" ht="128.25" x14ac:dyDescent="0.25">
      <c r="A7014" s="3" t="s">
        <v>20578</v>
      </c>
      <c r="B7014" s="3"/>
      <c r="C7014" s="3" t="s">
        <v>20579</v>
      </c>
      <c r="D7014" s="3" t="s">
        <v>20580</v>
      </c>
      <c r="E7014" s="3" t="s">
        <v>20581</v>
      </c>
      <c r="F7014" s="3" t="str">
        <f>"812-402-2311"</f>
        <v>812-402-2311</v>
      </c>
      <c r="G7014" s="3">
        <v>3231</v>
      </c>
      <c r="H7014" s="3" t="s">
        <v>302</v>
      </c>
    </row>
    <row r="7015" spans="1:8" ht="115.5" x14ac:dyDescent="0.25">
      <c r="A7015" s="3" t="s">
        <v>20582</v>
      </c>
      <c r="B7015" s="3"/>
      <c r="C7015" s="3" t="s">
        <v>20583</v>
      </c>
      <c r="D7015" s="3" t="s">
        <v>20584</v>
      </c>
      <c r="E7015" s="3" t="s">
        <v>20585</v>
      </c>
      <c r="F7015" s="3" t="str">
        <f>"513-791-4418"</f>
        <v>513-791-4418</v>
      </c>
      <c r="G7015" s="3">
        <v>541620</v>
      </c>
      <c r="H7015" s="3" t="s">
        <v>216</v>
      </c>
    </row>
    <row r="7016" spans="1:8" ht="102.75" x14ac:dyDescent="0.25">
      <c r="A7016" s="3" t="s">
        <v>20586</v>
      </c>
      <c r="B7016" s="3"/>
      <c r="C7016" s="3" t="s">
        <v>20587</v>
      </c>
      <c r="D7016" s="3" t="s">
        <v>20588</v>
      </c>
      <c r="E7016" s="3" t="s">
        <v>20589</v>
      </c>
      <c r="F7016" s="3" t="str">
        <f>"317-356-2000"</f>
        <v>317-356-2000</v>
      </c>
      <c r="G7016" s="3">
        <v>33291</v>
      </c>
      <c r="H7016" s="3" t="s">
        <v>9825</v>
      </c>
    </row>
    <row r="7017" spans="1:8" ht="39" x14ac:dyDescent="0.25">
      <c r="A7017" s="3" t="s">
        <v>20590</v>
      </c>
      <c r="B7017" s="3"/>
      <c r="C7017" s="3" t="str">
        <f>"Truck Parts Distributor with over 80 of the industry leading brands represented. Over 1.5 million dollars in stock. Daily delivery."</f>
        <v>Truck Parts Distributor with over 80 of the industry leading brands represented. Over 1.5 million dollars in stock. Daily delivery.</v>
      </c>
      <c r="D7017" s="3" t="s">
        <v>20591</v>
      </c>
      <c r="E7017" s="3" t="s">
        <v>20592</v>
      </c>
      <c r="F7017" s="3" t="str">
        <f>"317-800-7945"</f>
        <v>317-800-7945</v>
      </c>
      <c r="G7017" s="3">
        <v>423120</v>
      </c>
      <c r="H7017" s="3" t="s">
        <v>1033</v>
      </c>
    </row>
    <row r="7018" spans="1:8" ht="64.5" x14ac:dyDescent="0.25">
      <c r="A7018" s="3" t="s">
        <v>20593</v>
      </c>
      <c r="B7018" s="3"/>
      <c r="C7018" s="3" t="str">
        <f>"WE CAN PROVIDE A ONE STOP SHOPPING FOR ALL THE BUSINESS NEEDS ORDERING OFFICE SUPPLIES, SAFETY EQUIPMENT, PROVIDE OFFICE SUPPORT - WHAT EVER THE NEED BE ASK AND WE WILL MAKE IT HAPPEN"</f>
        <v>WE CAN PROVIDE A ONE STOP SHOPPING FOR ALL THE BUSINESS NEEDS ORDERING OFFICE SUPPLIES, SAFETY EQUIPMENT, PROVIDE OFFICE SUPPORT - WHAT EVER THE NEED BE ASK AND WE WILL MAKE IT HAPPEN</v>
      </c>
      <c r="D7018" s="3" t="s">
        <v>9</v>
      </c>
      <c r="E7018" s="3" t="s">
        <v>46</v>
      </c>
      <c r="F7018" s="3" t="str">
        <f>"842-945-4505"</f>
        <v>842-945-4505</v>
      </c>
      <c r="G7018" s="3">
        <v>561110</v>
      </c>
      <c r="H7018" s="3" t="s">
        <v>4383</v>
      </c>
    </row>
    <row r="7019" spans="1:8" ht="26.25" x14ac:dyDescent="0.25">
      <c r="A7019" s="3" t="s">
        <v>20594</v>
      </c>
      <c r="B7019" s="3"/>
      <c r="C7019" s="3" t="str">
        <f>"distributor of plastic pipe, valves, fittings, pumps, geotextiles"</f>
        <v>distributor of plastic pipe, valves, fittings, pumps, geotextiles</v>
      </c>
      <c r="D7019" s="3" t="s">
        <v>20595</v>
      </c>
      <c r="E7019" s="3" t="s">
        <v>20596</v>
      </c>
      <c r="F7019" s="3" t="str">
        <f>"812-476-3592"</f>
        <v>812-476-3592</v>
      </c>
      <c r="G7019" s="3">
        <v>444190</v>
      </c>
      <c r="H7019" s="3" t="s">
        <v>1188</v>
      </c>
    </row>
    <row r="7020" spans="1:8" ht="115.5" x14ac:dyDescent="0.25">
      <c r="A7020" s="3" t="s">
        <v>20597</v>
      </c>
      <c r="B7020" s="3"/>
      <c r="C7020" s="3" t="s">
        <v>20598</v>
      </c>
      <c r="D7020" s="3" t="s">
        <v>20599</v>
      </c>
      <c r="E7020" s="3" t="s">
        <v>20600</v>
      </c>
      <c r="F7020" s="3" t="str">
        <f>"317-791-2030"</f>
        <v>317-791-2030</v>
      </c>
      <c r="G7020" s="3">
        <v>531120</v>
      </c>
      <c r="H7020" s="3" t="s">
        <v>2926</v>
      </c>
    </row>
    <row r="7021" spans="1:8" ht="102.75" x14ac:dyDescent="0.25">
      <c r="A7021" s="3" t="s">
        <v>20601</v>
      </c>
      <c r="B7021" s="3"/>
      <c r="C7021" s="3" t="s">
        <v>20602</v>
      </c>
      <c r="D7021" s="3" t="s">
        <v>20599</v>
      </c>
      <c r="E7021" s="3" t="s">
        <v>20600</v>
      </c>
      <c r="F7021" s="3" t="str">
        <f>"317-791-2030"</f>
        <v>317-791-2030</v>
      </c>
      <c r="G7021" s="3">
        <v>23829</v>
      </c>
      <c r="H7021" s="3" t="s">
        <v>237</v>
      </c>
    </row>
    <row r="7022" spans="1:8" ht="26.25" x14ac:dyDescent="0.25">
      <c r="A7022" s="3" t="s">
        <v>20603</v>
      </c>
      <c r="B7022" s="3"/>
      <c r="C7022" s="3" t="str">
        <f>"We are a private not-for-profit organization that operates Federal &amp; State Programs."</f>
        <v>We are a private not-for-profit organization that operates Federal &amp; State Programs.</v>
      </c>
      <c r="D7022" s="3" t="s">
        <v>20604</v>
      </c>
      <c r="E7022" s="3" t="s">
        <v>20605</v>
      </c>
      <c r="F7022" s="3" t="str">
        <f>"812-882-7927"</f>
        <v>812-882-7927</v>
      </c>
      <c r="G7022" s="3">
        <v>81299</v>
      </c>
      <c r="H7022" s="3" t="s">
        <v>294</v>
      </c>
    </row>
    <row r="7023" spans="1:8" ht="306.75" x14ac:dyDescent="0.25">
      <c r="A7023" s="3" t="s">
        <v>20606</v>
      </c>
      <c r="B7023" s="3"/>
      <c r="C7023" s="3" t="s">
        <v>20607</v>
      </c>
      <c r="D7023" s="3" t="s">
        <v>20608</v>
      </c>
      <c r="E7023" s="3" t="s">
        <v>20609</v>
      </c>
      <c r="F7023" s="3" t="str">
        <f>"219-764-0103"</f>
        <v>219-764-0103</v>
      </c>
      <c r="G7023" s="3">
        <v>541620</v>
      </c>
      <c r="H7023" s="3" t="s">
        <v>216</v>
      </c>
    </row>
    <row r="7024" spans="1:8" ht="90" x14ac:dyDescent="0.25">
      <c r="A7024" s="3" t="s">
        <v>20610</v>
      </c>
      <c r="B7024" s="3"/>
      <c r="C7024" s="3" t="str">
        <f>"Manufacturer of corrugated boxes, POP displays, Inner Packaging including Chip Board, Foam and Honeycomb. JIT and Warehouse Systems available. Full Design Engineering Services with CAD Table. Correlating and assembling of packaging. Plastic Corrugated."</f>
        <v>Manufacturer of corrugated boxes, POP displays, Inner Packaging including Chip Board, Foam and Honeycomb. JIT and Warehouse Systems available. Full Design Engineering Services with CAD Table. Correlating and assembling of packaging. Plastic Corrugated.</v>
      </c>
      <c r="D7024" s="3" t="s">
        <v>20611</v>
      </c>
      <c r="E7024" s="3" t="s">
        <v>20612</v>
      </c>
      <c r="F7024" s="3" t="str">
        <f>"800-326-1350"</f>
        <v>800-326-1350</v>
      </c>
      <c r="G7024" s="3">
        <v>322211</v>
      </c>
      <c r="H7024" s="3" t="s">
        <v>2605</v>
      </c>
    </row>
    <row r="7025" spans="1:8" ht="102.75" x14ac:dyDescent="0.25">
      <c r="A7025" s="3" t="s">
        <v>20613</v>
      </c>
      <c r="B7025" s="3"/>
      <c r="C7025" s="3" t="s">
        <v>20614</v>
      </c>
      <c r="D7025" s="3" t="s">
        <v>20615</v>
      </c>
      <c r="E7025" s="3" t="s">
        <v>20616</v>
      </c>
      <c r="F7025" s="3" t="str">
        <f>"317-347-1502"</f>
        <v>317-347-1502</v>
      </c>
      <c r="G7025" s="3">
        <v>333993</v>
      </c>
      <c r="H7025" s="3" t="s">
        <v>20617</v>
      </c>
    </row>
    <row r="7026" spans="1:8" ht="294" x14ac:dyDescent="0.25">
      <c r="A7026" s="3" t="s">
        <v>20618</v>
      </c>
      <c r="B7026" s="3"/>
      <c r="C7026" s="3" t="s">
        <v>20619</v>
      </c>
      <c r="D7026" s="3" t="s">
        <v>20620</v>
      </c>
      <c r="E7026" s="3" t="s">
        <v>20621</v>
      </c>
      <c r="F7026" s="3" t="str">
        <f>"812-897-3004"</f>
        <v>812-897-3004</v>
      </c>
      <c r="G7026" s="3">
        <v>322211</v>
      </c>
      <c r="H7026" s="3" t="s">
        <v>2605</v>
      </c>
    </row>
    <row r="7027" spans="1:8" ht="77.25" x14ac:dyDescent="0.25">
      <c r="A7027" s="3" t="s">
        <v>20622</v>
      </c>
      <c r="B7027" s="3"/>
      <c r="C7027" s="3" t="str">
        <f>"Paddock View Residential Center, Inc. is a privately owned child caring institution licensed by Indiana Department of Child Services. Provides residential and emergency shelter services for adolescent boys and girls, ages 10 to 19 years of age."</f>
        <v>Paddock View Residential Center, Inc. is a privately owned child caring institution licensed by Indiana Department of Child Services. Provides residential and emergency shelter services for adolescent boys and girls, ages 10 to 19 years of age.</v>
      </c>
      <c r="D7027" s="3" t="s">
        <v>20623</v>
      </c>
      <c r="E7027" s="3" t="s">
        <v>20624</v>
      </c>
      <c r="F7027" s="3" t="str">
        <f>"765-664-7740"</f>
        <v>765-664-7740</v>
      </c>
      <c r="G7027" s="3">
        <v>623</v>
      </c>
      <c r="H7027" s="3" t="s">
        <v>7583</v>
      </c>
    </row>
    <row r="7028" spans="1:8" ht="51.75" x14ac:dyDescent="0.25">
      <c r="A7028" s="3" t="s">
        <v>20625</v>
      </c>
      <c r="B7028" s="3"/>
      <c r="C7028" s="3" t="str">
        <f>"Our organization provides general commercial contracting management for the private sector, State of Indiana and Federal Goverment"</f>
        <v>Our organization provides general commercial contracting management for the private sector, State of Indiana and Federal Goverment</v>
      </c>
      <c r="D7028" s="3" t="s">
        <v>9</v>
      </c>
      <c r="E7028" s="3" t="s">
        <v>20626</v>
      </c>
      <c r="F7028" s="3" t="str">
        <f>"2603875056"</f>
        <v>2603875056</v>
      </c>
      <c r="G7028" s="3">
        <v>237310</v>
      </c>
      <c r="H7028" s="3" t="s">
        <v>768</v>
      </c>
    </row>
    <row r="7029" spans="1:8" ht="39" x14ac:dyDescent="0.25">
      <c r="A7029" s="3" t="s">
        <v>20627</v>
      </c>
      <c r="B7029" s="3"/>
      <c r="C7029" s="3" t="str">
        <f>"Indiana Pain Medicine &amp; Rehabilitation Institute treats patients with chronic pain and rehabilitates them to an active life style"</f>
        <v>Indiana Pain Medicine &amp; Rehabilitation Institute treats patients with chronic pain and rehabilitates them to an active life style</v>
      </c>
      <c r="D7029" s="3" t="s">
        <v>9</v>
      </c>
      <c r="E7029" s="3" t="s">
        <v>46</v>
      </c>
      <c r="F7029" s="3" t="str">
        <f>"812-523-3700"</f>
        <v>812-523-3700</v>
      </c>
      <c r="G7029" s="3">
        <v>62111</v>
      </c>
      <c r="H7029" s="3" t="s">
        <v>9843</v>
      </c>
    </row>
    <row r="7030" spans="1:8" ht="102.75" x14ac:dyDescent="0.25">
      <c r="A7030" s="3" t="s">
        <v>20628</v>
      </c>
      <c r="B7030" s="3"/>
      <c r="C7030" s="3" t="s">
        <v>20629</v>
      </c>
      <c r="D7030" s="3" t="s">
        <v>9</v>
      </c>
      <c r="E7030" s="3" t="s">
        <v>20630</v>
      </c>
      <c r="F7030" s="3" t="str">
        <f>"812-523-3700"</f>
        <v>812-523-3700</v>
      </c>
      <c r="G7030" s="3">
        <v>621111</v>
      </c>
      <c r="H7030" s="3" t="s">
        <v>2002</v>
      </c>
    </row>
    <row r="7031" spans="1:8" ht="77.25" x14ac:dyDescent="0.25">
      <c r="A7031" s="3" t="s">
        <v>20631</v>
      </c>
      <c r="B7031" s="3"/>
      <c r="C7031" s="3" t="str">
        <f>"We are a full service painting company. We do commercial,residential and new construction jobs. We also offer powerwashing and wallcoverings. We do both interior and exterior work. We are fully licensed and insured."</f>
        <v>We are a full service painting company. We do commercial,residential and new construction jobs. We also offer powerwashing and wallcoverings. We do both interior and exterior work. We are fully licensed and insured.</v>
      </c>
      <c r="D7031" s="3" t="s">
        <v>20632</v>
      </c>
      <c r="E7031" s="3" t="s">
        <v>20633</v>
      </c>
      <c r="F7031" s="3" t="str">
        <f>"(260) 632-4903"</f>
        <v>(260) 632-4903</v>
      </c>
      <c r="G7031" s="3">
        <v>238320</v>
      </c>
      <c r="H7031" s="3" t="s">
        <v>462</v>
      </c>
    </row>
    <row r="7032" spans="1:8" ht="306.75" x14ac:dyDescent="0.25">
      <c r="A7032" s="3" t="s">
        <v>20634</v>
      </c>
      <c r="B7032" s="3"/>
      <c r="C7032" s="3" t="s">
        <v>20635</v>
      </c>
      <c r="D7032" s="3" t="s">
        <v>20636</v>
      </c>
      <c r="E7032" s="3" t="s">
        <v>20637</v>
      </c>
      <c r="F7032" s="3" t="str">
        <f>"317-805-4780"</f>
        <v>317-805-4780</v>
      </c>
      <c r="G7032" s="3">
        <v>5415</v>
      </c>
      <c r="H7032" s="3" t="s">
        <v>188</v>
      </c>
    </row>
    <row r="7033" spans="1:8" ht="26.25" x14ac:dyDescent="0.25">
      <c r="A7033" s="3" t="s">
        <v>20638</v>
      </c>
      <c r="B7033" s="3"/>
      <c r="C7033" s="3" t="str">
        <f>"Hotel lodging"</f>
        <v>Hotel lodging</v>
      </c>
      <c r="D7033" s="3" t="s">
        <v>20639</v>
      </c>
      <c r="E7033" s="3" t="s">
        <v>46</v>
      </c>
      <c r="F7033" s="3" t="str">
        <f>"7654468558"</f>
        <v>7654468558</v>
      </c>
      <c r="G7033" s="3">
        <v>721110</v>
      </c>
      <c r="H7033" s="3" t="s">
        <v>872</v>
      </c>
    </row>
    <row r="7034" spans="1:8" ht="51.75" x14ac:dyDescent="0.25">
      <c r="A7034" s="3" t="s">
        <v>20640</v>
      </c>
      <c r="B7034" s="3"/>
      <c r="C7034" s="3" t="str">
        <f>"Hauling (including long dist.), excavation, equipment rental with or without operator, water/sewer repair, demolition, trenching, commercial &amp; residential contractor."</f>
        <v>Hauling (including long dist.), excavation, equipment rental with or without operator, water/sewer repair, demolition, trenching, commercial &amp; residential contractor.</v>
      </c>
      <c r="D7034" s="3" t="s">
        <v>9</v>
      </c>
      <c r="E7034" s="3" t="s">
        <v>20641</v>
      </c>
      <c r="F7034" s="3" t="str">
        <f>"260-609-2201"</f>
        <v>260-609-2201</v>
      </c>
      <c r="G7034" s="3">
        <v>238910</v>
      </c>
      <c r="H7034" s="3" t="s">
        <v>886</v>
      </c>
    </row>
    <row r="7035" spans="1:8" ht="51.75" x14ac:dyDescent="0.25">
      <c r="A7035" s="3" t="s">
        <v>20642</v>
      </c>
      <c r="B7035" s="3"/>
      <c r="C7035" s="3" t="str">
        <f>"We are a frozen desert company that provides Ice cream, Fruit bars, yogurt, all natural. We use as many Indiana (local providers) for our products as possible."</f>
        <v>We are a frozen desert company that provides Ice cream, Fruit bars, yogurt, all natural. We use as many Indiana (local providers) for our products as possible.</v>
      </c>
      <c r="D7035" s="3" t="s">
        <v>20643</v>
      </c>
      <c r="E7035" s="3" t="s">
        <v>20644</v>
      </c>
      <c r="F7035" s="3" t="str">
        <f>"317 517-5026"</f>
        <v>317 517-5026</v>
      </c>
      <c r="G7035" s="3">
        <v>111</v>
      </c>
      <c r="H7035" s="3" t="s">
        <v>6077</v>
      </c>
    </row>
    <row r="7036" spans="1:8" ht="102.75" x14ac:dyDescent="0.25">
      <c r="A7036" s="3" t="s">
        <v>20645</v>
      </c>
      <c r="B7036" s="3"/>
      <c r="C7036" s="3" t="s">
        <v>20646</v>
      </c>
      <c r="D7036" s="3" t="s">
        <v>20647</v>
      </c>
      <c r="E7036" s="3" t="s">
        <v>20648</v>
      </c>
      <c r="F7036" s="3" t="str">
        <f>"317-769-4180"</f>
        <v>317-769-4180</v>
      </c>
      <c r="G7036" s="3">
        <v>722320</v>
      </c>
      <c r="H7036" s="3" t="s">
        <v>266</v>
      </c>
    </row>
    <row r="7037" spans="1:8" ht="77.25" x14ac:dyDescent="0.25">
      <c r="A7037" s="3" t="s">
        <v>20649</v>
      </c>
      <c r="B7037" s="3"/>
      <c r="C7037" s="3" t="str">
        <f>"Graphic services including typesetting, layout and design of forms, brochures, manuals, newsletters, stationary, and all other types of printed material. I am also a print broker, overseeing all types of printing projects for my clients."</f>
        <v>Graphic services including typesetting, layout and design of forms, brochures, manuals, newsletters, stationary, and all other types of printed material. I am also a print broker, overseeing all types of printing projects for my clients.</v>
      </c>
      <c r="D7037" s="3" t="s">
        <v>9</v>
      </c>
      <c r="E7037" s="3" t="s">
        <v>20650</v>
      </c>
      <c r="F7037" s="3" t="str">
        <f>"812 945 7453"</f>
        <v>812 945 7453</v>
      </c>
      <c r="G7037" s="3">
        <v>812990</v>
      </c>
      <c r="H7037" s="3" t="s">
        <v>294</v>
      </c>
    </row>
    <row r="7038" spans="1:8" ht="192" x14ac:dyDescent="0.25">
      <c r="A7038" s="3" t="s">
        <v>20651</v>
      </c>
      <c r="B7038" s="3"/>
      <c r="C7038" s="3" t="s">
        <v>20652</v>
      </c>
      <c r="D7038" s="3" t="s">
        <v>20653</v>
      </c>
      <c r="E7038" s="3" t="s">
        <v>20654</v>
      </c>
      <c r="F7038" s="3" t="str">
        <f>"(866) 720-5832"</f>
        <v>(866) 720-5832</v>
      </c>
      <c r="G7038" s="3">
        <v>5416</v>
      </c>
      <c r="H7038" s="3" t="s">
        <v>194</v>
      </c>
    </row>
    <row r="7039" spans="1:8" ht="26.25" x14ac:dyDescent="0.25">
      <c r="A7039" s="3" t="s">
        <v>20655</v>
      </c>
      <c r="B7039" s="3"/>
      <c r="C7039" s="3" t="str">
        <f>"Structural Steel Cleaning and Painting"</f>
        <v>Structural Steel Cleaning and Painting</v>
      </c>
      <c r="D7039" s="3" t="s">
        <v>9</v>
      </c>
      <c r="E7039" s="3" t="s">
        <v>20656</v>
      </c>
      <c r="F7039" s="3" t="str">
        <f>"574-258-6032"</f>
        <v>574-258-6032</v>
      </c>
      <c r="G7039" s="3">
        <v>238320</v>
      </c>
      <c r="H7039" s="3" t="s">
        <v>462</v>
      </c>
    </row>
    <row r="7040" spans="1:8" ht="281.25" x14ac:dyDescent="0.25">
      <c r="A7040" s="3" t="s">
        <v>20657</v>
      </c>
      <c r="B7040" s="3"/>
      <c r="C7040" s="3" t="s">
        <v>20658</v>
      </c>
      <c r="D7040" s="3" t="s">
        <v>20659</v>
      </c>
      <c r="E7040" s="3" t="s">
        <v>20660</v>
      </c>
      <c r="F7040" s="3" t="str">
        <f>"574-234-0124"</f>
        <v>574-234-0124</v>
      </c>
      <c r="G7040" s="3">
        <v>23</v>
      </c>
      <c r="H7040" s="3" t="s">
        <v>133</v>
      </c>
    </row>
    <row r="7041" spans="1:8" ht="26.25" x14ac:dyDescent="0.25">
      <c r="A7041" s="3" t="s">
        <v>20661</v>
      </c>
      <c r="B7041" s="3"/>
      <c r="C7041" s="3" t="str">
        <f>"Paoli Community School Corporation is a non-profit public school corporation."</f>
        <v>Paoli Community School Corporation is a non-profit public school corporation.</v>
      </c>
      <c r="D7041" s="3" t="s">
        <v>20662</v>
      </c>
      <c r="E7041" s="3" t="s">
        <v>20663</v>
      </c>
      <c r="F7041" s="3" t="str">
        <f>"(812( 723-4717"</f>
        <v>(812( 723-4717</v>
      </c>
      <c r="G7041" s="3">
        <v>61</v>
      </c>
      <c r="H7041" s="3" t="s">
        <v>140</v>
      </c>
    </row>
    <row r="7042" spans="1:8" ht="26.25" x14ac:dyDescent="0.25">
      <c r="A7042" s="3" t="s">
        <v>20664</v>
      </c>
      <c r="B7042" s="3"/>
      <c r="C7042" s="3" t="str">
        <f>"Manufacturer of wood and laminate office furniture including casegoods and seating."</f>
        <v>Manufacturer of wood and laminate office furniture including casegoods and seating.</v>
      </c>
      <c r="D7042" s="3" t="s">
        <v>20665</v>
      </c>
      <c r="E7042" s="3" t="s">
        <v>20666</v>
      </c>
      <c r="F7042" s="3" t="str">
        <f>"812-865-1525"</f>
        <v>812-865-1525</v>
      </c>
      <c r="G7042" s="3">
        <v>337</v>
      </c>
      <c r="H7042" s="3" t="s">
        <v>6695</v>
      </c>
    </row>
    <row r="7043" spans="1:8" ht="115.5" x14ac:dyDescent="0.25">
      <c r="A7043" s="3" t="s">
        <v>20667</v>
      </c>
      <c r="B7043" s="3"/>
      <c r="C7043" s="3" t="s">
        <v>20668</v>
      </c>
      <c r="D7043" s="3" t="s">
        <v>20669</v>
      </c>
      <c r="E7043" s="3" t="s">
        <v>20670</v>
      </c>
      <c r="F7043" s="3" t="str">
        <f>"317-574-7944"</f>
        <v>317-574-7944</v>
      </c>
      <c r="G7043" s="3">
        <v>3222</v>
      </c>
      <c r="H7043" s="3" t="s">
        <v>3097</v>
      </c>
    </row>
    <row r="7044" spans="1:8" ht="39" x14ac:dyDescent="0.25">
      <c r="A7044" s="3" t="s">
        <v>20671</v>
      </c>
      <c r="B7044" s="3"/>
      <c r="C7044" s="3" t="str">
        <f>"Custom Software Development for Local, State, and Federal Criminal Justice Agencies Serving over 100 in Indiana."</f>
        <v>Custom Software Development for Local, State, and Federal Criminal Justice Agencies Serving over 100 in Indiana.</v>
      </c>
      <c r="D7044" s="3" t="s">
        <v>20672</v>
      </c>
      <c r="E7044" s="3" t="s">
        <v>20673</v>
      </c>
      <c r="F7044" s="3" t="str">
        <f>"5742239474"</f>
        <v>5742239474</v>
      </c>
      <c r="G7044" s="3">
        <v>5415</v>
      </c>
      <c r="H7044" s="3" t="s">
        <v>188</v>
      </c>
    </row>
    <row r="7045" spans="1:8" ht="90" x14ac:dyDescent="0.25">
      <c r="A7045" s="3" t="s">
        <v>20674</v>
      </c>
      <c r="B7045" s="3"/>
      <c r="C7045" s="3" t="s">
        <v>20675</v>
      </c>
      <c r="D7045" s="3" t="s">
        <v>9</v>
      </c>
      <c r="E7045" s="3" t="s">
        <v>20676</v>
      </c>
      <c r="F7045" s="3" t="str">
        <f>"317-695-6961"</f>
        <v>317-695-6961</v>
      </c>
      <c r="G7045" s="3">
        <v>541990</v>
      </c>
      <c r="H7045" s="3" t="s">
        <v>378</v>
      </c>
    </row>
    <row r="7046" spans="1:8" ht="77.25" x14ac:dyDescent="0.25">
      <c r="A7046" s="3" t="s">
        <v>20677</v>
      </c>
      <c r="B7046" s="3"/>
      <c r="C7046" s="3" t="str">
        <f>"Parach Printer Repair is a laser and or dot matrix repair service. Doing break-fix duties on most major brand to include cleaning preventative maint. and cosmetics. We repair HP and Lexmark laser printers and many more. Call for pricing."</f>
        <v>Parach Printer Repair is a laser and or dot matrix repair service. Doing break-fix duties on most major brand to include cleaning preventative maint. and cosmetics. We repair HP and Lexmark laser printers and many more. Call for pricing.</v>
      </c>
      <c r="D7046" s="3" t="s">
        <v>9</v>
      </c>
      <c r="E7046" s="3" t="s">
        <v>20678</v>
      </c>
      <c r="F7046" s="3" t="str">
        <f>"(317)408-9991"</f>
        <v>(317)408-9991</v>
      </c>
      <c r="G7046" s="3">
        <v>811212</v>
      </c>
      <c r="H7046" s="3" t="s">
        <v>1632</v>
      </c>
    </row>
    <row r="7047" spans="1:8" ht="64.5" x14ac:dyDescent="0.25">
      <c r="A7047" s="3" t="s">
        <v>20679</v>
      </c>
      <c r="B7047" s="3"/>
      <c r="C7047" s="3" t="str">
        <f>"Electrical contractor specializing in new homes, rewiring and repair, voice/data, control wiring, and design build for residential, industrial, and commercial needs."</f>
        <v>Electrical contractor specializing in new homes, rewiring and repair, voice/data, control wiring, and design build for residential, industrial, and commercial needs.</v>
      </c>
      <c r="D7047" s="3" t="s">
        <v>9</v>
      </c>
      <c r="E7047" s="3" t="s">
        <v>20680</v>
      </c>
      <c r="F7047" s="3" t="str">
        <f>"812-401-1858"</f>
        <v>812-401-1858</v>
      </c>
      <c r="G7047" s="3">
        <v>238210</v>
      </c>
      <c r="H7047" s="3" t="s">
        <v>306</v>
      </c>
    </row>
    <row r="7048" spans="1:8" ht="77.25" x14ac:dyDescent="0.25">
      <c r="A7048" s="3" t="s">
        <v>20681</v>
      </c>
      <c r="B7048" s="3"/>
      <c r="C7048" s="3" t="str">
        <f>"These are services the business offer and guaranteed work: Fieldstone Walls External fieldstone veneer Free-standing Walls with Planter Retaining Walls Sea-Walls Restoration Preservation Masonry Bricks Landscape Edging Patios Walkways Decks"</f>
        <v>These are services the business offer and guaranteed work: Fieldstone Walls External fieldstone veneer Free-standing Walls with Planter Retaining Walls Sea-Walls Restoration Preservation Masonry Bricks Landscape Edging Patios Walkways Decks</v>
      </c>
      <c r="D7048" s="3" t="s">
        <v>20682</v>
      </c>
      <c r="E7048" s="3" t="s">
        <v>20683</v>
      </c>
      <c r="F7048" s="3" t="str">
        <f>"574-315-2551"</f>
        <v>574-315-2551</v>
      </c>
      <c r="G7048" s="3">
        <v>212321</v>
      </c>
      <c r="H7048" s="3" t="s">
        <v>4979</v>
      </c>
    </row>
    <row r="7049" spans="1:8" ht="102.75" x14ac:dyDescent="0.25">
      <c r="A7049" s="3" t="s">
        <v>20684</v>
      </c>
      <c r="B7049" s="3"/>
      <c r="C7049" s="3" t="s">
        <v>20685</v>
      </c>
      <c r="D7049" s="3" t="s">
        <v>20686</v>
      </c>
      <c r="E7049" s="3" t="s">
        <v>20687</v>
      </c>
      <c r="F7049" s="3" t="str">
        <f>"812.945.8669"</f>
        <v>812.945.8669</v>
      </c>
      <c r="G7049" s="3">
        <v>5418</v>
      </c>
      <c r="H7049" s="3" t="s">
        <v>1337</v>
      </c>
    </row>
    <row r="7050" spans="1:8" ht="64.5" x14ac:dyDescent="0.25">
      <c r="A7050" s="3" t="s">
        <v>20688</v>
      </c>
      <c r="B7050" s="3"/>
      <c r="C7050" s="3" t="str">
        <f>"Paragon Fiberglass &amp; Composites is a manufacturer of acoustitical fiberglass panels cut to customer specifications. We also produce custom and compression molded plastics to customer prints."</f>
        <v>Paragon Fiberglass &amp; Composites is a manufacturer of acoustitical fiberglass panels cut to customer specifications. We also produce custom and compression molded plastics to customer prints.</v>
      </c>
      <c r="D7050" s="3" t="s">
        <v>20689</v>
      </c>
      <c r="E7050" s="3" t="s">
        <v>20690</v>
      </c>
      <c r="F7050" s="3" t="str">
        <f>"260-357-4161"</f>
        <v>260-357-4161</v>
      </c>
      <c r="G7050" s="3">
        <v>31</v>
      </c>
      <c r="H7050" s="3" t="s">
        <v>999</v>
      </c>
    </row>
    <row r="7051" spans="1:8" ht="51.75" x14ac:dyDescent="0.25">
      <c r="A7051" s="3" t="s">
        <v>20691</v>
      </c>
      <c r="B7051" s="3"/>
      <c r="C7051" s="3" t="str">
        <f>"We offer industrial and commerical paint applications as well as high-performance coatings such as epoxy and mulit-spec paint applications."</f>
        <v>We offer industrial and commerical paint applications as well as high-performance coatings such as epoxy and mulit-spec paint applications.</v>
      </c>
      <c r="D7051" s="3" t="s">
        <v>9</v>
      </c>
      <c r="E7051" s="3" t="s">
        <v>46</v>
      </c>
      <c r="F7051" s="3" t="str">
        <f>"812-579-6744"</f>
        <v>812-579-6744</v>
      </c>
      <c r="G7051" s="3">
        <v>2352</v>
      </c>
      <c r="H7051" s="3" t="s">
        <v>462</v>
      </c>
    </row>
    <row r="7052" spans="1:8" ht="102.75" x14ac:dyDescent="0.25">
      <c r="A7052" s="3" t="s">
        <v>20692</v>
      </c>
      <c r="B7052" s="3"/>
      <c r="C7052" s="3" t="s">
        <v>20693</v>
      </c>
      <c r="D7052" s="3" t="s">
        <v>20694</v>
      </c>
      <c r="E7052" s="3" t="s">
        <v>20695</v>
      </c>
      <c r="F7052" s="3" t="str">
        <f>"3176387898"</f>
        <v>3176387898</v>
      </c>
      <c r="G7052" s="3">
        <v>541820</v>
      </c>
      <c r="H7052" s="3" t="s">
        <v>795</v>
      </c>
    </row>
    <row r="7053" spans="1:8" ht="26.25" x14ac:dyDescent="0.25">
      <c r="A7053" s="3" t="s">
        <v>20696</v>
      </c>
      <c r="B7053" s="3"/>
      <c r="C7053" s="3" t="str">
        <f>"Fabricator of custom blinds, shades and shutters"</f>
        <v>Fabricator of custom blinds, shades and shutters</v>
      </c>
      <c r="D7053" s="3" t="s">
        <v>9</v>
      </c>
      <c r="E7053" s="3" t="s">
        <v>20697</v>
      </c>
      <c r="F7053" s="3" t="str">
        <f>"219-963-2640"</f>
        <v>219-963-2640</v>
      </c>
      <c r="G7053" s="3">
        <v>337920</v>
      </c>
      <c r="H7053" s="3" t="s">
        <v>20698</v>
      </c>
    </row>
    <row r="7054" spans="1:8" ht="26.25" x14ac:dyDescent="0.25">
      <c r="A7054" s="3" t="s">
        <v>20699</v>
      </c>
      <c r="B7054" s="3"/>
      <c r="C7054" s="3" t="str">
        <f>"Sub S Corp suppling plastic packaging products to indina businesses!"</f>
        <v>Sub S Corp suppling plastic packaging products to indina businesses!</v>
      </c>
      <c r="D7054" s="3" t="s">
        <v>9</v>
      </c>
      <c r="E7054" s="3" t="s">
        <v>20700</v>
      </c>
      <c r="F7054" s="3" t="str">
        <f>"317-695-1717"</f>
        <v>317-695-1717</v>
      </c>
      <c r="G7054" s="3">
        <v>333993</v>
      </c>
      <c r="H7054" s="3" t="s">
        <v>20617</v>
      </c>
    </row>
    <row r="7055" spans="1:8" ht="26.25" x14ac:dyDescent="0.25">
      <c r="A7055" s="3" t="s">
        <v>20701</v>
      </c>
      <c r="B7055" s="3"/>
      <c r="C7055" s="3" t="str">
        <f>"Pardekooper Flooring LLC. is a quality driven tile and other flooring provider."</f>
        <v>Pardekooper Flooring LLC. is a quality driven tile and other flooring provider.</v>
      </c>
      <c r="D7055" s="3" t="s">
        <v>20702</v>
      </c>
      <c r="E7055" s="3" t="s">
        <v>46</v>
      </c>
      <c r="F7055" s="2"/>
      <c r="G7055" s="3">
        <v>238330</v>
      </c>
      <c r="H7055" s="3" t="s">
        <v>2995</v>
      </c>
    </row>
    <row r="7056" spans="1:8" ht="39" x14ac:dyDescent="0.25">
      <c r="A7056" s="3" t="s">
        <v>20703</v>
      </c>
      <c r="B7056" s="3"/>
      <c r="C7056" s="3" t="str">
        <f>"Our firm uses innovation, technology, and efficiency to promote privacy, security, and legal compliance for our clients."</f>
        <v>Our firm uses innovation, technology, and efficiency to promote privacy, security, and legal compliance for our clients.</v>
      </c>
      <c r="D7056" s="3" t="s">
        <v>9</v>
      </c>
      <c r="E7056" s="3" t="s">
        <v>20704</v>
      </c>
      <c r="F7056" s="3" t="str">
        <f>"317-616-3350"</f>
        <v>317-616-3350</v>
      </c>
      <c r="G7056" s="3">
        <v>5411</v>
      </c>
      <c r="H7056" s="3" t="s">
        <v>87</v>
      </c>
    </row>
    <row r="7057" spans="1:8" ht="39" x14ac:dyDescent="0.25">
      <c r="A7057" s="3" t="s">
        <v>20705</v>
      </c>
      <c r="B7057" s="3"/>
      <c r="C7057" s="3" t="str">
        <f>"We engage in the management, enforcement, auditin, repair, maintenance and consulting of all parking related projects."</f>
        <v>We engage in the management, enforcement, auditin, repair, maintenance and consulting of all parking related projects.</v>
      </c>
      <c r="D7057" s="3" t="s">
        <v>9</v>
      </c>
      <c r="E7057" s="3" t="s">
        <v>20706</v>
      </c>
      <c r="F7057" s="3" t="str">
        <f>"317-862-3808"</f>
        <v>317-862-3808</v>
      </c>
      <c r="G7057" s="3">
        <v>23599</v>
      </c>
      <c r="H7057" s="3" t="s">
        <v>248</v>
      </c>
    </row>
    <row r="7058" spans="1:8" ht="26.25" x14ac:dyDescent="0.25">
      <c r="A7058" s="3" t="s">
        <v>20707</v>
      </c>
      <c r="B7058" s="3"/>
      <c r="C7058" s="3" t="str">
        <f>" "</f>
        <v xml:space="preserve"> </v>
      </c>
      <c r="D7058" s="3" t="s">
        <v>9</v>
      </c>
      <c r="E7058" s="3" t="s">
        <v>20708</v>
      </c>
      <c r="F7058" s="3" t="str">
        <f>"(765)245-2344"</f>
        <v>(765)245-2344</v>
      </c>
      <c r="G7058" s="3">
        <v>21232</v>
      </c>
      <c r="H7058" s="3" t="s">
        <v>7166</v>
      </c>
    </row>
    <row r="7059" spans="1:8" ht="26.25" x14ac:dyDescent="0.25">
      <c r="A7059" s="3" t="s">
        <v>20709</v>
      </c>
      <c r="B7059" s="3"/>
      <c r="C7059" s="3" t="str">
        <f>"rent office space"</f>
        <v>rent office space</v>
      </c>
      <c r="D7059" s="3" t="s">
        <v>9</v>
      </c>
      <c r="E7059" s="3" t="s">
        <v>46</v>
      </c>
      <c r="F7059" s="2"/>
      <c r="G7059" s="3">
        <v>531110</v>
      </c>
      <c r="H7059" s="3" t="s">
        <v>1311</v>
      </c>
    </row>
    <row r="7060" spans="1:8" ht="306.75" x14ac:dyDescent="0.25">
      <c r="A7060" s="3" t="s">
        <v>20710</v>
      </c>
      <c r="B7060" s="3"/>
      <c r="C7060" s="3" t="s">
        <v>20711</v>
      </c>
      <c r="D7060" s="3" t="s">
        <v>20712</v>
      </c>
      <c r="E7060" s="3" t="s">
        <v>20713</v>
      </c>
      <c r="F7060" s="3" t="str">
        <f>"317-445-9624"</f>
        <v>317-445-9624</v>
      </c>
      <c r="G7060" s="3">
        <v>541990</v>
      </c>
      <c r="H7060" s="3" t="s">
        <v>378</v>
      </c>
    </row>
    <row r="7061" spans="1:8" ht="26.25" x14ac:dyDescent="0.25">
      <c r="A7061" s="3" t="s">
        <v>20714</v>
      </c>
      <c r="B7061" s="3"/>
      <c r="C7061" s="3" t="str">
        <f>"Towing and Recovery"</f>
        <v>Towing and Recovery</v>
      </c>
      <c r="D7061" s="3" t="s">
        <v>9</v>
      </c>
      <c r="E7061" s="3" t="s">
        <v>46</v>
      </c>
      <c r="F7061" s="3" t="str">
        <f>"260-485-9014"</f>
        <v>260-485-9014</v>
      </c>
      <c r="G7061" s="3">
        <v>488410</v>
      </c>
      <c r="H7061" s="3" t="s">
        <v>4171</v>
      </c>
    </row>
    <row r="7062" spans="1:8" ht="39" x14ac:dyDescent="0.25">
      <c r="A7062" s="3" t="s">
        <v>20715</v>
      </c>
      <c r="B7062" s="3"/>
      <c r="C7062" s="3" t="str">
        <f>"We specialize in custom fit boat covers and boat interiors. We also do car interiors along with office and home furniture."</f>
        <v>We specialize in custom fit boat covers and boat interiors. We also do car interiors along with office and home furniture.</v>
      </c>
      <c r="D7062" s="3" t="s">
        <v>9</v>
      </c>
      <c r="E7062" s="3" t="s">
        <v>20716</v>
      </c>
      <c r="F7062" s="3" t="str">
        <f>"(765)536-2881"</f>
        <v>(765)536-2881</v>
      </c>
      <c r="G7062" s="3">
        <v>811420</v>
      </c>
      <c r="H7062" s="3" t="s">
        <v>1065</v>
      </c>
    </row>
    <row r="7063" spans="1:8" ht="26.25" x14ac:dyDescent="0.25">
      <c r="A7063" s="3" t="s">
        <v>20717</v>
      </c>
      <c r="B7063" s="3"/>
      <c r="C7063" s="3" t="str">
        <f>"Durable Medical Equipment Provider"</f>
        <v>Durable Medical Equipment Provider</v>
      </c>
      <c r="D7063" s="3" t="s">
        <v>20718</v>
      </c>
      <c r="E7063" s="3" t="s">
        <v>20719</v>
      </c>
      <c r="F7063" s="3" t="str">
        <f>"574-533-0626"</f>
        <v>574-533-0626</v>
      </c>
      <c r="G7063" s="3">
        <v>622</v>
      </c>
      <c r="H7063" s="3" t="s">
        <v>5145</v>
      </c>
    </row>
    <row r="7064" spans="1:8" ht="90" x14ac:dyDescent="0.25">
      <c r="A7064" s="3" t="s">
        <v>20720</v>
      </c>
      <c r="B7064" s="3"/>
      <c r="C7064" s="3" t="s">
        <v>20721</v>
      </c>
      <c r="D7064" s="3" t="s">
        <v>20722</v>
      </c>
      <c r="E7064" s="3" t="s">
        <v>20723</v>
      </c>
      <c r="F7064" s="3" t="str">
        <f>"317-578-2592"</f>
        <v>317-578-2592</v>
      </c>
      <c r="G7064" s="3">
        <v>711510</v>
      </c>
      <c r="H7064" s="3" t="s">
        <v>1980</v>
      </c>
    </row>
    <row r="7065" spans="1:8" ht="102.75" x14ac:dyDescent="0.25">
      <c r="A7065" s="3" t="s">
        <v>20724</v>
      </c>
      <c r="B7065" s="3"/>
      <c r="C7065" s="3" t="s">
        <v>20725</v>
      </c>
      <c r="D7065" s="3" t="s">
        <v>20726</v>
      </c>
      <c r="E7065" s="3" t="s">
        <v>20727</v>
      </c>
      <c r="F7065" s="3" t="str">
        <f>"260-422-6402"</f>
        <v>260-422-6402</v>
      </c>
      <c r="G7065" s="3">
        <v>323111</v>
      </c>
      <c r="H7065" s="3" t="s">
        <v>4911</v>
      </c>
    </row>
    <row r="7066" spans="1:8" ht="102.75" x14ac:dyDescent="0.25">
      <c r="A7066" s="3" t="s">
        <v>20728</v>
      </c>
      <c r="B7066" s="3"/>
      <c r="C7066" s="3" t="s">
        <v>20729</v>
      </c>
      <c r="D7066" s="3" t="s">
        <v>20730</v>
      </c>
      <c r="E7066" s="3" t="s">
        <v>20731</v>
      </c>
      <c r="F7066" s="3" t="str">
        <f>"812-877-2700"</f>
        <v>812-877-2700</v>
      </c>
      <c r="G7066" s="3">
        <v>23599</v>
      </c>
      <c r="H7066" s="3" t="s">
        <v>248</v>
      </c>
    </row>
    <row r="7067" spans="1:8" ht="26.25" x14ac:dyDescent="0.25">
      <c r="A7067" s="3" t="s">
        <v>20732</v>
      </c>
      <c r="B7067" s="3"/>
      <c r="C7067" s="2"/>
      <c r="D7067" s="3" t="s">
        <v>9</v>
      </c>
      <c r="E7067" s="3" t="s">
        <v>20733</v>
      </c>
      <c r="F7067" s="3" t="str">
        <f>"317-745-9061"</f>
        <v>317-745-9061</v>
      </c>
      <c r="G7067" s="3">
        <v>541330</v>
      </c>
      <c r="H7067" s="3" t="s">
        <v>82</v>
      </c>
    </row>
    <row r="7068" spans="1:8" ht="166.5" x14ac:dyDescent="0.25">
      <c r="A7068" s="3" t="s">
        <v>20734</v>
      </c>
      <c r="B7068" s="3"/>
      <c r="C7068" s="3" t="s">
        <v>20735</v>
      </c>
      <c r="D7068" s="3" t="s">
        <v>20736</v>
      </c>
      <c r="E7068" s="3" t="s">
        <v>20737</v>
      </c>
      <c r="F7068" s="3" t="str">
        <f>"317-218-1010"</f>
        <v>317-218-1010</v>
      </c>
      <c r="G7068" s="3">
        <v>541350</v>
      </c>
      <c r="H7068" s="3" t="s">
        <v>1784</v>
      </c>
    </row>
    <row r="7069" spans="1:8" ht="64.5" x14ac:dyDescent="0.25">
      <c r="A7069" s="3" t="s">
        <v>20738</v>
      </c>
      <c r="B7069" s="3"/>
      <c r="C7069" s="3" t="str">
        <f>"Hydraulics and Pneumatic Sales and Service, Hydraulic and Pneumatic Repair. Cylinders, Pumps, Valves, Motors, Power Units, Torque Hubs and Filters. Located in Gary Indiana."</f>
        <v>Hydraulics and Pneumatic Sales and Service, Hydraulic and Pneumatic Repair. Cylinders, Pumps, Valves, Motors, Power Units, Torque Hubs and Filters. Located in Gary Indiana.</v>
      </c>
      <c r="D7069" s="3" t="s">
        <v>9</v>
      </c>
      <c r="E7069" s="3" t="s">
        <v>20739</v>
      </c>
      <c r="F7069" s="3" t="str">
        <f>"219-923-5280"</f>
        <v>219-923-5280</v>
      </c>
      <c r="G7069" s="3">
        <v>4238</v>
      </c>
      <c r="H7069" s="3" t="s">
        <v>1565</v>
      </c>
    </row>
    <row r="7070" spans="1:8" ht="230.25" x14ac:dyDescent="0.25">
      <c r="A7070" s="3" t="s">
        <v>20740</v>
      </c>
      <c r="B7070" s="3"/>
      <c r="C7070" s="3" t="s">
        <v>20741</v>
      </c>
      <c r="D7070" s="3" t="s">
        <v>20742</v>
      </c>
      <c r="E7070" s="3" t="s">
        <v>20743</v>
      </c>
      <c r="F7070" s="3" t="str">
        <f>"3178445178"</f>
        <v>3178445178</v>
      </c>
      <c r="G7070" s="3">
        <v>5322</v>
      </c>
      <c r="H7070" s="3" t="s">
        <v>20744</v>
      </c>
    </row>
    <row r="7071" spans="1:8" ht="39" x14ac:dyDescent="0.25">
      <c r="A7071" s="3" t="s">
        <v>20745</v>
      </c>
      <c r="B7071" s="3"/>
      <c r="C7071" s="3" t="str">
        <f>"Painting contractor-residential and commercial, interior and exterior. Custom spray finishes."</f>
        <v>Painting contractor-residential and commercial, interior and exterior. Custom spray finishes.</v>
      </c>
      <c r="D7071" s="3" t="s">
        <v>9</v>
      </c>
      <c r="E7071" s="3" t="s">
        <v>20746</v>
      </c>
      <c r="F7071" s="3" t="str">
        <f>"8129253067"</f>
        <v>8129253067</v>
      </c>
      <c r="G7071" s="3">
        <v>238320</v>
      </c>
      <c r="H7071" s="3" t="s">
        <v>462</v>
      </c>
    </row>
    <row r="7072" spans="1:8" ht="26.25" x14ac:dyDescent="0.25">
      <c r="A7072" s="3" t="s">
        <v>20747</v>
      </c>
      <c r="B7072" s="3"/>
      <c r="C7072" s="2"/>
      <c r="D7072" s="3" t="s">
        <v>9</v>
      </c>
      <c r="E7072" s="3" t="s">
        <v>20748</v>
      </c>
      <c r="F7072" s="3" t="str">
        <f>"260-758-2398"</f>
        <v>260-758-2398</v>
      </c>
      <c r="G7072" s="3">
        <v>238910</v>
      </c>
      <c r="H7072" s="3" t="s">
        <v>886</v>
      </c>
    </row>
    <row r="7073" spans="1:8" ht="281.25" x14ac:dyDescent="0.25">
      <c r="A7073" s="3" t="s">
        <v>20749</v>
      </c>
      <c r="B7073" s="3"/>
      <c r="C7073" s="3" t="s">
        <v>20750</v>
      </c>
      <c r="D7073" s="3" t="s">
        <v>20751</v>
      </c>
      <c r="E7073" s="3" t="s">
        <v>20752</v>
      </c>
      <c r="F7073" s="3" t="str">
        <f>"317-472-7903"</f>
        <v>317-472-7903</v>
      </c>
      <c r="G7073" s="3">
        <v>6241</v>
      </c>
      <c r="H7073" s="3" t="s">
        <v>2210</v>
      </c>
    </row>
    <row r="7074" spans="1:8" ht="90" x14ac:dyDescent="0.25">
      <c r="A7074" s="3" t="s">
        <v>20753</v>
      </c>
      <c r="B7074" s="3"/>
      <c r="C7074" s="3" t="str">
        <f>"Passages provides residential and community services for people with disabilities and Subcontract work (packaging, sorting, etc.) for various companies. We are a Healthy Family provider and contract for Janitorial services."</f>
        <v>Passages provides residential and community services for people with disabilities and Subcontract work (packaging, sorting, etc.) for various companies. We are a Healthy Family provider and contract for Janitorial services.</v>
      </c>
      <c r="D7074" s="3" t="s">
        <v>20754</v>
      </c>
      <c r="E7074" s="3" t="s">
        <v>20755</v>
      </c>
      <c r="F7074" s="3" t="str">
        <f>"260-244-7688"</f>
        <v>260-244-7688</v>
      </c>
      <c r="G7074" s="3">
        <v>62321</v>
      </c>
      <c r="H7074" s="3" t="s">
        <v>5236</v>
      </c>
    </row>
    <row r="7075" spans="1:8" ht="128.25" x14ac:dyDescent="0.25">
      <c r="A7075" s="3" t="s">
        <v>20756</v>
      </c>
      <c r="B7075" s="3"/>
      <c r="C7075" s="3" t="s">
        <v>20757</v>
      </c>
      <c r="D7075" s="3" t="s">
        <v>20758</v>
      </c>
      <c r="E7075" s="3" t="s">
        <v>20759</v>
      </c>
      <c r="F7075" s="3" t="str">
        <f>"317.873.9800"</f>
        <v>317.873.9800</v>
      </c>
      <c r="G7075" s="3">
        <v>517310</v>
      </c>
      <c r="H7075" s="3" t="s">
        <v>540</v>
      </c>
    </row>
    <row r="7076" spans="1:8" ht="26.25" x14ac:dyDescent="0.25">
      <c r="A7076" s="3" t="s">
        <v>20760</v>
      </c>
      <c r="B7076" s="3"/>
      <c r="C7076" s="3" t="str">
        <f>"sales and marketing of office products"</f>
        <v>sales and marketing of office products</v>
      </c>
      <c r="D7076" s="3" t="s">
        <v>9</v>
      </c>
      <c r="E7076" s="3" t="s">
        <v>46</v>
      </c>
      <c r="F7076" s="3" t="str">
        <f>"812-934-5611"</f>
        <v>812-934-5611</v>
      </c>
      <c r="G7076" s="3">
        <v>453210</v>
      </c>
      <c r="H7076" s="3" t="s">
        <v>431</v>
      </c>
    </row>
    <row r="7077" spans="1:8" ht="77.25" x14ac:dyDescent="0.25">
      <c r="A7077" s="3" t="s">
        <v>20761</v>
      </c>
      <c r="B7077" s="3"/>
      <c r="C7077" s="3" t="str">
        <f>"We sell lumber, hardware, plumbing, electrical, cabinets, paint, power tools, hand tools, roofing, siding, insulation, drywall, treated lumber, nuts, bolts, nails, screws, lawn and garden supplies and cement products."</f>
        <v>We sell lumber, hardware, plumbing, electrical, cabinets, paint, power tools, hand tools, roofing, siding, insulation, drywall, treated lumber, nuts, bolts, nails, screws, lawn and garden supplies and cement products.</v>
      </c>
      <c r="D7077" s="3" t="s">
        <v>9</v>
      </c>
      <c r="E7077" s="3" t="s">
        <v>20762</v>
      </c>
      <c r="F7077" s="3" t="str">
        <f>"765-832-2417"</f>
        <v>765-832-2417</v>
      </c>
      <c r="G7077" s="3">
        <v>444110</v>
      </c>
      <c r="H7077" s="3" t="s">
        <v>3072</v>
      </c>
    </row>
    <row r="7078" spans="1:8" ht="77.25" x14ac:dyDescent="0.25">
      <c r="A7078" s="3" t="s">
        <v>20763</v>
      </c>
      <c r="B7078" s="3"/>
      <c r="C7078" s="3" t="str">
        <f>"Patel Consulting specializes in custom Microsoft SQL Server database development. Our primary focus is the programming and design of database applications that access a Microsoft SQL Server."</f>
        <v>Patel Consulting specializes in custom Microsoft SQL Server database development. Our primary focus is the programming and design of database applications that access a Microsoft SQL Server.</v>
      </c>
      <c r="D7078" s="3" t="s">
        <v>20764</v>
      </c>
      <c r="E7078" s="3" t="s">
        <v>20765</v>
      </c>
      <c r="F7078" s="3" t="str">
        <f>"317-773-2727"</f>
        <v>317-773-2727</v>
      </c>
      <c r="G7078" s="3">
        <v>5415</v>
      </c>
      <c r="H7078" s="3" t="s">
        <v>188</v>
      </c>
    </row>
    <row r="7079" spans="1:8" ht="319.5" x14ac:dyDescent="0.25">
      <c r="A7079" s="3" t="s">
        <v>20766</v>
      </c>
      <c r="B7079" s="3"/>
      <c r="C7079" s="3" t="s">
        <v>20767</v>
      </c>
      <c r="D7079" s="3" t="s">
        <v>20768</v>
      </c>
      <c r="E7079" s="3" t="s">
        <v>20769</v>
      </c>
      <c r="F7079" s="3" t="str">
        <f>"317-530-5573"</f>
        <v>317-530-5573</v>
      </c>
      <c r="G7079" s="3">
        <v>541620</v>
      </c>
      <c r="H7079" s="3" t="s">
        <v>216</v>
      </c>
    </row>
    <row r="7080" spans="1:8" ht="90" x14ac:dyDescent="0.25">
      <c r="A7080" s="3" t="s">
        <v>20770</v>
      </c>
      <c r="B7080" s="3"/>
      <c r="C7080" s="3" t="s">
        <v>20771</v>
      </c>
      <c r="D7080" s="3" t="s">
        <v>20772</v>
      </c>
      <c r="E7080" s="3" t="s">
        <v>20773</v>
      </c>
      <c r="F7080" s="3" t="str">
        <f>"317-872-1100"</f>
        <v>317-872-1100</v>
      </c>
      <c r="G7080" s="3">
        <v>611430</v>
      </c>
      <c r="H7080" s="3" t="s">
        <v>1224</v>
      </c>
    </row>
    <row r="7081" spans="1:8" ht="51.75" x14ac:dyDescent="0.25">
      <c r="A7081" s="3" t="s">
        <v>20774</v>
      </c>
      <c r="B7081" s="3"/>
      <c r="C7081" s="3" t="str">
        <f>"Full Service Medical Laboratory providing a comprehensive menu of laboratory tests and information serving hospitals, physicians, nursing homes, clinics, patients"</f>
        <v>Full Service Medical Laboratory providing a comprehensive menu of laboratory tests and information serving hospitals, physicians, nursing homes, clinics, patients</v>
      </c>
      <c r="D7081" s="3" t="s">
        <v>20775</v>
      </c>
      <c r="E7081" s="3" t="s">
        <v>20776</v>
      </c>
      <c r="F7081" s="3" t="str">
        <f>"765-284-7795"</f>
        <v>765-284-7795</v>
      </c>
      <c r="G7081" s="3">
        <v>621511</v>
      </c>
      <c r="H7081" s="3" t="s">
        <v>1240</v>
      </c>
    </row>
    <row r="7082" spans="1:8" ht="179.25" x14ac:dyDescent="0.25">
      <c r="A7082" s="3" t="s">
        <v>20777</v>
      </c>
      <c r="B7082" s="3"/>
      <c r="C7082" s="3" t="s">
        <v>20778</v>
      </c>
      <c r="D7082" s="3" t="s">
        <v>20779</v>
      </c>
      <c r="E7082" s="3" t="s">
        <v>20780</v>
      </c>
      <c r="F7082" s="3" t="str">
        <f>"812-320-1748"</f>
        <v>812-320-1748</v>
      </c>
      <c r="G7082" s="3">
        <v>5415</v>
      </c>
      <c r="H7082" s="3" t="s">
        <v>188</v>
      </c>
    </row>
    <row r="7083" spans="1:8" ht="26.25" x14ac:dyDescent="0.25">
      <c r="A7083" s="3" t="s">
        <v>20781</v>
      </c>
      <c r="B7083" s="3"/>
      <c r="C7083" s="3" t="str">
        <f>"Portrait Photography"</f>
        <v>Portrait Photography</v>
      </c>
      <c r="D7083" s="3" t="s">
        <v>20782</v>
      </c>
      <c r="E7083" s="3" t="s">
        <v>20783</v>
      </c>
      <c r="F7083" s="3" t="str">
        <f>"317-859-4503"</f>
        <v>317-859-4503</v>
      </c>
      <c r="G7083" s="3">
        <v>541921</v>
      </c>
      <c r="H7083" s="3" t="s">
        <v>1325</v>
      </c>
    </row>
    <row r="7084" spans="1:8" ht="39" x14ac:dyDescent="0.25">
      <c r="A7084" s="3" t="s">
        <v>20784</v>
      </c>
      <c r="B7084" s="3"/>
      <c r="C7084" s="3" t="str">
        <f>"Heaing aid Dealership, to include hearing tests, hearing aid sales, repairs, service and suplies."</f>
        <v>Heaing aid Dealership, to include hearing tests, hearing aid sales, repairs, service and suplies.</v>
      </c>
      <c r="D7084" s="3" t="s">
        <v>9</v>
      </c>
      <c r="E7084" s="3" t="s">
        <v>20785</v>
      </c>
      <c r="F7084" s="3" t="str">
        <f>"219-324-6608"</f>
        <v>219-324-6608</v>
      </c>
      <c r="G7084" s="3">
        <v>446199</v>
      </c>
      <c r="H7084" s="3" t="s">
        <v>1760</v>
      </c>
    </row>
    <row r="7085" spans="1:8" x14ac:dyDescent="0.25">
      <c r="A7085" s="3" t="s">
        <v>20786</v>
      </c>
      <c r="B7085" s="3"/>
      <c r="C7085" s="3" t="str">
        <f>" "</f>
        <v xml:space="preserve"> </v>
      </c>
      <c r="D7085" s="3" t="s">
        <v>9</v>
      </c>
      <c r="E7085" s="3" t="s">
        <v>46</v>
      </c>
      <c r="F7085" s="2"/>
      <c r="G7085" s="3">
        <v>54119</v>
      </c>
      <c r="H7085" s="3" t="s">
        <v>20787</v>
      </c>
    </row>
    <row r="7086" spans="1:8" ht="26.25" x14ac:dyDescent="0.25">
      <c r="A7086" s="3" t="s">
        <v>20788</v>
      </c>
      <c r="B7086" s="3"/>
      <c r="C7086" s="3" t="str">
        <f>"Supplier of healthcare related promotional products"</f>
        <v>Supplier of healthcare related promotional products</v>
      </c>
      <c r="D7086" s="3" t="s">
        <v>20789</v>
      </c>
      <c r="E7086" s="3" t="s">
        <v>20790</v>
      </c>
      <c r="F7086" s="3" t="str">
        <f>"219-696-9666"</f>
        <v>219-696-9666</v>
      </c>
      <c r="G7086" s="3">
        <v>541990</v>
      </c>
      <c r="H7086" s="3" t="s">
        <v>378</v>
      </c>
    </row>
    <row r="7087" spans="1:8" ht="115.5" x14ac:dyDescent="0.25">
      <c r="A7087" s="3" t="s">
        <v>20791</v>
      </c>
      <c r="B7087" s="3"/>
      <c r="C7087" s="3" t="s">
        <v>20792</v>
      </c>
      <c r="D7087" s="3" t="s">
        <v>9</v>
      </c>
      <c r="E7087" s="3" t="s">
        <v>20793</v>
      </c>
      <c r="F7087" s="3" t="str">
        <f>"(317) 460-3486"</f>
        <v>(317) 460-3486</v>
      </c>
      <c r="G7087" s="3">
        <v>621330</v>
      </c>
      <c r="H7087" s="3" t="s">
        <v>2643</v>
      </c>
    </row>
    <row r="7088" spans="1:8" ht="319.5" x14ac:dyDescent="0.25">
      <c r="A7088" s="3" t="s">
        <v>20794</v>
      </c>
      <c r="B7088" s="3"/>
      <c r="C7088" s="3" t="s">
        <v>20795</v>
      </c>
      <c r="D7088" s="3" t="s">
        <v>20796</v>
      </c>
      <c r="E7088" s="3" t="s">
        <v>20797</v>
      </c>
      <c r="F7088" s="3" t="str">
        <f>"317-332-1536"</f>
        <v>317-332-1536</v>
      </c>
      <c r="G7088" s="3">
        <v>56131</v>
      </c>
      <c r="H7088" s="3" t="s">
        <v>1720</v>
      </c>
    </row>
    <row r="7089" spans="1:8" ht="26.25" x14ac:dyDescent="0.25">
      <c r="A7089" s="3" t="s">
        <v>20798</v>
      </c>
      <c r="B7089" s="3"/>
      <c r="C7089" s="3" t="str">
        <f>"Construction and remodeling"</f>
        <v>Construction and remodeling</v>
      </c>
      <c r="D7089" s="3" t="s">
        <v>9</v>
      </c>
      <c r="E7089" s="3" t="s">
        <v>20799</v>
      </c>
      <c r="F7089" s="3" t="str">
        <f>"812-689-6617"</f>
        <v>812-689-6617</v>
      </c>
      <c r="G7089" s="3">
        <v>23</v>
      </c>
      <c r="H7089" s="3" t="s">
        <v>133</v>
      </c>
    </row>
    <row r="7090" spans="1:8" ht="51.75" x14ac:dyDescent="0.25">
      <c r="A7090" s="3" t="s">
        <v>20800</v>
      </c>
      <c r="B7090" s="3"/>
      <c r="C7090" s="3" t="str">
        <f>"Museum Exhibits. Custom-Built Museum Models Since 1976.Murals, Historical Models,Cast Fish,Frogs,Snakes.Life size-Dinosaurs.Models of Indian Villages."</f>
        <v>Museum Exhibits. Custom-Built Museum Models Since 1976.Murals, Historical Models,Cast Fish,Frogs,Snakes.Life size-Dinosaurs.Models of Indian Villages.</v>
      </c>
      <c r="D7090" s="3" t="s">
        <v>20801</v>
      </c>
      <c r="E7090" s="3" t="s">
        <v>20802</v>
      </c>
      <c r="F7090" s="3" t="str">
        <f>"765-762-3900"</f>
        <v>765-762-3900</v>
      </c>
      <c r="G7090" s="3">
        <v>71211</v>
      </c>
      <c r="H7090" s="3" t="s">
        <v>7932</v>
      </c>
    </row>
    <row r="7091" spans="1:8" ht="90" x14ac:dyDescent="0.25">
      <c r="A7091" s="3" t="s">
        <v>20803</v>
      </c>
      <c r="B7091" s="3"/>
      <c r="C7091" s="3" t="s">
        <v>20804</v>
      </c>
      <c r="D7091" s="3" t="s">
        <v>20805</v>
      </c>
      <c r="E7091" s="3" t="s">
        <v>20806</v>
      </c>
      <c r="F7091" s="3" t="str">
        <f>"317-838-8910"</f>
        <v>317-838-8910</v>
      </c>
      <c r="G7091" s="3">
        <v>541990</v>
      </c>
      <c r="H7091" s="3" t="s">
        <v>378</v>
      </c>
    </row>
    <row r="7092" spans="1:8" ht="39" x14ac:dyDescent="0.25">
      <c r="A7092" s="3" t="s">
        <v>20807</v>
      </c>
      <c r="B7092" s="3"/>
      <c r="C7092" s="3" t="str">
        <f>"Patriot Engineering provides Geotechnal, Environmental and Construction materials testing services."</f>
        <v>Patriot Engineering provides Geotechnal, Environmental and Construction materials testing services.</v>
      </c>
      <c r="D7092" s="3" t="s">
        <v>20808</v>
      </c>
      <c r="E7092" s="3" t="s">
        <v>20809</v>
      </c>
      <c r="F7092" s="3" t="str">
        <f>"317-658-0608"</f>
        <v>317-658-0608</v>
      </c>
      <c r="G7092" s="3">
        <v>541330</v>
      </c>
      <c r="H7092" s="3" t="s">
        <v>82</v>
      </c>
    </row>
    <row r="7093" spans="1:8" ht="64.5" x14ac:dyDescent="0.25">
      <c r="A7093" s="3" t="s">
        <v>20810</v>
      </c>
      <c r="B7093" s="3"/>
      <c r="C7093" s="3" t="str">
        <f>"Patriot Landscaping is a family owned business that provides commercial and residential turf management, as well as landscaping services to the greater metro Indianapolis area."</f>
        <v>Patriot Landscaping is a family owned business that provides commercial and residential turf management, as well as landscaping services to the greater metro Indianapolis area.</v>
      </c>
      <c r="D7093" s="3" t="s">
        <v>20811</v>
      </c>
      <c r="E7093" s="3" t="s">
        <v>20812</v>
      </c>
      <c r="F7093" s="3" t="str">
        <f>"3174412489"</f>
        <v>3174412489</v>
      </c>
      <c r="G7093" s="3">
        <v>561730</v>
      </c>
      <c r="H7093" s="3" t="s">
        <v>65</v>
      </c>
    </row>
    <row r="7094" spans="1:8" ht="153.75" x14ac:dyDescent="0.25">
      <c r="A7094" s="3" t="s">
        <v>20813</v>
      </c>
      <c r="B7094" s="3"/>
      <c r="C7094" s="3" t="s">
        <v>20814</v>
      </c>
      <c r="D7094" s="3" t="s">
        <v>20815</v>
      </c>
      <c r="E7094" s="3" t="s">
        <v>20816</v>
      </c>
      <c r="F7094" s="3" t="str">
        <f>"866/225-2118"</f>
        <v>866/225-2118</v>
      </c>
      <c r="G7094" s="3">
        <v>336120</v>
      </c>
      <c r="H7094" s="3" t="s">
        <v>8478</v>
      </c>
    </row>
    <row r="7095" spans="1:8" ht="217.5" x14ac:dyDescent="0.25">
      <c r="A7095" s="3" t="s">
        <v>20817</v>
      </c>
      <c r="B7095" s="3"/>
      <c r="C7095" s="3" t="s">
        <v>20818</v>
      </c>
      <c r="D7095" s="3" t="s">
        <v>20819</v>
      </c>
      <c r="E7095" s="3" t="s">
        <v>20820</v>
      </c>
      <c r="F7095" s="3" t="str">
        <f>"317-945-7023"</f>
        <v>317-945-7023</v>
      </c>
      <c r="G7095" s="3">
        <v>339113</v>
      </c>
      <c r="H7095" s="3" t="s">
        <v>18825</v>
      </c>
    </row>
    <row r="7096" spans="1:8" ht="255.75" x14ac:dyDescent="0.25">
      <c r="A7096" s="3" t="s">
        <v>20821</v>
      </c>
      <c r="B7096" s="3"/>
      <c r="C7096" s="3" t="s">
        <v>20822</v>
      </c>
      <c r="D7096" s="3" t="s">
        <v>20823</v>
      </c>
      <c r="E7096" s="3" t="s">
        <v>20824</v>
      </c>
      <c r="F7096" s="3" t="str">
        <f>"2602456391"</f>
        <v>2602456391</v>
      </c>
      <c r="G7096" s="3">
        <v>532120</v>
      </c>
      <c r="H7096" s="3" t="s">
        <v>860</v>
      </c>
    </row>
    <row r="7097" spans="1:8" x14ac:dyDescent="0.25">
      <c r="A7097" s="3" t="s">
        <v>20825</v>
      </c>
      <c r="B7097" s="3"/>
      <c r="C7097" s="3" t="str">
        <f>" "</f>
        <v xml:space="preserve"> </v>
      </c>
      <c r="D7097" s="3" t="s">
        <v>9</v>
      </c>
      <c r="E7097" s="3" t="s">
        <v>20826</v>
      </c>
      <c r="F7097" s="2"/>
      <c r="G7097" s="3">
        <v>524210</v>
      </c>
      <c r="H7097" s="3" t="s">
        <v>1183</v>
      </c>
    </row>
    <row r="7098" spans="1:8" ht="64.5" x14ac:dyDescent="0.25">
      <c r="A7098" s="3" t="s">
        <v>20827</v>
      </c>
      <c r="B7098" s="3"/>
      <c r="C7098" s="3" t="str">
        <f>"Patterson Companies, Inc. includes Patterson Dental Supply, Patterson Medical &amp; Patterson Veterinary. This application is for Patterson Dental Supply Indianapolis Branch."</f>
        <v>Patterson Companies, Inc. includes Patterson Dental Supply, Patterson Medical &amp; Patterson Veterinary. This application is for Patterson Dental Supply Indianapolis Branch.</v>
      </c>
      <c r="D7098" s="3" t="s">
        <v>20828</v>
      </c>
      <c r="E7098" s="3" t="s">
        <v>20829</v>
      </c>
      <c r="F7098" s="3" t="str">
        <f>"317-733-4900"</f>
        <v>317-733-4900</v>
      </c>
      <c r="G7098" s="3">
        <v>339114</v>
      </c>
      <c r="H7098" s="3" t="s">
        <v>20830</v>
      </c>
    </row>
    <row r="7099" spans="1:8" ht="64.5" x14ac:dyDescent="0.25">
      <c r="A7099" s="3" t="s">
        <v>20831</v>
      </c>
      <c r="B7099" s="3"/>
      <c r="C7099" s="3" t="str">
        <f>"General contractor providing construction services for commercial, industrial, and public projects. Self-perform concrete and carpentry. Supply and erect Nucor pre-engineered metal buidlings."</f>
        <v>General contractor providing construction services for commercial, industrial, and public projects. Self-perform concrete and carpentry. Supply and erect Nucor pre-engineered metal buidlings.</v>
      </c>
      <c r="D7099" s="3" t="s">
        <v>20832</v>
      </c>
      <c r="E7099" s="3" t="s">
        <v>20833</v>
      </c>
      <c r="F7099" s="3" t="str">
        <f>"3172436104"</f>
        <v>3172436104</v>
      </c>
      <c r="G7099" s="3">
        <v>236210</v>
      </c>
      <c r="H7099" s="3" t="s">
        <v>1418</v>
      </c>
    </row>
    <row r="7100" spans="1:8" ht="26.25" x14ac:dyDescent="0.25">
      <c r="A7100" s="3" t="s">
        <v>20834</v>
      </c>
      <c r="B7100" s="3"/>
      <c r="C7100" s="3" t="str">
        <f>"Herbicide wholesaler"</f>
        <v>Herbicide wholesaler</v>
      </c>
      <c r="D7100" s="3" t="s">
        <v>9</v>
      </c>
      <c r="E7100" s="3" t="s">
        <v>20835</v>
      </c>
      <c r="F7100" s="3" t="str">
        <f>"7655071655"</f>
        <v>7655071655</v>
      </c>
      <c r="G7100" s="3">
        <v>325320</v>
      </c>
      <c r="H7100" s="3" t="s">
        <v>1439</v>
      </c>
    </row>
    <row r="7101" spans="1:8" ht="26.25" x14ac:dyDescent="0.25">
      <c r="A7101" s="3" t="s">
        <v>20836</v>
      </c>
      <c r="B7101" s="3"/>
      <c r="C7101" s="3" t="str">
        <f>"Provision of case management to persons with developmental disabilities"</f>
        <v>Provision of case management to persons with developmental disabilities</v>
      </c>
      <c r="D7101" s="3" t="s">
        <v>9</v>
      </c>
      <c r="E7101" s="3" t="s">
        <v>46</v>
      </c>
      <c r="F7101" s="2"/>
      <c r="G7101" s="3">
        <v>624120</v>
      </c>
      <c r="H7101" s="3" t="s">
        <v>22</v>
      </c>
    </row>
    <row r="7102" spans="1:8" ht="51.75" x14ac:dyDescent="0.25">
      <c r="A7102" s="3" t="s">
        <v>20837</v>
      </c>
      <c r="B7102" s="3"/>
      <c r="C7102" s="3" t="str">
        <f>"Engineering and construction of LP and NH3 systems. Rebuilding and service to bulk trucks and transports. Complete inventory of LP and NH3 tanks and equipment."</f>
        <v>Engineering and construction of LP and NH3 systems. Rebuilding and service to bulk trucks and transports. Complete inventory of LP and NH3 tanks and equipment.</v>
      </c>
      <c r="D7102" s="3" t="s">
        <v>20838</v>
      </c>
      <c r="E7102" s="3" t="s">
        <v>20839</v>
      </c>
      <c r="F7102" s="3" t="str">
        <f>"317-462-9295"</f>
        <v>317-462-9295</v>
      </c>
      <c r="G7102" s="3">
        <v>81131</v>
      </c>
      <c r="H7102" s="3" t="s">
        <v>1895</v>
      </c>
    </row>
    <row r="7103" spans="1:8" ht="39" x14ac:dyDescent="0.25">
      <c r="A7103" s="3" t="s">
        <v>20840</v>
      </c>
      <c r="B7103" s="3"/>
      <c r="C7103" s="3" t="str">
        <f>"Asphalt Materials, Aggregates, General Construction, Paving, Excavating, Heavy Highway"</f>
        <v>Asphalt Materials, Aggregates, General Construction, Paving, Excavating, Heavy Highway</v>
      </c>
      <c r="D7103" s="3" t="s">
        <v>20841</v>
      </c>
      <c r="E7103" s="3" t="s">
        <v>20842</v>
      </c>
      <c r="F7103" s="3" t="str">
        <f>"812-926-1471"</f>
        <v>812-926-1471</v>
      </c>
      <c r="G7103" s="3">
        <v>23</v>
      </c>
      <c r="H7103" s="3" t="s">
        <v>133</v>
      </c>
    </row>
    <row r="7104" spans="1:8" ht="51.75" x14ac:dyDescent="0.25">
      <c r="A7104" s="3" t="s">
        <v>20843</v>
      </c>
      <c r="B7104" s="3"/>
      <c r="C7104" s="3" t="str">
        <f>"PAUL HARVEY FORD IS A BUSSINESS THAT SPECIALIZES IN WHOLESALE PARTS TO GOVERNMENT AND FLEET CARS AND TRUCKS ALSO CAR AND TRUCK SALES"</f>
        <v>PAUL HARVEY FORD IS A BUSSINESS THAT SPECIALIZES IN WHOLESALE PARTS TO GOVERNMENT AND FLEET CARS AND TRUCKS ALSO CAR AND TRUCK SALES</v>
      </c>
      <c r="D7104" s="3" t="s">
        <v>20844</v>
      </c>
      <c r="E7104" s="3" t="s">
        <v>20845</v>
      </c>
      <c r="F7104" s="3" t="str">
        <f>"317298-8814"</f>
        <v>317298-8814</v>
      </c>
      <c r="G7104" s="3">
        <v>4411</v>
      </c>
      <c r="H7104" s="3" t="s">
        <v>1015</v>
      </c>
    </row>
    <row r="7105" spans="1:8" ht="26.25" x14ac:dyDescent="0.25">
      <c r="A7105" s="3" t="s">
        <v>20846</v>
      </c>
      <c r="B7105" s="3"/>
      <c r="C7105" s="2"/>
      <c r="D7105" s="3" t="s">
        <v>20847</v>
      </c>
      <c r="E7105" s="3" t="s">
        <v>46</v>
      </c>
      <c r="F7105" s="3" t="str">
        <f>"317.842.6777"</f>
        <v>317.842.6777</v>
      </c>
      <c r="G7105" s="3">
        <v>5413</v>
      </c>
      <c r="H7105" s="3" t="s">
        <v>1116</v>
      </c>
    </row>
    <row r="7106" spans="1:8" ht="26.25" x14ac:dyDescent="0.25">
      <c r="A7106" s="3" t="s">
        <v>20848</v>
      </c>
      <c r="B7106" s="3"/>
      <c r="C7106" s="3" t="str">
        <f>"Psychotherapy and psychological testing services."</f>
        <v>Psychotherapy and psychological testing services.</v>
      </c>
      <c r="D7106" s="3" t="s">
        <v>9</v>
      </c>
      <c r="E7106" s="3" t="s">
        <v>20849</v>
      </c>
      <c r="F7106" s="3" t="str">
        <f>"(765) 288-7939"</f>
        <v>(765) 288-7939</v>
      </c>
      <c r="G7106" s="3">
        <v>621330</v>
      </c>
      <c r="H7106" s="3" t="s">
        <v>2643</v>
      </c>
    </row>
    <row r="7107" spans="1:8" ht="204.75" x14ac:dyDescent="0.25">
      <c r="A7107" s="3" t="s">
        <v>20850</v>
      </c>
      <c r="B7107" s="3"/>
      <c r="C7107" s="3" t="s">
        <v>20851</v>
      </c>
      <c r="D7107" s="3" t="s">
        <v>20852</v>
      </c>
      <c r="E7107" s="3" t="s">
        <v>20853</v>
      </c>
      <c r="F7107" s="3" t="str">
        <f>"317-469-4820"</f>
        <v>317-469-4820</v>
      </c>
      <c r="G7107" s="3">
        <v>541110</v>
      </c>
      <c r="H7107" s="3" t="s">
        <v>2978</v>
      </c>
    </row>
    <row r="7108" spans="1:8" ht="26.25" x14ac:dyDescent="0.25">
      <c r="A7108" s="3" t="s">
        <v>20854</v>
      </c>
      <c r="B7108" s="3"/>
      <c r="C7108" s="3" t="str">
        <f>"Lift trucks for sale, for rent, and we also repair."</f>
        <v>Lift trucks for sale, for rent, and we also repair.</v>
      </c>
      <c r="D7108" s="3" t="s">
        <v>9</v>
      </c>
      <c r="E7108" s="3" t="s">
        <v>46</v>
      </c>
      <c r="F7108" s="3" t="str">
        <f>"219-326-8425"</f>
        <v>219-326-8425</v>
      </c>
      <c r="G7108" s="3">
        <v>44</v>
      </c>
      <c r="H7108" s="3" t="s">
        <v>574</v>
      </c>
    </row>
    <row r="7109" spans="1:8" ht="77.25" x14ac:dyDescent="0.25">
      <c r="A7109" s="3" t="s">
        <v>20855</v>
      </c>
      <c r="B7109" s="3"/>
      <c r="C7109" s="3" t="str">
        <f>"Provide complete payroll administration, tax preparation for businesses and individuals, Professional Advisor for QuickBooks - training and sales of QuickBooks, other accounting projects as needed"</f>
        <v>Provide complete payroll administration, tax preparation for businesses and individuals, Professional Advisor for QuickBooks - training and sales of QuickBooks, other accounting projects as needed</v>
      </c>
      <c r="D7109" s="3" t="s">
        <v>9</v>
      </c>
      <c r="E7109" s="3" t="s">
        <v>20856</v>
      </c>
      <c r="F7109" s="3" t="str">
        <f>"(317)730-5810"</f>
        <v>(317)730-5810</v>
      </c>
      <c r="G7109" s="3">
        <v>541214</v>
      </c>
      <c r="H7109" s="3" t="s">
        <v>3680</v>
      </c>
    </row>
    <row r="7110" spans="1:8" ht="26.25" x14ac:dyDescent="0.25">
      <c r="A7110" s="3" t="s">
        <v>20857</v>
      </c>
      <c r="B7110" s="3"/>
      <c r="C7110" s="3" t="str">
        <f>" "</f>
        <v xml:space="preserve"> </v>
      </c>
      <c r="D7110" s="3" t="s">
        <v>20858</v>
      </c>
      <c r="E7110" s="3" t="s">
        <v>20859</v>
      </c>
      <c r="F7110" s="3" t="str">
        <f>"812-639-7720"</f>
        <v>812-639-7720</v>
      </c>
      <c r="G7110" s="3">
        <v>237310</v>
      </c>
      <c r="H7110" s="3" t="s">
        <v>768</v>
      </c>
    </row>
    <row r="7111" spans="1:8" ht="26.25" x14ac:dyDescent="0.25">
      <c r="A7111" s="3" t="s">
        <v>20860</v>
      </c>
      <c r="B7111" s="3"/>
      <c r="C7111" s="3" t="str">
        <f>"We are an excavating company. We also deliver dirt, stone, sand, etc."</f>
        <v>We are an excavating company. We also deliver dirt, stone, sand, etc.</v>
      </c>
      <c r="D7111" s="3" t="s">
        <v>9</v>
      </c>
      <c r="E7111" s="3" t="s">
        <v>20861</v>
      </c>
      <c r="F7111" s="3" t="str">
        <f>"219-362-2305"</f>
        <v>219-362-2305</v>
      </c>
      <c r="G7111" s="3">
        <v>23711</v>
      </c>
      <c r="H7111" s="3" t="s">
        <v>901</v>
      </c>
    </row>
    <row r="7112" spans="1:8" ht="306.75" x14ac:dyDescent="0.25">
      <c r="A7112" s="3" t="s">
        <v>20862</v>
      </c>
      <c r="B7112" s="3"/>
      <c r="C7112" s="3" t="s">
        <v>20863</v>
      </c>
      <c r="D7112" s="3" t="s">
        <v>20864</v>
      </c>
      <c r="E7112" s="3" t="s">
        <v>20865</v>
      </c>
      <c r="F7112" s="3" t="str">
        <f>"260-434-1515"</f>
        <v>260-434-1515</v>
      </c>
      <c r="G7112" s="3">
        <v>6117</v>
      </c>
      <c r="H7112" s="3" t="s">
        <v>508</v>
      </c>
    </row>
    <row r="7113" spans="1:8" ht="64.5" x14ac:dyDescent="0.25">
      <c r="A7113" s="3" t="s">
        <v>20866</v>
      </c>
      <c r="B7113" s="3"/>
      <c r="C7113" s="3" t="str">
        <f>"PayGOV is a payment gateway for government agencies, utilities and higher education to process credit/debit card transaction and electronic checks at the Point of Sale, online, and over the phone"</f>
        <v>PayGOV is a payment gateway for government agencies, utilities and higher education to process credit/debit card transaction and electronic checks at the Point of Sale, online, and over the phone</v>
      </c>
      <c r="D7113" s="3" t="s">
        <v>20867</v>
      </c>
      <c r="E7113" s="3" t="s">
        <v>20868</v>
      </c>
      <c r="F7113" s="3" t="str">
        <f>"317-807-4330"</f>
        <v>317-807-4330</v>
      </c>
      <c r="G7113" s="3">
        <v>522320</v>
      </c>
      <c r="H7113" s="3" t="s">
        <v>3975</v>
      </c>
    </row>
    <row r="7114" spans="1:8" ht="77.25" x14ac:dyDescent="0.25">
      <c r="A7114" s="3" t="s">
        <v>20869</v>
      </c>
      <c r="B7114" s="3"/>
      <c r="C7114" s="3" t="str">
        <f>"Payne &amp; Associates Incorporated is engaged in the practice of providing diagnostic evaluations and treatment of mental health conditions. Our services, offered to patients of all ages, include individual, couple and family therapy."</f>
        <v>Payne &amp; Associates Incorporated is engaged in the practice of providing diagnostic evaluations and treatment of mental health conditions. Our services, offered to patients of all ages, include individual, couple and family therapy.</v>
      </c>
      <c r="D7114" s="3" t="s">
        <v>9</v>
      </c>
      <c r="E7114" s="3" t="s">
        <v>20870</v>
      </c>
      <c r="F7114" s="3" t="str">
        <f>"1-800-518-7974"</f>
        <v>1-800-518-7974</v>
      </c>
      <c r="G7114" s="3">
        <v>621112</v>
      </c>
      <c r="H7114" s="3" t="s">
        <v>1112</v>
      </c>
    </row>
    <row r="7115" spans="1:8" ht="115.5" x14ac:dyDescent="0.25">
      <c r="A7115" s="3" t="s">
        <v>20871</v>
      </c>
      <c r="B7115" s="3"/>
      <c r="C7115" s="3" t="s">
        <v>20872</v>
      </c>
      <c r="D7115" s="3" t="s">
        <v>20873</v>
      </c>
      <c r="E7115" s="3" t="s">
        <v>20874</v>
      </c>
      <c r="F7115" s="3" t="str">
        <f>"317-635-3798"</f>
        <v>317-635-3798</v>
      </c>
      <c r="G7115" s="3">
        <v>5415</v>
      </c>
      <c r="H7115" s="3" t="s">
        <v>188</v>
      </c>
    </row>
    <row r="7116" spans="1:8" ht="51.75" x14ac:dyDescent="0.25">
      <c r="A7116" s="3" t="s">
        <v>20875</v>
      </c>
      <c r="B7116" s="3"/>
      <c r="C7116" s="3" t="str">
        <f>"Sales, leasing, service, parts, and body shop for new Chevrolet cars, trucks, and vans, commercial vehicles, GM Certified vehicles, and pre-owned vehicles."</f>
        <v>Sales, leasing, service, parts, and body shop for new Chevrolet cars, trucks, and vans, commercial vehicles, GM Certified vehicles, and pre-owned vehicles.</v>
      </c>
      <c r="D7116" s="3" t="s">
        <v>20876</v>
      </c>
      <c r="E7116" s="3" t="s">
        <v>20877</v>
      </c>
      <c r="F7116" s="3" t="str">
        <f>"317-638-4838"</f>
        <v>317-638-4838</v>
      </c>
      <c r="G7116" s="3">
        <v>441110</v>
      </c>
      <c r="H7116" s="3" t="s">
        <v>2588</v>
      </c>
    </row>
    <row r="7117" spans="1:8" ht="141" x14ac:dyDescent="0.25">
      <c r="A7117" s="3" t="s">
        <v>20878</v>
      </c>
      <c r="B7117" s="3"/>
      <c r="C7117" s="3" t="s">
        <v>20879</v>
      </c>
      <c r="D7117" s="3" t="s">
        <v>20880</v>
      </c>
      <c r="E7117" s="3" t="s">
        <v>20881</v>
      </c>
      <c r="F7117" s="3" t="str">
        <f>"765-284-3732"</f>
        <v>765-284-3732</v>
      </c>
      <c r="G7117" s="3">
        <v>448310</v>
      </c>
      <c r="H7117" s="3" t="s">
        <v>7741</v>
      </c>
    </row>
    <row r="7118" spans="1:8" ht="102.75" x14ac:dyDescent="0.25">
      <c r="A7118" s="3" t="s">
        <v>20882</v>
      </c>
      <c r="B7118" s="3"/>
      <c r="C7118" s="3" t="s">
        <v>20883</v>
      </c>
      <c r="D7118" s="3" t="s">
        <v>20884</v>
      </c>
      <c r="E7118" s="3" t="s">
        <v>20885</v>
      </c>
      <c r="F7118" s="3" t="str">
        <f>"8123312318"</f>
        <v>8123312318</v>
      </c>
      <c r="G7118" s="3">
        <v>237120</v>
      </c>
      <c r="H7118" s="3" t="s">
        <v>20020</v>
      </c>
    </row>
    <row r="7119" spans="1:8" ht="26.25" x14ac:dyDescent="0.25">
      <c r="A7119" s="3" t="s">
        <v>20886</v>
      </c>
      <c r="B7119" s="3"/>
      <c r="C7119" s="3" t="str">
        <f>"Laundry, Uniform, and Dry Clean service. Delivery and Pickup"</f>
        <v>Laundry, Uniform, and Dry Clean service. Delivery and Pickup</v>
      </c>
      <c r="D7119" s="3" t="s">
        <v>9</v>
      </c>
      <c r="E7119" s="3" t="s">
        <v>20887</v>
      </c>
      <c r="F7119" s="3" t="str">
        <f>"2198838513"</f>
        <v>2198838513</v>
      </c>
      <c r="G7119" s="3">
        <v>8123</v>
      </c>
      <c r="H7119" s="3" t="s">
        <v>11008</v>
      </c>
    </row>
    <row r="7120" spans="1:8" ht="77.25" x14ac:dyDescent="0.25">
      <c r="A7120" s="3" t="s">
        <v>20888</v>
      </c>
      <c r="B7120" s="3"/>
      <c r="C7120" s="3" t="str">
        <f>"Sheltered workshop employing developmentally disabled adults that do assembly, salvaging, packaging, heat sealing, sorting, disassembly and confidential shredding. All work is bid on a piece rate."</f>
        <v>Sheltered workshop employing developmentally disabled adults that do assembly, salvaging, packaging, heat sealing, sorting, disassembly and confidential shredding. All work is bid on a piece rate.</v>
      </c>
      <c r="D7120" s="3" t="s">
        <v>20889</v>
      </c>
      <c r="E7120" s="3" t="s">
        <v>20890</v>
      </c>
      <c r="F7120" s="3" t="str">
        <f>"574-753-4104"</f>
        <v>574-753-4104</v>
      </c>
      <c r="G7120" s="3">
        <v>624310</v>
      </c>
      <c r="H7120" s="3" t="s">
        <v>488</v>
      </c>
    </row>
    <row r="7121" spans="1:8" ht="64.5" x14ac:dyDescent="0.25">
      <c r="A7121" s="3" t="s">
        <v>20891</v>
      </c>
      <c r="B7121" s="3"/>
      <c r="C7121" s="3" t="str">
        <f>"Business-to-business institutional pharmacy serving long term care facilities such as nursing homes, group homes, assisted living facilities, and workplace clinics."</f>
        <v>Business-to-business institutional pharmacy serving long term care facilities such as nursing homes, group homes, assisted living facilities, and workplace clinics.</v>
      </c>
      <c r="D7121" s="3" t="s">
        <v>9</v>
      </c>
      <c r="E7121" s="3" t="s">
        <v>10275</v>
      </c>
      <c r="F7121" s="3" t="str">
        <f>"317-691-9480"</f>
        <v>317-691-9480</v>
      </c>
      <c r="G7121" s="3">
        <v>446110</v>
      </c>
      <c r="H7121" s="3" t="s">
        <v>3738</v>
      </c>
    </row>
    <row r="7122" spans="1:8" ht="115.5" x14ac:dyDescent="0.25">
      <c r="A7122" s="3" t="s">
        <v>20892</v>
      </c>
      <c r="B7122" s="3"/>
      <c r="C7122" s="3" t="s">
        <v>20893</v>
      </c>
      <c r="D7122" s="3" t="s">
        <v>20894</v>
      </c>
      <c r="E7122" s="3" t="s">
        <v>20895</v>
      </c>
      <c r="F7122" s="3" t="str">
        <f>"3172784100"</f>
        <v>3172784100</v>
      </c>
      <c r="G7122" s="3">
        <v>541690</v>
      </c>
      <c r="H7122" s="3" t="s">
        <v>652</v>
      </c>
    </row>
    <row r="7123" spans="1:8" ht="77.25" x14ac:dyDescent="0.25">
      <c r="A7123" s="3" t="s">
        <v>20896</v>
      </c>
      <c r="B7123" s="3"/>
      <c r="C7123" s="3" t="s">
        <v>20897</v>
      </c>
      <c r="D7123" s="3" t="s">
        <v>9</v>
      </c>
      <c r="E7123" s="3" t="s">
        <v>20898</v>
      </c>
      <c r="F7123" s="3" t="str">
        <f>"812.886.6580"</f>
        <v>812.886.6580</v>
      </c>
      <c r="G7123" s="3">
        <v>442</v>
      </c>
      <c r="H7123" s="3" t="s">
        <v>3369</v>
      </c>
    </row>
    <row r="7124" spans="1:8" ht="26.25" x14ac:dyDescent="0.25">
      <c r="A7124" s="3" t="s">
        <v>20899</v>
      </c>
      <c r="B7124" s="3"/>
      <c r="C7124" s="3" t="str">
        <f>"Ford Automobile Dealership Parts, Service and Collision Center"</f>
        <v>Ford Automobile Dealership Parts, Service and Collision Center</v>
      </c>
      <c r="D7124" s="3" t="s">
        <v>20900</v>
      </c>
      <c r="E7124" s="3" t="s">
        <v>20901</v>
      </c>
      <c r="F7124" s="3" t="str">
        <f>"(317)873-3333"</f>
        <v>(317)873-3333</v>
      </c>
      <c r="G7124" s="3">
        <v>441110</v>
      </c>
      <c r="H7124" s="3" t="s">
        <v>2588</v>
      </c>
    </row>
    <row r="7125" spans="1:8" ht="26.25" x14ac:dyDescent="0.25">
      <c r="A7125" s="3" t="s">
        <v>20902</v>
      </c>
      <c r="B7125" s="3"/>
      <c r="C7125" s="3" t="str">
        <f>" "</f>
        <v xml:space="preserve"> </v>
      </c>
      <c r="D7125" s="3" t="s">
        <v>20903</v>
      </c>
      <c r="E7125" s="3" t="s">
        <v>46</v>
      </c>
      <c r="F7125" s="3" t="str">
        <f>"3172988450"</f>
        <v>3172988450</v>
      </c>
      <c r="G7125" s="3">
        <v>441110</v>
      </c>
      <c r="H7125" s="3" t="s">
        <v>2588</v>
      </c>
    </row>
    <row r="7126" spans="1:8" ht="179.25" x14ac:dyDescent="0.25">
      <c r="A7126" s="3" t="s">
        <v>20904</v>
      </c>
      <c r="B7126" s="3"/>
      <c r="C7126" s="3" t="s">
        <v>20905</v>
      </c>
      <c r="D7126" s="3" t="s">
        <v>9</v>
      </c>
      <c r="E7126" s="3" t="s">
        <v>20906</v>
      </c>
      <c r="F7126" s="3" t="str">
        <f>"317 748-6669"</f>
        <v>317 748-6669</v>
      </c>
      <c r="G7126" s="3">
        <v>611710</v>
      </c>
      <c r="H7126" s="3" t="s">
        <v>508</v>
      </c>
    </row>
    <row r="7127" spans="1:8" ht="102.75" x14ac:dyDescent="0.25">
      <c r="A7127" s="3" t="s">
        <v>20907</v>
      </c>
      <c r="B7127" s="3"/>
      <c r="C7127" s="3" t="s">
        <v>20908</v>
      </c>
      <c r="D7127" s="3" t="s">
        <v>20909</v>
      </c>
      <c r="E7127" s="3" t="s">
        <v>20910</v>
      </c>
      <c r="F7127" s="3" t="str">
        <f>"765-448-1758"</f>
        <v>765-448-1758</v>
      </c>
      <c r="G7127" s="3">
        <v>621340</v>
      </c>
      <c r="H7127" s="3" t="s">
        <v>987</v>
      </c>
    </row>
    <row r="7128" spans="1:8" ht="306.75" x14ac:dyDescent="0.25">
      <c r="A7128" s="3" t="s">
        <v>20911</v>
      </c>
      <c r="B7128" s="3"/>
      <c r="C7128" s="3" t="s">
        <v>20912</v>
      </c>
      <c r="D7128" s="3" t="s">
        <v>20913</v>
      </c>
      <c r="E7128" s="3" t="s">
        <v>20914</v>
      </c>
      <c r="F7128" s="3" t="str">
        <f>"317-590-5202"</f>
        <v>317-590-5202</v>
      </c>
      <c r="G7128" s="3">
        <v>541430</v>
      </c>
      <c r="H7128" s="3" t="s">
        <v>78</v>
      </c>
    </row>
    <row r="7129" spans="1:8" ht="319.5" x14ac:dyDescent="0.25">
      <c r="A7129" s="3" t="s">
        <v>20911</v>
      </c>
      <c r="B7129" s="3"/>
      <c r="C7129" s="3" t="s">
        <v>20915</v>
      </c>
      <c r="D7129" s="3" t="s">
        <v>20913</v>
      </c>
      <c r="E7129" s="3" t="s">
        <v>20916</v>
      </c>
      <c r="F7129" s="3" t="str">
        <f>"317-590-5202"</f>
        <v>317-590-5202</v>
      </c>
      <c r="G7129" s="3">
        <v>541430</v>
      </c>
      <c r="H7129" s="3" t="s">
        <v>78</v>
      </c>
    </row>
    <row r="7130" spans="1:8" ht="115.5" x14ac:dyDescent="0.25">
      <c r="A7130" s="3" t="s">
        <v>20917</v>
      </c>
      <c r="B7130" s="3"/>
      <c r="C7130" s="3" t="s">
        <v>20918</v>
      </c>
      <c r="D7130" s="3" t="s">
        <v>20919</v>
      </c>
      <c r="E7130" s="3" t="s">
        <v>20920</v>
      </c>
      <c r="F7130" s="3" t="str">
        <f>"8124488188"</f>
        <v>8124488188</v>
      </c>
      <c r="G7130" s="3">
        <v>238160</v>
      </c>
      <c r="H7130" s="3" t="s">
        <v>144</v>
      </c>
    </row>
    <row r="7131" spans="1:8" ht="64.5" x14ac:dyDescent="0.25">
      <c r="A7131" s="3" t="s">
        <v>20921</v>
      </c>
      <c r="B7131" s="3"/>
      <c r="C7131" s="3" t="str">
        <f>"Industrial services: Piping, Fabrication, Millwright, Maintenance Support Services, Material Handling, Mechanical Contracting, Equipment Moving, Water Jet services, and Trailer Repair Services."</f>
        <v>Industrial services: Piping, Fabrication, Millwright, Maintenance Support Services, Material Handling, Mechanical Contracting, Equipment Moving, Water Jet services, and Trailer Repair Services.</v>
      </c>
      <c r="D7131" s="3" t="s">
        <v>20922</v>
      </c>
      <c r="E7131" s="3" t="s">
        <v>46</v>
      </c>
      <c r="F7131" s="3" t="str">
        <f>"260-622-1312"</f>
        <v>260-622-1312</v>
      </c>
      <c r="G7131" s="3">
        <v>2349</v>
      </c>
      <c r="H7131" s="3" t="s">
        <v>20923</v>
      </c>
    </row>
    <row r="7132" spans="1:8" ht="51.75" x14ac:dyDescent="0.25">
      <c r="A7132" s="3" t="s">
        <v>20924</v>
      </c>
      <c r="B7132" s="3"/>
      <c r="C7132" s="3" t="str">
        <f>"Pendulum Resources provides technical and administrative personnel to government agencies and contractors and also provides marketing support"</f>
        <v>Pendulum Resources provides technical and administrative personnel to government agencies and contractors and also provides marketing support</v>
      </c>
      <c r="D7132" s="3" t="s">
        <v>20925</v>
      </c>
      <c r="E7132" s="3" t="s">
        <v>20926</v>
      </c>
      <c r="F7132" s="3" t="str">
        <f>"812.256.4585"</f>
        <v>812.256.4585</v>
      </c>
      <c r="G7132" s="3">
        <v>541618</v>
      </c>
      <c r="H7132" s="3" t="s">
        <v>3527</v>
      </c>
    </row>
    <row r="7133" spans="1:8" ht="39" x14ac:dyDescent="0.25">
      <c r="A7133" s="3" t="s">
        <v>20927</v>
      </c>
      <c r="B7133" s="3"/>
      <c r="C7133" s="3" t="str">
        <f>"Provider of professional service personnel; develop economic analysis studies; develop and administer public private partnerships"</f>
        <v>Provider of professional service personnel; develop economic analysis studies; develop and administer public private partnerships</v>
      </c>
      <c r="D7133" s="3" t="s">
        <v>20928</v>
      </c>
      <c r="E7133" s="3" t="s">
        <v>20926</v>
      </c>
      <c r="F7133" s="3" t="str">
        <f>"812-256-4585"</f>
        <v>812-256-4585</v>
      </c>
      <c r="G7133" s="3">
        <v>561330</v>
      </c>
      <c r="H7133" s="3" t="s">
        <v>2879</v>
      </c>
    </row>
    <row r="7134" spans="1:8" ht="39" x14ac:dyDescent="0.25">
      <c r="A7134" s="3" t="s">
        <v>20929</v>
      </c>
      <c r="B7134" s="3"/>
      <c r="C7134" s="3" t="str">
        <f>"Township Fire Department - we are NOT a business we are government entity having to register to receive grants."</f>
        <v>Township Fire Department - we are NOT a business we are government entity having to register to receive grants.</v>
      </c>
      <c r="D7134" s="3" t="s">
        <v>20930</v>
      </c>
      <c r="E7134" s="3" t="s">
        <v>20931</v>
      </c>
      <c r="F7134" s="3" t="str">
        <f>"5742555075"</f>
        <v>5742555075</v>
      </c>
      <c r="G7134" s="3">
        <v>922160</v>
      </c>
      <c r="H7134" s="3" t="s">
        <v>2246</v>
      </c>
    </row>
    <row r="7135" spans="1:8" ht="281.25" x14ac:dyDescent="0.25">
      <c r="A7135" s="3" t="s">
        <v>20932</v>
      </c>
      <c r="B7135" s="3"/>
      <c r="C7135" s="3" t="s">
        <v>20933</v>
      </c>
      <c r="D7135" s="3" t="s">
        <v>20934</v>
      </c>
      <c r="E7135" s="3" t="s">
        <v>20935</v>
      </c>
      <c r="F7135" s="3" t="str">
        <f>"3175312933"</f>
        <v>3175312933</v>
      </c>
      <c r="G7135" s="3">
        <v>541512</v>
      </c>
      <c r="H7135" s="3" t="s">
        <v>19</v>
      </c>
    </row>
    <row r="7136" spans="1:8" ht="39" x14ac:dyDescent="0.25">
      <c r="A7136" s="3" t="s">
        <v>20936</v>
      </c>
      <c r="B7136" s="3"/>
      <c r="C7136" s="3" t="str">
        <f>"Electrical contractor for all types of residential, commercial and light industral instalations."</f>
        <v>Electrical contractor for all types of residential, commercial and light industral instalations.</v>
      </c>
      <c r="D7136" s="3" t="s">
        <v>9</v>
      </c>
      <c r="E7136" s="3" t="s">
        <v>46</v>
      </c>
      <c r="F7136" s="3" t="str">
        <f>"812-839-6715"</f>
        <v>812-839-6715</v>
      </c>
      <c r="G7136" s="3">
        <v>238210</v>
      </c>
      <c r="H7136" s="3" t="s">
        <v>306</v>
      </c>
    </row>
    <row r="7137" spans="1:8" ht="319.5" x14ac:dyDescent="0.25">
      <c r="A7137" s="3" t="s">
        <v>20937</v>
      </c>
      <c r="B7137" s="3"/>
      <c r="C7137" s="3" t="s">
        <v>20938</v>
      </c>
      <c r="D7137" s="3" t="s">
        <v>20939</v>
      </c>
      <c r="E7137" s="3" t="s">
        <v>20940</v>
      </c>
      <c r="F7137" s="3" t="str">
        <f>"317-956-3438"</f>
        <v>317-956-3438</v>
      </c>
      <c r="G7137" s="3">
        <v>334220</v>
      </c>
      <c r="H7137" s="3" t="s">
        <v>8456</v>
      </c>
    </row>
    <row r="7138" spans="1:8" ht="179.25" x14ac:dyDescent="0.25">
      <c r="A7138" s="3" t="s">
        <v>20941</v>
      </c>
      <c r="B7138" s="3"/>
      <c r="C7138" s="3" t="s">
        <v>20942</v>
      </c>
      <c r="D7138" s="3" t="s">
        <v>20943</v>
      </c>
      <c r="E7138" s="3" t="s">
        <v>20944</v>
      </c>
      <c r="F7138" s="3" t="str">
        <f>"812-248-4700"</f>
        <v>812-248-4700</v>
      </c>
      <c r="G7138" s="3">
        <v>4233</v>
      </c>
      <c r="H7138" s="3" t="s">
        <v>6298</v>
      </c>
    </row>
    <row r="7139" spans="1:8" ht="51.75" x14ac:dyDescent="0.25">
      <c r="A7139" s="3" t="s">
        <v>20945</v>
      </c>
      <c r="B7139" s="3"/>
      <c r="C7139" s="3" t="str">
        <f>"Pennington Seed of Indiana is a wood pellet fuel manufacturer. Pennington Wood Pellets are available for purchase as residential or industrial fuel."</f>
        <v>Pennington Seed of Indiana is a wood pellet fuel manufacturer. Pennington Wood Pellets are available for purchase as residential or industrial fuel.</v>
      </c>
      <c r="D7139" s="3" t="s">
        <v>20946</v>
      </c>
      <c r="E7139" s="3" t="s">
        <v>20947</v>
      </c>
      <c r="F7139" s="3" t="str">
        <f>"260 894 7381"</f>
        <v>260 894 7381</v>
      </c>
      <c r="G7139" s="3">
        <v>321</v>
      </c>
      <c r="H7139" s="3" t="s">
        <v>2367</v>
      </c>
    </row>
    <row r="7140" spans="1:8" ht="294" x14ac:dyDescent="0.25">
      <c r="A7140" s="3" t="s">
        <v>20948</v>
      </c>
      <c r="B7140" s="3"/>
      <c r="C7140" s="3" t="s">
        <v>20949</v>
      </c>
      <c r="D7140" s="3" t="s">
        <v>20950</v>
      </c>
      <c r="E7140" s="3" t="s">
        <v>20951</v>
      </c>
      <c r="F7140" s="3" t="str">
        <f>"574-272-1400"</f>
        <v>574-272-1400</v>
      </c>
      <c r="G7140" s="3">
        <v>541213</v>
      </c>
      <c r="H7140" s="3" t="s">
        <v>209</v>
      </c>
    </row>
    <row r="7141" spans="1:8" ht="64.5" x14ac:dyDescent="0.25">
      <c r="A7141" s="3" t="s">
        <v>20952</v>
      </c>
      <c r="B7141" s="3"/>
      <c r="C7141" s="3" t="str">
        <f>"Peoples Promotions is a distributor of imprinted products, advertising specialties and promotional items, including wearables, for businesses, organizations and events."</f>
        <v>Peoples Promotions is a distributor of imprinted products, advertising specialties and promotional items, including wearables, for businesses, organizations and events.</v>
      </c>
      <c r="D7141" s="3" t="s">
        <v>9</v>
      </c>
      <c r="E7141" s="3" t="s">
        <v>20953</v>
      </c>
      <c r="F7141" s="3" t="str">
        <f>"317.271.7711"</f>
        <v>317.271.7711</v>
      </c>
      <c r="G7141" s="3">
        <v>54187</v>
      </c>
      <c r="H7141" s="3" t="s">
        <v>657</v>
      </c>
    </row>
    <row r="7142" spans="1:8" ht="26.25" x14ac:dyDescent="0.25">
      <c r="A7142" s="3" t="s">
        <v>20954</v>
      </c>
      <c r="B7142" s="3"/>
      <c r="C7142" s="3" t="str">
        <f>"Automotive parts and repairs"</f>
        <v>Automotive parts and repairs</v>
      </c>
      <c r="D7142" s="3" t="s">
        <v>20955</v>
      </c>
      <c r="E7142" s="3" t="s">
        <v>46</v>
      </c>
      <c r="F7142" s="2"/>
      <c r="G7142" s="3">
        <v>336399</v>
      </c>
      <c r="H7142" s="3" t="s">
        <v>16125</v>
      </c>
    </row>
    <row r="7143" spans="1:8" ht="319.5" x14ac:dyDescent="0.25">
      <c r="A7143" s="3" t="s">
        <v>20956</v>
      </c>
      <c r="B7143" s="3"/>
      <c r="C7143" s="3" t="s">
        <v>20957</v>
      </c>
      <c r="D7143" s="3" t="s">
        <v>20958</v>
      </c>
      <c r="E7143" s="3" t="s">
        <v>20959</v>
      </c>
      <c r="F7143" s="3" t="str">
        <f>"3174141157"</f>
        <v>3174141157</v>
      </c>
      <c r="G7143" s="3">
        <v>518210</v>
      </c>
      <c r="H7143" s="3" t="s">
        <v>3133</v>
      </c>
    </row>
    <row r="7144" spans="1:8" ht="115.5" x14ac:dyDescent="0.25">
      <c r="A7144" s="3" t="s">
        <v>20960</v>
      </c>
      <c r="B7144" s="3"/>
      <c r="C7144" s="3" t="s">
        <v>20961</v>
      </c>
      <c r="D7144" s="3" t="s">
        <v>9</v>
      </c>
      <c r="E7144" s="3" t="s">
        <v>20962</v>
      </c>
      <c r="F7144" s="3" t="str">
        <f>"317-652-9587"</f>
        <v>317-652-9587</v>
      </c>
      <c r="G7144" s="3">
        <v>541930</v>
      </c>
      <c r="H7144" s="3" t="s">
        <v>971</v>
      </c>
    </row>
    <row r="7145" spans="1:8" ht="51.75" x14ac:dyDescent="0.25">
      <c r="A7145" s="3" t="s">
        <v>20963</v>
      </c>
      <c r="B7145" s="3"/>
      <c r="C7145" s="3" t="str">
        <f>"Legal services, including contract review, employment and business policies. Forensic consulting, including DNA recovery training and review of forensic reports."</f>
        <v>Legal services, including contract review, employment and business policies. Forensic consulting, including DNA recovery training and review of forensic reports.</v>
      </c>
      <c r="D7145" s="3" t="s">
        <v>9</v>
      </c>
      <c r="E7145" s="3" t="s">
        <v>20964</v>
      </c>
      <c r="F7145" s="3" t="str">
        <f>"317-213-1251"</f>
        <v>317-213-1251</v>
      </c>
      <c r="G7145" s="3">
        <v>5411</v>
      </c>
      <c r="H7145" s="3" t="s">
        <v>87</v>
      </c>
    </row>
    <row r="7146" spans="1:8" ht="39" x14ac:dyDescent="0.25">
      <c r="A7146" s="3" t="s">
        <v>20965</v>
      </c>
      <c r="B7146" s="3"/>
      <c r="C7146" s="3" t="str">
        <f>"We currently do perfect book binding from folded sigs. Additional binding such as spiral, wiro, etc. also now available."</f>
        <v>We currently do perfect book binding from folded sigs. Additional binding such as spiral, wiro, etc. also now available.</v>
      </c>
      <c r="D7146" s="3" t="s">
        <v>9</v>
      </c>
      <c r="E7146" s="3" t="s">
        <v>20966</v>
      </c>
      <c r="F7146" s="3" t="str">
        <f>"800-932-3781"</f>
        <v>800-932-3781</v>
      </c>
      <c r="G7146" s="3">
        <v>323121</v>
      </c>
      <c r="H7146" s="3" t="s">
        <v>694</v>
      </c>
    </row>
    <row r="7147" spans="1:8" ht="51.75" x14ac:dyDescent="0.25">
      <c r="A7147" s="3" t="s">
        <v>20967</v>
      </c>
      <c r="B7147" s="3"/>
      <c r="C7147" s="3" t="str">
        <f>"Commercial offset printing and related services; composition, design, pre-press, bindery, mail operations, digital printing, high speed copying, print on demand"</f>
        <v>Commercial offset printing and related services; composition, design, pre-press, bindery, mail operations, digital printing, high speed copying, print on demand</v>
      </c>
      <c r="D7147" s="3" t="s">
        <v>9</v>
      </c>
      <c r="E7147" s="3" t="s">
        <v>20968</v>
      </c>
      <c r="F7147" s="3" t="str">
        <f>"317-923-1756"</f>
        <v>317-923-1756</v>
      </c>
      <c r="G7147" s="3">
        <v>323110</v>
      </c>
      <c r="H7147" s="3" t="s">
        <v>1900</v>
      </c>
    </row>
    <row r="7148" spans="1:8" ht="39" x14ac:dyDescent="0.25">
      <c r="A7148" s="3" t="s">
        <v>20969</v>
      </c>
      <c r="B7148" s="3"/>
      <c r="C7148" s="3" t="str">
        <f>"Strategically creative marketing concepts and copy designed to connect with target consumer segments."</f>
        <v>Strategically creative marketing concepts and copy designed to connect with target consumer segments.</v>
      </c>
      <c r="D7148" s="3" t="s">
        <v>20970</v>
      </c>
      <c r="E7148" s="3" t="s">
        <v>20971</v>
      </c>
      <c r="F7148" s="3" t="str">
        <f>"812-825-8018"</f>
        <v>812-825-8018</v>
      </c>
      <c r="G7148" s="3">
        <v>541613</v>
      </c>
      <c r="H7148" s="3" t="s">
        <v>558</v>
      </c>
    </row>
    <row r="7149" spans="1:8" ht="90" x14ac:dyDescent="0.25">
      <c r="A7149" s="3" t="s">
        <v>20972</v>
      </c>
      <c r="B7149" s="3"/>
      <c r="C7149" s="3" t="s">
        <v>20973</v>
      </c>
      <c r="D7149" s="3" t="s">
        <v>20974</v>
      </c>
      <c r="E7149" s="3" t="s">
        <v>20975</v>
      </c>
      <c r="F7149" s="3" t="str">
        <f>"317-569-8188"</f>
        <v>317-569-8188</v>
      </c>
      <c r="G7149" s="3">
        <v>337</v>
      </c>
      <c r="H7149" s="3" t="s">
        <v>6695</v>
      </c>
    </row>
    <row r="7150" spans="1:8" ht="51.75" x14ac:dyDescent="0.25">
      <c r="A7150" s="3" t="s">
        <v>20976</v>
      </c>
      <c r="B7150" s="3"/>
      <c r="C7150" s="3" t="str">
        <f>"Highly professional cleaning services for commercial and industrial businesses. Dependable and detailed cleaning with satisfaction guarantee."</f>
        <v>Highly professional cleaning services for commercial and industrial businesses. Dependable and detailed cleaning with satisfaction guarantee.</v>
      </c>
      <c r="D7150" s="3" t="s">
        <v>9</v>
      </c>
      <c r="E7150" s="3" t="s">
        <v>46</v>
      </c>
      <c r="F7150" s="2"/>
      <c r="G7150" s="3">
        <v>561720</v>
      </c>
      <c r="H7150" s="3" t="s">
        <v>222</v>
      </c>
    </row>
    <row r="7151" spans="1:8" ht="90" x14ac:dyDescent="0.25">
      <c r="A7151" s="3" t="s">
        <v>20977</v>
      </c>
      <c r="B7151" s="3"/>
      <c r="C7151" s="3" t="s">
        <v>20978</v>
      </c>
      <c r="D7151" s="3" t="s">
        <v>20979</v>
      </c>
      <c r="E7151" s="3" t="s">
        <v>46</v>
      </c>
      <c r="F7151" s="3" t="str">
        <f>"(317) 403-5653"</f>
        <v>(317) 403-5653</v>
      </c>
      <c r="G7151" s="3">
        <v>541612</v>
      </c>
      <c r="H7151" s="3" t="s">
        <v>1923</v>
      </c>
    </row>
    <row r="7152" spans="1:8" ht="77.25" x14ac:dyDescent="0.25">
      <c r="A7152" s="3" t="s">
        <v>20980</v>
      </c>
      <c r="B7152" s="3"/>
      <c r="C7152" s="3" t="str">
        <f>"Managment Services, Educational Services, Educational Testing, Industrial Psychology, Managment Consulting, Internet testing, Survey, Leadership Testing, IT Professional Services, Pre-Employment Testing, HR Tests, Evaluation Training"</f>
        <v>Managment Services, Educational Services, Educational Testing, Industrial Psychology, Managment Consulting, Internet testing, Survey, Leadership Testing, IT Professional Services, Pre-Employment Testing, HR Tests, Evaluation Training</v>
      </c>
      <c r="D7152" s="3" t="s">
        <v>20981</v>
      </c>
      <c r="E7152" s="3" t="s">
        <v>20982</v>
      </c>
      <c r="F7152" s="3" t="str">
        <f>"317-566-3270"</f>
        <v>317-566-3270</v>
      </c>
      <c r="G7152" s="3">
        <v>54161</v>
      </c>
      <c r="H7152" s="3" t="s">
        <v>1221</v>
      </c>
    </row>
    <row r="7153" spans="1:8" ht="26.25" x14ac:dyDescent="0.25">
      <c r="A7153" s="3" t="s">
        <v>20983</v>
      </c>
      <c r="B7153" s="3"/>
      <c r="C7153" s="3" t="str">
        <f>"CNC machining"</f>
        <v>CNC machining</v>
      </c>
      <c r="D7153" s="3" t="s">
        <v>20984</v>
      </c>
      <c r="E7153" s="3" t="s">
        <v>20985</v>
      </c>
      <c r="F7153" s="3" t="str">
        <f>"574-342-6308"</f>
        <v>574-342-6308</v>
      </c>
      <c r="G7153" s="3">
        <v>33</v>
      </c>
      <c r="H7153" s="3" t="s">
        <v>999</v>
      </c>
    </row>
    <row r="7154" spans="1:8" ht="26.25" x14ac:dyDescent="0.25">
      <c r="A7154" s="3" t="s">
        <v>20986</v>
      </c>
      <c r="B7154" s="3"/>
      <c r="C7154" s="3" t="str">
        <f>"Convention and Trade Show Organizers with Meeting and Planning Services."</f>
        <v>Convention and Trade Show Organizers with Meeting and Planning Services.</v>
      </c>
      <c r="D7154" s="3" t="s">
        <v>20987</v>
      </c>
      <c r="E7154" s="3" t="s">
        <v>20988</v>
      </c>
      <c r="F7154" s="3" t="str">
        <f>"317-429-1004"</f>
        <v>317-429-1004</v>
      </c>
      <c r="G7154" s="3">
        <v>561920</v>
      </c>
      <c r="H7154" s="3" t="s">
        <v>7034</v>
      </c>
    </row>
    <row r="7155" spans="1:8" ht="26.25" x14ac:dyDescent="0.25">
      <c r="A7155" s="3" t="s">
        <v>20989</v>
      </c>
      <c r="B7155" s="3"/>
      <c r="C7155" s="2"/>
      <c r="D7155" s="3" t="s">
        <v>9</v>
      </c>
      <c r="E7155" s="3" t="s">
        <v>46</v>
      </c>
      <c r="F7155" s="2"/>
      <c r="G7155" s="3">
        <v>541611</v>
      </c>
      <c r="H7155" s="3" t="s">
        <v>278</v>
      </c>
    </row>
    <row r="7156" spans="1:8" ht="64.5" x14ac:dyDescent="0.25">
      <c r="A7156" s="3" t="s">
        <v>20990</v>
      </c>
      <c r="B7156" s="3"/>
      <c r="C7156" s="3" t="str">
        <f>"Organizational development, leadership and team training for high performance organizations. Full service Human Performance Improvement assessments and interventions."</f>
        <v>Organizational development, leadership and team training for high performance organizations. Full service Human Performance Improvement assessments and interventions.</v>
      </c>
      <c r="D7156" s="3" t="s">
        <v>9</v>
      </c>
      <c r="E7156" s="3" t="s">
        <v>20991</v>
      </c>
      <c r="F7156" s="3" t="str">
        <f>"219-465-5936"</f>
        <v>219-465-5936</v>
      </c>
      <c r="G7156" s="3">
        <v>611710</v>
      </c>
      <c r="H7156" s="3" t="s">
        <v>508</v>
      </c>
    </row>
    <row r="7157" spans="1:8" ht="26.25" x14ac:dyDescent="0.25">
      <c r="A7157" s="3" t="s">
        <v>20992</v>
      </c>
      <c r="B7157" s="3"/>
      <c r="C7157" s="3" t="str">
        <f>"Truck [light and medium duty] Repair and Welding and Fabricating Shop"</f>
        <v>Truck [light and medium duty] Repair and Welding and Fabricating Shop</v>
      </c>
      <c r="D7157" s="3" t="s">
        <v>9</v>
      </c>
      <c r="E7157" s="3" t="s">
        <v>20993</v>
      </c>
      <c r="F7157" s="3" t="str">
        <f>"7657790900"</f>
        <v>7657790900</v>
      </c>
      <c r="G7157" s="3">
        <v>238</v>
      </c>
      <c r="H7157" s="3" t="s">
        <v>397</v>
      </c>
    </row>
    <row r="7158" spans="1:8" ht="39" x14ac:dyDescent="0.25">
      <c r="A7158" s="3" t="s">
        <v>20994</v>
      </c>
      <c r="B7158" s="3"/>
      <c r="C7158" s="3" t="str">
        <f>"Performance Validation provides commissioning and validation services to the Life Science and construction industries."</f>
        <v>Performance Validation provides commissioning and validation services to the Life Science and construction industries.</v>
      </c>
      <c r="D7158" s="3" t="s">
        <v>20995</v>
      </c>
      <c r="E7158" s="3" t="s">
        <v>20996</v>
      </c>
      <c r="F7158" s="3" t="str">
        <f>"317-248-8848"</f>
        <v>317-248-8848</v>
      </c>
      <c r="G7158" s="3">
        <v>541990</v>
      </c>
      <c r="H7158" s="3" t="s">
        <v>378</v>
      </c>
    </row>
    <row r="7159" spans="1:8" ht="64.5" x14ac:dyDescent="0.25">
      <c r="A7159" s="3" t="s">
        <v>20997</v>
      </c>
      <c r="B7159" s="3"/>
      <c r="C7159" s="3" t="str">
        <f>"Perita provides professional services for construction projects including construction management, owners technical rep, public outreach, minority outreach, administrative assistance, etc."</f>
        <v>Perita provides professional services for construction projects including construction management, owners technical rep, public outreach, minority outreach, administrative assistance, etc.</v>
      </c>
      <c r="D7159" s="3" t="s">
        <v>9</v>
      </c>
      <c r="E7159" s="3" t="s">
        <v>20998</v>
      </c>
      <c r="F7159" s="3" t="str">
        <f>"765-894-5073"</f>
        <v>765-894-5073</v>
      </c>
      <c r="G7159" s="3">
        <v>236220</v>
      </c>
      <c r="H7159" s="3" t="s">
        <v>598</v>
      </c>
    </row>
    <row r="7160" spans="1:8" ht="115.5" x14ac:dyDescent="0.25">
      <c r="A7160" s="3" t="s">
        <v>20999</v>
      </c>
      <c r="B7160" s="3"/>
      <c r="C7160" s="3" t="s">
        <v>21000</v>
      </c>
      <c r="D7160" s="3" t="s">
        <v>21001</v>
      </c>
      <c r="E7160" s="3" t="s">
        <v>21002</v>
      </c>
      <c r="F7160" s="3" t="str">
        <f>"(317) 644-1534"</f>
        <v>(317) 644-1534</v>
      </c>
      <c r="G7160" s="3">
        <v>541820</v>
      </c>
      <c r="H7160" s="3" t="s">
        <v>795</v>
      </c>
    </row>
    <row r="7161" spans="1:8" ht="90" x14ac:dyDescent="0.25">
      <c r="A7161" s="3" t="s">
        <v>21003</v>
      </c>
      <c r="B7161" s="3"/>
      <c r="C7161" s="3" t="s">
        <v>21004</v>
      </c>
      <c r="D7161" s="3" t="s">
        <v>21005</v>
      </c>
      <c r="E7161" s="3" t="s">
        <v>21006</v>
      </c>
      <c r="F7161" s="3" t="str">
        <f>"812-882-5752"</f>
        <v>812-882-5752</v>
      </c>
      <c r="G7161" s="3">
        <v>444220</v>
      </c>
      <c r="H7161" s="3" t="s">
        <v>9963</v>
      </c>
    </row>
    <row r="7162" spans="1:8" ht="51.75" x14ac:dyDescent="0.25">
      <c r="A7162" s="3" t="s">
        <v>21007</v>
      </c>
      <c r="B7162" s="3"/>
      <c r="C7162" s="3" t="str">
        <f>"A full-service design and advertising firm that specializes in the creation of strategically-branded print, web, and broadcast materials."</f>
        <v>A full-service design and advertising firm that specializes in the creation of strategically-branded print, web, and broadcast materials.</v>
      </c>
      <c r="D7162" s="3" t="s">
        <v>21008</v>
      </c>
      <c r="E7162" s="3" t="s">
        <v>21009</v>
      </c>
      <c r="F7162" s="3" t="str">
        <f>"317.596.9180"</f>
        <v>317.596.9180</v>
      </c>
      <c r="G7162" s="3">
        <v>541810</v>
      </c>
      <c r="H7162" s="3" t="s">
        <v>976</v>
      </c>
    </row>
    <row r="7163" spans="1:8" ht="192" x14ac:dyDescent="0.25">
      <c r="A7163" s="3" t="s">
        <v>21010</v>
      </c>
      <c r="B7163" s="3"/>
      <c r="C7163" s="3" t="s">
        <v>21011</v>
      </c>
      <c r="D7163" s="3" t="s">
        <v>21012</v>
      </c>
      <c r="E7163" s="3" t="s">
        <v>21013</v>
      </c>
      <c r="F7163" s="3" t="str">
        <f>"317-407-0148"</f>
        <v>317-407-0148</v>
      </c>
      <c r="G7163" s="3">
        <v>541990</v>
      </c>
      <c r="H7163" s="3" t="s">
        <v>378</v>
      </c>
    </row>
    <row r="7164" spans="1:8" ht="39" x14ac:dyDescent="0.25">
      <c r="A7164" s="3" t="s">
        <v>21014</v>
      </c>
      <c r="B7164" s="3"/>
      <c r="C7164" s="3" t="str">
        <f>"Commercial and residential real estate appraisal services with over 13 years experience. INDOTapproved appraiser."</f>
        <v>Commercial and residential real estate appraisal services with over 13 years experience. INDOTapproved appraiser.</v>
      </c>
      <c r="D7164" s="3" t="s">
        <v>21015</v>
      </c>
      <c r="E7164" s="3" t="s">
        <v>21016</v>
      </c>
      <c r="F7164" s="3" t="str">
        <f>"317-514-6510"</f>
        <v>317-514-6510</v>
      </c>
      <c r="G7164" s="3">
        <v>531320</v>
      </c>
      <c r="H7164" s="3" t="s">
        <v>34</v>
      </c>
    </row>
    <row r="7165" spans="1:8" ht="26.25" x14ac:dyDescent="0.25">
      <c r="A7165" s="3" t="s">
        <v>21017</v>
      </c>
      <c r="B7165" s="3"/>
      <c r="C7165" s="3" t="str">
        <f>"Law firm specializing in collections, evictions and social security disability"</f>
        <v>Law firm specializing in collections, evictions and social security disability</v>
      </c>
      <c r="D7165" s="3" t="s">
        <v>21018</v>
      </c>
      <c r="E7165" s="3" t="s">
        <v>21019</v>
      </c>
      <c r="F7165" s="3" t="str">
        <f>"260-483-3110"</f>
        <v>260-483-3110</v>
      </c>
      <c r="G7165" s="3">
        <v>54111</v>
      </c>
      <c r="H7165" s="3" t="s">
        <v>2978</v>
      </c>
    </row>
    <row r="7166" spans="1:8" ht="51.75" x14ac:dyDescent="0.25">
      <c r="A7166" s="3" t="s">
        <v>21020</v>
      </c>
      <c r="B7166" s="3"/>
      <c r="C7166" s="3" t="str">
        <f>"Perry-Clear Creek Fire Protection District provides Fire and Rescue services to residents of Monroe County Indiana, within the Fire Protection District."</f>
        <v>Perry-Clear Creek Fire Protection District provides Fire and Rescue services to residents of Monroe County Indiana, within the Fire Protection District.</v>
      </c>
      <c r="D7166" s="3" t="s">
        <v>21021</v>
      </c>
      <c r="E7166" s="3" t="s">
        <v>21022</v>
      </c>
      <c r="F7166" s="3" t="str">
        <f>"812-331-1906"</f>
        <v>812-331-1906</v>
      </c>
      <c r="G7166" s="3">
        <v>922160</v>
      </c>
      <c r="H7166" s="3" t="s">
        <v>2246</v>
      </c>
    </row>
    <row r="7167" spans="1:8" ht="39" x14ac:dyDescent="0.25">
      <c r="A7167" s="3" t="s">
        <v>21023</v>
      </c>
      <c r="B7167" s="3"/>
      <c r="C7167" s="3" t="str">
        <f>"Nonprofit Urban Design Research Institute with the mission of seeking to build better cities."</f>
        <v>Nonprofit Urban Design Research Institute with the mission of seeking to build better cities.</v>
      </c>
      <c r="D7167" s="3" t="s">
        <v>21024</v>
      </c>
      <c r="E7167" s="3" t="s">
        <v>21025</v>
      </c>
      <c r="F7167" s="3" t="str">
        <f>"3175314445"</f>
        <v>3175314445</v>
      </c>
      <c r="G7167" s="3">
        <v>611699</v>
      </c>
      <c r="H7167" s="3" t="s">
        <v>2136</v>
      </c>
    </row>
    <row r="7168" spans="1:8" ht="26.25" x14ac:dyDescent="0.25">
      <c r="A7168" s="3" t="s">
        <v>21026</v>
      </c>
      <c r="B7168" s="3"/>
      <c r="C7168" s="3" t="str">
        <f>"Janitorial Cleaning Service"</f>
        <v>Janitorial Cleaning Service</v>
      </c>
      <c r="D7168" s="3" t="s">
        <v>21027</v>
      </c>
      <c r="E7168" s="3" t="s">
        <v>21028</v>
      </c>
      <c r="F7168" s="3" t="str">
        <f>"317-545-6336"</f>
        <v>317-545-6336</v>
      </c>
      <c r="G7168" s="3">
        <v>812990</v>
      </c>
      <c r="H7168" s="3" t="s">
        <v>294</v>
      </c>
    </row>
    <row r="7169" spans="1:8" ht="39" x14ac:dyDescent="0.25">
      <c r="A7169" s="3" t="s">
        <v>21029</v>
      </c>
      <c r="B7169" s="3"/>
      <c r="C7169" s="3" t="str">
        <f>"We are a medical supply company that specializes in incontinent and urological supplies."</f>
        <v>We are a medical supply company that specializes in incontinent and urological supplies.</v>
      </c>
      <c r="D7169" s="3" t="s">
        <v>9</v>
      </c>
      <c r="E7169" s="3" t="s">
        <v>21030</v>
      </c>
      <c r="F7169" s="3" t="str">
        <f>"1-877-483-7720"</f>
        <v>1-877-483-7720</v>
      </c>
      <c r="G7169" s="3">
        <v>446199</v>
      </c>
      <c r="H7169" s="3" t="s">
        <v>1760</v>
      </c>
    </row>
    <row r="7170" spans="1:8" ht="64.5" x14ac:dyDescent="0.25">
      <c r="A7170" s="3" t="s">
        <v>21031</v>
      </c>
      <c r="B7170" s="3"/>
      <c r="C7170" s="3" t="str">
        <f>"Provides Landscaping, mowing, trimming, and lawn grooming, treel planting for Commercial and Residential clients. In addition, provides snow removal in the winter season"</f>
        <v>Provides Landscaping, mowing, trimming, and lawn grooming, treel planting for Commercial and Residential clients. In addition, provides snow removal in the winter season</v>
      </c>
      <c r="D7170" s="3" t="s">
        <v>9</v>
      </c>
      <c r="E7170" s="3" t="s">
        <v>46</v>
      </c>
      <c r="F7170" s="3" t="str">
        <f>"317-407-3369"</f>
        <v>317-407-3369</v>
      </c>
      <c r="G7170" s="3">
        <v>23599</v>
      </c>
      <c r="H7170" s="3" t="s">
        <v>248</v>
      </c>
    </row>
    <row r="7171" spans="1:8" ht="102.75" x14ac:dyDescent="0.25">
      <c r="A7171" s="3" t="s">
        <v>21032</v>
      </c>
      <c r="B7171" s="3"/>
      <c r="C7171" s="3" t="s">
        <v>21033</v>
      </c>
      <c r="D7171" s="3" t="s">
        <v>21034</v>
      </c>
      <c r="E7171" s="3" t="s">
        <v>21035</v>
      </c>
      <c r="F7171" s="3" t="str">
        <f>"317-319-0993"</f>
        <v>317-319-0993</v>
      </c>
      <c r="G7171" s="3">
        <v>48</v>
      </c>
      <c r="H7171" s="3" t="s">
        <v>104</v>
      </c>
    </row>
    <row r="7172" spans="1:8" ht="26.25" x14ac:dyDescent="0.25">
      <c r="A7172" s="3" t="s">
        <v>21036</v>
      </c>
      <c r="B7172" s="3"/>
      <c r="C7172" s="3" t="str">
        <f>"Tuxedo rental for all events."</f>
        <v>Tuxedo rental for all events.</v>
      </c>
      <c r="D7172" s="3" t="s">
        <v>21037</v>
      </c>
      <c r="E7172" s="3" t="s">
        <v>21038</v>
      </c>
      <c r="F7172" s="3" t="str">
        <f>"3176934700"</f>
        <v>3176934700</v>
      </c>
      <c r="G7172" s="3">
        <v>448</v>
      </c>
      <c r="H7172" s="3" t="s">
        <v>2198</v>
      </c>
    </row>
    <row r="7173" spans="1:8" ht="39" x14ac:dyDescent="0.25">
      <c r="A7173" s="3" t="s">
        <v>21039</v>
      </c>
      <c r="B7173" s="3"/>
      <c r="C7173" s="3" t="str">
        <f>"Executive level of corporate gifts and awards: Top sales awards, B2B gifts, board gifts, client gifts, recognition gifts, etc."</f>
        <v>Executive level of corporate gifts and awards: Top sales awards, B2B gifts, board gifts, client gifts, recognition gifts, etc.</v>
      </c>
      <c r="D7173" s="3" t="s">
        <v>21040</v>
      </c>
      <c r="E7173" s="3" t="s">
        <v>21041</v>
      </c>
      <c r="F7173" s="3" t="str">
        <f>"317.257.4001"</f>
        <v>317.257.4001</v>
      </c>
      <c r="G7173" s="3">
        <v>454390</v>
      </c>
      <c r="H7173" s="3" t="s">
        <v>1348</v>
      </c>
    </row>
    <row r="7174" spans="1:8" ht="141" x14ac:dyDescent="0.25">
      <c r="A7174" s="3" t="s">
        <v>21042</v>
      </c>
      <c r="B7174" s="3"/>
      <c r="C7174" s="3" t="s">
        <v>21043</v>
      </c>
      <c r="D7174" s="3" t="s">
        <v>21044</v>
      </c>
      <c r="E7174" s="3" t="s">
        <v>21045</v>
      </c>
      <c r="F7174" s="3" t="str">
        <f>"317-251-9926"</f>
        <v>317-251-9926</v>
      </c>
      <c r="G7174" s="3">
        <v>54161</v>
      </c>
      <c r="H7174" s="3" t="s">
        <v>1221</v>
      </c>
    </row>
    <row r="7175" spans="1:8" ht="141" x14ac:dyDescent="0.25">
      <c r="A7175" s="3" t="s">
        <v>21046</v>
      </c>
      <c r="B7175" s="3"/>
      <c r="C7175" s="3" t="s">
        <v>21047</v>
      </c>
      <c r="D7175" s="3" t="s">
        <v>9</v>
      </c>
      <c r="E7175" s="3" t="s">
        <v>21048</v>
      </c>
      <c r="F7175" s="3" t="str">
        <f>"812-853-1988"</f>
        <v>812-853-1988</v>
      </c>
      <c r="G7175" s="3">
        <v>561710</v>
      </c>
      <c r="H7175" s="3" t="s">
        <v>946</v>
      </c>
    </row>
    <row r="7176" spans="1:8" ht="26.25" x14ac:dyDescent="0.25">
      <c r="A7176" s="3" t="s">
        <v>21049</v>
      </c>
      <c r="B7176" s="3"/>
      <c r="C7176" s="3" t="str">
        <f>"Heavy Duty Peterbilt Truck Dealer with Repair and Body Shop Services"</f>
        <v>Heavy Duty Peterbilt Truck Dealer with Repair and Body Shop Services</v>
      </c>
      <c r="D7176" s="3" t="s">
        <v>21050</v>
      </c>
      <c r="E7176" s="3" t="s">
        <v>46</v>
      </c>
      <c r="F7176" s="3" t="str">
        <f>"317-788-0299"</f>
        <v>317-788-0299</v>
      </c>
      <c r="G7176" s="3">
        <v>441110</v>
      </c>
      <c r="H7176" s="3" t="s">
        <v>2588</v>
      </c>
    </row>
    <row r="7177" spans="1:8" ht="64.5" x14ac:dyDescent="0.25">
      <c r="A7177" s="3" t="s">
        <v>21051</v>
      </c>
      <c r="B7177" s="3"/>
      <c r="C7177" s="3" t="str">
        <f>"U.S. manufacturer of quality, engineered co-extruded plastic film, bags and covers utilizing sustainable manufacturing processes and our own post consumer recycled plastic."</f>
        <v>U.S. manufacturer of quality, engineered co-extruded plastic film, bags and covers utilizing sustainable manufacturing processes and our own post consumer recycled plastic.</v>
      </c>
      <c r="D7177" s="3" t="s">
        <v>21052</v>
      </c>
      <c r="E7177" s="3" t="s">
        <v>21053</v>
      </c>
      <c r="F7177" s="3" t="str">
        <f>"231-347-2602"</f>
        <v>231-347-2602</v>
      </c>
      <c r="G7177" s="3">
        <v>326111</v>
      </c>
      <c r="H7177" s="3" t="s">
        <v>4202</v>
      </c>
    </row>
    <row r="7178" spans="1:8" ht="77.25" x14ac:dyDescent="0.25">
      <c r="A7178" s="3" t="s">
        <v>21054</v>
      </c>
      <c r="B7178" s="3"/>
      <c r="C7178" s="3" t="str">
        <f>"Legal services throughout the state of Indiana, including but not limited to, Children in Need of Services, Medicaid Estate Recovery, Family Law, Contract Law, Business Law, Minor Criminal Law, Municipal Law, Utility Law, etc."</f>
        <v>Legal services throughout the state of Indiana, including but not limited to, Children in Need of Services, Medicaid Estate Recovery, Family Law, Contract Law, Business Law, Minor Criminal Law, Municipal Law, Utility Law, etc.</v>
      </c>
      <c r="D7178" s="3" t="s">
        <v>21055</v>
      </c>
      <c r="E7178" s="3" t="s">
        <v>21056</v>
      </c>
      <c r="F7178" s="3" t="str">
        <f>"219-996-2300"</f>
        <v>219-996-2300</v>
      </c>
      <c r="G7178" s="3">
        <v>5411</v>
      </c>
      <c r="H7178" s="3" t="s">
        <v>87</v>
      </c>
    </row>
    <row r="7179" spans="1:8" ht="102.75" x14ac:dyDescent="0.25">
      <c r="A7179" s="3" t="s">
        <v>21057</v>
      </c>
      <c r="B7179" s="3"/>
      <c r="C7179" s="3" t="s">
        <v>21058</v>
      </c>
      <c r="D7179" s="3" t="s">
        <v>21059</v>
      </c>
      <c r="E7179" s="3" t="s">
        <v>21060</v>
      </c>
      <c r="F7179" s="3" t="str">
        <f>"812-232-5083"</f>
        <v>812-232-5083</v>
      </c>
      <c r="G7179" s="3">
        <v>531312</v>
      </c>
      <c r="H7179" s="3" t="s">
        <v>136</v>
      </c>
    </row>
    <row r="7180" spans="1:8" ht="90" x14ac:dyDescent="0.25">
      <c r="A7180" s="3" t="s">
        <v>21061</v>
      </c>
      <c r="B7180" s="3"/>
      <c r="C7180" s="3" t="s">
        <v>21062</v>
      </c>
      <c r="D7180" s="3" t="s">
        <v>21063</v>
      </c>
      <c r="E7180" s="3" t="s">
        <v>21064</v>
      </c>
      <c r="F7180" s="3" t="str">
        <f>"317-818-1059"</f>
        <v>317-818-1059</v>
      </c>
      <c r="G7180" s="3">
        <v>446110</v>
      </c>
      <c r="H7180" s="3" t="s">
        <v>3738</v>
      </c>
    </row>
    <row r="7181" spans="1:8" ht="39" x14ac:dyDescent="0.25">
      <c r="A7181" s="3" t="s">
        <v>21065</v>
      </c>
      <c r="B7181" s="3"/>
      <c r="C7181" s="3" t="str">
        <f>"Pharmacy management firm providing pharmacists and technicians to staff pharmacies"</f>
        <v>Pharmacy management firm providing pharmacists and technicians to staff pharmacies</v>
      </c>
      <c r="D7181" s="3" t="s">
        <v>9</v>
      </c>
      <c r="E7181" s="3" t="s">
        <v>46</v>
      </c>
      <c r="F7181" s="2"/>
      <c r="G7181" s="3">
        <v>541990</v>
      </c>
      <c r="H7181" s="3" t="s">
        <v>378</v>
      </c>
    </row>
    <row r="7182" spans="1:8" ht="26.25" x14ac:dyDescent="0.25">
      <c r="A7182" s="3" t="s">
        <v>21066</v>
      </c>
      <c r="B7182" s="3"/>
      <c r="C7182" s="3" t="str">
        <f>"Drug and Alcohol screening. Datia approved. Real time results."</f>
        <v>Drug and Alcohol screening. Datia approved. Real time results.</v>
      </c>
      <c r="D7182" s="3" t="s">
        <v>21067</v>
      </c>
      <c r="E7182" s="3" t="s">
        <v>21068</v>
      </c>
      <c r="F7182" s="3" t="str">
        <f>"517-781-4618"</f>
        <v>517-781-4618</v>
      </c>
      <c r="G7182" s="3">
        <v>81299</v>
      </c>
      <c r="H7182" s="3" t="s">
        <v>294</v>
      </c>
    </row>
    <row r="7183" spans="1:8" ht="64.5" x14ac:dyDescent="0.25">
      <c r="A7183" s="3" t="s">
        <v>21069</v>
      </c>
      <c r="B7183" s="3"/>
      <c r="C7183" s="3" t="str">
        <f>"Phebe’s Oil and Chemical Products, Inc. (P.OC.P.) is a merchant wholesale distributor of lubricating oils, greases and chemical products such as engine oil, turbine oil, hydraulic fluids and antifreeze."</f>
        <v>Phebe’s Oil and Chemical Products, Inc. (P.OC.P.) is a merchant wholesale distributor of lubricating oils, greases and chemical products such as engine oil, turbine oil, hydraulic fluids and antifreeze.</v>
      </c>
      <c r="D7183" s="3" t="s">
        <v>21070</v>
      </c>
      <c r="E7183" s="3" t="s">
        <v>21071</v>
      </c>
      <c r="F7183" s="3" t="str">
        <f>"3174713519"</f>
        <v>3174713519</v>
      </c>
      <c r="G7183" s="3">
        <v>424720</v>
      </c>
      <c r="H7183" s="3" t="s">
        <v>6992</v>
      </c>
    </row>
    <row r="7184" spans="1:8" ht="115.5" x14ac:dyDescent="0.25">
      <c r="A7184" s="3" t="s">
        <v>21072</v>
      </c>
      <c r="B7184" s="3"/>
      <c r="C7184" s="3" t="s">
        <v>21073</v>
      </c>
      <c r="D7184" s="3" t="s">
        <v>21074</v>
      </c>
      <c r="E7184" s="3" t="s">
        <v>21075</v>
      </c>
      <c r="F7184" s="3" t="str">
        <f>"317-898-0334"</f>
        <v>317-898-0334</v>
      </c>
      <c r="G7184" s="3">
        <v>541519</v>
      </c>
      <c r="H7184" s="3" t="s">
        <v>898</v>
      </c>
    </row>
    <row r="7185" spans="1:8" ht="26.25" x14ac:dyDescent="0.25">
      <c r="A7185" s="3" t="s">
        <v>21076</v>
      </c>
      <c r="B7185" s="3"/>
      <c r="C7185" s="2"/>
      <c r="D7185" s="3" t="s">
        <v>9</v>
      </c>
      <c r="E7185" s="3" t="s">
        <v>21077</v>
      </c>
      <c r="F7185" s="3" t="str">
        <f>"574 658-4166"</f>
        <v>574 658-4166</v>
      </c>
      <c r="G7185" s="3">
        <v>237990</v>
      </c>
      <c r="H7185" s="3" t="s">
        <v>2631</v>
      </c>
    </row>
    <row r="7186" spans="1:8" ht="64.5" x14ac:dyDescent="0.25">
      <c r="A7186" s="3" t="s">
        <v>21078</v>
      </c>
      <c r="B7186" s="3"/>
      <c r="C7186" s="3" t="str">
        <f>"Wholesaler and distributor of industrial supplies including fasteners, abrasives, tooling, material handling, tools, hardware, plumbing, electrical, paint, maintenance, safety, and lawn and garden supplies."</f>
        <v>Wholesaler and distributor of industrial supplies including fasteners, abrasives, tooling, material handling, tools, hardware, plumbing, electrical, paint, maintenance, safety, and lawn and garden supplies.</v>
      </c>
      <c r="D7186" s="3" t="s">
        <v>21079</v>
      </c>
      <c r="E7186" s="3" t="s">
        <v>21080</v>
      </c>
      <c r="F7186" s="3" t="str">
        <f>"765-966-7929"</f>
        <v>765-966-7929</v>
      </c>
      <c r="G7186" s="3">
        <v>423840</v>
      </c>
      <c r="H7186" s="3" t="s">
        <v>553</v>
      </c>
    </row>
    <row r="7187" spans="1:8" ht="102.75" x14ac:dyDescent="0.25">
      <c r="A7187" s="3" t="s">
        <v>21081</v>
      </c>
      <c r="B7187" s="3"/>
      <c r="C7187" s="3" t="s">
        <v>21082</v>
      </c>
      <c r="D7187" s="3" t="s">
        <v>21083</v>
      </c>
      <c r="E7187" s="3" t="s">
        <v>21084</v>
      </c>
      <c r="F7187" s="3" t="str">
        <f>"(765)659-1297"</f>
        <v>(765)659-1297</v>
      </c>
      <c r="G7187" s="3">
        <v>332213</v>
      </c>
      <c r="H7187" s="3" t="s">
        <v>21085</v>
      </c>
    </row>
    <row r="7188" spans="1:8" ht="166.5" x14ac:dyDescent="0.25">
      <c r="A7188" s="3" t="s">
        <v>21086</v>
      </c>
      <c r="B7188" s="3"/>
      <c r="C7188" s="3" t="s">
        <v>21087</v>
      </c>
      <c r="D7188" s="3" t="s">
        <v>9</v>
      </c>
      <c r="E7188" s="3" t="s">
        <v>46</v>
      </c>
      <c r="F7188" s="3" t="str">
        <f>"765-789-8200"</f>
        <v>765-789-8200</v>
      </c>
      <c r="G7188" s="3">
        <v>52399</v>
      </c>
      <c r="H7188" s="3" t="s">
        <v>21088</v>
      </c>
    </row>
    <row r="7189" spans="1:8" ht="64.5" x14ac:dyDescent="0.25">
      <c r="A7189" s="3" t="s">
        <v>21089</v>
      </c>
      <c r="B7189" s="3"/>
      <c r="C7189" s="3" t="str">
        <f>"Fence Trailer Metal Fabrication Furniture Stack Chairs Electronics, Cable Tray, Cable Runway, Ladder Rack, Relay Racks, Cable Mangement, Rack Shelving, Server Cabinets, Telecom and Datacom Equipment."</f>
        <v>Fence Trailer Metal Fabrication Furniture Stack Chairs Electronics, Cable Tray, Cable Runway, Ladder Rack, Relay Racks, Cable Mangement, Rack Shelving, Server Cabinets, Telecom and Datacom Equipment.</v>
      </c>
      <c r="D7189" s="3" t="s">
        <v>21090</v>
      </c>
      <c r="E7189" s="3" t="s">
        <v>21091</v>
      </c>
      <c r="F7189" s="3" t="str">
        <f>"765-599-9999"</f>
        <v>765-599-9999</v>
      </c>
      <c r="G7189" s="3">
        <v>31</v>
      </c>
      <c r="H7189" s="3" t="s">
        <v>999</v>
      </c>
    </row>
    <row r="7190" spans="1:8" ht="77.25" x14ac:dyDescent="0.25">
      <c r="A7190" s="3" t="s">
        <v>21092</v>
      </c>
      <c r="B7190" s="3"/>
      <c r="C7190" s="3" t="str">
        <f>"IT and Related Services, Application Development, Software Development, Enterprise Implementation, Project Management, Consulting Services, all languages. Medical Claims Processing, Electronic, Repricing, Network Access."</f>
        <v>IT and Related Services, Application Development, Software Development, Enterprise Implementation, Project Management, Consulting Services, all languages. Medical Claims Processing, Electronic, Repricing, Network Access.</v>
      </c>
      <c r="D7190" s="3" t="s">
        <v>21093</v>
      </c>
      <c r="E7190" s="3" t="s">
        <v>21094</v>
      </c>
      <c r="F7190" s="3" t="str">
        <f>"317-354-1187"</f>
        <v>317-354-1187</v>
      </c>
      <c r="G7190" s="3">
        <v>541513</v>
      </c>
      <c r="H7190" s="3" t="s">
        <v>2401</v>
      </c>
    </row>
    <row r="7191" spans="1:8" ht="26.25" x14ac:dyDescent="0.25">
      <c r="A7191" s="3" t="s">
        <v>21095</v>
      </c>
      <c r="B7191" s="3"/>
      <c r="C7191" s="3" t="str">
        <f>"Fabrication, erection, painting and raising of elevated water storage towers."</f>
        <v>Fabrication, erection, painting and raising of elevated water storage towers.</v>
      </c>
      <c r="D7191" s="3" t="s">
        <v>21096</v>
      </c>
      <c r="E7191" s="3" t="s">
        <v>21097</v>
      </c>
      <c r="F7191" s="3" t="str">
        <f>"317-271-7002"</f>
        <v>317-271-7002</v>
      </c>
      <c r="G7191" s="3">
        <v>332420</v>
      </c>
      <c r="H7191" s="3" t="s">
        <v>15611</v>
      </c>
    </row>
    <row r="7192" spans="1:8" ht="26.25" x14ac:dyDescent="0.25">
      <c r="A7192" s="3" t="s">
        <v>21098</v>
      </c>
      <c r="B7192" s="3"/>
      <c r="C7192" s="3" t="str">
        <f>"Process control instrument repair, maintenance and calibration."</f>
        <v>Process control instrument repair, maintenance and calibration.</v>
      </c>
      <c r="D7192" s="3" t="s">
        <v>9</v>
      </c>
      <c r="E7192" s="3" t="s">
        <v>21099</v>
      </c>
      <c r="F7192" s="3" t="str">
        <f>"219-628-3246"</f>
        <v>219-628-3246</v>
      </c>
      <c r="G7192" s="3">
        <v>811219</v>
      </c>
      <c r="H7192" s="3" t="s">
        <v>1427</v>
      </c>
    </row>
    <row r="7193" spans="1:8" ht="90" x14ac:dyDescent="0.25">
      <c r="A7193" s="3" t="s">
        <v>21100</v>
      </c>
      <c r="B7193" s="3"/>
      <c r="C7193" s="3" t="s">
        <v>21101</v>
      </c>
      <c r="D7193" s="3" t="s">
        <v>21102</v>
      </c>
      <c r="E7193" s="3" t="s">
        <v>21103</v>
      </c>
      <c r="F7193" s="3" t="str">
        <f>"765-296-2988"</f>
        <v>765-296-2988</v>
      </c>
      <c r="G7193" s="3">
        <v>11</v>
      </c>
      <c r="H7193" s="3" t="s">
        <v>175</v>
      </c>
    </row>
    <row r="7194" spans="1:8" ht="39" x14ac:dyDescent="0.25">
      <c r="A7194" s="3" t="s">
        <v>21104</v>
      </c>
      <c r="B7194" s="3"/>
      <c r="C7194" s="3" t="str">
        <f>"Durable Medical Equipment Company specializing in pain management modalities."</f>
        <v>Durable Medical Equipment Company specializing in pain management modalities.</v>
      </c>
      <c r="D7194" s="3" t="s">
        <v>21105</v>
      </c>
      <c r="E7194" s="3" t="s">
        <v>21106</v>
      </c>
      <c r="F7194" s="3" t="str">
        <f>"317-862-8464"</f>
        <v>317-862-8464</v>
      </c>
      <c r="G7194" s="3">
        <v>423450</v>
      </c>
      <c r="H7194" s="3" t="s">
        <v>1406</v>
      </c>
    </row>
    <row r="7195" spans="1:8" ht="39" x14ac:dyDescent="0.25">
      <c r="A7195" s="3" t="s">
        <v>21107</v>
      </c>
      <c r="B7195" s="3"/>
      <c r="C7195" s="3" t="str">
        <f>"Comprehensive fleet services including frame rack, alignment, body shop, parts, and all types of repair and manufacturing."</f>
        <v>Comprehensive fleet services including frame rack, alignment, body shop, parts, and all types of repair and manufacturing.</v>
      </c>
      <c r="D7195" s="3" t="s">
        <v>20591</v>
      </c>
      <c r="E7195" s="3" t="s">
        <v>46</v>
      </c>
      <c r="F7195" s="3" t="str">
        <f>"317-429-0924"</f>
        <v>317-429-0924</v>
      </c>
      <c r="G7195" s="3">
        <v>336</v>
      </c>
      <c r="H7195" s="3" t="s">
        <v>2720</v>
      </c>
    </row>
    <row r="7196" spans="1:8" ht="128.25" x14ac:dyDescent="0.25">
      <c r="A7196" s="3" t="s">
        <v>21108</v>
      </c>
      <c r="B7196" s="3"/>
      <c r="C7196" s="3" t="s">
        <v>21109</v>
      </c>
      <c r="D7196" s="3" t="s">
        <v>21110</v>
      </c>
      <c r="E7196" s="3" t="s">
        <v>21111</v>
      </c>
      <c r="F7196" s="3" t="str">
        <f>"317.585.6100"</f>
        <v>317.585.6100</v>
      </c>
      <c r="G7196" s="3">
        <v>541511</v>
      </c>
      <c r="H7196" s="3" t="s">
        <v>122</v>
      </c>
    </row>
    <row r="7197" spans="1:8" ht="51.75" x14ac:dyDescent="0.25">
      <c r="A7197" s="3" t="s">
        <v>21112</v>
      </c>
      <c r="B7197" s="3"/>
      <c r="C7197" s="3" t="str">
        <f>"We provide commercial photography; public relation photography; aerial photography custom printing. We are a full service photography lab."</f>
        <v>We provide commercial photography; public relation photography; aerial photography custom printing. We are a full service photography lab.</v>
      </c>
      <c r="D7197" s="3" t="s">
        <v>21113</v>
      </c>
      <c r="E7197" s="3" t="s">
        <v>21114</v>
      </c>
      <c r="F7197" s="3" t="str">
        <f>"317-637-3790"</f>
        <v>317-637-3790</v>
      </c>
      <c r="G7197" s="3">
        <v>541922</v>
      </c>
      <c r="H7197" s="3" t="s">
        <v>1545</v>
      </c>
    </row>
    <row r="7198" spans="1:8" ht="26.25" x14ac:dyDescent="0.25">
      <c r="A7198" s="3" t="s">
        <v>21115</v>
      </c>
      <c r="B7198" s="3"/>
      <c r="C7198" s="3" t="str">
        <f>" "</f>
        <v xml:space="preserve"> </v>
      </c>
      <c r="D7198" s="3" t="s">
        <v>9</v>
      </c>
      <c r="E7198" s="3" t="s">
        <v>46</v>
      </c>
      <c r="F7198" s="2"/>
      <c r="G7198" s="3">
        <v>42314</v>
      </c>
      <c r="H7198" s="3" t="s">
        <v>8882</v>
      </c>
    </row>
    <row r="7199" spans="1:8" ht="64.5" x14ac:dyDescent="0.25">
      <c r="A7199" s="3" t="s">
        <v>21116</v>
      </c>
      <c r="B7199" s="3"/>
      <c r="C7199" s="3" t="str">
        <f>"Pier Cove Software develops web applications, web services, desktop applications and database applications for medium to large enterprise businesses in the MidWest and around the world."</f>
        <v>Pier Cove Software develops web applications, web services, desktop applications and database applications for medium to large enterprise businesses in the MidWest and around the world.</v>
      </c>
      <c r="D7199" s="3" t="s">
        <v>21117</v>
      </c>
      <c r="E7199" s="3" t="s">
        <v>21118</v>
      </c>
      <c r="F7199" s="3" t="str">
        <f>"(317) 774-0800"</f>
        <v>(317) 774-0800</v>
      </c>
      <c r="G7199" s="3">
        <v>5112</v>
      </c>
      <c r="H7199" s="3" t="s">
        <v>315</v>
      </c>
    </row>
    <row r="7200" spans="1:8" ht="26.25" x14ac:dyDescent="0.25">
      <c r="A7200" s="3" t="s">
        <v>21119</v>
      </c>
      <c r="B7200" s="3"/>
      <c r="C7200" s="3" t="str">
        <f>" "</f>
        <v xml:space="preserve"> </v>
      </c>
      <c r="D7200" s="3" t="s">
        <v>9</v>
      </c>
      <c r="E7200" s="3" t="s">
        <v>46</v>
      </c>
      <c r="F7200" s="2"/>
      <c r="G7200" s="3">
        <v>423510</v>
      </c>
      <c r="H7200" s="3" t="s">
        <v>10869</v>
      </c>
    </row>
    <row r="7201" spans="1:8" ht="141" x14ac:dyDescent="0.25">
      <c r="A7201" s="3" t="s">
        <v>21120</v>
      </c>
      <c r="B7201" s="3"/>
      <c r="C7201" s="3" t="s">
        <v>21121</v>
      </c>
      <c r="D7201" s="3" t="s">
        <v>21122</v>
      </c>
      <c r="E7201" s="3" t="s">
        <v>21123</v>
      </c>
      <c r="F7201" s="3" t="str">
        <f>"317-829-0550"</f>
        <v>317-829-0550</v>
      </c>
      <c r="G7201" s="3">
        <v>424210</v>
      </c>
      <c r="H7201" s="3" t="s">
        <v>7535</v>
      </c>
    </row>
    <row r="7202" spans="1:8" ht="90" x14ac:dyDescent="0.25">
      <c r="A7202" s="3" t="s">
        <v>21124</v>
      </c>
      <c r="B7202" s="3"/>
      <c r="C7202" s="3" t="s">
        <v>21125</v>
      </c>
      <c r="D7202" s="3" t="s">
        <v>21126</v>
      </c>
      <c r="E7202" s="3" t="s">
        <v>21127</v>
      </c>
      <c r="F7202" s="3" t="str">
        <f>"317-923-8786"</f>
        <v>317-923-8786</v>
      </c>
      <c r="G7202" s="3">
        <v>492110</v>
      </c>
      <c r="H7202" s="3" t="s">
        <v>11632</v>
      </c>
    </row>
    <row r="7203" spans="1:8" ht="306.75" x14ac:dyDescent="0.25">
      <c r="A7203" s="3" t="s">
        <v>21128</v>
      </c>
      <c r="B7203" s="3"/>
      <c r="C7203" s="3" t="s">
        <v>21129</v>
      </c>
      <c r="D7203" s="3" t="s">
        <v>21130</v>
      </c>
      <c r="E7203" s="3" t="s">
        <v>21131</v>
      </c>
      <c r="F7203" s="3" t="str">
        <f>"317-726-5600"</f>
        <v>317-726-5600</v>
      </c>
      <c r="G7203" s="3">
        <v>551112</v>
      </c>
      <c r="H7203" s="3" t="s">
        <v>1243</v>
      </c>
    </row>
    <row r="7204" spans="1:8" ht="26.25" x14ac:dyDescent="0.25">
      <c r="A7204" s="3" t="s">
        <v>21132</v>
      </c>
      <c r="B7204" s="3"/>
      <c r="C7204" s="3" t="str">
        <f>"Provide landscape material and services. Build and sell log cabins."</f>
        <v>Provide landscape material and services. Build and sell log cabins.</v>
      </c>
      <c r="D7204" s="3" t="s">
        <v>21133</v>
      </c>
      <c r="E7204" s="3" t="s">
        <v>21134</v>
      </c>
      <c r="F7204" s="3" t="str">
        <f>"765-644-1996"</f>
        <v>765-644-1996</v>
      </c>
      <c r="G7204" s="3">
        <v>56173</v>
      </c>
      <c r="H7204" s="3" t="s">
        <v>65</v>
      </c>
    </row>
    <row r="7205" spans="1:8" ht="26.25" x14ac:dyDescent="0.25">
      <c r="A7205" s="3" t="s">
        <v>21135</v>
      </c>
      <c r="B7205" s="3"/>
      <c r="C7205" s="3" t="str">
        <f>"Investments and promoting of consumer products...."</f>
        <v>Investments and promoting of consumer products....</v>
      </c>
      <c r="D7205" s="3" t="s">
        <v>9</v>
      </c>
      <c r="E7205" s="3" t="s">
        <v>46</v>
      </c>
      <c r="F7205" s="2"/>
      <c r="G7205" s="3">
        <v>42</v>
      </c>
      <c r="H7205" s="3" t="s">
        <v>674</v>
      </c>
    </row>
    <row r="7206" spans="1:8" ht="77.25" x14ac:dyDescent="0.25">
      <c r="A7206" s="3" t="s">
        <v>21136</v>
      </c>
      <c r="B7206" s="3"/>
      <c r="C7206" s="3" t="str">
        <f>"Munster Indiana law firm concentrating in business and income tax planning, estate planning and healthcare law. Our firm is listed in the ""Business Law: Top Firms"" article in the Northwest Indiana Business Quarterly (Supplement to July 2004 issue)."</f>
        <v>Munster Indiana law firm concentrating in business and income tax planning, estate planning and healthcare law. Our firm is listed in the "Business Law: Top Firms" article in the Northwest Indiana Business Quarterly (Supplement to July 2004 issue).</v>
      </c>
      <c r="D7206" s="3" t="s">
        <v>11220</v>
      </c>
      <c r="E7206" s="3" t="s">
        <v>21137</v>
      </c>
      <c r="F7206" s="3" t="str">
        <f>"219-836-3050"</f>
        <v>219-836-3050</v>
      </c>
      <c r="G7206" s="3">
        <v>541110</v>
      </c>
      <c r="H7206" s="3" t="s">
        <v>2978</v>
      </c>
    </row>
    <row r="7207" spans="1:8" ht="51.75" x14ac:dyDescent="0.25">
      <c r="A7207" s="3" t="s">
        <v>21138</v>
      </c>
      <c r="B7207" s="3"/>
      <c r="C7207" s="3" t="str">
        <f>"We provide Corporate Private Investigation, Executive Protection, Backgrounds, TCSM, Surveillance, Workplace Violence Prevvention etc."</f>
        <v>We provide Corporate Private Investigation, Executive Protection, Backgrounds, TCSM, Surveillance, Workplace Violence Prevvention etc.</v>
      </c>
      <c r="D7207" s="3" t="s">
        <v>21139</v>
      </c>
      <c r="E7207" s="3" t="s">
        <v>21140</v>
      </c>
      <c r="F7207" s="3" t="str">
        <f>"888-552-9449"</f>
        <v>888-552-9449</v>
      </c>
      <c r="G7207" s="3">
        <v>561611</v>
      </c>
      <c r="H7207" s="3" t="s">
        <v>581</v>
      </c>
    </row>
    <row r="7208" spans="1:8" ht="26.25" x14ac:dyDescent="0.25">
      <c r="A7208" s="3" t="s">
        <v>21141</v>
      </c>
      <c r="B7208" s="3"/>
      <c r="C7208" s="3" t="str">
        <f>"Property and Casualty Actuarial Consulting"</f>
        <v>Property and Casualty Actuarial Consulting</v>
      </c>
      <c r="D7208" s="3" t="s">
        <v>21142</v>
      </c>
      <c r="E7208" s="3" t="s">
        <v>46</v>
      </c>
      <c r="F7208" s="3" t="str">
        <f>"309-665-5010"</f>
        <v>309-665-5010</v>
      </c>
      <c r="G7208" s="3">
        <v>541990</v>
      </c>
      <c r="H7208" s="3" t="s">
        <v>378</v>
      </c>
    </row>
    <row r="7209" spans="1:8" ht="217.5" x14ac:dyDescent="0.25">
      <c r="A7209" s="3" t="s">
        <v>21143</v>
      </c>
      <c r="B7209" s="3"/>
      <c r="C7209" s="3" t="s">
        <v>21144</v>
      </c>
      <c r="D7209" s="3" t="s">
        <v>21145</v>
      </c>
      <c r="E7209" s="3" t="s">
        <v>21146</v>
      </c>
      <c r="F7209" s="3" t="str">
        <f>"812-476-6662"</f>
        <v>812-476-6662</v>
      </c>
      <c r="G7209" s="3">
        <v>54151</v>
      </c>
      <c r="H7209" s="3" t="s">
        <v>188</v>
      </c>
    </row>
    <row r="7210" spans="1:8" ht="77.25" x14ac:dyDescent="0.25">
      <c r="A7210" s="3" t="s">
        <v>21147</v>
      </c>
      <c r="B7210" s="3"/>
      <c r="C7210" s="3" t="str">
        <f>"minority and woman owned commercial and residential construction and rehab company; also, we are licensed real estate brokers and property managers offering real estate services; we also install and sell commercial office furniture"</f>
        <v>minority and woman owned commercial and residential construction and rehab company; also, we are licensed real estate brokers and property managers offering real estate services; we also install and sell commercial office furniture</v>
      </c>
      <c r="D7210" s="3" t="s">
        <v>9</v>
      </c>
      <c r="E7210" s="3" t="s">
        <v>21148</v>
      </c>
      <c r="F7210" s="3" t="str">
        <f>"317-414-3634"</f>
        <v>317-414-3634</v>
      </c>
      <c r="G7210" s="3">
        <v>23</v>
      </c>
      <c r="H7210" s="3" t="s">
        <v>133</v>
      </c>
    </row>
    <row r="7211" spans="1:8" ht="268.5" x14ac:dyDescent="0.25">
      <c r="A7211" s="3" t="s">
        <v>21149</v>
      </c>
      <c r="B7211" s="3"/>
      <c r="C7211" s="3" t="s">
        <v>21150</v>
      </c>
      <c r="D7211" s="3" t="s">
        <v>21151</v>
      </c>
      <c r="E7211" s="3" t="s">
        <v>21152</v>
      </c>
      <c r="F7211" s="3" t="str">
        <f>"317-585-2011"</f>
        <v>317-585-2011</v>
      </c>
      <c r="G7211" s="3">
        <v>541370</v>
      </c>
      <c r="H7211" s="3" t="s">
        <v>160</v>
      </c>
    </row>
    <row r="7212" spans="1:8" ht="64.5" x14ac:dyDescent="0.25">
      <c r="A7212" s="3" t="s">
        <v>21153</v>
      </c>
      <c r="B7212" s="3"/>
      <c r="C7212" s="3" t="str">
        <f>"Commercial and Residential painting contractors who specialize in custom repaints and new-construction. We offer drywall repair, faux/decorative finishes and various types of paint application."</f>
        <v>Commercial and Residential painting contractors who specialize in custom repaints and new-construction. We offer drywall repair, faux/decorative finishes and various types of paint application.</v>
      </c>
      <c r="D7212" s="3" t="s">
        <v>9</v>
      </c>
      <c r="E7212" s="3" t="s">
        <v>21154</v>
      </c>
      <c r="F7212" s="3" t="str">
        <f>"(317)654-0461"</f>
        <v>(317)654-0461</v>
      </c>
      <c r="G7212" s="3">
        <v>238320</v>
      </c>
      <c r="H7212" s="3" t="s">
        <v>462</v>
      </c>
    </row>
    <row r="7213" spans="1:8" ht="77.25" x14ac:dyDescent="0.25">
      <c r="A7213" s="3" t="s">
        <v>21155</v>
      </c>
      <c r="B7213" s="3"/>
      <c r="C7213" s="3" t="str">
        <f>"Pinnacle Partners is a leader in the staffing of Information Technology, Accounting, Finance, and Administrative professionals. We offer staffing services including direct hire, contract to hire, and contract placements throughout Central Indiana."</f>
        <v>Pinnacle Partners is a leader in the staffing of Information Technology, Accounting, Finance, and Administrative professionals. We offer staffing services including direct hire, contract to hire, and contract placements throughout Central Indiana.</v>
      </c>
      <c r="D7213" s="3" t="s">
        <v>21156</v>
      </c>
      <c r="E7213" s="3" t="s">
        <v>46</v>
      </c>
      <c r="F7213" s="3" t="str">
        <f>"(317) 805-1900"</f>
        <v>(317) 805-1900</v>
      </c>
      <c r="G7213" s="3">
        <v>541990</v>
      </c>
      <c r="H7213" s="3" t="s">
        <v>378</v>
      </c>
    </row>
    <row r="7214" spans="1:8" ht="294" x14ac:dyDescent="0.25">
      <c r="A7214" s="3" t="s">
        <v>21157</v>
      </c>
      <c r="B7214" s="3"/>
      <c r="C7214" s="3" t="s">
        <v>21158</v>
      </c>
      <c r="D7214" s="3" t="s">
        <v>21159</v>
      </c>
      <c r="E7214" s="3" t="s">
        <v>21160</v>
      </c>
      <c r="F7214" s="3" t="str">
        <f>"317.598.0579"</f>
        <v>317.598.0579</v>
      </c>
      <c r="G7214" s="3">
        <v>81392</v>
      </c>
      <c r="H7214" s="3" t="s">
        <v>8755</v>
      </c>
    </row>
    <row r="7215" spans="1:8" ht="51.75" x14ac:dyDescent="0.25">
      <c r="A7215" s="3" t="s">
        <v>21161</v>
      </c>
      <c r="B7215" s="3"/>
      <c r="C7215" s="3" t="str">
        <f>"We provide cultural resource management services as well historical and primary document research. Grant writing assistance is also available."</f>
        <v>We provide cultural resource management services as well historical and primary document research. Grant writing assistance is also available.</v>
      </c>
      <c r="D7215" s="3" t="s">
        <v>9</v>
      </c>
      <c r="E7215" s="3" t="s">
        <v>21162</v>
      </c>
      <c r="F7215" s="3" t="str">
        <f>"765-284-0459"</f>
        <v>765-284-0459</v>
      </c>
      <c r="G7215" s="3">
        <v>541370</v>
      </c>
      <c r="H7215" s="3" t="s">
        <v>160</v>
      </c>
    </row>
    <row r="7216" spans="1:8" ht="26.25" x14ac:dyDescent="0.25">
      <c r="A7216" s="3" t="s">
        <v>21163</v>
      </c>
      <c r="B7216" s="3"/>
      <c r="C7216" s="2"/>
      <c r="D7216" s="3" t="s">
        <v>21164</v>
      </c>
      <c r="E7216" s="3" t="s">
        <v>21165</v>
      </c>
      <c r="F7216" s="3" t="str">
        <f>"(219) 937-2922"</f>
        <v>(219) 937-2922</v>
      </c>
      <c r="G7216" s="3">
        <v>234</v>
      </c>
      <c r="H7216" s="3" t="s">
        <v>1414</v>
      </c>
    </row>
    <row r="7217" spans="1:8" ht="319.5" x14ac:dyDescent="0.25">
      <c r="A7217" s="3" t="s">
        <v>21166</v>
      </c>
      <c r="B7217" s="3"/>
      <c r="C7217" s="3" t="s">
        <v>21167</v>
      </c>
      <c r="D7217" s="3" t="s">
        <v>21168</v>
      </c>
      <c r="E7217" s="3" t="s">
        <v>21169</v>
      </c>
      <c r="F7217" s="3" t="str">
        <f>"800-727-3073"</f>
        <v>800-727-3073</v>
      </c>
      <c r="G7217" s="3">
        <v>4226</v>
      </c>
      <c r="H7217" s="3" t="s">
        <v>6736</v>
      </c>
    </row>
    <row r="7218" spans="1:8" ht="51.75" x14ac:dyDescent="0.25">
      <c r="A7218" s="3" t="s">
        <v>21170</v>
      </c>
      <c r="B7218" s="3"/>
      <c r="C7218" s="3" t="str">
        <f>"Sonar Profiling CCTV Inspection Laser Profiling Lateral Inspection PACP Certification Manhole Inspection Sewer Cleaning"</f>
        <v>Sonar Profiling CCTV Inspection Laser Profiling Lateral Inspection PACP Certification Manhole Inspection Sewer Cleaning</v>
      </c>
      <c r="D7218" s="3" t="s">
        <v>21171</v>
      </c>
      <c r="E7218" s="3" t="s">
        <v>21172</v>
      </c>
      <c r="F7218" s="3" t="str">
        <f>"219-324-8257"</f>
        <v>219-324-8257</v>
      </c>
      <c r="G7218" s="3">
        <v>562998</v>
      </c>
      <c r="H7218" s="3" t="s">
        <v>1530</v>
      </c>
    </row>
    <row r="7219" spans="1:8" ht="51.75" x14ac:dyDescent="0.25">
      <c r="A7219" s="3" t="s">
        <v>21173</v>
      </c>
      <c r="B7219" s="3"/>
      <c r="C7219" s="3" t="str">
        <f>"DOCUMENT DESTRUCTION. ON AND OFF SITE SERVING ALL OF SOUTHERN INDIANA, SOUTHERN ILLINOIS, AND WESTERN KENTUCKY."</f>
        <v>DOCUMENT DESTRUCTION. ON AND OFF SITE SERVING ALL OF SOUTHERN INDIANA, SOUTHERN ILLINOIS, AND WESTERN KENTUCKY.</v>
      </c>
      <c r="D7219" s="3" t="s">
        <v>21174</v>
      </c>
      <c r="E7219" s="3" t="s">
        <v>21175</v>
      </c>
      <c r="F7219" s="3" t="str">
        <f>"812-424-5566"</f>
        <v>812-424-5566</v>
      </c>
      <c r="G7219" s="3">
        <v>561990</v>
      </c>
      <c r="H7219" s="3" t="s">
        <v>219</v>
      </c>
    </row>
    <row r="7220" spans="1:8" x14ac:dyDescent="0.25">
      <c r="A7220" s="3" t="s">
        <v>21176</v>
      </c>
      <c r="B7220" s="3"/>
      <c r="C7220" s="2"/>
      <c r="D7220" s="3" t="s">
        <v>9</v>
      </c>
      <c r="E7220" s="3" t="s">
        <v>46</v>
      </c>
      <c r="F7220" s="2"/>
      <c r="G7220" s="3">
        <v>333313</v>
      </c>
      <c r="H7220" s="3" t="s">
        <v>19989</v>
      </c>
    </row>
    <row r="7221" spans="1:8" ht="26.25" x14ac:dyDescent="0.25">
      <c r="A7221" s="3" t="s">
        <v>21177</v>
      </c>
      <c r="B7221" s="3"/>
      <c r="C7221" s="3" t="str">
        <f>"tbd"</f>
        <v>tbd</v>
      </c>
      <c r="D7221" s="3" t="s">
        <v>21178</v>
      </c>
      <c r="E7221" s="3" t="s">
        <v>21179</v>
      </c>
      <c r="F7221" s="3" t="str">
        <f>"248-320-6666"</f>
        <v>248-320-6666</v>
      </c>
      <c r="G7221" s="3">
        <v>511210</v>
      </c>
      <c r="H7221" s="3" t="s">
        <v>315</v>
      </c>
    </row>
    <row r="7222" spans="1:8" ht="204.75" x14ac:dyDescent="0.25">
      <c r="A7222" s="3" t="s">
        <v>21180</v>
      </c>
      <c r="B7222" s="3"/>
      <c r="C7222" s="3" t="s">
        <v>21181</v>
      </c>
      <c r="D7222" s="3" t="s">
        <v>21182</v>
      </c>
      <c r="E7222" s="3" t="s">
        <v>21183</v>
      </c>
      <c r="F7222" s="3" t="str">
        <f>"(317) 455-8262"</f>
        <v>(317) 455-8262</v>
      </c>
      <c r="G7222" s="3">
        <v>541613</v>
      </c>
      <c r="H7222" s="3" t="s">
        <v>558</v>
      </c>
    </row>
    <row r="7223" spans="1:8" ht="153.75" x14ac:dyDescent="0.25">
      <c r="A7223" s="3" t="s">
        <v>21184</v>
      </c>
      <c r="B7223" s="3"/>
      <c r="C7223" s="3" t="s">
        <v>21185</v>
      </c>
      <c r="D7223" s="3" t="s">
        <v>21186</v>
      </c>
      <c r="E7223" s="3" t="s">
        <v>21187</v>
      </c>
      <c r="F7223" s="3" t="str">
        <f>"317-895-1444"</f>
        <v>317-895-1444</v>
      </c>
      <c r="G7223" s="3">
        <v>484210</v>
      </c>
      <c r="H7223" s="3" t="s">
        <v>8993</v>
      </c>
    </row>
    <row r="7224" spans="1:8" ht="77.25" x14ac:dyDescent="0.25">
      <c r="A7224" s="3" t="s">
        <v>21188</v>
      </c>
      <c r="B7224" s="3"/>
      <c r="C7224" s="3" t="str">
        <f>"Perri Auto Group is a retailer and fleet/commercial seller of new and used motor vehicles, including various types of conventional and all-electric cars and trucks, parts and accessories, and complete automotive service."</f>
        <v>Perri Auto Group is a retailer and fleet/commercial seller of new and used motor vehicles, including various types of conventional and all-electric cars and trucks, parts and accessories, and complete automotive service.</v>
      </c>
      <c r="D7224" s="3" t="s">
        <v>21189</v>
      </c>
      <c r="E7224" s="3" t="s">
        <v>21190</v>
      </c>
      <c r="F7224" s="3" t="str">
        <f>"574-243-5800"</f>
        <v>574-243-5800</v>
      </c>
      <c r="G7224" s="3">
        <v>441110</v>
      </c>
      <c r="H7224" s="3" t="s">
        <v>2588</v>
      </c>
    </row>
    <row r="7225" spans="1:8" ht="51.75" x14ac:dyDescent="0.25">
      <c r="A7225" s="3" t="s">
        <v>21191</v>
      </c>
      <c r="B7225" s="3"/>
      <c r="C7225" s="3" t="str">
        <f>"Provides Landscape Architectural services to Civil Engineering, Architectural, and General Contractors. Design emphasis is on sustainable design."</f>
        <v>Provides Landscape Architectural services to Civil Engineering, Architectural, and General Contractors. Design emphasis is on sustainable design.</v>
      </c>
      <c r="D7225" s="3" t="s">
        <v>21192</v>
      </c>
      <c r="E7225" s="3" t="s">
        <v>21193</v>
      </c>
      <c r="F7225" s="3" t="str">
        <f>"219-926-5689"</f>
        <v>219-926-5689</v>
      </c>
      <c r="G7225" s="3">
        <v>541320</v>
      </c>
      <c r="H7225" s="3" t="s">
        <v>2241</v>
      </c>
    </row>
    <row r="7226" spans="1:8" ht="77.25" x14ac:dyDescent="0.25">
      <c r="A7226" s="3" t="s">
        <v>21194</v>
      </c>
      <c r="B7226" s="3"/>
      <c r="C7226" s="3" t="str">
        <f>"We are a custom injection molder of engineering thermoplastics. We also build and repair plastic injection molds. We do light assembly work including ultrasonic welding of plastics. We are ISO 9001:2000 registered."</f>
        <v>We are a custom injection molder of engineering thermoplastics. We also build and repair plastic injection molds. We do light assembly work including ultrasonic welding of plastics. We are ISO 9001:2000 registered.</v>
      </c>
      <c r="D7226" s="3" t="s">
        <v>9</v>
      </c>
      <c r="E7226" s="3" t="s">
        <v>21195</v>
      </c>
      <c r="F7226" s="3" t="str">
        <f>"260-761-3006"</f>
        <v>260-761-3006</v>
      </c>
      <c r="G7226" s="3">
        <v>326199</v>
      </c>
      <c r="H7226" s="3" t="s">
        <v>2129</v>
      </c>
    </row>
    <row r="7227" spans="1:8" ht="77.25" x14ac:dyDescent="0.25">
      <c r="A7227" s="3" t="s">
        <v>21196</v>
      </c>
      <c r="B7227" s="3"/>
      <c r="C7227" s="3" t="str">
        <f>"Platinum Grants &amp; Proposals, LLC provides consulting services to a broad array of businesses seeking grants from various entities including government agencies and departments, as well as private foundations."</f>
        <v>Platinum Grants &amp; Proposals, LLC provides consulting services to a broad array of businesses seeking grants from various entities including government agencies and departments, as well as private foundations.</v>
      </c>
      <c r="D7227" s="3" t="s">
        <v>21197</v>
      </c>
      <c r="E7227" s="3" t="s">
        <v>21198</v>
      </c>
      <c r="F7227" s="3" t="str">
        <f>"502-645-0990"</f>
        <v>502-645-0990</v>
      </c>
      <c r="G7227" s="3">
        <v>561410</v>
      </c>
      <c r="H7227" s="3" t="s">
        <v>4164</v>
      </c>
    </row>
    <row r="7228" spans="1:8" ht="39" x14ac:dyDescent="0.25">
      <c r="A7228" s="3" t="s">
        <v>21199</v>
      </c>
      <c r="B7228" s="3"/>
      <c r="C7228" s="3" t="str">
        <f>"Platolene 500 Inc, 500 Express Stores: Convenience stores located in Vigo, Sullivan and Posey counties."</f>
        <v>Platolene 500 Inc, 500 Express Stores: Convenience stores located in Vigo, Sullivan and Posey counties.</v>
      </c>
      <c r="D7228" s="3" t="s">
        <v>21200</v>
      </c>
      <c r="E7228" s="3" t="s">
        <v>46</v>
      </c>
      <c r="F7228" s="3" t="str">
        <f>"812-877-1556"</f>
        <v>812-877-1556</v>
      </c>
      <c r="G7228" s="3">
        <v>445120</v>
      </c>
      <c r="H7228" s="3" t="s">
        <v>5631</v>
      </c>
    </row>
    <row r="7229" spans="1:8" ht="306.75" x14ac:dyDescent="0.25">
      <c r="A7229" s="3" t="s">
        <v>21201</v>
      </c>
      <c r="B7229" s="3"/>
      <c r="C7229" s="3" t="s">
        <v>21202</v>
      </c>
      <c r="D7229" s="3" t="s">
        <v>21203</v>
      </c>
      <c r="E7229" s="3" t="s">
        <v>21204</v>
      </c>
      <c r="F7229" s="3" t="str">
        <f>"317-841-4282"</f>
        <v>317-841-4282</v>
      </c>
      <c r="G7229" s="3">
        <v>541370</v>
      </c>
      <c r="H7229" s="3" t="s">
        <v>160</v>
      </c>
    </row>
    <row r="7230" spans="1:8" ht="141" x14ac:dyDescent="0.25">
      <c r="A7230" s="3" t="s">
        <v>21205</v>
      </c>
      <c r="B7230" s="3"/>
      <c r="C7230" s="3" t="s">
        <v>21206</v>
      </c>
      <c r="D7230" s="3" t="s">
        <v>21207</v>
      </c>
      <c r="E7230" s="3" t="s">
        <v>21208</v>
      </c>
      <c r="F7230" s="3" t="str">
        <f>"317-549-2300"</f>
        <v>317-549-2300</v>
      </c>
      <c r="G7230" s="3">
        <v>2351</v>
      </c>
      <c r="H7230" s="3" t="s">
        <v>892</v>
      </c>
    </row>
    <row r="7231" spans="1:8" ht="64.5" x14ac:dyDescent="0.25">
      <c r="A7231" s="3" t="s">
        <v>21209</v>
      </c>
      <c r="B7231" s="3"/>
      <c r="C7231" s="3" t="str">
        <f>"We sell &amp; service agricultural irrigation systems. Also we've sold and service water irrigation systems for distributing water from community wastewater lagoons &amp; large livestock wastewater lagoons."</f>
        <v>We sell &amp; service agricultural irrigation systems. Also we've sold and service water irrigation systems for distributing water from community wastewater lagoons &amp; large livestock wastewater lagoons.</v>
      </c>
      <c r="D7231" s="3" t="s">
        <v>9</v>
      </c>
      <c r="E7231" s="3" t="s">
        <v>21210</v>
      </c>
      <c r="F7231" s="3" t="str">
        <f>"574-784-8560"</f>
        <v>574-784-8560</v>
      </c>
      <c r="G7231" s="3">
        <v>423820</v>
      </c>
      <c r="H7231" s="3" t="s">
        <v>2902</v>
      </c>
    </row>
    <row r="7232" spans="1:8" ht="26.25" x14ac:dyDescent="0.25">
      <c r="A7232" s="3" t="s">
        <v>21211</v>
      </c>
      <c r="B7232" s="3"/>
      <c r="C7232" s="3" t="str">
        <f>"We specialize in mass excavation and underground utilities."</f>
        <v>We specialize in mass excavation and underground utilities.</v>
      </c>
      <c r="D7232" s="3" t="s">
        <v>21212</v>
      </c>
      <c r="E7232" s="3" t="s">
        <v>21213</v>
      </c>
      <c r="F7232" s="3" t="str">
        <f>"3178236837"</f>
        <v>3178236837</v>
      </c>
      <c r="G7232" s="3">
        <v>23593</v>
      </c>
      <c r="H7232" s="3" t="s">
        <v>71</v>
      </c>
    </row>
    <row r="7233" spans="1:8" ht="102.75" x14ac:dyDescent="0.25">
      <c r="A7233" s="3" t="s">
        <v>21214</v>
      </c>
      <c r="B7233" s="3"/>
      <c r="C7233" s="3" t="s">
        <v>21215</v>
      </c>
      <c r="D7233" s="3" t="s">
        <v>9</v>
      </c>
      <c r="E7233" s="3" t="s">
        <v>21216</v>
      </c>
      <c r="F7233" s="3" t="str">
        <f>"812-838-3292"</f>
        <v>812-838-3292</v>
      </c>
      <c r="G7233" s="3">
        <v>922160</v>
      </c>
      <c r="H7233" s="3" t="s">
        <v>2246</v>
      </c>
    </row>
    <row r="7234" spans="1:8" ht="26.25" x14ac:dyDescent="0.25">
      <c r="A7234" s="3" t="s">
        <v>21217</v>
      </c>
      <c r="B7234" s="3"/>
      <c r="C7234" s="3" t="str">
        <f>"Real Estate Property Management, Retail, Office and Industrial space for lease."</f>
        <v>Real Estate Property Management, Retail, Office and Industrial space for lease.</v>
      </c>
      <c r="D7234" s="3" t="s">
        <v>9</v>
      </c>
      <c r="E7234" s="3" t="s">
        <v>21218</v>
      </c>
      <c r="F7234" s="3" t="str">
        <f>"8129235811"</f>
        <v>8129235811</v>
      </c>
      <c r="G7234" s="3">
        <v>531120</v>
      </c>
      <c r="H7234" s="3" t="s">
        <v>2926</v>
      </c>
    </row>
    <row r="7235" spans="1:8" ht="26.25" x14ac:dyDescent="0.25">
      <c r="A7235" s="3" t="s">
        <v>21219</v>
      </c>
      <c r="B7235" s="3"/>
      <c r="C7235" s="3" t="str">
        <f>" "</f>
        <v xml:space="preserve"> </v>
      </c>
      <c r="D7235" s="3" t="s">
        <v>21220</v>
      </c>
      <c r="E7235" s="3" t="s">
        <v>21221</v>
      </c>
      <c r="F7235" s="3" t="str">
        <f>"855/537-9423"</f>
        <v>855/537-9423</v>
      </c>
      <c r="G7235" s="3">
        <v>238990</v>
      </c>
      <c r="H7235" s="3" t="s">
        <v>481</v>
      </c>
    </row>
    <row r="7236" spans="1:8" ht="39" x14ac:dyDescent="0.25">
      <c r="A7236" s="3" t="s">
        <v>21222</v>
      </c>
      <c r="B7236" s="3"/>
      <c r="C7236" s="3" t="str">
        <f>" "</f>
        <v xml:space="preserve"> </v>
      </c>
      <c r="D7236" s="3" t="s">
        <v>21223</v>
      </c>
      <c r="E7236" s="3" t="s">
        <v>21224</v>
      </c>
      <c r="F7236" s="3" t="str">
        <f>"260-428-2500"</f>
        <v>260-428-2500</v>
      </c>
      <c r="G7236" s="3">
        <v>532490</v>
      </c>
      <c r="H7236" s="3" t="s">
        <v>1673</v>
      </c>
    </row>
    <row r="7237" spans="1:8" ht="26.25" x14ac:dyDescent="0.25">
      <c r="A7237" s="3" t="s">
        <v>21225</v>
      </c>
      <c r="B7237" s="3"/>
      <c r="C7237" s="3" t="str">
        <f>"Health policy consulting and organizational development services."</f>
        <v>Health policy consulting and organizational development services.</v>
      </c>
      <c r="D7237" s="3" t="s">
        <v>21226</v>
      </c>
      <c r="E7237" s="3" t="s">
        <v>21227</v>
      </c>
      <c r="F7237" s="3" t="str">
        <f>"3176917515"</f>
        <v>3176917515</v>
      </c>
      <c r="G7237" s="3">
        <v>923120</v>
      </c>
      <c r="H7237" s="3" t="s">
        <v>611</v>
      </c>
    </row>
    <row r="7238" spans="1:8" ht="102.75" x14ac:dyDescent="0.25">
      <c r="A7238" s="3" t="s">
        <v>21228</v>
      </c>
      <c r="B7238" s="3"/>
      <c r="C7238" s="3" t="s">
        <v>21229</v>
      </c>
      <c r="D7238" s="3" t="s">
        <v>21230</v>
      </c>
      <c r="E7238" s="3" t="s">
        <v>21231</v>
      </c>
      <c r="F7238" s="3" t="str">
        <f>"317-660-4880"</f>
        <v>317-660-4880</v>
      </c>
      <c r="G7238" s="3">
        <v>541110</v>
      </c>
      <c r="H7238" s="3" t="s">
        <v>2978</v>
      </c>
    </row>
    <row r="7239" spans="1:8" ht="294" x14ac:dyDescent="0.25">
      <c r="A7239" s="3" t="s">
        <v>21232</v>
      </c>
      <c r="B7239" s="3"/>
      <c r="C7239" s="3" t="s">
        <v>21233</v>
      </c>
      <c r="D7239" s="3" t="s">
        <v>21234</v>
      </c>
      <c r="E7239" s="3" t="s">
        <v>21235</v>
      </c>
      <c r="F7239" s="3" t="str">
        <f>"219-397-3951"</f>
        <v>219-397-3951</v>
      </c>
      <c r="G7239" s="3">
        <v>562211</v>
      </c>
      <c r="H7239" s="3" t="s">
        <v>807</v>
      </c>
    </row>
    <row r="7240" spans="1:8" ht="90" x14ac:dyDescent="0.25">
      <c r="A7240" s="3" t="s">
        <v>21236</v>
      </c>
      <c r="B7240" s="3"/>
      <c r="C7240" s="3" t="str">
        <f>"New construction and remodeling from foundation to roof. this would include concrete work, electrical, plumbing, drywall, trim decking, windows &amp; door installation. Roofing, kitchen &amp; bath new and/or remodeling of all catagories listed above."</f>
        <v>New construction and remodeling from foundation to roof. this would include concrete work, electrical, plumbing, drywall, trim decking, windows &amp; door installation. Roofing, kitchen &amp; bath new and/or remodeling of all catagories listed above.</v>
      </c>
      <c r="D7240" s="3" t="s">
        <v>9</v>
      </c>
      <c r="E7240" s="3" t="s">
        <v>21237</v>
      </c>
      <c r="F7240" s="3" t="str">
        <f>"7654655781"</f>
        <v>7654655781</v>
      </c>
      <c r="G7240" s="3">
        <v>236117</v>
      </c>
      <c r="H7240" s="3" t="s">
        <v>14888</v>
      </c>
    </row>
    <row r="7241" spans="1:8" ht="77.25" x14ac:dyDescent="0.25">
      <c r="A7241" s="3" t="s">
        <v>21238</v>
      </c>
      <c r="B7241" s="3"/>
      <c r="C7241" s="3" t="str">
        <f>"We are a family owned world wide manufacturer and distributor of polyethylene products including portable rest rooms, hand wash stations, storage tanks, road barriers and other plastic products."</f>
        <v>We are a family owned world wide manufacturer and distributor of polyethylene products including portable rest rooms, hand wash stations, storage tanks, road barriers and other plastic products.</v>
      </c>
      <c r="D7241" s="3" t="s">
        <v>21239</v>
      </c>
      <c r="E7241" s="3" t="s">
        <v>21240</v>
      </c>
      <c r="F7241" s="3" t="str">
        <f>"1-800-292-1305"</f>
        <v>1-800-292-1305</v>
      </c>
      <c r="G7241" s="3">
        <v>326191</v>
      </c>
      <c r="H7241" s="3" t="s">
        <v>6549</v>
      </c>
    </row>
    <row r="7242" spans="1:8" ht="128.25" x14ac:dyDescent="0.25">
      <c r="A7242" s="3" t="s">
        <v>21241</v>
      </c>
      <c r="B7242" s="3"/>
      <c r="C7242" s="3" t="s">
        <v>21242</v>
      </c>
      <c r="D7242" s="3" t="s">
        <v>21243</v>
      </c>
      <c r="E7242" s="3" t="s">
        <v>21244</v>
      </c>
      <c r="F7242" s="3" t="str">
        <f>"3172977571"</f>
        <v>3172977571</v>
      </c>
      <c r="G7242" s="3">
        <v>5418</v>
      </c>
      <c r="H7242" s="3" t="s">
        <v>1337</v>
      </c>
    </row>
    <row r="7243" spans="1:8" ht="153.75" x14ac:dyDescent="0.25">
      <c r="A7243" s="3" t="s">
        <v>21245</v>
      </c>
      <c r="B7243" s="3"/>
      <c r="C7243" s="3" t="s">
        <v>21246</v>
      </c>
      <c r="D7243" s="3" t="s">
        <v>21247</v>
      </c>
      <c r="E7243" s="3" t="s">
        <v>21248</v>
      </c>
      <c r="F7243" s="3" t="str">
        <f>"317-780-0005"</f>
        <v>317-780-0005</v>
      </c>
      <c r="G7243" s="3">
        <v>4234</v>
      </c>
      <c r="H7243" s="3" t="s">
        <v>4160</v>
      </c>
    </row>
    <row r="7244" spans="1:8" ht="192" x14ac:dyDescent="0.25">
      <c r="A7244" s="3" t="s">
        <v>21249</v>
      </c>
      <c r="B7244" s="3"/>
      <c r="C7244" s="3" t="s">
        <v>21250</v>
      </c>
      <c r="D7244" s="3" t="s">
        <v>21251</v>
      </c>
      <c r="E7244" s="3" t="s">
        <v>21252</v>
      </c>
      <c r="F7244" s="3" t="str">
        <f>"888-884-5698"</f>
        <v>888-884-5698</v>
      </c>
      <c r="G7244" s="3">
        <v>926150</v>
      </c>
      <c r="H7244" s="3" t="s">
        <v>47</v>
      </c>
    </row>
    <row r="7245" spans="1:8" ht="39" x14ac:dyDescent="0.25">
      <c r="A7245" s="3" t="s">
        <v>21253</v>
      </c>
      <c r="B7245" s="3"/>
      <c r="C7245" s="3" t="str">
        <f>"Civil and criminal attorneys including collections, personal injury, probate, Social Security, trials and appeals."</f>
        <v>Civil and criminal attorneys including collections, personal injury, probate, Social Security, trials and appeals.</v>
      </c>
      <c r="D7245" s="3" t="s">
        <v>9</v>
      </c>
      <c r="E7245" s="3" t="s">
        <v>21254</v>
      </c>
      <c r="F7245" s="3" t="str">
        <f>"765-654-4469"</f>
        <v>765-654-4469</v>
      </c>
      <c r="G7245" s="3">
        <v>541110</v>
      </c>
      <c r="H7245" s="3" t="s">
        <v>2978</v>
      </c>
    </row>
    <row r="7246" spans="1:8" ht="26.25" x14ac:dyDescent="0.25">
      <c r="A7246" s="3" t="s">
        <v>21255</v>
      </c>
      <c r="B7246" s="3"/>
      <c r="C7246" s="3" t="str">
        <f>"HVAC service and installation for Residential and commercial applications"</f>
        <v>HVAC service and installation for Residential and commercial applications</v>
      </c>
      <c r="D7246" s="3" t="s">
        <v>21256</v>
      </c>
      <c r="E7246" s="3" t="s">
        <v>21257</v>
      </c>
      <c r="F7246" s="3" t="str">
        <f>"260-422-3534"</f>
        <v>260-422-3534</v>
      </c>
      <c r="G7246" s="3">
        <v>238220</v>
      </c>
      <c r="H7246" s="3" t="s">
        <v>348</v>
      </c>
    </row>
    <row r="7247" spans="1:8" ht="102.75" x14ac:dyDescent="0.25">
      <c r="A7247" s="3" t="s">
        <v>21258</v>
      </c>
      <c r="B7247" s="3"/>
      <c r="C7247" s="3" t="s">
        <v>21259</v>
      </c>
      <c r="D7247" s="3" t="s">
        <v>21260</v>
      </c>
      <c r="E7247" s="3" t="s">
        <v>21261</v>
      </c>
      <c r="F7247" s="3" t="str">
        <f>"(317) 547-0035"</f>
        <v>(317) 547-0035</v>
      </c>
      <c r="G7247" s="3">
        <v>4227</v>
      </c>
      <c r="H7247" s="3" t="s">
        <v>12656</v>
      </c>
    </row>
    <row r="7248" spans="1:8" ht="26.25" x14ac:dyDescent="0.25">
      <c r="A7248" s="3" t="s">
        <v>21262</v>
      </c>
      <c r="B7248" s="3"/>
      <c r="C7248" s="3" t="str">
        <f>"Electrical wholesaler"</f>
        <v>Electrical wholesaler</v>
      </c>
      <c r="D7248" s="3" t="s">
        <v>9</v>
      </c>
      <c r="E7248" s="3" t="s">
        <v>46</v>
      </c>
      <c r="F7248" s="3" t="str">
        <f>"219-762-3126"</f>
        <v>219-762-3126</v>
      </c>
      <c r="G7248" s="3">
        <v>4216</v>
      </c>
      <c r="H7248" s="3" t="s">
        <v>14971</v>
      </c>
    </row>
    <row r="7249" spans="1:8" ht="26.25" x14ac:dyDescent="0.25">
      <c r="A7249" s="3" t="s">
        <v>21263</v>
      </c>
      <c r="B7249" s="3"/>
      <c r="C7249" s="3" t="str">
        <f>"Automotive"</f>
        <v>Automotive</v>
      </c>
      <c r="D7249" s="3" t="s">
        <v>21264</v>
      </c>
      <c r="E7249" s="3" t="s">
        <v>46</v>
      </c>
      <c r="F7249" s="3" t="str">
        <f>"317-867-0234"</f>
        <v>317-867-0234</v>
      </c>
      <c r="G7249" s="3">
        <v>339</v>
      </c>
      <c r="H7249" s="3" t="s">
        <v>1092</v>
      </c>
    </row>
    <row r="7250" spans="1:8" ht="51.75" x14ac:dyDescent="0.25">
      <c r="A7250" s="3" t="s">
        <v>21265</v>
      </c>
      <c r="B7250" s="3"/>
      <c r="C7250" s="3" t="str">
        <f>"Site development for new buildings and renovations, earthwork, demolition, small flat concrete work. Drywell and manhole installation, irrigation and land grading."</f>
        <v>Site development for new buildings and renovations, earthwork, demolition, small flat concrete work. Drywell and manhole installation, irrigation and land grading.</v>
      </c>
      <c r="D7250" s="3" t="s">
        <v>9</v>
      </c>
      <c r="E7250" s="3" t="s">
        <v>21266</v>
      </c>
      <c r="F7250" s="3" t="str">
        <f>"812-232-7415"</f>
        <v>812-232-7415</v>
      </c>
      <c r="G7250" s="3">
        <v>234</v>
      </c>
      <c r="H7250" s="3" t="s">
        <v>1414</v>
      </c>
    </row>
    <row r="7251" spans="1:8" ht="166.5" x14ac:dyDescent="0.25">
      <c r="A7251" s="3" t="s">
        <v>21267</v>
      </c>
      <c r="B7251" s="3"/>
      <c r="C7251" s="3" t="s">
        <v>21268</v>
      </c>
      <c r="D7251" s="3" t="s">
        <v>21269</v>
      </c>
      <c r="E7251" s="3" t="s">
        <v>21270</v>
      </c>
      <c r="F7251" s="3" t="str">
        <f>"219-531-3500"</f>
        <v>219-531-3500</v>
      </c>
      <c r="G7251" s="3">
        <v>621420</v>
      </c>
      <c r="H7251" s="3" t="s">
        <v>990</v>
      </c>
    </row>
    <row r="7252" spans="1:8" ht="281.25" x14ac:dyDescent="0.25">
      <c r="A7252" s="3" t="s">
        <v>21271</v>
      </c>
      <c r="B7252" s="3"/>
      <c r="C7252" s="3" t="s">
        <v>21272</v>
      </c>
      <c r="D7252" s="3" t="s">
        <v>21273</v>
      </c>
      <c r="E7252" s="3" t="s">
        <v>21274</v>
      </c>
      <c r="F7252" s="3" t="str">
        <f>"317-598-2677"</f>
        <v>317-598-2677</v>
      </c>
      <c r="G7252" s="3">
        <v>541921</v>
      </c>
      <c r="H7252" s="3" t="s">
        <v>1325</v>
      </c>
    </row>
    <row r="7253" spans="1:8" ht="51.75" x14ac:dyDescent="0.25">
      <c r="A7253" s="3" t="s">
        <v>21275</v>
      </c>
      <c r="B7253" s="3"/>
      <c r="C7253" s="3" t="str">
        <f>"Provides floral arrangements and event rentals for benefits, social functions, gala events, charity events, weddings, and funerals."</f>
        <v>Provides floral arrangements and event rentals for benefits, social functions, gala events, charity events, weddings, and funerals.</v>
      </c>
      <c r="D7253" s="3" t="s">
        <v>21276</v>
      </c>
      <c r="E7253" s="3" t="s">
        <v>21277</v>
      </c>
      <c r="F7253" s="3" t="str">
        <f>"317-923-6000"</f>
        <v>317-923-6000</v>
      </c>
      <c r="G7253" s="3">
        <v>453110</v>
      </c>
      <c r="H7253" s="3" t="s">
        <v>2584</v>
      </c>
    </row>
    <row r="7254" spans="1:8" ht="128.25" x14ac:dyDescent="0.25">
      <c r="A7254" s="3" t="s">
        <v>21278</v>
      </c>
      <c r="B7254" s="3"/>
      <c r="C7254" s="3" t="s">
        <v>21279</v>
      </c>
      <c r="D7254" s="3" t="s">
        <v>9</v>
      </c>
      <c r="E7254" s="3" t="s">
        <v>21280</v>
      </c>
      <c r="F7254" s="3" t="str">
        <f>"219-738-2935"</f>
        <v>219-738-2935</v>
      </c>
      <c r="G7254" s="3">
        <v>624310</v>
      </c>
      <c r="H7254" s="3" t="s">
        <v>488</v>
      </c>
    </row>
    <row r="7255" spans="1:8" ht="153.75" x14ac:dyDescent="0.25">
      <c r="A7255" s="3" t="s">
        <v>21281</v>
      </c>
      <c r="B7255" s="3"/>
      <c r="C7255" s="3" t="s">
        <v>21282</v>
      </c>
      <c r="D7255" s="3" t="s">
        <v>21283</v>
      </c>
      <c r="E7255" s="3" t="s">
        <v>21284</v>
      </c>
      <c r="F7255" s="3" t="str">
        <f>"3174904727"</f>
        <v>3174904727</v>
      </c>
      <c r="G7255" s="3">
        <v>541990</v>
      </c>
      <c r="H7255" s="3" t="s">
        <v>378</v>
      </c>
    </row>
    <row r="7256" spans="1:8" ht="26.25" x14ac:dyDescent="0.25">
      <c r="A7256" s="3" t="s">
        <v>21285</v>
      </c>
      <c r="B7256" s="3"/>
      <c r="C7256" s="3" t="str">
        <f>" "</f>
        <v xml:space="preserve"> </v>
      </c>
      <c r="D7256" s="3" t="s">
        <v>9</v>
      </c>
      <c r="E7256" s="3" t="s">
        <v>21286</v>
      </c>
      <c r="F7256" s="3" t="str">
        <f>"3174504710"</f>
        <v>3174504710</v>
      </c>
      <c r="G7256" s="3">
        <v>541519</v>
      </c>
      <c r="H7256" s="3" t="s">
        <v>898</v>
      </c>
    </row>
    <row r="7257" spans="1:8" ht="166.5" x14ac:dyDescent="0.25">
      <c r="A7257" s="3" t="s">
        <v>21287</v>
      </c>
      <c r="B7257" s="3"/>
      <c r="C7257" s="3" t="s">
        <v>21288</v>
      </c>
      <c r="D7257" s="3" t="s">
        <v>21289</v>
      </c>
      <c r="E7257" s="3" t="s">
        <v>21290</v>
      </c>
      <c r="F7257" s="3" t="str">
        <f>"3179088010"</f>
        <v>3179088010</v>
      </c>
      <c r="G7257" s="3">
        <v>611691</v>
      </c>
      <c r="H7257" s="3" t="s">
        <v>30</v>
      </c>
    </row>
    <row r="7258" spans="1:8" ht="39" x14ac:dyDescent="0.25">
      <c r="A7258" s="3" t="s">
        <v>21291</v>
      </c>
      <c r="B7258" s="3"/>
      <c r="C7258" s="3" t="str">
        <f>"Powder Coating and Sandblasting Parts sizes up to 8' x 8' x 26' long"</f>
        <v>Powder Coating and Sandblasting Parts sizes up to 8' x 8' x 26' long</v>
      </c>
      <c r="D7258" s="3" t="s">
        <v>21292</v>
      </c>
      <c r="E7258" s="3" t="s">
        <v>21293</v>
      </c>
      <c r="F7258" s="3" t="str">
        <f>"317-831-5911"</f>
        <v>317-831-5911</v>
      </c>
      <c r="G7258" s="3">
        <v>332812</v>
      </c>
      <c r="H7258" s="3" t="s">
        <v>6980</v>
      </c>
    </row>
    <row r="7259" spans="1:8" ht="39" x14ac:dyDescent="0.25">
      <c r="A7259" s="3" t="s">
        <v>21294</v>
      </c>
      <c r="B7259" s="3"/>
      <c r="C7259" s="3" t="str">
        <f>"Powell Asset Management provides collections services for both commercial and consumer debts."</f>
        <v>Powell Asset Management provides collections services for both commercial and consumer debts.</v>
      </c>
      <c r="D7259" s="3" t="s">
        <v>21295</v>
      </c>
      <c r="E7259" s="3" t="s">
        <v>46</v>
      </c>
      <c r="F7259" s="3" t="str">
        <f>"317-915-8858"</f>
        <v>317-915-8858</v>
      </c>
      <c r="G7259" s="3">
        <v>561440</v>
      </c>
      <c r="H7259" s="3" t="s">
        <v>473</v>
      </c>
    </row>
    <row r="7260" spans="1:8" ht="64.5" x14ac:dyDescent="0.25">
      <c r="A7260" s="3" t="s">
        <v>21296</v>
      </c>
      <c r="B7260" s="3"/>
      <c r="C7260" s="3" t="str">
        <f>"We are Michiana's leading source for Cutting Tools, Air Tools, Coolants, Abrasives, Measuring Instruments, Die Fixtures and MRO Supplies. We have offices in South Bend and Ft Wayne, IN."</f>
        <v>We are Michiana's leading source for Cutting Tools, Air Tools, Coolants, Abrasives, Measuring Instruments, Die Fixtures and MRO Supplies. We have offices in South Bend and Ft Wayne, IN.</v>
      </c>
      <c r="D7260" s="3" t="s">
        <v>21297</v>
      </c>
      <c r="E7260" s="3" t="s">
        <v>21298</v>
      </c>
      <c r="F7260" s="3" t="str">
        <f>"574-289-4811"</f>
        <v>574-289-4811</v>
      </c>
      <c r="G7260" s="3">
        <v>4218</v>
      </c>
      <c r="H7260" s="3" t="s">
        <v>9322</v>
      </c>
    </row>
    <row r="7261" spans="1:8" ht="64.5" x14ac:dyDescent="0.25">
      <c r="A7261" s="3" t="s">
        <v>21299</v>
      </c>
      <c r="B7261" s="3"/>
      <c r="C7261" s="3" t="str">
        <f>"Sales, installation, maintenanceand major service of home,commercial and industrial electrical generating sets. Distributor for Elkhart built Gillette Generators. Natural gas and diesel units."</f>
        <v>Sales, installation, maintenanceand major service of home,commercial and industrial electrical generating sets. Distributor for Elkhart built Gillette Generators. Natural gas and diesel units.</v>
      </c>
      <c r="D7261" s="3" t="s">
        <v>9</v>
      </c>
      <c r="E7261" s="3" t="s">
        <v>21300</v>
      </c>
      <c r="F7261" s="3" t="str">
        <f>"260-645-0244"</f>
        <v>260-645-0244</v>
      </c>
      <c r="G7261" s="3">
        <v>811</v>
      </c>
      <c r="H7261" s="3" t="s">
        <v>816</v>
      </c>
    </row>
    <row r="7262" spans="1:8" ht="64.5" x14ac:dyDescent="0.25">
      <c r="A7262" s="3" t="s">
        <v>21301</v>
      </c>
      <c r="B7262" s="3"/>
      <c r="C7262" s="3" t="str">
        <f>"A pressure cleaning services anything from homes,auto,light and heavy equipment,playgrounds,concrete,resurfacing,boats,commercial fleets,graffiti removal,ventilation hood cleaning,etc."</f>
        <v>A pressure cleaning services anything from homes,auto,light and heavy equipment,playgrounds,concrete,resurfacing,boats,commercial fleets,graffiti removal,ventilation hood cleaning,etc.</v>
      </c>
      <c r="D7262" s="3" t="s">
        <v>21302</v>
      </c>
      <c r="E7262" s="3" t="s">
        <v>21303</v>
      </c>
      <c r="F7262" s="3" t="str">
        <f>"(314)458-7350"</f>
        <v>(314)458-7350</v>
      </c>
      <c r="G7262" s="3">
        <v>238</v>
      </c>
      <c r="H7262" s="3" t="s">
        <v>397</v>
      </c>
    </row>
    <row r="7263" spans="1:8" ht="102.75" x14ac:dyDescent="0.25">
      <c r="A7263" s="3" t="s">
        <v>21304</v>
      </c>
      <c r="B7263" s="3"/>
      <c r="C7263" s="3" t="s">
        <v>21305</v>
      </c>
      <c r="D7263" s="3" t="s">
        <v>21306</v>
      </c>
      <c r="E7263" s="3" t="s">
        <v>21307</v>
      </c>
      <c r="F7263" s="2"/>
      <c r="G7263" s="3">
        <v>238210</v>
      </c>
      <c r="H7263" s="3" t="s">
        <v>306</v>
      </c>
    </row>
    <row r="7264" spans="1:8" ht="230.25" x14ac:dyDescent="0.25">
      <c r="A7264" s="3" t="s">
        <v>21308</v>
      </c>
      <c r="B7264" s="3"/>
      <c r="C7264" s="3" t="s">
        <v>21309</v>
      </c>
      <c r="D7264" s="3" t="s">
        <v>9</v>
      </c>
      <c r="E7264" s="3" t="s">
        <v>21310</v>
      </c>
      <c r="F7264" s="3" t="str">
        <f>"812-422-3932"</f>
        <v>812-422-3932</v>
      </c>
      <c r="G7264" s="3">
        <v>81131</v>
      </c>
      <c r="H7264" s="3" t="s">
        <v>1895</v>
      </c>
    </row>
    <row r="7265" spans="1:8" ht="51.75" x14ac:dyDescent="0.25">
      <c r="A7265" s="3" t="s">
        <v>21311</v>
      </c>
      <c r="B7265" s="3"/>
      <c r="C7265" s="3" t="str">
        <f>"Turnkey installation services and maintenance and repair of all UPS systems. Also battery maintenace and replacement service."</f>
        <v>Turnkey installation services and maintenance and repair of all UPS systems. Also battery maintenace and replacement service.</v>
      </c>
      <c r="D7265" s="3" t="s">
        <v>21312</v>
      </c>
      <c r="E7265" s="3" t="s">
        <v>21313</v>
      </c>
      <c r="F7265" s="3" t="str">
        <f>"317-840-1005"</f>
        <v>317-840-1005</v>
      </c>
      <c r="G7265" s="3">
        <v>541990</v>
      </c>
      <c r="H7265" s="3" t="s">
        <v>378</v>
      </c>
    </row>
    <row r="7266" spans="1:8" ht="102.75" x14ac:dyDescent="0.25">
      <c r="A7266" s="3" t="s">
        <v>21314</v>
      </c>
      <c r="B7266" s="3"/>
      <c r="C7266" s="3" t="s">
        <v>21315</v>
      </c>
      <c r="D7266" s="3" t="s">
        <v>21316</v>
      </c>
      <c r="E7266" s="3" t="s">
        <v>21317</v>
      </c>
      <c r="F7266" s="3" t="str">
        <f>"765-409-2191"</f>
        <v>765-409-2191</v>
      </c>
      <c r="G7266" s="3">
        <v>335312</v>
      </c>
      <c r="H7266" s="3" t="s">
        <v>19919</v>
      </c>
    </row>
    <row r="7267" spans="1:8" ht="51.75" x14ac:dyDescent="0.25">
      <c r="A7267" s="3" t="s">
        <v>21318</v>
      </c>
      <c r="B7267" s="3"/>
      <c r="C7267" s="3" t="str">
        <f>"Powers &amp; Sons is a minority owned general contractor and construction manager specializing in commercial, institutional and industrial buildings."</f>
        <v>Powers &amp; Sons is a minority owned general contractor and construction manager specializing in commercial, institutional and industrial buildings.</v>
      </c>
      <c r="D7267" s="3" t="s">
        <v>21319</v>
      </c>
      <c r="E7267" s="3" t="s">
        <v>46</v>
      </c>
      <c r="F7267" s="3" t="str">
        <f>"317-269-2550"</f>
        <v>317-269-2550</v>
      </c>
      <c r="G7267" s="3">
        <v>23</v>
      </c>
      <c r="H7267" s="3" t="s">
        <v>133</v>
      </c>
    </row>
    <row r="7268" spans="1:8" ht="153.75" x14ac:dyDescent="0.25">
      <c r="A7268" s="3" t="s">
        <v>21320</v>
      </c>
      <c r="B7268" s="3"/>
      <c r="C7268" s="3" t="s">
        <v>21321</v>
      </c>
      <c r="D7268" s="3" t="s">
        <v>9</v>
      </c>
      <c r="E7268" s="3" t="s">
        <v>21322</v>
      </c>
      <c r="F7268" s="3" t="str">
        <f>"812-618-6889"</f>
        <v>812-618-6889</v>
      </c>
      <c r="G7268" s="3">
        <v>54133</v>
      </c>
      <c r="H7268" s="3" t="s">
        <v>82</v>
      </c>
    </row>
    <row r="7269" spans="1:8" ht="230.25" x14ac:dyDescent="0.25">
      <c r="A7269" s="3" t="s">
        <v>21323</v>
      </c>
      <c r="B7269" s="3"/>
      <c r="C7269" s="3" t="s">
        <v>21324</v>
      </c>
      <c r="D7269" s="3" t="s">
        <v>21325</v>
      </c>
      <c r="E7269" s="3" t="s">
        <v>46</v>
      </c>
      <c r="F7269" s="3" t="str">
        <f>"219-949-9700"</f>
        <v>219-949-9700</v>
      </c>
      <c r="G7269" s="3">
        <v>531</v>
      </c>
      <c r="H7269" s="3" t="s">
        <v>74</v>
      </c>
    </row>
    <row r="7270" spans="1:8" ht="51.75" x14ac:dyDescent="0.25">
      <c r="A7270" s="3" t="s">
        <v>21326</v>
      </c>
      <c r="B7270" s="3"/>
      <c r="C7270" s="3" t="str">
        <f>"We offer Powerscreen screening equipment &amp; B L Pegson crushing equipment for sales and rental. We also offer parts &amp; service for all of our equipment."</f>
        <v>We offer Powerscreen screening equipment &amp; B L Pegson crushing equipment for sales and rental. We also offer parts &amp; service for all of our equipment.</v>
      </c>
      <c r="D7270" s="3" t="s">
        <v>21327</v>
      </c>
      <c r="E7270" s="3" t="s">
        <v>21328</v>
      </c>
      <c r="F7270" s="3" t="str">
        <f>"2606655816"</f>
        <v>2606655816</v>
      </c>
      <c r="G7270" s="3">
        <v>4218</v>
      </c>
      <c r="H7270" s="3" t="s">
        <v>9322</v>
      </c>
    </row>
    <row r="7271" spans="1:8" ht="77.25" x14ac:dyDescent="0.25">
      <c r="A7271" s="3" t="s">
        <v>21329</v>
      </c>
      <c r="B7271" s="3"/>
      <c r="C7271" s="3" t="str">
        <f>"Poynter &amp; Bucheri is a law firm dedicated to helping injured persons in receiving fair and adequate compensation for their injuries. We also protect the rights of and defend those individuals accused of or charged with a crime."</f>
        <v>Poynter &amp; Bucheri is a law firm dedicated to helping injured persons in receiving fair and adequate compensation for their injuries. We also protect the rights of and defend those individuals accused of or charged with a crime.</v>
      </c>
      <c r="D7271" s="3" t="s">
        <v>21330</v>
      </c>
      <c r="E7271" s="3" t="s">
        <v>21331</v>
      </c>
      <c r="F7271" s="3" t="str">
        <f>"317-780-8000"</f>
        <v>317-780-8000</v>
      </c>
      <c r="G7271" s="3">
        <v>5411</v>
      </c>
      <c r="H7271" s="3" t="s">
        <v>87</v>
      </c>
    </row>
    <row r="7272" spans="1:8" ht="26.25" x14ac:dyDescent="0.25">
      <c r="A7272" s="3" t="s">
        <v>21332</v>
      </c>
      <c r="B7272" s="3"/>
      <c r="C7272" s="3" t="str">
        <f>"Sheet Metal Contractor"</f>
        <v>Sheet Metal Contractor</v>
      </c>
      <c r="D7272" s="3" t="s">
        <v>21333</v>
      </c>
      <c r="E7272" s="3" t="s">
        <v>46</v>
      </c>
      <c r="F7272" s="3" t="str">
        <f>"812-935-6471"</f>
        <v>812-935-6471</v>
      </c>
      <c r="G7272" s="3">
        <v>238220</v>
      </c>
      <c r="H7272" s="3" t="s">
        <v>348</v>
      </c>
    </row>
    <row r="7273" spans="1:8" ht="77.25" x14ac:dyDescent="0.25">
      <c r="A7273" s="3" t="s">
        <v>21334</v>
      </c>
      <c r="B7273" s="3"/>
      <c r="C7273" s="3" t="str">
        <f>"My business does construction and remodeling projects around the state. My company does work from the ground up. I work with homeowners to make their homes more energy efficient. I also do excavating and ground work."</f>
        <v>My business does construction and remodeling projects around the state. My company does work from the ground up. I work with homeowners to make their homes more energy efficient. I also do excavating and ground work.</v>
      </c>
      <c r="D7273" s="3" t="s">
        <v>9</v>
      </c>
      <c r="E7273" s="3" t="s">
        <v>21335</v>
      </c>
      <c r="F7273" s="3" t="str">
        <f>"812-275-4282"</f>
        <v>812-275-4282</v>
      </c>
      <c r="G7273" s="3">
        <v>23</v>
      </c>
      <c r="H7273" s="3" t="s">
        <v>133</v>
      </c>
    </row>
    <row r="7274" spans="1:8" ht="102.75" x14ac:dyDescent="0.25">
      <c r="A7274" s="3" t="s">
        <v>21336</v>
      </c>
      <c r="B7274" s="3"/>
      <c r="C7274" s="3" t="s">
        <v>21337</v>
      </c>
      <c r="D7274" s="3" t="s">
        <v>9</v>
      </c>
      <c r="E7274" s="3" t="s">
        <v>21338</v>
      </c>
      <c r="F7274" s="3" t="str">
        <f>"317-246-1033"</f>
        <v>317-246-1033</v>
      </c>
      <c r="G7274" s="3">
        <v>233</v>
      </c>
      <c r="H7274" s="3" t="s">
        <v>131</v>
      </c>
    </row>
    <row r="7275" spans="1:8" ht="26.25" x14ac:dyDescent="0.25">
      <c r="A7275" s="3" t="s">
        <v>21339</v>
      </c>
      <c r="B7275" s="3"/>
      <c r="C7275" s="2"/>
      <c r="D7275" s="3" t="s">
        <v>9</v>
      </c>
      <c r="E7275" s="3" t="s">
        <v>46</v>
      </c>
      <c r="F7275" s="3" t="str">
        <f>"219-736-8383"</f>
        <v>219-736-8383</v>
      </c>
      <c r="G7275" s="3">
        <v>72111</v>
      </c>
      <c r="H7275" s="3" t="s">
        <v>872</v>
      </c>
    </row>
    <row r="7276" spans="1:8" ht="90" x14ac:dyDescent="0.25">
      <c r="A7276" s="3" t="s">
        <v>21340</v>
      </c>
      <c r="B7276" s="3"/>
      <c r="C7276" s="3" t="s">
        <v>21341</v>
      </c>
      <c r="D7276" s="3" t="s">
        <v>21342</v>
      </c>
      <c r="E7276" s="3" t="s">
        <v>21343</v>
      </c>
      <c r="F7276" s="3" t="str">
        <f>"260-420-7374"</f>
        <v>260-420-7374</v>
      </c>
      <c r="G7276" s="3">
        <v>541611</v>
      </c>
      <c r="H7276" s="3" t="s">
        <v>278</v>
      </c>
    </row>
    <row r="7277" spans="1:8" ht="115.5" x14ac:dyDescent="0.25">
      <c r="A7277" s="3" t="s">
        <v>21344</v>
      </c>
      <c r="B7277" s="3"/>
      <c r="C7277" s="3" t="s">
        <v>21345</v>
      </c>
      <c r="D7277" s="3" t="s">
        <v>21346</v>
      </c>
      <c r="E7277" s="3" t="s">
        <v>21347</v>
      </c>
      <c r="F7277" s="3" t="str">
        <f>"574-936-2241"</f>
        <v>574-936-2241</v>
      </c>
      <c r="G7277" s="3">
        <v>623990</v>
      </c>
      <c r="H7277" s="3" t="s">
        <v>11066</v>
      </c>
    </row>
    <row r="7278" spans="1:8" ht="102.75" x14ac:dyDescent="0.25">
      <c r="A7278" s="3" t="s">
        <v>21348</v>
      </c>
      <c r="B7278" s="3"/>
      <c r="C7278" s="3" t="s">
        <v>21349</v>
      </c>
      <c r="D7278" s="3" t="s">
        <v>21350</v>
      </c>
      <c r="E7278" s="3" t="s">
        <v>21351</v>
      </c>
      <c r="F7278" s="3" t="str">
        <f>"317-569-8234"</f>
        <v>317-569-8234</v>
      </c>
      <c r="G7278" s="3">
        <v>446110</v>
      </c>
      <c r="H7278" s="3" t="s">
        <v>3738</v>
      </c>
    </row>
    <row r="7279" spans="1:8" ht="51.75" x14ac:dyDescent="0.25">
      <c r="A7279" s="3" t="s">
        <v>21352</v>
      </c>
      <c r="B7279" s="3"/>
      <c r="C7279" s="3" t="str">
        <f>"PrairieVision Design is a design firm with proven experience, dedicated to personal service and business impact. We create websites with results in mind."</f>
        <v>PrairieVision Design is a design firm with proven experience, dedicated to personal service and business impact. We create websites with results in mind.</v>
      </c>
      <c r="D7279" s="3" t="s">
        <v>21353</v>
      </c>
      <c r="E7279" s="3" t="s">
        <v>21354</v>
      </c>
      <c r="F7279" s="3" t="str">
        <f>"3176985046"</f>
        <v>3176985046</v>
      </c>
      <c r="G7279" s="3">
        <v>541430</v>
      </c>
      <c r="H7279" s="3" t="s">
        <v>78</v>
      </c>
    </row>
    <row r="7280" spans="1:8" ht="39" x14ac:dyDescent="0.25">
      <c r="A7280" s="3" t="s">
        <v>21355</v>
      </c>
      <c r="B7280" s="3"/>
      <c r="C7280" s="3" t="str">
        <f>"We produce radio and TV commercials, corporate marketing and training videos, interactive CD-Roms and DVDs."</f>
        <v>We produce radio and TV commercials, corporate marketing and training videos, interactive CD-Roms and DVDs.</v>
      </c>
      <c r="D7280" s="3" t="s">
        <v>21356</v>
      </c>
      <c r="E7280" s="3" t="s">
        <v>21357</v>
      </c>
      <c r="F7280" s="3" t="str">
        <f>"317-722-1242"</f>
        <v>317-722-1242</v>
      </c>
      <c r="G7280" s="3">
        <v>512110</v>
      </c>
      <c r="H7280" s="3" t="s">
        <v>406</v>
      </c>
    </row>
    <row r="7281" spans="1:8" ht="141" x14ac:dyDescent="0.25">
      <c r="A7281" s="3" t="s">
        <v>21358</v>
      </c>
      <c r="B7281" s="3"/>
      <c r="C7281" s="3" t="s">
        <v>21359</v>
      </c>
      <c r="D7281" s="3" t="s">
        <v>21360</v>
      </c>
      <c r="E7281" s="3" t="s">
        <v>21361</v>
      </c>
      <c r="F7281" s="3" t="str">
        <f>"574-485-2982"</f>
        <v>574-485-2982</v>
      </c>
      <c r="G7281" s="3">
        <v>541611</v>
      </c>
      <c r="H7281" s="3" t="s">
        <v>278</v>
      </c>
    </row>
    <row r="7282" spans="1:8" ht="51.75" x14ac:dyDescent="0.25">
      <c r="A7282" s="3" t="s">
        <v>21362</v>
      </c>
      <c r="B7282" s="3"/>
      <c r="C7282" s="3" t="str">
        <f>"I provide mobile wash services for cars, trucks and business. I also own a lawn care business. I provide commercial lawn care services."</f>
        <v>I provide mobile wash services for cars, trucks and business. I also own a lawn care business. I provide commercial lawn care services.</v>
      </c>
      <c r="D7282" s="3" t="s">
        <v>9</v>
      </c>
      <c r="E7282" s="3" t="s">
        <v>21363</v>
      </c>
      <c r="F7282" s="3" t="str">
        <f>"317-492-7135"</f>
        <v>317-492-7135</v>
      </c>
      <c r="G7282" s="3">
        <v>811192</v>
      </c>
      <c r="H7282" s="3" t="s">
        <v>21364</v>
      </c>
    </row>
    <row r="7283" spans="1:8" ht="26.25" x14ac:dyDescent="0.25">
      <c r="A7283" s="3" t="s">
        <v>21365</v>
      </c>
      <c r="B7283" s="3"/>
      <c r="C7283" s="3" t="str">
        <f>"We are a ministry that helps the public through outreach programs."</f>
        <v>We are a ministry that helps the public through outreach programs.</v>
      </c>
      <c r="D7283" s="3" t="s">
        <v>9</v>
      </c>
      <c r="E7283" s="3" t="s">
        <v>21366</v>
      </c>
      <c r="F7283" s="3" t="str">
        <f>"317-331-1022"</f>
        <v>317-331-1022</v>
      </c>
      <c r="G7283" s="3">
        <v>813110</v>
      </c>
      <c r="H7283" s="3" t="s">
        <v>15729</v>
      </c>
    </row>
    <row r="7284" spans="1:8" ht="39" x14ac:dyDescent="0.25">
      <c r="A7284" s="3" t="s">
        <v>21367</v>
      </c>
      <c r="B7284" s="3"/>
      <c r="C7284" s="3" t="str">
        <f>"Home Health Care to individuals in the comfort of their own home. We provided Nurses and homemaker services."</f>
        <v>Home Health Care to individuals in the comfort of their own home. We provided Nurses and homemaker services.</v>
      </c>
      <c r="D7284" s="3" t="s">
        <v>21368</v>
      </c>
      <c r="E7284" s="3" t="s">
        <v>21369</v>
      </c>
      <c r="F7284" s="3" t="str">
        <f>"317-295-9457"</f>
        <v>317-295-9457</v>
      </c>
      <c r="G7284" s="3">
        <v>561320</v>
      </c>
      <c r="H7284" s="3" t="s">
        <v>15</v>
      </c>
    </row>
    <row r="7285" spans="1:8" ht="294" x14ac:dyDescent="0.25">
      <c r="A7285" s="3" t="s">
        <v>21370</v>
      </c>
      <c r="B7285" s="3"/>
      <c r="C7285" s="3" t="s">
        <v>21371</v>
      </c>
      <c r="D7285" s="3" t="s">
        <v>21372</v>
      </c>
      <c r="E7285" s="3" t="s">
        <v>21373</v>
      </c>
      <c r="F7285" s="3" t="str">
        <f>"317-398-4411"</f>
        <v>317-398-4411</v>
      </c>
      <c r="G7285" s="3">
        <v>333994</v>
      </c>
      <c r="H7285" s="3" t="s">
        <v>10712</v>
      </c>
    </row>
    <row r="7286" spans="1:8" ht="26.25" x14ac:dyDescent="0.25">
      <c r="A7286" s="3" t="s">
        <v>21374</v>
      </c>
      <c r="B7286" s="3"/>
      <c r="C7286" s="3" t="str">
        <f>"Dump Truck Service"</f>
        <v>Dump Truck Service</v>
      </c>
      <c r="D7286" s="3" t="s">
        <v>9</v>
      </c>
      <c r="E7286" s="3" t="s">
        <v>46</v>
      </c>
      <c r="F7286" s="3" t="str">
        <f>"765-482-3319"</f>
        <v>765-482-3319</v>
      </c>
      <c r="G7286" s="3">
        <v>484220</v>
      </c>
      <c r="H7286" s="3" t="s">
        <v>11</v>
      </c>
    </row>
    <row r="7287" spans="1:8" ht="90" x14ac:dyDescent="0.25">
      <c r="A7287" s="3" t="s">
        <v>21375</v>
      </c>
      <c r="B7287" s="3"/>
      <c r="C7287" s="3" t="str">
        <f>"PWI provides user, maintenance, and training documentation for software, hardware, electronics, diagnostic devices, pharmaceuticals, policies and procedures, business processes, and compliance such as Sarbanes-Oxley, FDA, and TS (automotive)."</f>
        <v>PWI provides user, maintenance, and training documentation for software, hardware, electronics, diagnostic devices, pharmaceuticals, policies and procedures, business processes, and compliance such as Sarbanes-Oxley, FDA, and TS (automotive).</v>
      </c>
      <c r="D7287" s="3" t="s">
        <v>21376</v>
      </c>
      <c r="E7287" s="3" t="s">
        <v>21377</v>
      </c>
      <c r="F7287" s="3" t="str">
        <f>"317-485-6701"</f>
        <v>317-485-6701</v>
      </c>
      <c r="G7287" s="3">
        <v>561410</v>
      </c>
      <c r="H7287" s="3" t="s">
        <v>4164</v>
      </c>
    </row>
    <row r="7288" spans="1:8" ht="26.25" x14ac:dyDescent="0.25">
      <c r="A7288" s="3" t="s">
        <v>21378</v>
      </c>
      <c r="B7288" s="3"/>
      <c r="C7288" s="3" t="str">
        <f>" "</f>
        <v xml:space="preserve"> </v>
      </c>
      <c r="D7288" s="3" t="s">
        <v>9</v>
      </c>
      <c r="E7288" s="3" t="s">
        <v>21379</v>
      </c>
      <c r="F7288" s="3" t="str">
        <f>"317.353.8058"</f>
        <v>317.353.8058</v>
      </c>
      <c r="G7288" s="3">
        <v>333514</v>
      </c>
      <c r="H7288" s="3" t="s">
        <v>2115</v>
      </c>
    </row>
    <row r="7289" spans="1:8" ht="51.75" x14ac:dyDescent="0.25">
      <c r="A7289" s="3" t="s">
        <v>21380</v>
      </c>
      <c r="B7289" s="3"/>
      <c r="C7289" s="3" t="str">
        <f>"Professional compounding of prescription and non-prescription drugs, vitamins, supplements and personal care items to meet individual needs"</f>
        <v>Professional compounding of prescription and non-prescription drugs, vitamins, supplements and personal care items to meet individual needs</v>
      </c>
      <c r="D7289" s="3" t="s">
        <v>21381</v>
      </c>
      <c r="E7289" s="3" t="s">
        <v>21382</v>
      </c>
      <c r="F7289" s="3" t="str">
        <f>"812-941-9300"</f>
        <v>812-941-9300</v>
      </c>
      <c r="G7289" s="3">
        <v>446110</v>
      </c>
      <c r="H7289" s="3" t="s">
        <v>3738</v>
      </c>
    </row>
    <row r="7290" spans="1:8" ht="26.25" x14ac:dyDescent="0.25">
      <c r="A7290" s="3" t="s">
        <v>21383</v>
      </c>
      <c r="B7290" s="3"/>
      <c r="C7290" s="3" t="str">
        <f>"HVAC, Commercial Services and Environmental Controls"</f>
        <v>HVAC, Commercial Services and Environmental Controls</v>
      </c>
      <c r="D7290" s="3" t="s">
        <v>21384</v>
      </c>
      <c r="E7290" s="3" t="s">
        <v>21385</v>
      </c>
      <c r="F7290" s="3" t="str">
        <f>"317-241-3000"</f>
        <v>317-241-3000</v>
      </c>
      <c r="G7290" s="3">
        <v>238990</v>
      </c>
      <c r="H7290" s="3" t="s">
        <v>481</v>
      </c>
    </row>
    <row r="7291" spans="1:8" ht="115.5" x14ac:dyDescent="0.25">
      <c r="A7291" s="3" t="s">
        <v>21386</v>
      </c>
      <c r="B7291" s="3"/>
      <c r="C7291" s="3" t="s">
        <v>21387</v>
      </c>
      <c r="D7291" s="3" t="s">
        <v>21388</v>
      </c>
      <c r="E7291" s="3" t="s">
        <v>46</v>
      </c>
      <c r="F7291" s="3" t="str">
        <f>"574-522-2626"</f>
        <v>574-522-2626</v>
      </c>
      <c r="G7291" s="3">
        <v>333513</v>
      </c>
      <c r="H7291" s="3" t="s">
        <v>12465</v>
      </c>
    </row>
    <row r="7292" spans="1:8" ht="51.75" x14ac:dyDescent="0.25">
      <c r="A7292" s="3" t="s">
        <v>21389</v>
      </c>
      <c r="B7292" s="3"/>
      <c r="C7292" s="3" t="str">
        <f>"Landscaping Design, Installation, &amp; Maintenance Irrigation Installation &amp; Repair, Retaining Walls, Lawn Mowing &amp; Maintenance, Christmas Lighting"</f>
        <v>Landscaping Design, Installation, &amp; Maintenance Irrigation Installation &amp; Repair, Retaining Walls, Lawn Mowing &amp; Maintenance, Christmas Lighting</v>
      </c>
      <c r="D7292" s="3" t="s">
        <v>9</v>
      </c>
      <c r="E7292" s="3" t="s">
        <v>21390</v>
      </c>
      <c r="F7292" s="3" t="str">
        <f>"812-435-9750"</f>
        <v>812-435-9750</v>
      </c>
      <c r="G7292" s="3">
        <v>561730</v>
      </c>
      <c r="H7292" s="3" t="s">
        <v>65</v>
      </c>
    </row>
    <row r="7293" spans="1:8" ht="51.75" x14ac:dyDescent="0.25">
      <c r="A7293" s="3" t="s">
        <v>21391</v>
      </c>
      <c r="B7293" s="3"/>
      <c r="C7293" s="3" t="str">
        <f>"We are a custom cabinet company in Indiana, we also do corian solid surface, wood trims, and anything custom made out of wood.."</f>
        <v>We are a custom cabinet company in Indiana, we also do corian solid surface, wood trims, and anything custom made out of wood..</v>
      </c>
      <c r="D7293" s="3" t="s">
        <v>9</v>
      </c>
      <c r="E7293" s="3" t="s">
        <v>21392</v>
      </c>
      <c r="F7293" s="3" t="str">
        <f>"219-462-2124"</f>
        <v>219-462-2124</v>
      </c>
      <c r="G7293" s="3">
        <v>337110</v>
      </c>
      <c r="H7293" s="3" t="s">
        <v>6044</v>
      </c>
    </row>
    <row r="7294" spans="1:8" ht="26.25" x14ac:dyDescent="0.25">
      <c r="A7294" s="3" t="s">
        <v>21393</v>
      </c>
      <c r="B7294" s="3"/>
      <c r="C7294" s="2"/>
      <c r="D7294" s="3" t="s">
        <v>21394</v>
      </c>
      <c r="E7294" s="3" t="s">
        <v>46</v>
      </c>
      <c r="F7294" s="3" t="str">
        <f>"317-882-1852"</f>
        <v>317-882-1852</v>
      </c>
      <c r="G7294" s="3">
        <v>332</v>
      </c>
      <c r="H7294" s="3" t="s">
        <v>2580</v>
      </c>
    </row>
    <row r="7295" spans="1:8" ht="230.25" x14ac:dyDescent="0.25">
      <c r="A7295" s="3" t="s">
        <v>21395</v>
      </c>
      <c r="B7295" s="3"/>
      <c r="C7295" s="3" t="s">
        <v>21396</v>
      </c>
      <c r="D7295" s="3" t="s">
        <v>21397</v>
      </c>
      <c r="E7295" s="3" t="s">
        <v>21398</v>
      </c>
      <c r="F7295" s="3" t="str">
        <f>"260-485-0404"</f>
        <v>260-485-0404</v>
      </c>
      <c r="G7295" s="3">
        <v>238210</v>
      </c>
      <c r="H7295" s="3" t="s">
        <v>306</v>
      </c>
    </row>
    <row r="7296" spans="1:8" ht="141" x14ac:dyDescent="0.25">
      <c r="A7296" s="3" t="s">
        <v>21399</v>
      </c>
      <c r="B7296" s="3"/>
      <c r="C7296" s="3" t="s">
        <v>21400</v>
      </c>
      <c r="D7296" s="3" t="s">
        <v>9</v>
      </c>
      <c r="E7296" s="3" t="s">
        <v>21401</v>
      </c>
      <c r="F7296" s="3" t="str">
        <f>"5742994500"</f>
        <v>5742994500</v>
      </c>
      <c r="G7296" s="3">
        <v>238150</v>
      </c>
      <c r="H7296" s="3" t="s">
        <v>2530</v>
      </c>
    </row>
    <row r="7297" spans="1:8" ht="26.25" x14ac:dyDescent="0.25">
      <c r="A7297" s="3" t="s">
        <v>21402</v>
      </c>
      <c r="B7297" s="3"/>
      <c r="C7297" s="3" t="str">
        <f>"market, manufacture, &amp; sell wire harness products &amp; components"</f>
        <v>market, manufacture, &amp; sell wire harness products &amp; components</v>
      </c>
      <c r="D7297" s="3" t="s">
        <v>9</v>
      </c>
      <c r="E7297" s="3" t="s">
        <v>46</v>
      </c>
      <c r="F7297" s="3" t="str">
        <f>"574-834-7545"</f>
        <v>574-834-7545</v>
      </c>
      <c r="G7297" s="3">
        <v>336322</v>
      </c>
      <c r="H7297" s="3" t="s">
        <v>21403</v>
      </c>
    </row>
    <row r="7298" spans="1:8" ht="115.5" x14ac:dyDescent="0.25">
      <c r="A7298" s="3" t="s">
        <v>21404</v>
      </c>
      <c r="B7298" s="3"/>
      <c r="C7298" s="3" t="s">
        <v>21405</v>
      </c>
      <c r="D7298" s="3" t="s">
        <v>21406</v>
      </c>
      <c r="E7298" s="3" t="s">
        <v>21407</v>
      </c>
      <c r="F7298" s="3" t="str">
        <f>"812-323-2008"</f>
        <v>812-323-2008</v>
      </c>
      <c r="G7298" s="3">
        <v>621511</v>
      </c>
      <c r="H7298" s="3" t="s">
        <v>1240</v>
      </c>
    </row>
    <row r="7299" spans="1:8" ht="51.75" x14ac:dyDescent="0.25">
      <c r="A7299" s="3" t="s">
        <v>21408</v>
      </c>
      <c r="B7299" s="3"/>
      <c r="C7299" s="3" t="str">
        <f>"Prefabrication of electrical assemblies to be sold to electrical contractors. We will also be doing material supply and overstock management services."</f>
        <v>Prefabrication of electrical assemblies to be sold to electrical contractors. We will also be doing material supply and overstock management services.</v>
      </c>
      <c r="D7299" s="3" t="s">
        <v>21409</v>
      </c>
      <c r="E7299" s="3" t="s">
        <v>21410</v>
      </c>
      <c r="F7299" s="3" t="str">
        <f>"317-753-6533"</f>
        <v>317-753-6533</v>
      </c>
      <c r="G7299" s="3">
        <v>444190</v>
      </c>
      <c r="H7299" s="3" t="s">
        <v>1188</v>
      </c>
    </row>
    <row r="7300" spans="1:8" ht="64.5" x14ac:dyDescent="0.25">
      <c r="A7300" s="3" t="s">
        <v>21411</v>
      </c>
      <c r="B7300" s="3"/>
      <c r="C7300" s="3" t="str">
        <f>"We provide home health care services for patients needing, skilled nursing care, Physical, Occupational and Speech Therapy, along with home health aids to residents of Indiana."</f>
        <v>We provide home health care services for patients needing, skilled nursing care, Physical, Occupational and Speech Therapy, along with home health aids to residents of Indiana.</v>
      </c>
      <c r="D7300" s="3" t="s">
        <v>21412</v>
      </c>
      <c r="E7300" s="3" t="s">
        <v>21413</v>
      </c>
      <c r="F7300" s="3" t="str">
        <f>"317-245-7236"</f>
        <v>317-245-7236</v>
      </c>
      <c r="G7300" s="3">
        <v>621610</v>
      </c>
      <c r="H7300" s="3" t="s">
        <v>328</v>
      </c>
    </row>
    <row r="7301" spans="1:8" ht="204.75" x14ac:dyDescent="0.25">
      <c r="A7301" s="3" t="s">
        <v>21414</v>
      </c>
      <c r="B7301" s="3"/>
      <c r="C7301" s="3" t="s">
        <v>21415</v>
      </c>
      <c r="D7301" s="3" t="s">
        <v>21416</v>
      </c>
      <c r="E7301" s="3" t="s">
        <v>21417</v>
      </c>
      <c r="F7301" s="3" t="str">
        <f>"317-354-0680"</f>
        <v>317-354-0680</v>
      </c>
      <c r="G7301" s="3">
        <v>541512</v>
      </c>
      <c r="H7301" s="3" t="s">
        <v>19</v>
      </c>
    </row>
    <row r="7302" spans="1:8" ht="39" x14ac:dyDescent="0.25">
      <c r="A7302" s="3" t="s">
        <v>21418</v>
      </c>
      <c r="B7302" s="3"/>
      <c r="C7302" s="3" t="str">
        <f>"Full title services for both Commercial and Residential properties, including new construction."</f>
        <v>Full title services for both Commercial and Residential properties, including new construction.</v>
      </c>
      <c r="D7302" s="3" t="s">
        <v>8253</v>
      </c>
      <c r="E7302" s="3" t="s">
        <v>21419</v>
      </c>
      <c r="F7302" s="3" t="str">
        <f>"317.580.9301"</f>
        <v>317.580.9301</v>
      </c>
      <c r="G7302" s="3">
        <v>531390</v>
      </c>
      <c r="H7302" s="3" t="s">
        <v>623</v>
      </c>
    </row>
    <row r="7303" spans="1:8" ht="51.75" x14ac:dyDescent="0.25">
      <c r="A7303" s="3" t="s">
        <v>21420</v>
      </c>
      <c r="B7303" s="3"/>
      <c r="C7303" s="3" t="str">
        <f>"Industrial/Commercial Painting, Flooring, Roofing and Sheet metal. We provide our own employees to perform services and can travel across the United States."</f>
        <v>Industrial/Commercial Painting, Flooring, Roofing and Sheet metal. We provide our own employees to perform services and can travel across the United States.</v>
      </c>
      <c r="D7303" s="3" t="s">
        <v>21421</v>
      </c>
      <c r="E7303" s="3" t="s">
        <v>21422</v>
      </c>
      <c r="F7303" s="3" t="str">
        <f>"2604838383"</f>
        <v>2604838383</v>
      </c>
      <c r="G7303" s="3">
        <v>238320</v>
      </c>
      <c r="H7303" s="3" t="s">
        <v>462</v>
      </c>
    </row>
    <row r="7304" spans="1:8" ht="77.25" x14ac:dyDescent="0.25">
      <c r="A7304" s="3" t="s">
        <v>21423</v>
      </c>
      <c r="B7304" s="3"/>
      <c r="C7304" s="3" t="str">
        <f>"We are a floor covering retail store located in Sellersburg, Indiana. We sell and install carpet, vinyl, wood, laminate, ceramic tile, vinyl composition tile, and window blinds. We are able to handle new construction, remodeling, and commercial jobs."</f>
        <v>We are a floor covering retail store located in Sellersburg, Indiana. We sell and install carpet, vinyl, wood, laminate, ceramic tile, vinyl composition tile, and window blinds. We are able to handle new construction, remodeling, and commercial jobs.</v>
      </c>
      <c r="D7304" s="3" t="s">
        <v>9</v>
      </c>
      <c r="E7304" s="3" t="s">
        <v>21424</v>
      </c>
      <c r="F7304" s="3" t="str">
        <f>"812-246-4848"</f>
        <v>812-246-4848</v>
      </c>
      <c r="G7304" s="3">
        <v>442210</v>
      </c>
      <c r="H7304" s="3" t="s">
        <v>2301</v>
      </c>
    </row>
    <row r="7305" spans="1:8" ht="26.25" x14ac:dyDescent="0.25">
      <c r="A7305" s="3" t="s">
        <v>21425</v>
      </c>
      <c r="B7305" s="3"/>
      <c r="C7305" s="3" t="str">
        <f>"Lessor of office, professional, and medical real estate."</f>
        <v>Lessor of office, professional, and medical real estate.</v>
      </c>
      <c r="D7305" s="3" t="s">
        <v>9</v>
      </c>
      <c r="E7305" s="3" t="s">
        <v>21426</v>
      </c>
      <c r="F7305" s="2"/>
      <c r="G7305" s="3">
        <v>531120</v>
      </c>
      <c r="H7305" s="3" t="s">
        <v>2926</v>
      </c>
    </row>
    <row r="7306" spans="1:8" ht="102.75" x14ac:dyDescent="0.25">
      <c r="A7306" s="3" t="s">
        <v>21427</v>
      </c>
      <c r="B7306" s="3"/>
      <c r="C7306" s="3" t="s">
        <v>21428</v>
      </c>
      <c r="D7306" s="3" t="s">
        <v>9</v>
      </c>
      <c r="E7306" s="3" t="s">
        <v>21429</v>
      </c>
      <c r="F7306" s="3" t="str">
        <f>"812-487-2767"</f>
        <v>812-487-2767</v>
      </c>
      <c r="G7306" s="3">
        <v>11</v>
      </c>
      <c r="H7306" s="3" t="s">
        <v>175</v>
      </c>
    </row>
    <row r="7307" spans="1:8" ht="77.25" x14ac:dyDescent="0.25">
      <c r="A7307" s="3" t="s">
        <v>21430</v>
      </c>
      <c r="B7307" s="3"/>
      <c r="C7307" s="3" t="str">
        <f>"Premier Medical Waste Service, Inc. is a northeast Indiana based contract hawler of regulated medical waste (infectious waste, bio-hazardous waste). As of January 2005 we have completed our fourth year of operation."</f>
        <v>Premier Medical Waste Service, Inc. is a northeast Indiana based contract hawler of regulated medical waste (infectious waste, bio-hazardous waste). As of January 2005 we have completed our fourth year of operation.</v>
      </c>
      <c r="D7307" s="3" t="s">
        <v>9</v>
      </c>
      <c r="E7307" s="3" t="s">
        <v>46</v>
      </c>
      <c r="F7307" s="3" t="str">
        <f>"1-800-392-6800"</f>
        <v>1-800-392-6800</v>
      </c>
      <c r="G7307" s="3">
        <v>5621</v>
      </c>
      <c r="H7307" s="3" t="s">
        <v>501</v>
      </c>
    </row>
    <row r="7308" spans="1:8" ht="26.25" x14ac:dyDescent="0.25">
      <c r="A7308" s="3" t="s">
        <v>21431</v>
      </c>
      <c r="B7308" s="3"/>
      <c r="C7308" s="3" t="str">
        <f>"Parts, sales, service of lawn equipment."</f>
        <v>Parts, sales, service of lawn equipment.</v>
      </c>
      <c r="D7308" s="3" t="s">
        <v>21432</v>
      </c>
      <c r="E7308" s="3" t="s">
        <v>21433</v>
      </c>
      <c r="F7308" s="3" t="str">
        <f>"317-738-0618"</f>
        <v>317-738-0618</v>
      </c>
      <c r="G7308" s="3">
        <v>44421</v>
      </c>
      <c r="H7308" s="3" t="s">
        <v>392</v>
      </c>
    </row>
    <row r="7309" spans="1:8" ht="26.25" x14ac:dyDescent="0.25">
      <c r="A7309" s="3" t="s">
        <v>21434</v>
      </c>
      <c r="B7309" s="3"/>
      <c r="C7309" s="3" t="str">
        <f>"Automobile Parts Wholesale Sales"</f>
        <v>Automobile Parts Wholesale Sales</v>
      </c>
      <c r="D7309" s="3" t="s">
        <v>9</v>
      </c>
      <c r="E7309" s="3" t="s">
        <v>21435</v>
      </c>
      <c r="F7309" s="3" t="str">
        <f>"317-787-8201"</f>
        <v>317-787-8201</v>
      </c>
      <c r="G7309" s="3">
        <v>441310</v>
      </c>
      <c r="H7309" s="3" t="s">
        <v>1699</v>
      </c>
    </row>
    <row r="7310" spans="1:8" ht="306.75" x14ac:dyDescent="0.25">
      <c r="A7310" s="3" t="s">
        <v>21436</v>
      </c>
      <c r="B7310" s="3"/>
      <c r="C7310" s="3" t="s">
        <v>21437</v>
      </c>
      <c r="D7310" s="3" t="s">
        <v>9</v>
      </c>
      <c r="E7310" s="3" t="s">
        <v>21438</v>
      </c>
      <c r="F7310" s="2"/>
      <c r="G7310" s="3">
        <v>621340</v>
      </c>
      <c r="H7310" s="3" t="s">
        <v>987</v>
      </c>
    </row>
    <row r="7311" spans="1:8" ht="166.5" x14ac:dyDescent="0.25">
      <c r="A7311" s="3" t="s">
        <v>21439</v>
      </c>
      <c r="B7311" s="3"/>
      <c r="C7311" s="3" t="s">
        <v>21440</v>
      </c>
      <c r="D7311" s="3" t="s">
        <v>21441</v>
      </c>
      <c r="E7311" s="3" t="s">
        <v>21442</v>
      </c>
      <c r="F7311" s="3" t="str">
        <f>"260-353-1200"</f>
        <v>260-353-1200</v>
      </c>
      <c r="G7311" s="3">
        <v>532120</v>
      </c>
      <c r="H7311" s="3" t="s">
        <v>860</v>
      </c>
    </row>
    <row r="7312" spans="1:8" ht="26.25" x14ac:dyDescent="0.25">
      <c r="A7312" s="3" t="s">
        <v>21443</v>
      </c>
      <c r="B7312" s="3"/>
      <c r="C7312" s="3" t="str">
        <f>" "</f>
        <v xml:space="preserve"> </v>
      </c>
      <c r="D7312" s="3" t="s">
        <v>9</v>
      </c>
      <c r="E7312" s="3" t="s">
        <v>21444</v>
      </c>
      <c r="F7312" s="3" t="str">
        <f>"317-536-2824"</f>
        <v>317-536-2824</v>
      </c>
      <c r="G7312" s="3">
        <v>238220</v>
      </c>
      <c r="H7312" s="3" t="s">
        <v>348</v>
      </c>
    </row>
    <row r="7313" spans="1:8" ht="64.5" x14ac:dyDescent="0.25">
      <c r="A7313" s="3" t="s">
        <v>21445</v>
      </c>
      <c r="B7313" s="3"/>
      <c r="C7313" s="3" t="str">
        <f>"Premiere Credit is one of the nation's leading accounts receivable management firms with nearly $4 billion of active inventory representing a diverse set of clients and asset classes."</f>
        <v>Premiere Credit is one of the nation's leading accounts receivable management firms with nearly $4 billion of active inventory representing a diverse set of clients and asset classes.</v>
      </c>
      <c r="D7313" s="3" t="s">
        <v>21446</v>
      </c>
      <c r="E7313" s="3" t="s">
        <v>21447</v>
      </c>
      <c r="F7313" s="3" t="str">
        <f>"317-322-3619"</f>
        <v>317-322-3619</v>
      </c>
      <c r="G7313" s="3">
        <v>561440</v>
      </c>
      <c r="H7313" s="3" t="s">
        <v>473</v>
      </c>
    </row>
    <row r="7314" spans="1:8" ht="102.75" x14ac:dyDescent="0.25">
      <c r="A7314" s="3" t="s">
        <v>21448</v>
      </c>
      <c r="B7314" s="3"/>
      <c r="C7314" s="3" t="s">
        <v>21449</v>
      </c>
      <c r="D7314" s="3" t="s">
        <v>21450</v>
      </c>
      <c r="E7314" s="3" t="s">
        <v>21451</v>
      </c>
      <c r="F7314" s="3" t="str">
        <f>"(317) 542-7680"</f>
        <v>(317) 542-7680</v>
      </c>
      <c r="G7314" s="3">
        <v>621340</v>
      </c>
      <c r="H7314" s="3" t="s">
        <v>987</v>
      </c>
    </row>
    <row r="7315" spans="1:8" ht="26.25" x14ac:dyDescent="0.25">
      <c r="A7315" s="3" t="s">
        <v>21452</v>
      </c>
      <c r="B7315" s="3"/>
      <c r="C7315" s="3" t="str">
        <f>"Highway, commercial and residential concrete contractor."</f>
        <v>Highway, commercial and residential concrete contractor.</v>
      </c>
      <c r="D7315" s="3" t="s">
        <v>9</v>
      </c>
      <c r="E7315" s="3" t="s">
        <v>21453</v>
      </c>
      <c r="F7315" s="3" t="str">
        <f>"574-264-0196"</f>
        <v>574-264-0196</v>
      </c>
      <c r="G7315" s="3">
        <v>23571</v>
      </c>
      <c r="H7315" s="3" t="s">
        <v>576</v>
      </c>
    </row>
    <row r="7316" spans="1:8" ht="39" x14ac:dyDescent="0.25">
      <c r="A7316" s="3" t="s">
        <v>21454</v>
      </c>
      <c r="B7316" s="3"/>
      <c r="C7316" s="3" t="str">
        <f>"Premium Supply, Inc. is a door, frame, hardware, and restroom partition and accessory supplier."</f>
        <v>Premium Supply, Inc. is a door, frame, hardware, and restroom partition and accessory supplier.</v>
      </c>
      <c r="D7316" s="3" t="s">
        <v>9</v>
      </c>
      <c r="E7316" s="3" t="s">
        <v>46</v>
      </c>
      <c r="F7316" s="3" t="str">
        <f>"317-841-8859"</f>
        <v>317-841-8859</v>
      </c>
      <c r="G7316" s="3">
        <v>233</v>
      </c>
      <c r="H7316" s="3" t="s">
        <v>131</v>
      </c>
    </row>
    <row r="7317" spans="1:8" ht="77.25" x14ac:dyDescent="0.25">
      <c r="A7317" s="3" t="s">
        <v>21455</v>
      </c>
      <c r="B7317" s="3"/>
      <c r="C7317" s="3" t="str">
        <f>"Premiums Plus, Inc. sells advertising and promotional products. This includes corporate gifts, consumer giveaways and apparel. The products are imprinted or embroidered with a company logo, slogan or event."</f>
        <v>Premiums Plus, Inc. sells advertising and promotional products. This includes corporate gifts, consumer giveaways and apparel. The products are imprinted or embroidered with a company logo, slogan or event.</v>
      </c>
      <c r="D7317" s="3" t="s">
        <v>21456</v>
      </c>
      <c r="E7317" s="3" t="s">
        <v>21457</v>
      </c>
      <c r="F7317" s="3" t="str">
        <f>"812-471-5700"</f>
        <v>812-471-5700</v>
      </c>
      <c r="G7317" s="3">
        <v>541890</v>
      </c>
      <c r="H7317" s="3" t="s">
        <v>401</v>
      </c>
    </row>
    <row r="7318" spans="1:8" ht="26.25" x14ac:dyDescent="0.25">
      <c r="A7318" s="3" t="s">
        <v>21458</v>
      </c>
      <c r="B7318" s="3"/>
      <c r="C7318" s="2"/>
      <c r="D7318" s="3" t="s">
        <v>21459</v>
      </c>
      <c r="E7318" s="3" t="s">
        <v>21460</v>
      </c>
      <c r="F7318" s="3" t="str">
        <f>"317-415-2226"</f>
        <v>317-415-2226</v>
      </c>
      <c r="G7318" s="3">
        <v>541511</v>
      </c>
      <c r="H7318" s="3" t="s">
        <v>122</v>
      </c>
    </row>
    <row r="7319" spans="1:8" ht="255.75" x14ac:dyDescent="0.25">
      <c r="A7319" s="3" t="s">
        <v>21461</v>
      </c>
      <c r="B7319" s="3"/>
      <c r="C7319" s="3" t="s">
        <v>21462</v>
      </c>
      <c r="D7319" s="3" t="s">
        <v>21463</v>
      </c>
      <c r="E7319" s="3" t="s">
        <v>21464</v>
      </c>
      <c r="F7319" s="3" t="str">
        <f>"8887737742"</f>
        <v>8887737742</v>
      </c>
      <c r="G7319" s="3">
        <v>541910</v>
      </c>
      <c r="H7319" s="3" t="s">
        <v>510</v>
      </c>
    </row>
    <row r="7320" spans="1:8" ht="64.5" x14ac:dyDescent="0.25">
      <c r="A7320" s="3" t="s">
        <v>21465</v>
      </c>
      <c r="B7320" s="3"/>
      <c r="C7320" s="3" t="str">
        <f>"Printing and mailing co. Provides printing and mailing services for commerical , educational and general public. Bus. stationary, flyers, brochures, posters, manuels at a competitive price."</f>
        <v>Printing and mailing co. Provides printing and mailing services for commerical , educational and general public. Bus. stationary, flyers, brochures, posters, manuels at a competitive price.</v>
      </c>
      <c r="D7320" s="3" t="s">
        <v>21466</v>
      </c>
      <c r="E7320" s="3" t="s">
        <v>21467</v>
      </c>
      <c r="F7320" s="3" t="str">
        <f>"8122343815"</f>
        <v>8122343815</v>
      </c>
      <c r="G7320" s="3">
        <v>323</v>
      </c>
      <c r="H7320" s="3" t="s">
        <v>302</v>
      </c>
    </row>
    <row r="7321" spans="1:8" ht="26.25" x14ac:dyDescent="0.25">
      <c r="A7321" s="3" t="s">
        <v>21468</v>
      </c>
      <c r="B7321" s="3"/>
      <c r="C7321" s="3" t="str">
        <f>"Promotional Advertising Products &amp; Imprinted Corporate Apparel"</f>
        <v>Promotional Advertising Products &amp; Imprinted Corporate Apparel</v>
      </c>
      <c r="D7321" s="3" t="s">
        <v>9</v>
      </c>
      <c r="E7321" s="3" t="s">
        <v>46</v>
      </c>
      <c r="F7321" s="2"/>
      <c r="G7321" s="3">
        <v>541890</v>
      </c>
      <c r="H7321" s="3" t="s">
        <v>401</v>
      </c>
    </row>
    <row r="7322" spans="1:8" ht="26.25" x14ac:dyDescent="0.25">
      <c r="A7322" s="3" t="s">
        <v>21469</v>
      </c>
      <c r="B7322" s="3"/>
      <c r="C7322" s="3" t="str">
        <f>" "</f>
        <v xml:space="preserve"> </v>
      </c>
      <c r="D7322" s="3" t="s">
        <v>21470</v>
      </c>
      <c r="E7322" s="3" t="s">
        <v>21471</v>
      </c>
      <c r="F7322" s="3" t="str">
        <f>"317-215-5041"</f>
        <v>317-215-5041</v>
      </c>
      <c r="G7322" s="3">
        <v>424120</v>
      </c>
      <c r="H7322" s="3" t="s">
        <v>411</v>
      </c>
    </row>
    <row r="7323" spans="1:8" ht="64.5" x14ac:dyDescent="0.25">
      <c r="A7323" s="3" t="s">
        <v>21472</v>
      </c>
      <c r="B7323" s="3"/>
      <c r="C7323" s="3" t="str">
        <f>"Price Construction Group LLC is a General Contracting/Construction Management firm. We are a Minority Owned/Operated firm pursuing opportunities within the Commercial Market."</f>
        <v>Price Construction Group LLC is a General Contracting/Construction Management firm. We are a Minority Owned/Operated firm pursuing opportunities within the Commercial Market.</v>
      </c>
      <c r="D7323" s="3" t="s">
        <v>9</v>
      </c>
      <c r="E7323" s="3" t="s">
        <v>21473</v>
      </c>
      <c r="F7323" s="3" t="str">
        <f>"317-616-8204"</f>
        <v>317-616-8204</v>
      </c>
      <c r="G7323" s="3">
        <v>2333</v>
      </c>
      <c r="H7323" s="3" t="s">
        <v>423</v>
      </c>
    </row>
    <row r="7324" spans="1:8" ht="204.75" x14ac:dyDescent="0.25">
      <c r="A7324" s="3" t="s">
        <v>21474</v>
      </c>
      <c r="B7324" s="3"/>
      <c r="C7324" s="3" t="s">
        <v>21475</v>
      </c>
      <c r="D7324" s="3" t="s">
        <v>9</v>
      </c>
      <c r="E7324" s="3" t="s">
        <v>21476</v>
      </c>
      <c r="F7324" s="3" t="str">
        <f>"317-545-4482"</f>
        <v>317-545-4482</v>
      </c>
      <c r="G7324" s="3">
        <v>561410</v>
      </c>
      <c r="H7324" s="3" t="s">
        <v>4164</v>
      </c>
    </row>
    <row r="7325" spans="1:8" ht="51.75" x14ac:dyDescent="0.25">
      <c r="A7325" s="3" t="s">
        <v>21477</v>
      </c>
      <c r="B7325" s="3"/>
      <c r="C7325" s="3" t="str">
        <f>"Human Resources Consulting Services; Administrative Management and General Management Consulting Services; Computer Systems Design Services."</f>
        <v>Human Resources Consulting Services; Administrative Management and General Management Consulting Services; Computer Systems Design Services.</v>
      </c>
      <c r="D7325" s="3" t="s">
        <v>9</v>
      </c>
      <c r="E7325" s="3" t="s">
        <v>21478</v>
      </c>
      <c r="F7325" s="3" t="str">
        <f>"317-501-3676"</f>
        <v>317-501-3676</v>
      </c>
      <c r="G7325" s="3">
        <v>541612</v>
      </c>
      <c r="H7325" s="3" t="s">
        <v>1923</v>
      </c>
    </row>
    <row r="7326" spans="1:8" ht="102.75" x14ac:dyDescent="0.25">
      <c r="A7326" s="3" t="s">
        <v>21479</v>
      </c>
      <c r="B7326" s="3"/>
      <c r="C7326" s="3" t="s">
        <v>21480</v>
      </c>
      <c r="D7326" s="3" t="s">
        <v>21481</v>
      </c>
      <c r="E7326" s="3" t="s">
        <v>21482</v>
      </c>
      <c r="F7326" s="3" t="str">
        <f>"260-424-0444"</f>
        <v>260-424-0444</v>
      </c>
      <c r="G7326" s="3">
        <v>541330</v>
      </c>
      <c r="H7326" s="3" t="s">
        <v>82</v>
      </c>
    </row>
    <row r="7327" spans="1:8" ht="39" x14ac:dyDescent="0.25">
      <c r="A7327" s="3" t="s">
        <v>21483</v>
      </c>
      <c r="B7327" s="3"/>
      <c r="C7327" s="3" t="str">
        <f>"Provide consumer product to retail,distributers,and government entities including our current line of Pet Products."</f>
        <v>Provide consumer product to retail,distributers,and government entities including our current line of Pet Products.</v>
      </c>
      <c r="D7327" s="3" t="s">
        <v>21484</v>
      </c>
      <c r="E7327" s="3" t="s">
        <v>21485</v>
      </c>
      <c r="F7327" s="3" t="str">
        <f>"219-756-8500"</f>
        <v>219-756-8500</v>
      </c>
      <c r="G7327" s="3">
        <v>453910</v>
      </c>
      <c r="H7327" s="3" t="s">
        <v>21486</v>
      </c>
    </row>
    <row r="7328" spans="1:8" ht="39" x14ac:dyDescent="0.25">
      <c r="A7328" s="3" t="s">
        <v>21487</v>
      </c>
      <c r="B7328" s="3"/>
      <c r="C7328" s="3" t="str">
        <f>"Provide business and technical project management consulting, education and a training services."</f>
        <v>Provide business and technical project management consulting, education and a training services.</v>
      </c>
      <c r="D7328" s="3" t="s">
        <v>9</v>
      </c>
      <c r="E7328" s="3" t="s">
        <v>21488</v>
      </c>
      <c r="F7328" s="3" t="str">
        <f>"317-440-7405"</f>
        <v>317-440-7405</v>
      </c>
      <c r="G7328" s="3">
        <v>5416</v>
      </c>
      <c r="H7328" s="3" t="s">
        <v>194</v>
      </c>
    </row>
    <row r="7329" spans="1:8" ht="204.75" x14ac:dyDescent="0.25">
      <c r="A7329" s="3" t="s">
        <v>21489</v>
      </c>
      <c r="B7329" s="3"/>
      <c r="C7329" s="3" t="s">
        <v>21490</v>
      </c>
      <c r="D7329" s="3" t="s">
        <v>21491</v>
      </c>
      <c r="E7329" s="3" t="s">
        <v>21492</v>
      </c>
      <c r="F7329" s="3" t="str">
        <f>"812-424-5575"</f>
        <v>812-424-5575</v>
      </c>
      <c r="G7329" s="3">
        <v>423830</v>
      </c>
      <c r="H7329" s="3" t="s">
        <v>172</v>
      </c>
    </row>
    <row r="7330" spans="1:8" ht="217.5" x14ac:dyDescent="0.25">
      <c r="A7330" s="3" t="s">
        <v>21493</v>
      </c>
      <c r="B7330" s="3"/>
      <c r="C7330" s="3" t="s">
        <v>21494</v>
      </c>
      <c r="D7330" s="3" t="s">
        <v>21495</v>
      </c>
      <c r="E7330" s="3" t="s">
        <v>21496</v>
      </c>
      <c r="F7330" s="3" t="str">
        <f>"812.876.1143"</f>
        <v>812.876.1143</v>
      </c>
      <c r="G7330" s="3">
        <v>45321</v>
      </c>
      <c r="H7330" s="3" t="s">
        <v>431</v>
      </c>
    </row>
    <row r="7331" spans="1:8" ht="26.25" x14ac:dyDescent="0.25">
      <c r="A7331" s="3" t="s">
        <v>21497</v>
      </c>
      <c r="B7331" s="3"/>
      <c r="C7331" s="3" t="str">
        <f>"Printer supply, sales and service."</f>
        <v>Printer supply, sales and service.</v>
      </c>
      <c r="D7331" s="3" t="s">
        <v>9</v>
      </c>
      <c r="E7331" s="3" t="s">
        <v>46</v>
      </c>
      <c r="F7331" s="3" t="str">
        <f>"888-215-3102"</f>
        <v>888-215-3102</v>
      </c>
      <c r="G7331" s="3">
        <v>453210</v>
      </c>
      <c r="H7331" s="3" t="s">
        <v>431</v>
      </c>
    </row>
    <row r="7332" spans="1:8" ht="26.25" x14ac:dyDescent="0.25">
      <c r="A7332" s="3" t="s">
        <v>21498</v>
      </c>
      <c r="B7332" s="3"/>
      <c r="C7332" s="3" t="str">
        <f>"Full service catering and banquet facility"</f>
        <v>Full service catering and banquet facility</v>
      </c>
      <c r="D7332" s="3" t="s">
        <v>21499</v>
      </c>
      <c r="E7332" s="3" t="s">
        <v>21500</v>
      </c>
      <c r="F7332" s="3" t="str">
        <f>"317-788-4140"</f>
        <v>317-788-4140</v>
      </c>
      <c r="G7332" s="3">
        <v>722320</v>
      </c>
      <c r="H7332" s="3" t="s">
        <v>266</v>
      </c>
    </row>
    <row r="7333" spans="1:8" ht="255.75" x14ac:dyDescent="0.25">
      <c r="A7333" s="3" t="s">
        <v>21501</v>
      </c>
      <c r="B7333" s="3"/>
      <c r="C7333" s="3" t="s">
        <v>21502</v>
      </c>
      <c r="D7333" s="3" t="s">
        <v>21503</v>
      </c>
      <c r="E7333" s="3" t="s">
        <v>21504</v>
      </c>
      <c r="F7333" s="3" t="str">
        <f>"317-261-0070"</f>
        <v>317-261-0070</v>
      </c>
      <c r="G7333" s="3">
        <v>5413</v>
      </c>
      <c r="H7333" s="3" t="s">
        <v>1116</v>
      </c>
    </row>
    <row r="7334" spans="1:8" ht="51.75" x14ac:dyDescent="0.25">
      <c r="A7334" s="3" t="s">
        <v>21505</v>
      </c>
      <c r="B7334" s="3"/>
      <c r="C7334" s="3" t="str">
        <f>"Medical Equipment and Supplies including home health care, pharmaceuticals, lab and diagnostic , and all general health care related supplies and equipment."</f>
        <v>Medical Equipment and Supplies including home health care, pharmaceuticals, lab and diagnostic , and all general health care related supplies and equipment.</v>
      </c>
      <c r="D7334" s="3" t="s">
        <v>21506</v>
      </c>
      <c r="E7334" s="3" t="s">
        <v>21507</v>
      </c>
      <c r="F7334" s="3" t="str">
        <f>"888-519-4077"</f>
        <v>888-519-4077</v>
      </c>
      <c r="G7334" s="3">
        <v>423450</v>
      </c>
      <c r="H7334" s="3" t="s">
        <v>1406</v>
      </c>
    </row>
    <row r="7335" spans="1:8" ht="64.5" x14ac:dyDescent="0.25">
      <c r="A7335" s="3" t="s">
        <v>21508</v>
      </c>
      <c r="B7335" s="3"/>
      <c r="C7335" s="3" t="str">
        <f>"We prepare tax returns for individuals and business, and also do payroll and bookkeeping. And, through a new website, we offer supplies to business and governments."</f>
        <v>We prepare tax returns for individuals and business, and also do payroll and bookkeeping. And, through a new website, we offer supplies to business and governments.</v>
      </c>
      <c r="D7335" s="3" t="s">
        <v>9</v>
      </c>
      <c r="E7335" s="3" t="s">
        <v>21509</v>
      </c>
      <c r="F7335" s="3" t="str">
        <f>"(812) 476-1040"</f>
        <v>(812) 476-1040</v>
      </c>
      <c r="G7335" s="3">
        <v>485310</v>
      </c>
      <c r="H7335" s="3" t="s">
        <v>21510</v>
      </c>
    </row>
    <row r="7336" spans="1:8" ht="179.25" x14ac:dyDescent="0.25">
      <c r="A7336" s="3" t="s">
        <v>21511</v>
      </c>
      <c r="B7336" s="3"/>
      <c r="C7336" s="3" t="s">
        <v>21512</v>
      </c>
      <c r="D7336" s="3" t="s">
        <v>21513</v>
      </c>
      <c r="E7336" s="3" t="s">
        <v>21514</v>
      </c>
      <c r="F7336" s="3" t="str">
        <f>"3177132997"</f>
        <v>3177132997</v>
      </c>
      <c r="G7336" s="3">
        <v>923120</v>
      </c>
      <c r="H7336" s="3" t="s">
        <v>611</v>
      </c>
    </row>
    <row r="7337" spans="1:8" ht="128.25" x14ac:dyDescent="0.25">
      <c r="A7337" s="3" t="s">
        <v>21515</v>
      </c>
      <c r="B7337" s="3"/>
      <c r="C7337" s="3" t="s">
        <v>21516</v>
      </c>
      <c r="D7337" s="3" t="s">
        <v>21517</v>
      </c>
      <c r="E7337" s="3" t="s">
        <v>21518</v>
      </c>
      <c r="F7337" s="3" t="str">
        <f>"317-833-7000"</f>
        <v>317-833-7000</v>
      </c>
      <c r="G7337" s="3">
        <v>323111</v>
      </c>
      <c r="H7337" s="3" t="s">
        <v>4911</v>
      </c>
    </row>
    <row r="7338" spans="1:8" ht="268.5" x14ac:dyDescent="0.25">
      <c r="A7338" s="3" t="s">
        <v>21519</v>
      </c>
      <c r="B7338" s="3"/>
      <c r="C7338" s="3" t="s">
        <v>21520</v>
      </c>
      <c r="D7338" s="3" t="s">
        <v>9</v>
      </c>
      <c r="E7338" s="3" t="s">
        <v>21521</v>
      </c>
      <c r="F7338" s="2"/>
      <c r="G7338" s="3">
        <v>453210</v>
      </c>
      <c r="H7338" s="3" t="s">
        <v>431</v>
      </c>
    </row>
    <row r="7339" spans="1:8" x14ac:dyDescent="0.25">
      <c r="A7339" s="3" t="s">
        <v>21522</v>
      </c>
      <c r="B7339" s="3"/>
      <c r="C7339" s="3" t="str">
        <f>" "</f>
        <v xml:space="preserve"> </v>
      </c>
      <c r="D7339" s="3" t="s">
        <v>9</v>
      </c>
      <c r="E7339" s="3" t="s">
        <v>46</v>
      </c>
      <c r="F7339" s="2"/>
      <c r="G7339" s="3">
        <v>4221</v>
      </c>
      <c r="H7339" s="3" t="s">
        <v>21523</v>
      </c>
    </row>
    <row r="7340" spans="1:8" ht="77.25" x14ac:dyDescent="0.25">
      <c r="A7340" s="3" t="s">
        <v>21524</v>
      </c>
      <c r="B7340" s="3"/>
      <c r="C7340" s="3" t="str">
        <f>"PrintExchange is a WBE Marketing firm specializing in printed products including but not limited to Commericial Printing, Ad Specialties, Graphic Design, Writing, indoor and outdoor Signage and additional creative services."</f>
        <v>PrintExchange is a WBE Marketing firm specializing in printed products including but not limited to Commericial Printing, Ad Specialties, Graphic Design, Writing, indoor and outdoor Signage and additional creative services.</v>
      </c>
      <c r="D7340" s="3" t="s">
        <v>21525</v>
      </c>
      <c r="E7340" s="3" t="s">
        <v>21526</v>
      </c>
      <c r="F7340" s="3" t="str">
        <f>"317-251-8100"</f>
        <v>317-251-8100</v>
      </c>
      <c r="G7340" s="3">
        <v>561990</v>
      </c>
      <c r="H7340" s="3" t="s">
        <v>219</v>
      </c>
    </row>
    <row r="7341" spans="1:8" ht="115.5" x14ac:dyDescent="0.25">
      <c r="A7341" s="3" t="s">
        <v>21527</v>
      </c>
      <c r="B7341" s="3"/>
      <c r="C7341" s="3" t="s">
        <v>21528</v>
      </c>
      <c r="D7341" s="3" t="s">
        <v>21529</v>
      </c>
      <c r="E7341" s="3" t="s">
        <v>21530</v>
      </c>
      <c r="F7341" s="3" t="str">
        <f>"2199884186"</f>
        <v>2199884186</v>
      </c>
      <c r="G7341" s="3">
        <v>5418</v>
      </c>
      <c r="H7341" s="3" t="s">
        <v>1337</v>
      </c>
    </row>
    <row r="7342" spans="1:8" ht="39" x14ac:dyDescent="0.25">
      <c r="A7342" s="3" t="s">
        <v>21531</v>
      </c>
      <c r="B7342" s="3"/>
      <c r="C7342" s="3" t="str">
        <f>"Full service offset and digital printing services with full bindery, mailing and fulfillment services"</f>
        <v>Full service offset and digital printing services with full bindery, mailing and fulfillment services</v>
      </c>
      <c r="D7342" s="3" t="s">
        <v>21532</v>
      </c>
      <c r="E7342" s="3" t="s">
        <v>21533</v>
      </c>
      <c r="F7342" s="3" t="str">
        <f>"317-908-7715"</f>
        <v>317-908-7715</v>
      </c>
      <c r="G7342" s="3">
        <v>32311</v>
      </c>
      <c r="H7342" s="3" t="s">
        <v>531</v>
      </c>
    </row>
    <row r="7343" spans="1:8" ht="179.25" x14ac:dyDescent="0.25">
      <c r="A7343" s="3" t="s">
        <v>21534</v>
      </c>
      <c r="B7343" s="3"/>
      <c r="C7343" s="3" t="s">
        <v>21535</v>
      </c>
      <c r="D7343" s="3" t="s">
        <v>21536</v>
      </c>
      <c r="E7343" s="3" t="s">
        <v>21537</v>
      </c>
      <c r="F7343" s="3" t="str">
        <f>"502-368-6555"</f>
        <v>502-368-6555</v>
      </c>
      <c r="G7343" s="3">
        <v>323110</v>
      </c>
      <c r="H7343" s="3" t="s">
        <v>1900</v>
      </c>
    </row>
    <row r="7344" spans="1:8" ht="26.25" x14ac:dyDescent="0.25">
      <c r="A7344" s="3" t="s">
        <v>21538</v>
      </c>
      <c r="B7344" s="3"/>
      <c r="C7344" s="3" t="str">
        <f>" "</f>
        <v xml:space="preserve"> </v>
      </c>
      <c r="D7344" s="3" t="s">
        <v>21539</v>
      </c>
      <c r="E7344" s="3" t="s">
        <v>21540</v>
      </c>
      <c r="F7344" s="3" t="str">
        <f>"502-368-6555"</f>
        <v>502-368-6555</v>
      </c>
      <c r="G7344" s="3">
        <v>323110</v>
      </c>
      <c r="H7344" s="3" t="s">
        <v>1900</v>
      </c>
    </row>
    <row r="7345" spans="1:8" ht="243" x14ac:dyDescent="0.25">
      <c r="A7345" s="3" t="s">
        <v>21541</v>
      </c>
      <c r="B7345" s="3"/>
      <c r="C7345" s="3" t="s">
        <v>21542</v>
      </c>
      <c r="D7345" s="3" t="s">
        <v>21543</v>
      </c>
      <c r="E7345" s="3" t="s">
        <v>21544</v>
      </c>
      <c r="F7345" s="3" t="str">
        <f>"317-241-4234"</f>
        <v>317-241-4234</v>
      </c>
      <c r="G7345" s="3">
        <v>32311</v>
      </c>
      <c r="H7345" s="3" t="s">
        <v>531</v>
      </c>
    </row>
    <row r="7346" spans="1:8" ht="51.75" x14ac:dyDescent="0.25">
      <c r="A7346" s="3" t="s">
        <v>21545</v>
      </c>
      <c r="B7346" s="3"/>
      <c r="C7346" s="3" t="str">
        <f>"Fire Alarm, Card Access, Security, Sound, Central Station Monitoring, Communications, and Fire Extinguishers Service &amp; Sales."</f>
        <v>Fire Alarm, Card Access, Security, Sound, Central Station Monitoring, Communications, and Fire Extinguishers Service &amp; Sales.</v>
      </c>
      <c r="D7346" s="3" t="s">
        <v>9</v>
      </c>
      <c r="E7346" s="3" t="s">
        <v>21546</v>
      </c>
      <c r="F7346" s="3" t="str">
        <f>"812-437-3473"</f>
        <v>812-437-3473</v>
      </c>
      <c r="G7346" s="3">
        <v>423990</v>
      </c>
      <c r="H7346" s="3" t="s">
        <v>983</v>
      </c>
    </row>
    <row r="7347" spans="1:8" ht="102.75" x14ac:dyDescent="0.25">
      <c r="A7347" s="3" t="s">
        <v>21547</v>
      </c>
      <c r="B7347" s="3"/>
      <c r="C7347" s="3" t="s">
        <v>21548</v>
      </c>
      <c r="D7347" s="3" t="s">
        <v>21549</v>
      </c>
      <c r="E7347" s="3" t="s">
        <v>21550</v>
      </c>
      <c r="F7347" s="3" t="str">
        <f>"317-724-8617"</f>
        <v>317-724-8617</v>
      </c>
      <c r="G7347" s="3">
        <v>561720</v>
      </c>
      <c r="H7347" s="3" t="s">
        <v>222</v>
      </c>
    </row>
    <row r="7348" spans="1:8" ht="51.75" x14ac:dyDescent="0.25">
      <c r="A7348" s="3" t="s">
        <v>21551</v>
      </c>
      <c r="B7348" s="3"/>
      <c r="C7348" s="3" t="str">
        <f>"Pritchett Photography provides professional photography services for a reasonable price. Seniors, family, and sports photography. Studio or outdoors."</f>
        <v>Pritchett Photography provides professional photography services for a reasonable price. Seniors, family, and sports photography. Studio or outdoors.</v>
      </c>
      <c r="D7348" s="3" t="s">
        <v>21552</v>
      </c>
      <c r="E7348" s="3" t="s">
        <v>21553</v>
      </c>
      <c r="F7348" s="3" t="str">
        <f>"317-910-2991"</f>
        <v>317-910-2991</v>
      </c>
      <c r="G7348" s="3">
        <v>541921</v>
      </c>
      <c r="H7348" s="3" t="s">
        <v>1325</v>
      </c>
    </row>
    <row r="7349" spans="1:8" ht="294" x14ac:dyDescent="0.25">
      <c r="A7349" s="3" t="s">
        <v>21554</v>
      </c>
      <c r="B7349" s="3"/>
      <c r="C7349" s="3" t="s">
        <v>21555</v>
      </c>
      <c r="D7349" s="3" t="s">
        <v>21556</v>
      </c>
      <c r="E7349" s="3" t="s">
        <v>21557</v>
      </c>
      <c r="F7349" s="3" t="str">
        <f>"317-774-9490"</f>
        <v>317-774-9490</v>
      </c>
      <c r="G7349" s="3">
        <v>52</v>
      </c>
      <c r="H7349" s="3" t="s">
        <v>50</v>
      </c>
    </row>
    <row r="7350" spans="1:8" ht="128.25" x14ac:dyDescent="0.25">
      <c r="A7350" s="3" t="s">
        <v>21558</v>
      </c>
      <c r="B7350" s="3"/>
      <c r="C7350" s="3" t="s">
        <v>21559</v>
      </c>
      <c r="D7350" s="3" t="s">
        <v>21560</v>
      </c>
      <c r="E7350" s="3" t="s">
        <v>21561</v>
      </c>
      <c r="F7350" s="3" t="str">
        <f>"317 504-7046"</f>
        <v>317 504-7046</v>
      </c>
      <c r="G7350" s="3">
        <v>541612</v>
      </c>
      <c r="H7350" s="3" t="s">
        <v>1923</v>
      </c>
    </row>
    <row r="7351" spans="1:8" ht="39" x14ac:dyDescent="0.25">
      <c r="A7351" s="3" t="s">
        <v>21562</v>
      </c>
      <c r="B7351" s="3"/>
      <c r="C7351" s="3" t="str">
        <f>"Landscape design and installation, irrigation design and installation, lawn maintenance."</f>
        <v>Landscape design and installation, irrigation design and installation, lawn maintenance.</v>
      </c>
      <c r="D7351" s="3" t="s">
        <v>9</v>
      </c>
      <c r="E7351" s="3" t="s">
        <v>21563</v>
      </c>
      <c r="F7351" s="3" t="str">
        <f>"574-674-8196"</f>
        <v>574-674-8196</v>
      </c>
      <c r="G7351" s="3">
        <v>541320</v>
      </c>
      <c r="H7351" s="3" t="s">
        <v>2241</v>
      </c>
    </row>
    <row r="7352" spans="1:8" ht="39" x14ac:dyDescent="0.25">
      <c r="A7352" s="3" t="s">
        <v>21564</v>
      </c>
      <c r="B7352" s="3"/>
      <c r="C7352" s="3" t="str">
        <f>"We provide all services required for parking lot maintenance. We also install decorative concrete coatings over existing concrete."</f>
        <v>We provide all services required for parking lot maintenance. We also install decorative concrete coatings over existing concrete.</v>
      </c>
      <c r="D7352" s="3" t="s">
        <v>9</v>
      </c>
      <c r="E7352" s="3" t="s">
        <v>21565</v>
      </c>
      <c r="F7352" s="3" t="str">
        <f>"219-324-4755"</f>
        <v>219-324-4755</v>
      </c>
      <c r="G7352" s="3">
        <v>2359</v>
      </c>
      <c r="H7352" s="3" t="s">
        <v>631</v>
      </c>
    </row>
    <row r="7353" spans="1:8" ht="39" x14ac:dyDescent="0.25">
      <c r="A7353" s="3" t="s">
        <v>21566</v>
      </c>
      <c r="B7353" s="3"/>
      <c r="C7353" s="3" t="str">
        <f>"We hang and finish drywall. Commercial and residential. We are fully insured and experienced."</f>
        <v>We hang and finish drywall. Commercial and residential. We are fully insured and experienced.</v>
      </c>
      <c r="D7353" s="3" t="s">
        <v>9</v>
      </c>
      <c r="E7353" s="3" t="s">
        <v>21567</v>
      </c>
      <c r="F7353" s="3" t="str">
        <f>"812-654-2500"</f>
        <v>812-654-2500</v>
      </c>
      <c r="G7353" s="3">
        <v>2354</v>
      </c>
      <c r="H7353" s="3" t="s">
        <v>17147</v>
      </c>
    </row>
    <row r="7354" spans="1:8" ht="51.75" x14ac:dyDescent="0.25">
      <c r="A7354" s="3" t="s">
        <v>21568</v>
      </c>
      <c r="B7354" s="3"/>
      <c r="C7354" s="3" t="str">
        <f>"Pro Grass Cutters, LLC is a full service lawn service company offering commercial mowing and landscape services. We are the pros of lawn service!"</f>
        <v>Pro Grass Cutters, LLC is a full service lawn service company offering commercial mowing and landscape services. We are the pros of lawn service!</v>
      </c>
      <c r="D7354" s="3" t="s">
        <v>21569</v>
      </c>
      <c r="E7354" s="3" t="s">
        <v>21570</v>
      </c>
      <c r="F7354" s="3" t="str">
        <f>"812-455-0700"</f>
        <v>812-455-0700</v>
      </c>
      <c r="G7354" s="3">
        <v>561730</v>
      </c>
      <c r="H7354" s="3" t="s">
        <v>65</v>
      </c>
    </row>
    <row r="7355" spans="1:8" ht="39" x14ac:dyDescent="0.25">
      <c r="A7355" s="3" t="s">
        <v>21571</v>
      </c>
      <c r="B7355" s="3"/>
      <c r="C7355" s="3" t="str">
        <f>"power wash paint and stain interior and exterior surfaces of buildings. We can spray brush and roll."</f>
        <v>power wash paint and stain interior and exterior surfaces of buildings. We can spray brush and roll.</v>
      </c>
      <c r="D7355" s="3" t="s">
        <v>9</v>
      </c>
      <c r="E7355" s="3" t="s">
        <v>21572</v>
      </c>
      <c r="F7355" s="3" t="str">
        <f>"574 533 4595"</f>
        <v>574 533 4595</v>
      </c>
      <c r="G7355" s="3">
        <v>238320</v>
      </c>
      <c r="H7355" s="3" t="s">
        <v>462</v>
      </c>
    </row>
    <row r="7356" spans="1:8" ht="51.75" x14ac:dyDescent="0.25">
      <c r="A7356" s="3" t="s">
        <v>21573</v>
      </c>
      <c r="B7356" s="3"/>
      <c r="C7356" s="3" t="str">
        <f>"Manufacturer, Packager and Marketer of Branded and Private Label Water Treatment Chemicals, Test Kits, Demonstration Kits and Soap Products"</f>
        <v>Manufacturer, Packager and Marketer of Branded and Private Label Water Treatment Chemicals, Test Kits, Demonstration Kits and Soap Products</v>
      </c>
      <c r="D7356" s="3" t="s">
        <v>21574</v>
      </c>
      <c r="E7356" s="3" t="s">
        <v>21575</v>
      </c>
      <c r="F7356" s="3" t="str">
        <f>"260-490-5970"</f>
        <v>260-490-5970</v>
      </c>
      <c r="G7356" s="3">
        <v>325998</v>
      </c>
      <c r="H7356" s="3" t="s">
        <v>7066</v>
      </c>
    </row>
    <row r="7357" spans="1:8" ht="179.25" x14ac:dyDescent="0.25">
      <c r="A7357" s="3" t="s">
        <v>21576</v>
      </c>
      <c r="B7357" s="3"/>
      <c r="C7357" s="3" t="s">
        <v>21577</v>
      </c>
      <c r="D7357" s="3" t="s">
        <v>21578</v>
      </c>
      <c r="E7357" s="3" t="s">
        <v>21579</v>
      </c>
      <c r="F7357" s="3" t="str">
        <f>"1-260-420-2117"</f>
        <v>1-260-420-2117</v>
      </c>
      <c r="G7357" s="3">
        <v>561320</v>
      </c>
      <c r="H7357" s="3" t="s">
        <v>15</v>
      </c>
    </row>
    <row r="7358" spans="1:8" ht="64.5" x14ac:dyDescent="0.25">
      <c r="A7358" s="3" t="s">
        <v>21580</v>
      </c>
      <c r="B7358" s="3"/>
      <c r="C7358" s="3" t="str">
        <f>"Pro Tech Builders, LLC provides a wide variety of property maintenance services for the Commercial &amp; Residential property owner. Our services range from Grounds care &amp; Maintenance to Janitorial services."</f>
        <v>Pro Tech Builders, LLC provides a wide variety of property maintenance services for the Commercial &amp; Residential property owner. Our services range from Grounds care &amp; Maintenance to Janitorial services.</v>
      </c>
      <c r="D7358" s="3" t="s">
        <v>9</v>
      </c>
      <c r="E7358" s="3" t="s">
        <v>21581</v>
      </c>
      <c r="F7358" s="3" t="str">
        <f>"765-966-6103"</f>
        <v>765-966-6103</v>
      </c>
      <c r="G7358" s="3">
        <v>48</v>
      </c>
      <c r="H7358" s="3" t="s">
        <v>104</v>
      </c>
    </row>
    <row r="7359" spans="1:8" ht="26.25" x14ac:dyDescent="0.25">
      <c r="A7359" s="3" t="s">
        <v>21582</v>
      </c>
      <c r="B7359" s="3"/>
      <c r="C7359" s="3" t="str">
        <f>"GPS Offender Tracking and Monitoring"</f>
        <v>GPS Offender Tracking and Monitoring</v>
      </c>
      <c r="D7359" s="3" t="s">
        <v>21583</v>
      </c>
      <c r="E7359" s="3" t="s">
        <v>46</v>
      </c>
      <c r="F7359" s="3" t="str">
        <f>"813-749-5454"</f>
        <v>813-749-5454</v>
      </c>
      <c r="G7359" s="3">
        <v>541990</v>
      </c>
      <c r="H7359" s="3" t="s">
        <v>378</v>
      </c>
    </row>
    <row r="7360" spans="1:8" ht="153.75" x14ac:dyDescent="0.25">
      <c r="A7360" s="3" t="s">
        <v>21584</v>
      </c>
      <c r="B7360" s="3"/>
      <c r="C7360" s="3" t="s">
        <v>21585</v>
      </c>
      <c r="D7360" s="3" t="s">
        <v>9</v>
      </c>
      <c r="E7360" s="3" t="s">
        <v>21586</v>
      </c>
      <c r="F7360" s="3" t="str">
        <f>"765.610.4342"</f>
        <v>765.610.4342</v>
      </c>
      <c r="G7360" s="3">
        <v>11</v>
      </c>
      <c r="H7360" s="3" t="s">
        <v>175</v>
      </c>
    </row>
    <row r="7361" spans="1:8" ht="51.75" x14ac:dyDescent="0.25">
      <c r="A7361" s="3" t="s">
        <v>21587</v>
      </c>
      <c r="B7361" s="3"/>
      <c r="C7361" s="3" t="str">
        <f>"Manufacture of police vehicle equipment. Gun Racks, Vehicle Partitions, Prisoner Transport Seats and Floor Pans, Push Bumpers, and Organizers."</f>
        <v>Manufacture of police vehicle equipment. Gun Racks, Vehicle Partitions, Prisoner Transport Seats and Floor Pans, Push Bumpers, and Organizers.</v>
      </c>
      <c r="D7361" s="3" t="s">
        <v>21588</v>
      </c>
      <c r="E7361" s="3" t="s">
        <v>21589</v>
      </c>
      <c r="F7361" s="3" t="str">
        <f>"317-579-6680"</f>
        <v>317-579-6680</v>
      </c>
      <c r="G7361" s="3">
        <v>3399</v>
      </c>
      <c r="H7361" s="3" t="s">
        <v>2236</v>
      </c>
    </row>
    <row r="7362" spans="1:8" ht="268.5" x14ac:dyDescent="0.25">
      <c r="A7362" s="3" t="s">
        <v>21590</v>
      </c>
      <c r="B7362" s="3"/>
      <c r="C7362" s="3" t="s">
        <v>21591</v>
      </c>
      <c r="D7362" s="3" t="s">
        <v>21592</v>
      </c>
      <c r="E7362" s="3" t="s">
        <v>21593</v>
      </c>
      <c r="F7362" s="3" t="str">
        <f>"1-800-928-3461"</f>
        <v>1-800-928-3461</v>
      </c>
      <c r="G7362" s="3">
        <v>334612</v>
      </c>
      <c r="H7362" s="3" t="s">
        <v>21594</v>
      </c>
    </row>
    <row r="7363" spans="1:8" ht="90" x14ac:dyDescent="0.25">
      <c r="A7363" s="3" t="s">
        <v>21595</v>
      </c>
      <c r="B7363" s="3"/>
      <c r="C7363" s="3" t="str">
        <f>"Fabricated metal, stainless steel, and aluminum products including: Laser Cutting, Plasma Cutting, Forming, Smaller Stampings, Welding, Machining, Saw Cutting. Value added services include: Engineering &amp; Designing, Painting and Powder Coating."</f>
        <v>Fabricated metal, stainless steel, and aluminum products including: Laser Cutting, Plasma Cutting, Forming, Smaller Stampings, Welding, Machining, Saw Cutting. Value added services include: Engineering &amp; Designing, Painting and Powder Coating.</v>
      </c>
      <c r="D7363" s="3" t="s">
        <v>21596</v>
      </c>
      <c r="E7363" s="3" t="s">
        <v>21597</v>
      </c>
      <c r="F7363" s="3" t="str">
        <f>"765-742-4200"</f>
        <v>765-742-4200</v>
      </c>
      <c r="G7363" s="3">
        <v>332</v>
      </c>
      <c r="H7363" s="3" t="s">
        <v>2580</v>
      </c>
    </row>
    <row r="7364" spans="1:8" ht="64.5" x14ac:dyDescent="0.25">
      <c r="A7364" s="3" t="s">
        <v>21598</v>
      </c>
      <c r="B7364" s="3"/>
      <c r="C7364" s="3" t="str">
        <f>"Marketing, manufacturing and installation of building exterior facades including, composite metal panels, insulated metal panels, plate panels, phenolic panels, terracotta stone, glass, glazing and roofing."</f>
        <v>Marketing, manufacturing and installation of building exterior facades including, composite metal panels, insulated metal panels, plate panels, phenolic panels, terracotta stone, glass, glazing and roofing.</v>
      </c>
      <c r="D7364" s="3" t="s">
        <v>21599</v>
      </c>
      <c r="E7364" s="3" t="s">
        <v>21600</v>
      </c>
      <c r="F7364" s="3" t="str">
        <f>"3178455300"</f>
        <v>3178455300</v>
      </c>
      <c r="G7364" s="3">
        <v>238170</v>
      </c>
      <c r="H7364" s="3" t="s">
        <v>21601</v>
      </c>
    </row>
    <row r="7365" spans="1:8" ht="77.25" x14ac:dyDescent="0.25">
      <c r="A7365" s="3" t="s">
        <v>21602</v>
      </c>
      <c r="B7365" s="3"/>
      <c r="C7365" s="3" t="str">
        <f>"I provide professional services to the construction industry(ie.)Project Management,Construction Management,sub-contractor,general contractor,bids,estimates,designs,planning,training and marketing."</f>
        <v>I provide professional services to the construction industry(ie.)Project Management,Construction Management,sub-contractor,general contractor,bids,estimates,designs,planning,training and marketing.</v>
      </c>
      <c r="D7365" s="3" t="s">
        <v>21603</v>
      </c>
      <c r="E7365" s="3" t="s">
        <v>21604</v>
      </c>
      <c r="F7365" s="3" t="str">
        <f>"8125901587"</f>
        <v>8125901587</v>
      </c>
      <c r="G7365" s="3">
        <v>236116</v>
      </c>
      <c r="H7365" s="3" t="s">
        <v>438</v>
      </c>
    </row>
    <row r="7366" spans="1:8" ht="102.75" x14ac:dyDescent="0.25">
      <c r="A7366" s="3" t="s">
        <v>21605</v>
      </c>
      <c r="B7366" s="3"/>
      <c r="C7366" s="3" t="s">
        <v>21606</v>
      </c>
      <c r="D7366" s="3" t="s">
        <v>21607</v>
      </c>
      <c r="E7366" s="3" t="s">
        <v>21608</v>
      </c>
      <c r="F7366" s="3" t="str">
        <f>"(317) 566-9117"</f>
        <v>(317) 566-9117</v>
      </c>
      <c r="G7366" s="3">
        <v>621399</v>
      </c>
      <c r="H7366" s="3" t="s">
        <v>2306</v>
      </c>
    </row>
    <row r="7367" spans="1:8" ht="128.25" x14ac:dyDescent="0.25">
      <c r="A7367" s="3" t="s">
        <v>21609</v>
      </c>
      <c r="B7367" s="3"/>
      <c r="C7367" s="3" t="s">
        <v>21610</v>
      </c>
      <c r="D7367" s="3" t="s">
        <v>21611</v>
      </c>
      <c r="E7367" s="3" t="s">
        <v>21612</v>
      </c>
      <c r="F7367" s="3" t="str">
        <f>"317-861-8701"</f>
        <v>317-861-8701</v>
      </c>
      <c r="G7367" s="3">
        <v>323110</v>
      </c>
      <c r="H7367" s="3" t="s">
        <v>1900</v>
      </c>
    </row>
    <row r="7368" spans="1:8" ht="90" x14ac:dyDescent="0.25">
      <c r="A7368" s="3" t="s">
        <v>21609</v>
      </c>
      <c r="B7368" s="3"/>
      <c r="C7368" s="3" t="s">
        <v>21613</v>
      </c>
      <c r="D7368" s="3" t="s">
        <v>21611</v>
      </c>
      <c r="E7368" s="3" t="s">
        <v>21612</v>
      </c>
      <c r="F7368" s="3" t="str">
        <f>"317.861.8701"</f>
        <v>317.861.8701</v>
      </c>
      <c r="G7368" s="3">
        <v>32311</v>
      </c>
      <c r="H7368" s="3" t="s">
        <v>531</v>
      </c>
    </row>
    <row r="7369" spans="1:8" ht="26.25" x14ac:dyDescent="0.25">
      <c r="A7369" s="3" t="s">
        <v>21614</v>
      </c>
      <c r="B7369" s="3"/>
      <c r="C7369" s="3" t="str">
        <f>"Certified CDL test sites for State of Indiana"</f>
        <v>Certified CDL test sites for State of Indiana</v>
      </c>
      <c r="D7369" s="3" t="s">
        <v>21615</v>
      </c>
      <c r="E7369" s="3" t="s">
        <v>21616</v>
      </c>
      <c r="F7369" s="3" t="str">
        <f>"317-791-6375"</f>
        <v>317-791-6375</v>
      </c>
      <c r="G7369" s="3">
        <v>23599</v>
      </c>
      <c r="H7369" s="3" t="s">
        <v>248</v>
      </c>
    </row>
    <row r="7370" spans="1:8" ht="115.5" x14ac:dyDescent="0.25">
      <c r="A7370" s="3" t="s">
        <v>21617</v>
      </c>
      <c r="B7370" s="3"/>
      <c r="C7370" s="3" t="s">
        <v>21618</v>
      </c>
      <c r="D7370" s="3" t="s">
        <v>21619</v>
      </c>
      <c r="E7370" s="3" t="s">
        <v>46</v>
      </c>
      <c r="F7370" s="3" t="str">
        <f>"812-471-7777"</f>
        <v>812-471-7777</v>
      </c>
      <c r="G7370" s="3">
        <v>541690</v>
      </c>
      <c r="H7370" s="3" t="s">
        <v>652</v>
      </c>
    </row>
    <row r="7371" spans="1:8" ht="179.25" x14ac:dyDescent="0.25">
      <c r="A7371" s="3" t="s">
        <v>21620</v>
      </c>
      <c r="B7371" s="3"/>
      <c r="C7371" s="3" t="s">
        <v>21621</v>
      </c>
      <c r="D7371" s="3" t="s">
        <v>21622</v>
      </c>
      <c r="E7371" s="3" t="s">
        <v>21623</v>
      </c>
      <c r="F7371" s="3" t="str">
        <f>"317-258-3552"</f>
        <v>317-258-3552</v>
      </c>
      <c r="G7371" s="3">
        <v>541690</v>
      </c>
      <c r="H7371" s="3" t="s">
        <v>652</v>
      </c>
    </row>
    <row r="7372" spans="1:8" ht="39" x14ac:dyDescent="0.25">
      <c r="A7372" s="3" t="s">
        <v>21624</v>
      </c>
      <c r="B7372" s="3"/>
      <c r="C7372" s="3" t="str">
        <f>"I provide credit card processing services, along with processing equipment and software."</f>
        <v>I provide credit card processing services, along with processing equipment and software.</v>
      </c>
      <c r="D7372" s="3" t="s">
        <v>9</v>
      </c>
      <c r="E7372" s="3" t="s">
        <v>21625</v>
      </c>
      <c r="F7372" s="3" t="str">
        <f>"765-430-0069"</f>
        <v>765-430-0069</v>
      </c>
      <c r="G7372" s="3">
        <v>522320</v>
      </c>
      <c r="H7372" s="3" t="s">
        <v>3975</v>
      </c>
    </row>
    <row r="7373" spans="1:8" ht="26.25" x14ac:dyDescent="0.25">
      <c r="A7373" s="3" t="s">
        <v>21626</v>
      </c>
      <c r="B7373" s="3"/>
      <c r="C7373" s="3" t="str">
        <f>"We provide temporary staff for the food service and hospitality industry."</f>
        <v>We provide temporary staff for the food service and hospitality industry.</v>
      </c>
      <c r="D7373" s="3" t="s">
        <v>21627</v>
      </c>
      <c r="E7373" s="3" t="s">
        <v>21628</v>
      </c>
      <c r="F7373" s="3" t="str">
        <f>"(317) 412-9252"</f>
        <v>(317) 412-9252</v>
      </c>
      <c r="G7373" s="3">
        <v>72231</v>
      </c>
      <c r="H7373" s="3" t="s">
        <v>1050</v>
      </c>
    </row>
    <row r="7374" spans="1:8" ht="77.25" x14ac:dyDescent="0.25">
      <c r="A7374" s="3" t="s">
        <v>21629</v>
      </c>
      <c r="B7374" s="3"/>
      <c r="C7374" s="3" t="str">
        <f>"Producers Plus was created in March 2003 as an independent production company specializing in local programming and currently produces the weekly Hoosier Millionaire game show for an eight station statewide network."</f>
        <v>Producers Plus was created in March 2003 as an independent production company specializing in local programming and currently produces the weekly Hoosier Millionaire game show for an eight station statewide network.</v>
      </c>
      <c r="D7374" s="3" t="s">
        <v>9</v>
      </c>
      <c r="E7374" s="3" t="s">
        <v>21630</v>
      </c>
      <c r="F7374" s="3" t="str">
        <f>"317-430-2565"</f>
        <v>317-430-2565</v>
      </c>
      <c r="G7374" s="3">
        <v>512110</v>
      </c>
      <c r="H7374" s="3" t="s">
        <v>406</v>
      </c>
    </row>
    <row r="7375" spans="1:8" ht="39" x14ac:dyDescent="0.25">
      <c r="A7375" s="3" t="s">
        <v>21631</v>
      </c>
      <c r="B7375" s="3"/>
      <c r="C7375" s="3" t="str">
        <f>"Alternative Fuel Converter"</f>
        <v>Alternative Fuel Converter</v>
      </c>
      <c r="D7375" s="3" t="s">
        <v>21632</v>
      </c>
      <c r="E7375" s="3" t="s">
        <v>21633</v>
      </c>
      <c r="F7375" s="3" t="str">
        <f>"1-888-964-6009 EXT 238"</f>
        <v>1-888-964-6009 EXT 238</v>
      </c>
      <c r="G7375" s="3">
        <v>336399</v>
      </c>
      <c r="H7375" s="3" t="s">
        <v>16125</v>
      </c>
    </row>
    <row r="7376" spans="1:8" ht="255.75" x14ac:dyDescent="0.25">
      <c r="A7376" s="3" t="s">
        <v>21634</v>
      </c>
      <c r="B7376" s="3"/>
      <c r="C7376" s="3" t="s">
        <v>21635</v>
      </c>
      <c r="D7376" s="3" t="s">
        <v>21632</v>
      </c>
      <c r="E7376" s="3" t="s">
        <v>21636</v>
      </c>
      <c r="F7376" s="3" t="str">
        <f>"765-964-6009"</f>
        <v>765-964-6009</v>
      </c>
      <c r="G7376" s="3">
        <v>3363</v>
      </c>
      <c r="H7376" s="3" t="s">
        <v>20505</v>
      </c>
    </row>
    <row r="7377" spans="1:8" ht="319.5" x14ac:dyDescent="0.25">
      <c r="A7377" s="3" t="s">
        <v>21637</v>
      </c>
      <c r="B7377" s="3"/>
      <c r="C7377" s="3" t="s">
        <v>21638</v>
      </c>
      <c r="D7377" s="3" t="s">
        <v>21639</v>
      </c>
      <c r="E7377" s="3" t="s">
        <v>21640</v>
      </c>
      <c r="F7377" s="3" t="str">
        <f>"574-239-2444"</f>
        <v>574-239-2444</v>
      </c>
      <c r="G7377" s="3">
        <v>541511</v>
      </c>
      <c r="H7377" s="3" t="s">
        <v>122</v>
      </c>
    </row>
    <row r="7378" spans="1:8" ht="102.75" x14ac:dyDescent="0.25">
      <c r="A7378" s="3" t="s">
        <v>21641</v>
      </c>
      <c r="B7378" s="3"/>
      <c r="C7378" s="3" t="s">
        <v>21642</v>
      </c>
      <c r="D7378" s="3" t="s">
        <v>21643</v>
      </c>
      <c r="E7378" s="3" t="s">
        <v>21644</v>
      </c>
      <c r="F7378" s="3" t="str">
        <f>"317-245-4040"</f>
        <v>317-245-4040</v>
      </c>
      <c r="G7378" s="3">
        <v>541614</v>
      </c>
      <c r="H7378" s="3" t="s">
        <v>107</v>
      </c>
    </row>
    <row r="7379" spans="1:8" ht="26.25" x14ac:dyDescent="0.25">
      <c r="A7379" s="3" t="s">
        <v>21645</v>
      </c>
      <c r="B7379" s="3"/>
      <c r="C7379" s="3" t="str">
        <f>"Private practice outpatient mental health services."</f>
        <v>Private practice outpatient mental health services.</v>
      </c>
      <c r="D7379" s="3" t="s">
        <v>9</v>
      </c>
      <c r="E7379" s="3" t="s">
        <v>46</v>
      </c>
      <c r="F7379" s="2"/>
      <c r="G7379" s="3">
        <v>621112</v>
      </c>
      <c r="H7379" s="3" t="s">
        <v>1112</v>
      </c>
    </row>
    <row r="7380" spans="1:8" ht="39" x14ac:dyDescent="0.25">
      <c r="A7380" s="3" t="s">
        <v>21646</v>
      </c>
      <c r="B7380" s="3"/>
      <c r="C7380" s="3" t="str">
        <f>"PAI provides diagnostic and evaluation services, that include social, psychological and developmental assessments."</f>
        <v>PAI provides diagnostic and evaluation services, that include social, psychological and developmental assessments.</v>
      </c>
      <c r="D7380" s="3" t="s">
        <v>9</v>
      </c>
      <c r="E7380" s="3" t="s">
        <v>21647</v>
      </c>
      <c r="F7380" s="3" t="str">
        <f>"317-252-2620"</f>
        <v>317-252-2620</v>
      </c>
      <c r="G7380" s="3">
        <v>621330</v>
      </c>
      <c r="H7380" s="3" t="s">
        <v>2643</v>
      </c>
    </row>
    <row r="7381" spans="1:8" ht="115.5" x14ac:dyDescent="0.25">
      <c r="A7381" s="3" t="s">
        <v>21648</v>
      </c>
      <c r="B7381" s="3"/>
      <c r="C7381" s="3" t="s">
        <v>21649</v>
      </c>
      <c r="D7381" s="3" t="s">
        <v>21650</v>
      </c>
      <c r="E7381" s="3" t="s">
        <v>21651</v>
      </c>
      <c r="F7381" s="3" t="str">
        <f>"317-754-1916"</f>
        <v>317-754-1916</v>
      </c>
      <c r="G7381" s="3">
        <v>541613</v>
      </c>
      <c r="H7381" s="3" t="s">
        <v>558</v>
      </c>
    </row>
    <row r="7382" spans="1:8" ht="51.75" x14ac:dyDescent="0.25">
      <c r="A7382" s="3" t="s">
        <v>21652</v>
      </c>
      <c r="B7382" s="3"/>
      <c r="C7382" s="3" t="str">
        <f>"Short-term trade school offering training in HVAC, maintenance technician, Certified Nursing Assistant, office administrative skills, and other related courses."</f>
        <v>Short-term trade school offering training in HVAC, maintenance technician, Certified Nursing Assistant, office administrative skills, and other related courses.</v>
      </c>
      <c r="D7382" s="3" t="s">
        <v>21653</v>
      </c>
      <c r="E7382" s="3" t="s">
        <v>46</v>
      </c>
      <c r="F7382" s="3" t="str">
        <f>"317-925-2066"</f>
        <v>317-925-2066</v>
      </c>
      <c r="G7382" s="3">
        <v>611210</v>
      </c>
      <c r="H7382" s="3" t="s">
        <v>21654</v>
      </c>
    </row>
    <row r="7383" spans="1:8" ht="90" x14ac:dyDescent="0.25">
      <c r="A7383" s="3" t="s">
        <v>21655</v>
      </c>
      <c r="B7383" s="3"/>
      <c r="C7383" s="3" t="str">
        <f>"Professional Case Management Services, Inc. provides quality case management services to individuals on the Medicaid Home and Community Based Waiver Program. Our coverage area includes Monroe, Lawrence, Green, Owen, Brown, and Morgan counties."</f>
        <v>Professional Case Management Services, Inc. provides quality case management services to individuals on the Medicaid Home and Community Based Waiver Program. Our coverage area includes Monroe, Lawrence, Green, Owen, Brown, and Morgan counties.</v>
      </c>
      <c r="D7383" s="3" t="s">
        <v>9</v>
      </c>
      <c r="E7383" s="3" t="s">
        <v>21656</v>
      </c>
      <c r="F7383" s="3" t="str">
        <f>"812-935-8841"</f>
        <v>812-935-8841</v>
      </c>
      <c r="G7383" s="3">
        <v>624120</v>
      </c>
      <c r="H7383" s="3" t="s">
        <v>22</v>
      </c>
    </row>
    <row r="7384" spans="1:8" ht="217.5" x14ac:dyDescent="0.25">
      <c r="A7384" s="3" t="s">
        <v>21657</v>
      </c>
      <c r="B7384" s="3"/>
      <c r="C7384" s="3" t="s">
        <v>21658</v>
      </c>
      <c r="D7384" s="3" t="s">
        <v>21659</v>
      </c>
      <c r="E7384" s="3" t="s">
        <v>21660</v>
      </c>
      <c r="F7384" s="3" t="str">
        <f>"(812)373-9001"</f>
        <v>(812)373-9001</v>
      </c>
      <c r="G7384" s="3">
        <v>541511</v>
      </c>
      <c r="H7384" s="3" t="s">
        <v>122</v>
      </c>
    </row>
    <row r="7385" spans="1:8" ht="39" x14ac:dyDescent="0.25">
      <c r="A7385" s="3" t="s">
        <v>21661</v>
      </c>
      <c r="B7385" s="3"/>
      <c r="C7385" s="3" t="str">
        <f>"Residential &amp; Commercial Roofing Contractor working only in the state of Indiana"</f>
        <v>Residential &amp; Commercial Roofing Contractor working only in the state of Indiana</v>
      </c>
      <c r="D7385" s="3" t="s">
        <v>9</v>
      </c>
      <c r="E7385" s="3" t="s">
        <v>21662</v>
      </c>
      <c r="F7385" s="3" t="str">
        <f>"812 824 3006"</f>
        <v>812 824 3006</v>
      </c>
      <c r="G7385" s="3">
        <v>238160</v>
      </c>
      <c r="H7385" s="3" t="s">
        <v>144</v>
      </c>
    </row>
    <row r="7386" spans="1:8" ht="51.75" x14ac:dyDescent="0.25">
      <c r="A7386" s="3" t="s">
        <v>21663</v>
      </c>
      <c r="B7386" s="3"/>
      <c r="C7386" s="3" t="str">
        <f>"IT Consulting Services Application Development Desktop Support Network Services Technical Writing Testing and Validation"</f>
        <v>IT Consulting Services Application Development Desktop Support Network Services Technical Writing Testing and Validation</v>
      </c>
      <c r="D7386" s="3" t="s">
        <v>21664</v>
      </c>
      <c r="E7386" s="3" t="s">
        <v>21665</v>
      </c>
      <c r="F7386" s="3" t="str">
        <f>"317-636-7355"</f>
        <v>317-636-7355</v>
      </c>
      <c r="G7386" s="3">
        <v>541511</v>
      </c>
      <c r="H7386" s="3" t="s">
        <v>122</v>
      </c>
    </row>
    <row r="7387" spans="1:8" ht="230.25" x14ac:dyDescent="0.25">
      <c r="A7387" s="3" t="s">
        <v>21666</v>
      </c>
      <c r="B7387" s="3"/>
      <c r="C7387" s="3" t="s">
        <v>21667</v>
      </c>
      <c r="D7387" s="3" t="s">
        <v>21668</v>
      </c>
      <c r="E7387" s="3" t="s">
        <v>21669</v>
      </c>
      <c r="F7387" s="3" t="str">
        <f>"812-339-6374"</f>
        <v>812-339-6374</v>
      </c>
      <c r="G7387" s="3">
        <v>81</v>
      </c>
      <c r="H7387" s="3" t="s">
        <v>751</v>
      </c>
    </row>
    <row r="7388" spans="1:8" ht="179.25" x14ac:dyDescent="0.25">
      <c r="A7388" s="3" t="s">
        <v>21670</v>
      </c>
      <c r="B7388" s="3"/>
      <c r="C7388" s="3" t="s">
        <v>21671</v>
      </c>
      <c r="D7388" s="3" t="s">
        <v>21672</v>
      </c>
      <c r="E7388" s="3" t="s">
        <v>21673</v>
      </c>
      <c r="F7388" s="3" t="str">
        <f>"765-656-0350"</f>
        <v>765-656-0350</v>
      </c>
      <c r="G7388" s="3">
        <v>611430</v>
      </c>
      <c r="H7388" s="3" t="s">
        <v>1224</v>
      </c>
    </row>
    <row r="7389" spans="1:8" ht="39" x14ac:dyDescent="0.25">
      <c r="A7389" s="3" t="s">
        <v>21674</v>
      </c>
      <c r="B7389" s="3"/>
      <c r="C7389" s="3" t="str">
        <f>"Structural engineering services for new and existing buildings. Peer reviews; condition assessments: due diligence reports"</f>
        <v>Structural engineering services for new and existing buildings. Peer reviews; condition assessments: due diligence reports</v>
      </c>
      <c r="D7389" s="3" t="s">
        <v>21675</v>
      </c>
      <c r="E7389" s="3" t="s">
        <v>21676</v>
      </c>
      <c r="F7389" s="3" t="str">
        <f>"317-770-0086"</f>
        <v>317-770-0086</v>
      </c>
      <c r="G7389" s="3">
        <v>5413</v>
      </c>
      <c r="H7389" s="3" t="s">
        <v>1116</v>
      </c>
    </row>
    <row r="7390" spans="1:8" ht="26.25" x14ac:dyDescent="0.25">
      <c r="A7390" s="3" t="s">
        <v>21677</v>
      </c>
      <c r="B7390" s="3"/>
      <c r="C7390" s="3" t="str">
        <f>"We are a locally owned funeral home and crematory."</f>
        <v>We are a locally owned funeral home and crematory.</v>
      </c>
      <c r="D7390" s="3" t="s">
        <v>21678</v>
      </c>
      <c r="E7390" s="3" t="s">
        <v>21679</v>
      </c>
      <c r="F7390" s="3" t="str">
        <f>"219-872-8412"</f>
        <v>219-872-8412</v>
      </c>
      <c r="G7390" s="3">
        <v>23599</v>
      </c>
      <c r="H7390" s="3" t="s">
        <v>248</v>
      </c>
    </row>
    <row r="7391" spans="1:8" ht="102.75" x14ac:dyDescent="0.25">
      <c r="A7391" s="3" t="s">
        <v>21680</v>
      </c>
      <c r="B7391" s="3"/>
      <c r="C7391" s="3" t="s">
        <v>21681</v>
      </c>
      <c r="D7391" s="3" t="s">
        <v>21682</v>
      </c>
      <c r="E7391" s="3" t="s">
        <v>21683</v>
      </c>
      <c r="F7391" s="3" t="str">
        <f>"317-257-3466"</f>
        <v>317-257-3466</v>
      </c>
      <c r="G7391" s="3">
        <v>541890</v>
      </c>
      <c r="H7391" s="3" t="s">
        <v>401</v>
      </c>
    </row>
    <row r="7392" spans="1:8" ht="90" x14ac:dyDescent="0.25">
      <c r="A7392" s="3" t="s">
        <v>21684</v>
      </c>
      <c r="B7392" s="3"/>
      <c r="C7392" s="3" t="str">
        <f>"Professional Glass Co., Inc. is a locally owned/operated Indiana corporation established in 1967. We specialize in auto glass, flat glass (residential/commercial/industrial), custom picture framing, and architectural aluminum storefronts."</f>
        <v>Professional Glass Co., Inc. is a locally owned/operated Indiana corporation established in 1967. We specialize in auto glass, flat glass (residential/commercial/industrial), custom picture framing, and architectural aluminum storefronts.</v>
      </c>
      <c r="D7392" s="3" t="s">
        <v>9</v>
      </c>
      <c r="E7392" s="3" t="s">
        <v>21685</v>
      </c>
      <c r="F7392" s="3" t="str">
        <f>"765-832-6589"</f>
        <v>765-832-6589</v>
      </c>
      <c r="G7392" s="3">
        <v>23815</v>
      </c>
      <c r="H7392" s="3" t="s">
        <v>2530</v>
      </c>
    </row>
    <row r="7393" spans="1:8" ht="77.25" x14ac:dyDescent="0.25">
      <c r="A7393" s="3" t="s">
        <v>21686</v>
      </c>
      <c r="B7393" s="3"/>
      <c r="C7393" s="3" t="str">
        <f>"PGS provides facility management services to include full janitorial, lighting upgrades, general contracting, snow removal, lawn care, landscaping, handyman services, asphalt maintenance, and more. We provide many services from one vendor."</f>
        <v>PGS provides facility management services to include full janitorial, lighting upgrades, general contracting, snow removal, lawn care, landscaping, handyman services, asphalt maintenance, and more. We provide many services from one vendor.</v>
      </c>
      <c r="D7393" s="3" t="s">
        <v>21687</v>
      </c>
      <c r="E7393" s="3" t="s">
        <v>21688</v>
      </c>
      <c r="F7393" s="3" t="str">
        <f>"317.688.8898"</f>
        <v>317.688.8898</v>
      </c>
      <c r="G7393" s="3">
        <v>561720</v>
      </c>
      <c r="H7393" s="3" t="s">
        <v>222</v>
      </c>
    </row>
    <row r="7394" spans="1:8" ht="179.25" x14ac:dyDescent="0.25">
      <c r="A7394" s="3" t="s">
        <v>21689</v>
      </c>
      <c r="B7394" s="3"/>
      <c r="C7394" s="3" t="s">
        <v>21690</v>
      </c>
      <c r="D7394" s="3" t="s">
        <v>21691</v>
      </c>
      <c r="E7394" s="3" t="s">
        <v>21692</v>
      </c>
      <c r="F7394" s="3" t="str">
        <f>"219-947-4349"</f>
        <v>219-947-4349</v>
      </c>
      <c r="G7394" s="3">
        <v>541512</v>
      </c>
      <c r="H7394" s="3" t="s">
        <v>19</v>
      </c>
    </row>
    <row r="7395" spans="1:8" ht="64.5" x14ac:dyDescent="0.25">
      <c r="A7395" s="3" t="s">
        <v>21693</v>
      </c>
      <c r="B7395" s="3"/>
      <c r="C7395" s="3" t="str">
        <f>"We provide lawn care applications including fertilization and weed control. We also provide mowing and trimming services, landscape and mulching projects, and snow removal services."</f>
        <v>We provide lawn care applications including fertilization and weed control. We also provide mowing and trimming services, landscape and mulching projects, and snow removal services.</v>
      </c>
      <c r="D7395" s="3" t="s">
        <v>21694</v>
      </c>
      <c r="E7395" s="3" t="s">
        <v>21695</v>
      </c>
      <c r="F7395" s="3" t="str">
        <f>"812.490.1818"</f>
        <v>812.490.1818</v>
      </c>
      <c r="G7395" s="3">
        <v>561730</v>
      </c>
      <c r="H7395" s="3" t="s">
        <v>65</v>
      </c>
    </row>
    <row r="7396" spans="1:8" ht="26.25" x14ac:dyDescent="0.25">
      <c r="A7396" s="3" t="s">
        <v>21696</v>
      </c>
      <c r="B7396" s="3"/>
      <c r="C7396" s="3" t="str">
        <f>"PLS provides on-site locomotive maintenance, repairs, and parts."</f>
        <v>PLS provides on-site locomotive maintenance, repairs, and parts.</v>
      </c>
      <c r="D7396" s="3" t="s">
        <v>21697</v>
      </c>
      <c r="E7396" s="3" t="s">
        <v>21698</v>
      </c>
      <c r="F7396" s="3" t="str">
        <f>"(219) 398-9123"</f>
        <v>(219) 398-9123</v>
      </c>
      <c r="G7396" s="3">
        <v>488210</v>
      </c>
      <c r="H7396" s="3" t="s">
        <v>21699</v>
      </c>
    </row>
    <row r="7397" spans="1:8" ht="153.75" x14ac:dyDescent="0.25">
      <c r="A7397" s="3" t="s">
        <v>21700</v>
      </c>
      <c r="B7397" s="3"/>
      <c r="C7397" s="3" t="s">
        <v>21701</v>
      </c>
      <c r="D7397" s="3" t="s">
        <v>21702</v>
      </c>
      <c r="E7397" s="3" t="s">
        <v>21703</v>
      </c>
      <c r="F7397" s="3" t="str">
        <f>"317-506-4921"</f>
        <v>317-506-4921</v>
      </c>
      <c r="G7397" s="3">
        <v>5613</v>
      </c>
      <c r="H7397" s="3" t="s">
        <v>1882</v>
      </c>
    </row>
    <row r="7398" spans="1:8" ht="115.5" x14ac:dyDescent="0.25">
      <c r="A7398" s="3" t="s">
        <v>21704</v>
      </c>
      <c r="B7398" s="3"/>
      <c r="C7398" s="3" t="s">
        <v>21705</v>
      </c>
      <c r="D7398" s="3" t="s">
        <v>9</v>
      </c>
      <c r="E7398" s="3" t="s">
        <v>46</v>
      </c>
      <c r="F7398" s="2"/>
      <c r="G7398" s="3">
        <v>541614</v>
      </c>
      <c r="H7398" s="3" t="s">
        <v>107</v>
      </c>
    </row>
    <row r="7399" spans="1:8" ht="26.25" x14ac:dyDescent="0.25">
      <c r="A7399" s="3" t="s">
        <v>21706</v>
      </c>
      <c r="B7399" s="3"/>
      <c r="C7399" s="3" t="str">
        <f>" "</f>
        <v xml:space="preserve"> </v>
      </c>
      <c r="D7399" s="3" t="s">
        <v>21707</v>
      </c>
      <c r="E7399" s="3" t="s">
        <v>21708</v>
      </c>
      <c r="F7399" s="3" t="str">
        <f>"3175812288"</f>
        <v>3175812288</v>
      </c>
      <c r="G7399" s="3">
        <v>62</v>
      </c>
      <c r="H7399" s="3" t="s">
        <v>1168</v>
      </c>
    </row>
    <row r="7400" spans="1:8" ht="153.75" x14ac:dyDescent="0.25">
      <c r="A7400" s="3" t="s">
        <v>21709</v>
      </c>
      <c r="B7400" s="3"/>
      <c r="C7400" s="3" t="s">
        <v>21710</v>
      </c>
      <c r="D7400" s="3" t="s">
        <v>9</v>
      </c>
      <c r="E7400" s="3" t="s">
        <v>21711</v>
      </c>
      <c r="F7400" s="3" t="str">
        <f>"317-431-1581"</f>
        <v>317-431-1581</v>
      </c>
      <c r="G7400" s="3">
        <v>2331</v>
      </c>
      <c r="H7400" s="3" t="s">
        <v>408</v>
      </c>
    </row>
    <row r="7401" spans="1:8" ht="26.25" x14ac:dyDescent="0.25">
      <c r="A7401" s="3" t="s">
        <v>21712</v>
      </c>
      <c r="B7401" s="3"/>
      <c r="C7401" s="3" t="str">
        <f>"LICENSED, INSURED AND BONDED, 30% WHEN WE COLLECT, NO RESULTS-NO FEE."</f>
        <v>LICENSED, INSURED AND BONDED, 30% WHEN WE COLLECT, NO RESULTS-NO FEE.</v>
      </c>
      <c r="D7401" s="3" t="s">
        <v>21713</v>
      </c>
      <c r="E7401" s="3" t="s">
        <v>21714</v>
      </c>
      <c r="F7401" s="3" t="str">
        <f>"260-456-1555"</f>
        <v>260-456-1555</v>
      </c>
      <c r="G7401" s="3">
        <v>561440</v>
      </c>
      <c r="H7401" s="3" t="s">
        <v>473</v>
      </c>
    </row>
    <row r="7402" spans="1:8" ht="255.75" x14ac:dyDescent="0.25">
      <c r="A7402" s="3" t="s">
        <v>21715</v>
      </c>
      <c r="B7402" s="3"/>
      <c r="C7402" s="3" t="s">
        <v>21716</v>
      </c>
      <c r="D7402" s="3" t="s">
        <v>21717</v>
      </c>
      <c r="E7402" s="3" t="s">
        <v>21718</v>
      </c>
      <c r="F7402" s="3" t="str">
        <f>"574.237.0877"</f>
        <v>574.237.0877</v>
      </c>
      <c r="G7402" s="3">
        <v>541219</v>
      </c>
      <c r="H7402" s="3" t="s">
        <v>2010</v>
      </c>
    </row>
    <row r="7403" spans="1:8" ht="77.25" x14ac:dyDescent="0.25">
      <c r="A7403" s="3" t="s">
        <v>21719</v>
      </c>
      <c r="B7403" s="3"/>
      <c r="C7403" s="3" t="str">
        <f>"PSA Security was created to provide a professional, dependable, and competitive alternative in the Protection Industry. PSA believes in Honesty, Hard Work and employs officers and staff with these same values and characteristics."</f>
        <v>PSA Security was created to provide a professional, dependable, and competitive alternative in the Protection Industry. PSA believes in Honesty, Hard Work and employs officers and staff with these same values and characteristics.</v>
      </c>
      <c r="D7403" s="3" t="s">
        <v>21720</v>
      </c>
      <c r="E7403" s="3" t="s">
        <v>21721</v>
      </c>
      <c r="F7403" s="3" t="str">
        <f>"317.413.1600"</f>
        <v>317.413.1600</v>
      </c>
      <c r="G7403" s="3">
        <v>5616</v>
      </c>
      <c r="H7403" s="3" t="s">
        <v>415</v>
      </c>
    </row>
    <row r="7404" spans="1:8" ht="51.75" x14ac:dyDescent="0.25">
      <c r="A7404" s="3" t="s">
        <v>21722</v>
      </c>
      <c r="B7404" s="3"/>
      <c r="C7404" s="3" t="str">
        <f>"Woman owned small business, providing staffing solutions for Temporary Help services, Office Administrative Services, Employment Placement."</f>
        <v>Woman owned small business, providing staffing solutions for Temporary Help services, Office Administrative Services, Employment Placement.</v>
      </c>
      <c r="D7404" s="3" t="s">
        <v>21723</v>
      </c>
      <c r="E7404" s="3" t="s">
        <v>21724</v>
      </c>
      <c r="F7404" s="3" t="str">
        <f>"618-203-6490"</f>
        <v>618-203-6490</v>
      </c>
      <c r="G7404" s="3">
        <v>561320</v>
      </c>
      <c r="H7404" s="3" t="s">
        <v>15</v>
      </c>
    </row>
    <row r="7405" spans="1:8" ht="230.25" x14ac:dyDescent="0.25">
      <c r="A7405" s="3" t="s">
        <v>21725</v>
      </c>
      <c r="B7405" s="3"/>
      <c r="C7405" s="3" t="s">
        <v>21726</v>
      </c>
      <c r="D7405" s="3" t="s">
        <v>21727</v>
      </c>
      <c r="E7405" s="3" t="s">
        <v>21728</v>
      </c>
      <c r="F7405" s="3" t="str">
        <f>"219-324-4826"</f>
        <v>219-324-4826</v>
      </c>
      <c r="G7405" s="3">
        <v>541930</v>
      </c>
      <c r="H7405" s="3" t="s">
        <v>971</v>
      </c>
    </row>
    <row r="7406" spans="1:8" ht="39" x14ac:dyDescent="0.25">
      <c r="A7406" s="3" t="s">
        <v>21729</v>
      </c>
      <c r="B7406" s="3"/>
      <c r="C7406" s="3" t="str">
        <f>"Professional writing, review, and editing, including technical, business, and creative writing."</f>
        <v>Professional writing, review, and editing, including technical, business, and creative writing.</v>
      </c>
      <c r="D7406" s="3" t="s">
        <v>21730</v>
      </c>
      <c r="E7406" s="3" t="s">
        <v>21731</v>
      </c>
      <c r="F7406" s="3" t="str">
        <f>"317-501-6198"</f>
        <v>317-501-6198</v>
      </c>
      <c r="G7406" s="3">
        <v>541990</v>
      </c>
      <c r="H7406" s="3" t="s">
        <v>378</v>
      </c>
    </row>
    <row r="7407" spans="1:8" ht="141" x14ac:dyDescent="0.25">
      <c r="A7407" s="3" t="s">
        <v>21732</v>
      </c>
      <c r="B7407" s="3"/>
      <c r="C7407" s="3" t="s">
        <v>21733</v>
      </c>
      <c r="D7407" s="3" t="s">
        <v>21734</v>
      </c>
      <c r="E7407" s="3" t="s">
        <v>21735</v>
      </c>
      <c r="F7407" s="3" t="str">
        <f>"765.287.2222"</f>
        <v>765.287.2222</v>
      </c>
      <c r="G7407" s="3">
        <v>813410</v>
      </c>
      <c r="H7407" s="3" t="s">
        <v>8420</v>
      </c>
    </row>
    <row r="7408" spans="1:8" ht="306.75" x14ac:dyDescent="0.25">
      <c r="A7408" s="3" t="s">
        <v>21736</v>
      </c>
      <c r="B7408" s="3"/>
      <c r="C7408" s="3" t="s">
        <v>21737</v>
      </c>
      <c r="D7408" s="3" t="s">
        <v>21738</v>
      </c>
      <c r="E7408" s="3" t="s">
        <v>21739</v>
      </c>
      <c r="F7408" s="3" t="str">
        <f>"317-536-0200"</f>
        <v>317-536-0200</v>
      </c>
      <c r="G7408" s="3">
        <v>541618</v>
      </c>
      <c r="H7408" s="3" t="s">
        <v>3527</v>
      </c>
    </row>
    <row r="7409" spans="1:8" ht="77.25" x14ac:dyDescent="0.25">
      <c r="A7409" s="3" t="s">
        <v>21740</v>
      </c>
      <c r="B7409" s="3"/>
      <c r="C7409" s="3" t="str">
        <f>"PRINTING, PROMOTIONAL PRODUCTS AND PRINT/MAIL SERVICES ALL CUSTOM FORMS / OFFSET COLOR BROCHURES, FOLDERS, CUSTOM LABELS WAREHOUSING AND DISTRIBUTION OF ALL PRODUCTS NATIONWIDE"</f>
        <v>PRINTING, PROMOTIONAL PRODUCTS AND PRINT/MAIL SERVICES ALL CUSTOM FORMS / OFFSET COLOR BROCHURES, FOLDERS, CUSTOM LABELS WAREHOUSING AND DISTRIBUTION OF ALL PRODUCTS NATIONWIDE</v>
      </c>
      <c r="D7409" s="3" t="s">
        <v>21741</v>
      </c>
      <c r="E7409" s="3" t="s">
        <v>21742</v>
      </c>
      <c r="F7409" s="3" t="str">
        <f>"877-549-5882"</f>
        <v>877-549-5882</v>
      </c>
      <c r="G7409" s="3">
        <v>323</v>
      </c>
      <c r="H7409" s="3" t="s">
        <v>302</v>
      </c>
    </row>
    <row r="7410" spans="1:8" x14ac:dyDescent="0.25">
      <c r="A7410" s="3" t="s">
        <v>21743</v>
      </c>
      <c r="B7410" s="3"/>
      <c r="C7410" s="3" t="str">
        <f>"printing and promotional products"</f>
        <v>printing and promotional products</v>
      </c>
      <c r="D7410" s="3" t="s">
        <v>9</v>
      </c>
      <c r="E7410" s="3" t="s">
        <v>21744</v>
      </c>
      <c r="F7410" s="3" t="str">
        <f>"5882"</f>
        <v>5882</v>
      </c>
      <c r="G7410" s="3">
        <v>32311</v>
      </c>
      <c r="H7410" s="3" t="s">
        <v>531</v>
      </c>
    </row>
    <row r="7411" spans="1:8" ht="64.5" x14ac:dyDescent="0.25">
      <c r="A7411" s="3" t="s">
        <v>21745</v>
      </c>
      <c r="B7411" s="3"/>
      <c r="C7411" s="3" t="str">
        <f>"Downey Insurance is a wholly-owned subsidiary of Brown &amp; Brown Insurance National Programs Division, and specializes in insurance sales, brokerage, and TPA services for governmental entities."</f>
        <v>Downey Insurance is a wholly-owned subsidiary of Brown &amp; Brown Insurance National Programs Division, and specializes in insurance sales, brokerage, and TPA services for governmental entities.</v>
      </c>
      <c r="D7411" s="3" t="s">
        <v>21746</v>
      </c>
      <c r="E7411" s="3" t="s">
        <v>21747</v>
      </c>
      <c r="F7411" s="3" t="str">
        <f>"800-382-8837"</f>
        <v>800-382-8837</v>
      </c>
      <c r="G7411" s="3">
        <v>524210</v>
      </c>
      <c r="H7411" s="3" t="s">
        <v>1183</v>
      </c>
    </row>
    <row r="7412" spans="1:8" ht="26.25" x14ac:dyDescent="0.25">
      <c r="A7412" s="3" t="s">
        <v>21748</v>
      </c>
      <c r="B7412" s="3"/>
      <c r="C7412" s="3" t="str">
        <f>"custom screen printing, embroideryservices and promotional services"</f>
        <v>custom screen printing, embroideryservices and promotional services</v>
      </c>
      <c r="D7412" s="3" t="s">
        <v>21749</v>
      </c>
      <c r="E7412" s="3" t="s">
        <v>21750</v>
      </c>
      <c r="F7412" s="3" t="str">
        <f>"317-293-5888"</f>
        <v>317-293-5888</v>
      </c>
      <c r="G7412" s="3">
        <v>315999</v>
      </c>
      <c r="H7412" s="3" t="s">
        <v>4357</v>
      </c>
    </row>
    <row r="7413" spans="1:8" ht="26.25" x14ac:dyDescent="0.25">
      <c r="A7413" s="3" t="s">
        <v>21751</v>
      </c>
      <c r="B7413" s="3"/>
      <c r="C7413" s="3" t="str">
        <f>"Commercial and light industrial development, construction and leasing."</f>
        <v>Commercial and light industrial development, construction and leasing.</v>
      </c>
      <c r="D7413" s="3" t="s">
        <v>21752</v>
      </c>
      <c r="E7413" s="3" t="s">
        <v>46</v>
      </c>
      <c r="F7413" s="3" t="str">
        <f>"8123670616"</f>
        <v>8123670616</v>
      </c>
      <c r="G7413" s="3">
        <v>23332</v>
      </c>
      <c r="H7413" s="3" t="s">
        <v>598</v>
      </c>
    </row>
    <row r="7414" spans="1:8" ht="39" x14ac:dyDescent="0.25">
      <c r="A7414" s="3" t="s">
        <v>21753</v>
      </c>
      <c r="B7414" s="3"/>
      <c r="C7414" s="3" t="str">
        <f>"Provide home infusion pharmacy drugs to patients at home and to hospice organizations"</f>
        <v>Provide home infusion pharmacy drugs to patients at home and to hospice organizations</v>
      </c>
      <c r="D7414" s="3" t="s">
        <v>9</v>
      </c>
      <c r="E7414" s="3" t="s">
        <v>3968</v>
      </c>
      <c r="F7414" s="3" t="str">
        <f>"317-578-0500"</f>
        <v>317-578-0500</v>
      </c>
      <c r="G7414" s="3">
        <v>621610</v>
      </c>
      <c r="H7414" s="3" t="s">
        <v>328</v>
      </c>
    </row>
    <row r="7415" spans="1:8" ht="26.25" x14ac:dyDescent="0.25">
      <c r="A7415" s="3" t="s">
        <v>21754</v>
      </c>
      <c r="B7415" s="3"/>
      <c r="C7415" s="3" t="str">
        <f>"sheet metal fabrication and installation"</f>
        <v>sheet metal fabrication and installation</v>
      </c>
      <c r="D7415" s="3" t="s">
        <v>9</v>
      </c>
      <c r="E7415" s="3" t="s">
        <v>21755</v>
      </c>
      <c r="F7415" s="3" t="str">
        <f>"317-736-6059"</f>
        <v>317-736-6059</v>
      </c>
      <c r="G7415" s="3">
        <v>238220</v>
      </c>
      <c r="H7415" s="3" t="s">
        <v>348</v>
      </c>
    </row>
    <row r="7416" spans="1:8" ht="51.75" x14ac:dyDescent="0.25">
      <c r="A7416" s="3" t="s">
        <v>21756</v>
      </c>
      <c r="B7416" s="3"/>
      <c r="C7416" s="3" t="str">
        <f>"Project Home Indy provides a nurturing residential environment to enable homeless teenage girls who are pregnant or parenting to gain self-sufficiency."</f>
        <v>Project Home Indy provides a nurturing residential environment to enable homeless teenage girls who are pregnant or parenting to gain self-sufficiency.</v>
      </c>
      <c r="D7416" s="3" t="s">
        <v>21757</v>
      </c>
      <c r="E7416" s="3" t="s">
        <v>21758</v>
      </c>
      <c r="F7416" s="3" t="str">
        <f>"317-925-0980"</f>
        <v>317-925-0980</v>
      </c>
      <c r="G7416" s="3">
        <v>8133</v>
      </c>
      <c r="H7416" s="3" t="s">
        <v>5487</v>
      </c>
    </row>
    <row r="7417" spans="1:8" ht="39" x14ac:dyDescent="0.25">
      <c r="A7417" s="3" t="s">
        <v>21759</v>
      </c>
      <c r="B7417" s="3"/>
      <c r="C7417" s="3" t="str">
        <f>"We Implement Project Server, Sharepoint Services and Perform Microsoft Consulting Services"</f>
        <v>We Implement Project Server, Sharepoint Services and Perform Microsoft Consulting Services</v>
      </c>
      <c r="D7417" s="3" t="s">
        <v>21760</v>
      </c>
      <c r="E7417" s="3" t="s">
        <v>21761</v>
      </c>
      <c r="F7417" s="3" t="str">
        <f>"301-814-2241"</f>
        <v>301-814-2241</v>
      </c>
      <c r="G7417" s="3">
        <v>5416</v>
      </c>
      <c r="H7417" s="3" t="s">
        <v>194</v>
      </c>
    </row>
    <row r="7418" spans="1:8" ht="319.5" x14ac:dyDescent="0.25">
      <c r="A7418" s="3" t="s">
        <v>21762</v>
      </c>
      <c r="B7418" s="3"/>
      <c r="C7418" s="3" t="s">
        <v>20479</v>
      </c>
      <c r="D7418" s="3" t="s">
        <v>9</v>
      </c>
      <c r="E7418" s="3" t="s">
        <v>46</v>
      </c>
      <c r="F7418" s="2"/>
      <c r="G7418" s="3">
        <v>23</v>
      </c>
      <c r="H7418" s="3" t="s">
        <v>133</v>
      </c>
    </row>
    <row r="7419" spans="1:8" ht="39" x14ac:dyDescent="0.25">
      <c r="A7419" s="3" t="s">
        <v>21763</v>
      </c>
      <c r="B7419" s="3"/>
      <c r="C7419" s="3" t="str">
        <f>"Project Managers and Consultants focused on process improvement, product development, and project delivery"</f>
        <v>Project Managers and Consultants focused on process improvement, product development, and project delivery</v>
      </c>
      <c r="D7419" s="3" t="s">
        <v>21764</v>
      </c>
      <c r="E7419" s="3" t="s">
        <v>21765</v>
      </c>
      <c r="F7419" s="3" t="str">
        <f>"3178730086"</f>
        <v>3178730086</v>
      </c>
      <c r="G7419" s="3">
        <v>541611</v>
      </c>
      <c r="H7419" s="3" t="s">
        <v>278</v>
      </c>
    </row>
    <row r="7420" spans="1:8" ht="26.25" x14ac:dyDescent="0.25">
      <c r="A7420" s="3" t="s">
        <v>21766</v>
      </c>
      <c r="B7420" s="3"/>
      <c r="C7420" s="3" t="str">
        <f>"Accounting and Treasury Management Consulting Services"</f>
        <v>Accounting and Treasury Management Consulting Services</v>
      </c>
      <c r="D7420" s="3" t="s">
        <v>21767</v>
      </c>
      <c r="E7420" s="3" t="s">
        <v>21768</v>
      </c>
      <c r="F7420" s="3" t="str">
        <f>"317-345-0490"</f>
        <v>317-345-0490</v>
      </c>
      <c r="G7420" s="3">
        <v>541211</v>
      </c>
      <c r="H7420" s="3" t="s">
        <v>337</v>
      </c>
    </row>
    <row r="7421" spans="1:8" ht="39" x14ac:dyDescent="0.25">
      <c r="A7421" s="3" t="s">
        <v>21769</v>
      </c>
      <c r="B7421" s="3"/>
      <c r="C7421" s="3" t="str">
        <f>"Prolific Cleaning Services provides superior janitorial services for commercial and residential properties in Indiana."</f>
        <v>Prolific Cleaning Services provides superior janitorial services for commercial and residential properties in Indiana.</v>
      </c>
      <c r="D7421" s="3" t="s">
        <v>21770</v>
      </c>
      <c r="E7421" s="3" t="s">
        <v>46</v>
      </c>
      <c r="F7421" s="3" t="str">
        <f>"317-605-4645"</f>
        <v>317-605-4645</v>
      </c>
      <c r="G7421" s="3">
        <v>561720</v>
      </c>
      <c r="H7421" s="3" t="s">
        <v>222</v>
      </c>
    </row>
    <row r="7422" spans="1:8" ht="141" x14ac:dyDescent="0.25">
      <c r="A7422" s="3" t="s">
        <v>21771</v>
      </c>
      <c r="B7422" s="3"/>
      <c r="C7422" s="3" t="s">
        <v>21772</v>
      </c>
      <c r="D7422" s="3" t="s">
        <v>21773</v>
      </c>
      <c r="E7422" s="3" t="s">
        <v>21774</v>
      </c>
      <c r="F7422" s="3" t="str">
        <f>"317-733-2388"</f>
        <v>317-733-2388</v>
      </c>
      <c r="G7422" s="3">
        <v>541512</v>
      </c>
      <c r="H7422" s="3" t="s">
        <v>19</v>
      </c>
    </row>
    <row r="7423" spans="1:8" ht="26.25" x14ac:dyDescent="0.25">
      <c r="A7423" s="3" t="s">
        <v>21775</v>
      </c>
      <c r="B7423" s="3"/>
      <c r="C7423" s="3" t="str">
        <f>"Financial advisor and life insurance"</f>
        <v>Financial advisor and life insurance</v>
      </c>
      <c r="D7423" s="3" t="s">
        <v>9</v>
      </c>
      <c r="E7423" s="3" t="s">
        <v>46</v>
      </c>
      <c r="F7423" s="3" t="str">
        <f>"317-885-9198"</f>
        <v>317-885-9198</v>
      </c>
      <c r="G7423" s="3">
        <v>524210</v>
      </c>
      <c r="H7423" s="3" t="s">
        <v>1183</v>
      </c>
    </row>
    <row r="7424" spans="1:8" ht="128.25" x14ac:dyDescent="0.25">
      <c r="A7424" s="3" t="s">
        <v>21776</v>
      </c>
      <c r="B7424" s="3"/>
      <c r="C7424" s="3" t="s">
        <v>21777</v>
      </c>
      <c r="D7424" s="3" t="s">
        <v>9</v>
      </c>
      <c r="E7424" s="3" t="s">
        <v>21778</v>
      </c>
      <c r="F7424" s="3" t="str">
        <f>"574-322-7434"</f>
        <v>574-322-7434</v>
      </c>
      <c r="G7424" s="3">
        <v>423840</v>
      </c>
      <c r="H7424" s="3" t="s">
        <v>553</v>
      </c>
    </row>
    <row r="7425" spans="1:8" ht="51.75" x14ac:dyDescent="0.25">
      <c r="A7425" s="3" t="s">
        <v>21779</v>
      </c>
      <c r="B7425" s="3"/>
      <c r="C7425" s="3" t="str">
        <f>"Promising Futures, Inc. is a community based organization that provides programs and services to help at-risk youth and their families."</f>
        <v>Promising Futures, Inc. is a community based organization that provides programs and services to help at-risk youth and their families.</v>
      </c>
      <c r="D7425" s="3" t="s">
        <v>9</v>
      </c>
      <c r="E7425" s="3" t="s">
        <v>46</v>
      </c>
      <c r="F7425" s="3" t="str">
        <f>"219-678-8144"</f>
        <v>219-678-8144</v>
      </c>
      <c r="G7425" s="3">
        <v>624110</v>
      </c>
      <c r="H7425" s="3" t="s">
        <v>628</v>
      </c>
    </row>
    <row r="7426" spans="1:8" ht="128.25" x14ac:dyDescent="0.25">
      <c r="A7426" s="3" t="s">
        <v>21780</v>
      </c>
      <c r="B7426" s="3"/>
      <c r="C7426" s="3" t="s">
        <v>21781</v>
      </c>
      <c r="D7426" s="3" t="s">
        <v>21782</v>
      </c>
      <c r="E7426" s="3" t="s">
        <v>21783</v>
      </c>
      <c r="F7426" s="3" t="str">
        <f>"317-423-1400"</f>
        <v>317-423-1400</v>
      </c>
      <c r="G7426" s="3">
        <v>541890</v>
      </c>
      <c r="H7426" s="3" t="s">
        <v>401</v>
      </c>
    </row>
    <row r="7427" spans="1:8" ht="26.25" x14ac:dyDescent="0.25">
      <c r="A7427" s="3" t="s">
        <v>21784</v>
      </c>
      <c r="B7427" s="3"/>
      <c r="C7427" s="3" t="str">
        <f>" "</f>
        <v xml:space="preserve"> </v>
      </c>
      <c r="D7427" s="3" t="s">
        <v>21785</v>
      </c>
      <c r="E7427" s="3" t="s">
        <v>21786</v>
      </c>
      <c r="F7427" s="3" t="str">
        <f>"317-769-6578"</f>
        <v>317-769-6578</v>
      </c>
      <c r="G7427" s="3">
        <v>541890</v>
      </c>
      <c r="H7427" s="3" t="s">
        <v>401</v>
      </c>
    </row>
    <row r="7428" spans="1:8" ht="230.25" x14ac:dyDescent="0.25">
      <c r="A7428" s="3" t="s">
        <v>21787</v>
      </c>
      <c r="B7428" s="3"/>
      <c r="C7428" s="3" t="s">
        <v>21788</v>
      </c>
      <c r="D7428" s="3" t="s">
        <v>9</v>
      </c>
      <c r="E7428" s="3" t="s">
        <v>21789</v>
      </c>
      <c r="F7428" s="3" t="str">
        <f>"317-916-8551"</f>
        <v>317-916-8551</v>
      </c>
      <c r="G7428" s="3">
        <v>541810</v>
      </c>
      <c r="H7428" s="3" t="s">
        <v>976</v>
      </c>
    </row>
    <row r="7429" spans="1:8" ht="243" x14ac:dyDescent="0.25">
      <c r="A7429" s="3" t="s">
        <v>21790</v>
      </c>
      <c r="B7429" s="3"/>
      <c r="C7429" s="3" t="s">
        <v>21791</v>
      </c>
      <c r="D7429" s="3" t="s">
        <v>21792</v>
      </c>
      <c r="E7429" s="3" t="s">
        <v>21793</v>
      </c>
      <c r="F7429" s="3" t="str">
        <f>"765-448-4327"</f>
        <v>765-448-4327</v>
      </c>
      <c r="G7429" s="3">
        <v>621910</v>
      </c>
      <c r="H7429" s="3" t="s">
        <v>18321</v>
      </c>
    </row>
    <row r="7430" spans="1:8" ht="51.75" x14ac:dyDescent="0.25">
      <c r="A7430" s="3" t="s">
        <v>21794</v>
      </c>
      <c r="B7430" s="3"/>
      <c r="C7430" s="3" t="str">
        <f>"motor vehicle dealer,tire-battery dealer,automotive repair shop,towing-wrecker service,debris removal,automobile rental,tire repair shop"</f>
        <v>motor vehicle dealer,tire-battery dealer,automotive repair shop,towing-wrecker service,debris removal,automobile rental,tire repair shop</v>
      </c>
      <c r="D7430" s="3" t="s">
        <v>9</v>
      </c>
      <c r="E7430" s="3" t="s">
        <v>46</v>
      </c>
      <c r="F7430" s="3" t="str">
        <f>"219-397-5925"</f>
        <v>219-397-5925</v>
      </c>
      <c r="G7430" s="3">
        <v>235</v>
      </c>
      <c r="H7430" s="3" t="s">
        <v>259</v>
      </c>
    </row>
    <row r="7431" spans="1:8" ht="39" x14ac:dyDescent="0.25">
      <c r="A7431" s="3" t="s">
        <v>21795</v>
      </c>
      <c r="B7431" s="3"/>
      <c r="C7431" s="3" t="str">
        <f>"wholesale and retail propane sales and service throught out the southern 1/4 of the state of indiana"</f>
        <v>wholesale and retail propane sales and service throught out the southern 1/4 of the state of indiana</v>
      </c>
      <c r="D7431" s="3" t="s">
        <v>9</v>
      </c>
      <c r="E7431" s="3" t="s">
        <v>21796</v>
      </c>
      <c r="F7431" s="3" t="str">
        <f>"8127494411"</f>
        <v>8127494411</v>
      </c>
      <c r="G7431" s="3">
        <v>454312</v>
      </c>
      <c r="H7431" s="3" t="s">
        <v>918</v>
      </c>
    </row>
    <row r="7432" spans="1:8" ht="255.75" x14ac:dyDescent="0.25">
      <c r="A7432" s="3" t="s">
        <v>21797</v>
      </c>
      <c r="B7432" s="3"/>
      <c r="C7432" s="3" t="s">
        <v>21798</v>
      </c>
      <c r="D7432" s="3" t="s">
        <v>21799</v>
      </c>
      <c r="E7432" s="3" t="s">
        <v>21800</v>
      </c>
      <c r="F7432" s="3" t="str">
        <f>"317-770-8183"</f>
        <v>317-770-8183</v>
      </c>
      <c r="G7432" s="3">
        <v>5418</v>
      </c>
      <c r="H7432" s="3" t="s">
        <v>1337</v>
      </c>
    </row>
    <row r="7433" spans="1:8" ht="39" x14ac:dyDescent="0.25">
      <c r="A7433" s="3" t="s">
        <v>21801</v>
      </c>
      <c r="B7433" s="3"/>
      <c r="C7433" s="3" t="str">
        <f>"Proper Touch Massage Therapy Certificied Massage Therapist Specialized In Swedish Massage"</f>
        <v>Proper Touch Massage Therapy Certificied Massage Therapist Specialized In Swedish Massage</v>
      </c>
      <c r="D7433" s="3" t="s">
        <v>9</v>
      </c>
      <c r="E7433" s="3" t="s">
        <v>21802</v>
      </c>
      <c r="F7433" s="3" t="str">
        <f>"317-372-3660"</f>
        <v>317-372-3660</v>
      </c>
      <c r="G7433" s="3">
        <v>611519</v>
      </c>
      <c r="H7433" s="3" t="s">
        <v>5262</v>
      </c>
    </row>
    <row r="7434" spans="1:8" ht="204.75" x14ac:dyDescent="0.25">
      <c r="A7434" s="3" t="s">
        <v>21803</v>
      </c>
      <c r="B7434" s="3"/>
      <c r="C7434" s="3" t="s">
        <v>21804</v>
      </c>
      <c r="D7434" s="3" t="s">
        <v>21805</v>
      </c>
      <c r="E7434" s="3" t="s">
        <v>46</v>
      </c>
      <c r="F7434" s="3" t="str">
        <f>"317-915-8288"</f>
        <v>317-915-8288</v>
      </c>
      <c r="G7434" s="3">
        <v>53</v>
      </c>
      <c r="H7434" s="3" t="s">
        <v>2336</v>
      </c>
    </row>
    <row r="7435" spans="1:8" ht="51.75" x14ac:dyDescent="0.25">
      <c r="A7435" s="3" t="s">
        <v>21806</v>
      </c>
      <c r="B7435" s="3"/>
      <c r="C7435" s="3" t="str">
        <f>"We are a full service Real Estate brokerage. Call us to custom tailor a sales plan to meet your specific needs. Free list of banked -owned homes for investors."</f>
        <v>We are a full service Real Estate brokerage. Call us to custom tailor a sales plan to meet your specific needs. Free list of banked -owned homes for investors.</v>
      </c>
      <c r="D7435" s="3" t="s">
        <v>21807</v>
      </c>
      <c r="E7435" s="3" t="s">
        <v>21808</v>
      </c>
      <c r="F7435" s="3" t="str">
        <f>"317-784-0178"</f>
        <v>317-784-0178</v>
      </c>
      <c r="G7435" s="3">
        <v>531210</v>
      </c>
      <c r="H7435" s="3" t="s">
        <v>1101</v>
      </c>
    </row>
    <row r="7436" spans="1:8" ht="153.75" x14ac:dyDescent="0.25">
      <c r="A7436" s="3" t="s">
        <v>21809</v>
      </c>
      <c r="B7436" s="3"/>
      <c r="C7436" s="3" t="s">
        <v>21810</v>
      </c>
      <c r="D7436" s="3" t="s">
        <v>21811</v>
      </c>
      <c r="E7436" s="3" t="s">
        <v>21812</v>
      </c>
      <c r="F7436" s="3" t="str">
        <f>"317-579-3048"</f>
        <v>317-579-3048</v>
      </c>
      <c r="G7436" s="3">
        <v>5416</v>
      </c>
      <c r="H7436" s="3" t="s">
        <v>194</v>
      </c>
    </row>
    <row r="7437" spans="1:8" ht="26.25" x14ac:dyDescent="0.25">
      <c r="A7437" s="3" t="s">
        <v>21813</v>
      </c>
      <c r="B7437" s="3"/>
      <c r="C7437" s="3" t="str">
        <f>"General Contractor, primary hard surfaces."</f>
        <v>General Contractor, primary hard surfaces.</v>
      </c>
      <c r="D7437" s="3" t="s">
        <v>21814</v>
      </c>
      <c r="E7437" s="3" t="s">
        <v>21815</v>
      </c>
      <c r="F7437" s="3" t="str">
        <f>"317 371-6720"</f>
        <v>317 371-6720</v>
      </c>
      <c r="G7437" s="3">
        <v>812990</v>
      </c>
      <c r="H7437" s="3" t="s">
        <v>294</v>
      </c>
    </row>
    <row r="7438" spans="1:8" ht="141" x14ac:dyDescent="0.25">
      <c r="A7438" s="3" t="s">
        <v>21816</v>
      </c>
      <c r="B7438" s="3"/>
      <c r="C7438" s="3" t="s">
        <v>21817</v>
      </c>
      <c r="D7438" s="3" t="s">
        <v>21818</v>
      </c>
      <c r="E7438" s="3" t="s">
        <v>21819</v>
      </c>
      <c r="F7438" s="3" t="str">
        <f>"317-691-7500"</f>
        <v>317-691-7500</v>
      </c>
      <c r="G7438" s="3">
        <v>42145</v>
      </c>
      <c r="H7438" s="3" t="s">
        <v>4608</v>
      </c>
    </row>
    <row r="7439" spans="1:8" ht="77.25" x14ac:dyDescent="0.25">
      <c r="A7439" s="3" t="s">
        <v>21820</v>
      </c>
      <c r="B7439" s="3"/>
      <c r="C7439" s="3" t="str">
        <f>"We are a complete manafacturer of water treatment products for boilers and cooling towers and we also make a complete line of industrial and janitorial cleaners. We also carry a line of related equipment for the above mentioned products."</f>
        <v>We are a complete manafacturer of water treatment products for boilers and cooling towers and we also make a complete line of industrial and janitorial cleaners. We also carry a line of related equipment for the above mentioned products.</v>
      </c>
      <c r="D7439" s="3" t="s">
        <v>9</v>
      </c>
      <c r="E7439" s="3" t="s">
        <v>21821</v>
      </c>
      <c r="F7439" s="3" t="str">
        <f>"317-353-0733"</f>
        <v>317-353-0733</v>
      </c>
      <c r="G7439" s="3">
        <v>325998</v>
      </c>
      <c r="H7439" s="3" t="s">
        <v>7066</v>
      </c>
    </row>
    <row r="7440" spans="1:8" ht="102.75" x14ac:dyDescent="0.25">
      <c r="A7440" s="3" t="s">
        <v>21822</v>
      </c>
      <c r="B7440" s="3"/>
      <c r="C7440" s="3" t="s">
        <v>21823</v>
      </c>
      <c r="D7440" s="3" t="s">
        <v>21824</v>
      </c>
      <c r="E7440" s="3" t="s">
        <v>21825</v>
      </c>
      <c r="F7440" s="3" t="str">
        <f>"317 927-7159"</f>
        <v>317 927-7159</v>
      </c>
      <c r="G7440" s="3">
        <v>624110</v>
      </c>
      <c r="H7440" s="3" t="s">
        <v>628</v>
      </c>
    </row>
    <row r="7441" spans="1:8" ht="102.75" x14ac:dyDescent="0.25">
      <c r="A7441" s="3" t="s">
        <v>21826</v>
      </c>
      <c r="B7441" s="3"/>
      <c r="C7441" s="3" t="s">
        <v>21827</v>
      </c>
      <c r="D7441" s="3" t="s">
        <v>21828</v>
      </c>
      <c r="E7441" s="3" t="s">
        <v>21829</v>
      </c>
      <c r="F7441" s="3" t="str">
        <f>"2247951751"</f>
        <v>2247951751</v>
      </c>
      <c r="G7441" s="3">
        <v>56162</v>
      </c>
      <c r="H7441" s="3" t="s">
        <v>1276</v>
      </c>
    </row>
    <row r="7442" spans="1:8" ht="319.5" x14ac:dyDescent="0.25">
      <c r="A7442" s="3" t="s">
        <v>21830</v>
      </c>
      <c r="B7442" s="3"/>
      <c r="C7442" s="3" t="s">
        <v>21831</v>
      </c>
      <c r="D7442" s="3" t="s">
        <v>21832</v>
      </c>
      <c r="E7442" s="3" t="s">
        <v>21833</v>
      </c>
      <c r="F7442" s="3" t="str">
        <f>"317-585-9300"</f>
        <v>317-585-9300</v>
      </c>
      <c r="G7442" s="3">
        <v>561310</v>
      </c>
      <c r="H7442" s="3" t="s">
        <v>1720</v>
      </c>
    </row>
    <row r="7443" spans="1:8" ht="51.75" x14ac:dyDescent="0.25">
      <c r="A7443" s="3" t="s">
        <v>21834</v>
      </c>
      <c r="B7443" s="3"/>
      <c r="C7443" s="3" t="str">
        <f>"Protis Executive Innovations provides human capital solutions utilizing value-added services and products to assist in building our client's organizations."</f>
        <v>Protis Executive Innovations provides human capital solutions utilizing value-added services and products to assist in building our client's organizations.</v>
      </c>
      <c r="D7443" s="3" t="s">
        <v>21835</v>
      </c>
      <c r="E7443" s="3" t="s">
        <v>21836</v>
      </c>
      <c r="F7443" s="3" t="str">
        <f>"317-275-5400"</f>
        <v>317-275-5400</v>
      </c>
      <c r="G7443" s="3">
        <v>561310</v>
      </c>
      <c r="H7443" s="3" t="s">
        <v>1720</v>
      </c>
    </row>
    <row r="7444" spans="1:8" ht="39" x14ac:dyDescent="0.25">
      <c r="A7444" s="3" t="s">
        <v>21837</v>
      </c>
      <c r="B7444" s="3"/>
      <c r="C7444" s="3" t="str">
        <f>"Printing and mailing services. Variable data (color and black &amp; white), ink jet and laser printing. Bindery, fulfillment, mailing."</f>
        <v>Printing and mailing services. Variable data (color and black &amp; white), ink jet and laser printing. Bindery, fulfillment, mailing.</v>
      </c>
      <c r="D7444" s="3" t="s">
        <v>9</v>
      </c>
      <c r="E7444" s="3" t="s">
        <v>21838</v>
      </c>
      <c r="F7444" s="3" t="str">
        <f>"317-634-3040"</f>
        <v>317-634-3040</v>
      </c>
      <c r="G7444" s="3">
        <v>323115</v>
      </c>
      <c r="H7444" s="3" t="s">
        <v>5281</v>
      </c>
    </row>
    <row r="7445" spans="1:8" ht="306.75" x14ac:dyDescent="0.25">
      <c r="A7445" s="3" t="s">
        <v>21839</v>
      </c>
      <c r="B7445" s="3"/>
      <c r="C7445" s="3" t="s">
        <v>21840</v>
      </c>
      <c r="D7445" s="3" t="s">
        <v>21841</v>
      </c>
      <c r="E7445" s="3" t="s">
        <v>21842</v>
      </c>
      <c r="F7445" s="3" t="str">
        <f>"812-951-1878"</f>
        <v>812-951-1878</v>
      </c>
      <c r="G7445" s="3">
        <v>623990</v>
      </c>
      <c r="H7445" s="3" t="s">
        <v>11066</v>
      </c>
    </row>
    <row r="7446" spans="1:8" ht="26.25" x14ac:dyDescent="0.25">
      <c r="A7446" s="3" t="s">
        <v>21843</v>
      </c>
      <c r="B7446" s="3"/>
      <c r="C7446" s="3" t="str">
        <f>" "</f>
        <v xml:space="preserve"> </v>
      </c>
      <c r="D7446" s="3" t="s">
        <v>9</v>
      </c>
      <c r="E7446" s="3" t="s">
        <v>46</v>
      </c>
      <c r="F7446" s="2"/>
      <c r="G7446" s="3">
        <v>54</v>
      </c>
      <c r="H7446" s="3" t="s">
        <v>179</v>
      </c>
    </row>
    <row r="7447" spans="1:8" ht="64.5" x14ac:dyDescent="0.25">
      <c r="A7447" s="3" t="s">
        <v>21844</v>
      </c>
      <c r="B7447" s="3"/>
      <c r="C7447" s="3" t="str">
        <f>"Provision Counseling Services provide educational workshops, group and one-on-one counseling in Marriage &amp; Family, Financial and Nutrition &amp; Wellness for everyone in the community."</f>
        <v>Provision Counseling Services provide educational workshops, group and one-on-one counseling in Marriage &amp; Family, Financial and Nutrition &amp; Wellness for everyone in the community.</v>
      </c>
      <c r="D7447" s="3" t="s">
        <v>21845</v>
      </c>
      <c r="E7447" s="3" t="s">
        <v>46</v>
      </c>
      <c r="F7447" s="2"/>
      <c r="G7447" s="3">
        <v>624190</v>
      </c>
      <c r="H7447" s="3" t="s">
        <v>54</v>
      </c>
    </row>
    <row r="7448" spans="1:8" ht="128.25" x14ac:dyDescent="0.25">
      <c r="A7448" s="3" t="s">
        <v>21846</v>
      </c>
      <c r="B7448" s="3"/>
      <c r="C7448" s="3" t="s">
        <v>21847</v>
      </c>
      <c r="D7448" s="3" t="s">
        <v>21848</v>
      </c>
      <c r="E7448" s="3" t="s">
        <v>21849</v>
      </c>
      <c r="F7448" s="3" t="str">
        <f>"260-636-6079"</f>
        <v>260-636-6079</v>
      </c>
      <c r="G7448" s="3">
        <v>541511</v>
      </c>
      <c r="H7448" s="3" t="s">
        <v>122</v>
      </c>
    </row>
    <row r="7449" spans="1:8" x14ac:dyDescent="0.25">
      <c r="A7449" s="3" t="s">
        <v>21850</v>
      </c>
      <c r="B7449" s="3"/>
      <c r="C7449" s="3" t="str">
        <f>" "</f>
        <v xml:space="preserve"> </v>
      </c>
      <c r="D7449" s="3" t="s">
        <v>9</v>
      </c>
      <c r="E7449" s="3" t="s">
        <v>46</v>
      </c>
      <c r="F7449" s="2"/>
      <c r="G7449" s="3">
        <v>5141</v>
      </c>
      <c r="H7449" s="3" t="s">
        <v>1097</v>
      </c>
    </row>
    <row r="7450" spans="1:8" ht="26.25" x14ac:dyDescent="0.25">
      <c r="A7450" s="3" t="s">
        <v>21851</v>
      </c>
      <c r="B7450" s="3"/>
      <c r="C7450" s="3" t="str">
        <f>" "</f>
        <v xml:space="preserve"> </v>
      </c>
      <c r="D7450" s="3" t="s">
        <v>9</v>
      </c>
      <c r="E7450" s="3" t="s">
        <v>46</v>
      </c>
      <c r="F7450" s="2"/>
      <c r="G7450" s="3">
        <v>5242</v>
      </c>
      <c r="H7450" s="3" t="s">
        <v>7270</v>
      </c>
    </row>
    <row r="7451" spans="1:8" ht="128.25" x14ac:dyDescent="0.25">
      <c r="A7451" s="3" t="s">
        <v>21852</v>
      </c>
      <c r="B7451" s="3"/>
      <c r="C7451" s="3" t="s">
        <v>21853</v>
      </c>
      <c r="D7451" s="3" t="s">
        <v>21854</v>
      </c>
      <c r="E7451" s="3" t="s">
        <v>21855</v>
      </c>
      <c r="F7451" s="3" t="str">
        <f>"(260) 493-1448"</f>
        <v>(260) 493-1448</v>
      </c>
      <c r="G7451" s="3">
        <v>813211</v>
      </c>
      <c r="H7451" s="3" t="s">
        <v>13584</v>
      </c>
    </row>
    <row r="7452" spans="1:8" ht="39" x14ac:dyDescent="0.25">
      <c r="A7452" s="3" t="s">
        <v>21856</v>
      </c>
      <c r="B7452" s="3"/>
      <c r="C7452" s="3" t="str">
        <f>"Installation and maintenance of payphones, inmate phones, internet kiosks, wi-fi hot spots."</f>
        <v>Installation and maintenance of payphones, inmate phones, internet kiosks, wi-fi hot spots.</v>
      </c>
      <c r="D7452" s="3" t="s">
        <v>21857</v>
      </c>
      <c r="E7452" s="3" t="s">
        <v>21858</v>
      </c>
      <c r="F7452" s="3" t="str">
        <f>"732-873-1509"</f>
        <v>732-873-1509</v>
      </c>
      <c r="G7452" s="3">
        <v>517</v>
      </c>
      <c r="H7452" s="3" t="s">
        <v>682</v>
      </c>
    </row>
    <row r="7453" spans="1:8" ht="26.25" x14ac:dyDescent="0.25">
      <c r="A7453" s="3" t="s">
        <v>21859</v>
      </c>
      <c r="B7453" s="3"/>
      <c r="C7453" s="3" t="str">
        <f>"Graphic Design, Printing, Web Development."</f>
        <v>Graphic Design, Printing, Web Development.</v>
      </c>
      <c r="D7453" s="3" t="s">
        <v>21860</v>
      </c>
      <c r="E7453" s="3" t="s">
        <v>21861</v>
      </c>
      <c r="F7453" s="3" t="str">
        <f>"219-874-4245"</f>
        <v>219-874-4245</v>
      </c>
      <c r="G7453" s="3">
        <v>424920</v>
      </c>
      <c r="H7453" s="3" t="s">
        <v>13245</v>
      </c>
    </row>
    <row r="7454" spans="1:8" ht="128.25" x14ac:dyDescent="0.25">
      <c r="A7454" s="3" t="s">
        <v>21862</v>
      </c>
      <c r="B7454" s="3"/>
      <c r="C7454" s="3" t="s">
        <v>21863</v>
      </c>
      <c r="D7454" s="3" t="s">
        <v>21864</v>
      </c>
      <c r="E7454" s="3" t="s">
        <v>21865</v>
      </c>
      <c r="F7454" s="3" t="str">
        <f>"574.946.6628"</f>
        <v>574.946.6628</v>
      </c>
      <c r="G7454" s="3">
        <v>323110</v>
      </c>
      <c r="H7454" s="3" t="s">
        <v>1900</v>
      </c>
    </row>
    <row r="7455" spans="1:8" ht="115.5" x14ac:dyDescent="0.25">
      <c r="A7455" s="3" t="s">
        <v>21866</v>
      </c>
      <c r="B7455" s="3"/>
      <c r="C7455" s="3" t="s">
        <v>21867</v>
      </c>
      <c r="D7455" s="3" t="s">
        <v>9</v>
      </c>
      <c r="E7455" s="3" t="s">
        <v>21868</v>
      </c>
      <c r="F7455" s="3" t="str">
        <f>"260-356-6326"</f>
        <v>260-356-6326</v>
      </c>
      <c r="G7455" s="3">
        <v>332999</v>
      </c>
      <c r="H7455" s="3" t="s">
        <v>9757</v>
      </c>
    </row>
    <row r="7456" spans="1:8" ht="90" x14ac:dyDescent="0.25">
      <c r="A7456" s="3" t="s">
        <v>21869</v>
      </c>
      <c r="B7456" s="3"/>
      <c r="C7456" s="3" t="s">
        <v>21870</v>
      </c>
      <c r="D7456" s="3" t="s">
        <v>9</v>
      </c>
      <c r="E7456" s="3" t="s">
        <v>21871</v>
      </c>
      <c r="F7456" s="3" t="str">
        <f>"260-636-2288"</f>
        <v>260-636-2288</v>
      </c>
      <c r="G7456" s="3">
        <v>23</v>
      </c>
      <c r="H7456" s="3" t="s">
        <v>133</v>
      </c>
    </row>
    <row r="7457" spans="1:8" ht="26.25" x14ac:dyDescent="0.25">
      <c r="A7457" s="3" t="s">
        <v>21872</v>
      </c>
      <c r="B7457" s="3"/>
      <c r="C7457" s="3" t="str">
        <f>"Public, Higher educational institution"</f>
        <v>Public, Higher educational institution</v>
      </c>
      <c r="D7457" s="3" t="s">
        <v>21873</v>
      </c>
      <c r="E7457" s="3" t="s">
        <v>21874</v>
      </c>
      <c r="F7457" s="3" t="str">
        <f>"765 4946204"</f>
        <v>765 4946204</v>
      </c>
      <c r="G7457" s="3">
        <v>611310</v>
      </c>
      <c r="H7457" s="3" t="s">
        <v>2063</v>
      </c>
    </row>
    <row r="7458" spans="1:8" ht="306.75" x14ac:dyDescent="0.25">
      <c r="A7458" s="3" t="s">
        <v>21875</v>
      </c>
      <c r="B7458" s="3"/>
      <c r="C7458" s="3" t="s">
        <v>21876</v>
      </c>
      <c r="D7458" s="3" t="s">
        <v>21877</v>
      </c>
      <c r="E7458" s="3" t="s">
        <v>21878</v>
      </c>
      <c r="F7458" s="3" t="str">
        <f>"866-917-7873"</f>
        <v>866-917-7873</v>
      </c>
      <c r="G7458" s="3">
        <v>312112</v>
      </c>
      <c r="H7458" s="3" t="s">
        <v>2282</v>
      </c>
    </row>
    <row r="7459" spans="1:8" ht="306.75" x14ac:dyDescent="0.25">
      <c r="A7459" s="3" t="s">
        <v>21879</v>
      </c>
      <c r="B7459" s="3"/>
      <c r="C7459" s="3" t="s">
        <v>21876</v>
      </c>
      <c r="D7459" s="3" t="s">
        <v>21877</v>
      </c>
      <c r="E7459" s="3" t="s">
        <v>21880</v>
      </c>
      <c r="F7459" s="3" t="str">
        <f>"317-524-4900"</f>
        <v>317-524-4900</v>
      </c>
      <c r="G7459" s="3">
        <v>312112</v>
      </c>
      <c r="H7459" s="3" t="s">
        <v>2282</v>
      </c>
    </row>
    <row r="7460" spans="1:8" ht="306.75" x14ac:dyDescent="0.25">
      <c r="A7460" s="3" t="s">
        <v>21881</v>
      </c>
      <c r="B7460" s="3"/>
      <c r="C7460" s="3" t="s">
        <v>21876</v>
      </c>
      <c r="D7460" s="3" t="s">
        <v>21877</v>
      </c>
      <c r="E7460" s="3" t="s">
        <v>21880</v>
      </c>
      <c r="F7460" s="3" t="str">
        <f>"317-524-4900"</f>
        <v>317-524-4900</v>
      </c>
      <c r="G7460" s="3">
        <v>312112</v>
      </c>
      <c r="H7460" s="3" t="s">
        <v>2282</v>
      </c>
    </row>
    <row r="7461" spans="1:8" ht="77.25" x14ac:dyDescent="0.25">
      <c r="A7461" s="3" t="s">
        <v>21882</v>
      </c>
      <c r="B7461" s="3"/>
      <c r="C7461" s="3" t="str">
        <f>"Purple Ink provides human resources consulting services with a focus on management and executive level recruiting, employee training and team facilitation, and general human resources consulting services"</f>
        <v>Purple Ink provides human resources consulting services with a focus on management and executive level recruiting, employee training and team facilitation, and general human resources consulting services</v>
      </c>
      <c r="D7461" s="3" t="s">
        <v>21883</v>
      </c>
      <c r="E7461" s="3" t="s">
        <v>21884</v>
      </c>
      <c r="F7461" s="3" t="str">
        <f>"317.418.7327"</f>
        <v>317.418.7327</v>
      </c>
      <c r="G7461" s="3">
        <v>541612</v>
      </c>
      <c r="H7461" s="3" t="s">
        <v>1923</v>
      </c>
    </row>
    <row r="7462" spans="1:8" x14ac:dyDescent="0.25">
      <c r="A7462" s="3" t="s">
        <v>21885</v>
      </c>
      <c r="B7462" s="3"/>
      <c r="C7462" s="3" t="str">
        <f>" "</f>
        <v xml:space="preserve"> </v>
      </c>
      <c r="D7462" s="3" t="s">
        <v>9</v>
      </c>
      <c r="E7462" s="3" t="s">
        <v>46</v>
      </c>
      <c r="F7462" s="2"/>
      <c r="G7462" s="3">
        <v>921190</v>
      </c>
      <c r="H7462" s="3" t="s">
        <v>4809</v>
      </c>
    </row>
    <row r="7463" spans="1:8" ht="64.5" x14ac:dyDescent="0.25">
      <c r="A7463" s="3" t="s">
        <v>21886</v>
      </c>
      <c r="B7463" s="3"/>
      <c r="C7463" s="3" t="str">
        <f>"Putnam Industries provides services in a varied areas of business, including equipment leasing &amp; finance, consulting, property management, insurance &amp; automotive operations"</f>
        <v>Putnam Industries provides services in a varied areas of business, including equipment leasing &amp; finance, consulting, property management, insurance &amp; automotive operations</v>
      </c>
      <c r="D7463" s="3" t="s">
        <v>21887</v>
      </c>
      <c r="E7463" s="3" t="s">
        <v>21888</v>
      </c>
      <c r="F7463" s="3" t="str">
        <f>"317-275-3173"</f>
        <v>317-275-3173</v>
      </c>
      <c r="G7463" s="3">
        <v>532420</v>
      </c>
      <c r="H7463" s="3" t="s">
        <v>5166</v>
      </c>
    </row>
    <row r="7464" spans="1:8" ht="26.25" x14ac:dyDescent="0.25">
      <c r="A7464" s="3" t="s">
        <v>21889</v>
      </c>
      <c r="B7464" s="3"/>
      <c r="C7464" s="3" t="str">
        <f>"manufacturer of plastic bags"</f>
        <v>manufacturer of plastic bags</v>
      </c>
      <c r="D7464" s="3" t="s">
        <v>21890</v>
      </c>
      <c r="E7464" s="3" t="s">
        <v>21891</v>
      </c>
      <c r="F7464" s="3" t="str">
        <f>"79-795-6102"</f>
        <v>79-795-6102</v>
      </c>
      <c r="G7464" s="3">
        <v>3261</v>
      </c>
      <c r="H7464" s="3" t="s">
        <v>2127</v>
      </c>
    </row>
    <row r="7465" spans="1:8" ht="77.25" x14ac:dyDescent="0.25">
      <c r="A7465" s="3" t="s">
        <v>21892</v>
      </c>
      <c r="B7465" s="3"/>
      <c r="C7465" s="3" t="str">
        <f>"Retail fine art supplies including paints, brushes, canvas, drawing materials, sculpture and ceramics tools, sign-making supplies, drafting equipment, decorative and art papers, portfolios, books and bookbinding supplies."</f>
        <v>Retail fine art supplies including paints, brushes, canvas, drawing materials, sculpture and ceramics tools, sign-making supplies, drafting equipment, decorative and art papers, portfolios, books and bookbinding supplies.</v>
      </c>
      <c r="D7465" s="3" t="s">
        <v>21893</v>
      </c>
      <c r="E7465" s="3" t="s">
        <v>21894</v>
      </c>
      <c r="F7465" s="3" t="str">
        <f>"812-332-0025"</f>
        <v>812-332-0025</v>
      </c>
      <c r="G7465" s="3">
        <v>453998</v>
      </c>
      <c r="H7465" s="3" t="s">
        <v>112</v>
      </c>
    </row>
    <row r="7466" spans="1:8" ht="39" x14ac:dyDescent="0.25">
      <c r="A7466" s="3" t="s">
        <v>21895</v>
      </c>
      <c r="B7466" s="3"/>
      <c r="C7466" s="3" t="str">
        <f>"Auction, appraisal and liquidation professionals specializing in business assets and commercial real estate."</f>
        <v>Auction, appraisal and liquidation professionals specializing in business assets and commercial real estate.</v>
      </c>
      <c r="D7466" s="3" t="s">
        <v>21896</v>
      </c>
      <c r="E7466" s="3" t="s">
        <v>21897</v>
      </c>
      <c r="F7466" s="3" t="str">
        <f>"317-244-3728"</f>
        <v>317-244-3728</v>
      </c>
      <c r="G7466" s="3">
        <v>561990</v>
      </c>
      <c r="H7466" s="3" t="s">
        <v>219</v>
      </c>
    </row>
    <row r="7467" spans="1:8" ht="26.25" x14ac:dyDescent="0.25">
      <c r="A7467" s="3" t="s">
        <v>21898</v>
      </c>
      <c r="B7467" s="3"/>
      <c r="C7467" s="2"/>
      <c r="D7467" s="3" t="s">
        <v>9</v>
      </c>
      <c r="E7467" s="3" t="s">
        <v>46</v>
      </c>
      <c r="F7467" s="2"/>
      <c r="G7467" s="3">
        <v>23332</v>
      </c>
      <c r="H7467" s="3" t="s">
        <v>598</v>
      </c>
    </row>
    <row r="7468" spans="1:8" ht="64.5" x14ac:dyDescent="0.25">
      <c r="A7468" s="3" t="s">
        <v>21899</v>
      </c>
      <c r="B7468" s="3"/>
      <c r="C7468" s="3" t="str">
        <f>"Provide Computer Software Consulting Services which includes custom application development , ERP/CRM Implementations, Database/Unix Administration, Application support and Network Support services"</f>
        <v>Provide Computer Software Consulting Services which includes custom application development , ERP/CRM Implementations, Database/Unix Administration, Application support and Network Support services</v>
      </c>
      <c r="D7468" s="3" t="s">
        <v>21900</v>
      </c>
      <c r="E7468" s="3" t="s">
        <v>21901</v>
      </c>
      <c r="F7468" s="3" t="str">
        <f>"(317) 776 9920"</f>
        <v>(317) 776 9920</v>
      </c>
      <c r="G7468" s="3">
        <v>5415</v>
      </c>
      <c r="H7468" s="3" t="s">
        <v>188</v>
      </c>
    </row>
    <row r="7469" spans="1:8" ht="51.75" x14ac:dyDescent="0.25">
      <c r="A7469" s="3" t="s">
        <v>21902</v>
      </c>
      <c r="B7469" s="3"/>
      <c r="C7469" s="3" t="str">
        <f>"Sales and service of trash and recycling equipment. Sales and service of personal, commercial, and municipality snow removal equipment and salt spreaders."</f>
        <v>Sales and service of trash and recycling equipment. Sales and service of personal, commercial, and municipality snow removal equipment and salt spreaders.</v>
      </c>
      <c r="D7469" s="3" t="s">
        <v>21903</v>
      </c>
      <c r="E7469" s="3" t="s">
        <v>21904</v>
      </c>
      <c r="F7469" s="3" t="str">
        <f>"219-778-2591"</f>
        <v>219-778-2591</v>
      </c>
      <c r="G7469" s="3">
        <v>2382</v>
      </c>
      <c r="H7469" s="3" t="s">
        <v>5450</v>
      </c>
    </row>
    <row r="7470" spans="1:8" ht="77.25" x14ac:dyDescent="0.25">
      <c r="A7470" s="3" t="s">
        <v>21905</v>
      </c>
      <c r="B7470" s="3"/>
      <c r="C7470" s="3" t="str">
        <f>"Pre Employment Screening, Background Checks, Tenant Screening, Skip Tracing, Collateral Investigations and Recovery, Individual and Small business tax preparation, Bookeeping and Payroll Services"</f>
        <v>Pre Employment Screening, Background Checks, Tenant Screening, Skip Tracing, Collateral Investigations and Recovery, Individual and Small business tax preparation, Bookeeping and Payroll Services</v>
      </c>
      <c r="D7470" s="3" t="s">
        <v>9</v>
      </c>
      <c r="E7470" s="3" t="s">
        <v>21906</v>
      </c>
      <c r="F7470" s="3" t="str">
        <f>"317-591-1829"</f>
        <v>317-591-1829</v>
      </c>
      <c r="G7470" s="3">
        <v>561611</v>
      </c>
      <c r="H7470" s="3" t="s">
        <v>581</v>
      </c>
    </row>
    <row r="7471" spans="1:8" ht="26.25" x14ac:dyDescent="0.25">
      <c r="A7471" s="3" t="s">
        <v>21907</v>
      </c>
      <c r="B7471" s="3"/>
      <c r="C7471" s="3" t="str">
        <f>"Provide Customer Software Development, Project Management, IT Staffing Services"</f>
        <v>Provide Customer Software Development, Project Management, IT Staffing Services</v>
      </c>
      <c r="D7471" s="3" t="s">
        <v>21900</v>
      </c>
      <c r="E7471" s="3" t="s">
        <v>21901</v>
      </c>
      <c r="F7471" s="3" t="str">
        <f>"3172899900X304"</f>
        <v>3172899900X304</v>
      </c>
      <c r="G7471" s="3">
        <v>541990</v>
      </c>
      <c r="H7471" s="3" t="s">
        <v>378</v>
      </c>
    </row>
    <row r="7472" spans="1:8" ht="26.25" x14ac:dyDescent="0.25">
      <c r="A7472" s="3" t="s">
        <v>21908</v>
      </c>
      <c r="B7472" s="3"/>
      <c r="C7472" s="3" t="str">
        <f>"full service contractor and refractory mtce provider"</f>
        <v>full service contractor and refractory mtce provider</v>
      </c>
      <c r="D7472" s="3" t="s">
        <v>21909</v>
      </c>
      <c r="E7472" s="3" t="s">
        <v>21910</v>
      </c>
      <c r="F7472" s="3" t="str">
        <f>"219-787-5700"</f>
        <v>219-787-5700</v>
      </c>
      <c r="G7472" s="3">
        <v>238910</v>
      </c>
      <c r="H7472" s="3" t="s">
        <v>886</v>
      </c>
    </row>
    <row r="7473" spans="1:8" ht="64.5" x14ac:dyDescent="0.25">
      <c r="A7473" s="3" t="s">
        <v>21911</v>
      </c>
      <c r="B7473" s="3"/>
      <c r="C7473" s="3" t="str">
        <f>"My business supplies educational stickers, games, paper materials, paper pads or notebooks, and sports equipment. I also specilize in office furniture and office equipment."</f>
        <v>My business supplies educational stickers, games, paper materials, paper pads or notebooks, and sports equipment. I also specilize in office furniture and office equipment.</v>
      </c>
      <c r="D7473" s="3" t="s">
        <v>9</v>
      </c>
      <c r="E7473" s="3" t="s">
        <v>21912</v>
      </c>
      <c r="F7473" s="3" t="str">
        <f>"765-628-3687"</f>
        <v>765-628-3687</v>
      </c>
      <c r="G7473" s="3">
        <v>51113</v>
      </c>
      <c r="H7473" s="3" t="s">
        <v>3146</v>
      </c>
    </row>
    <row r="7474" spans="1:8" ht="255.75" x14ac:dyDescent="0.25">
      <c r="A7474" s="3" t="s">
        <v>21913</v>
      </c>
      <c r="B7474" s="3"/>
      <c r="C7474" s="3" t="s">
        <v>21914</v>
      </c>
      <c r="D7474" s="3" t="s">
        <v>21915</v>
      </c>
      <c r="E7474" s="3" t="s">
        <v>21916</v>
      </c>
      <c r="F7474" s="3" t="str">
        <f>"3175960029"</f>
        <v>3175960029</v>
      </c>
      <c r="G7474" s="3">
        <v>524292</v>
      </c>
      <c r="H7474" s="3" t="s">
        <v>4892</v>
      </c>
    </row>
    <row r="7475" spans="1:8" ht="90" x14ac:dyDescent="0.25">
      <c r="A7475" s="3" t="s">
        <v>21917</v>
      </c>
      <c r="B7475" s="3"/>
      <c r="C7475" s="3" t="s">
        <v>21918</v>
      </c>
      <c r="D7475" s="3" t="s">
        <v>21919</v>
      </c>
      <c r="E7475" s="3" t="s">
        <v>21920</v>
      </c>
      <c r="F7475" s="3" t="str">
        <f>"219-769-1100"</f>
        <v>219-769-1100</v>
      </c>
      <c r="G7475" s="3">
        <v>531210</v>
      </c>
      <c r="H7475" s="3" t="s">
        <v>1101</v>
      </c>
    </row>
    <row r="7476" spans="1:8" ht="115.5" x14ac:dyDescent="0.25">
      <c r="A7476" s="3" t="s">
        <v>21921</v>
      </c>
      <c r="B7476" s="3"/>
      <c r="C7476" s="3" t="s">
        <v>21922</v>
      </c>
      <c r="D7476" s="3" t="s">
        <v>21923</v>
      </c>
      <c r="E7476" s="3" t="s">
        <v>21924</v>
      </c>
      <c r="F7476" s="3" t="str">
        <f>"317.351.4255"</f>
        <v>317.351.4255</v>
      </c>
      <c r="G7476" s="3">
        <v>562910</v>
      </c>
      <c r="H7476" s="3" t="s">
        <v>2278</v>
      </c>
    </row>
    <row r="7477" spans="1:8" ht="39" x14ac:dyDescent="0.25">
      <c r="A7477" s="3" t="s">
        <v>21925</v>
      </c>
      <c r="B7477" s="3"/>
      <c r="C7477" s="3" t="str">
        <f>"Desing and Engineering, CNC Machining, Gages, Fixtures, Gage Systems, CMM Inspection, Gage Calibration"</f>
        <v>Desing and Engineering, CNC Machining, Gages, Fixtures, Gage Systems, CMM Inspection, Gage Calibration</v>
      </c>
      <c r="D7477" s="3" t="s">
        <v>21926</v>
      </c>
      <c r="E7477" s="3" t="s">
        <v>21927</v>
      </c>
      <c r="F7477" s="3" t="str">
        <f>"260-244-3591"</f>
        <v>260-244-3591</v>
      </c>
      <c r="G7477" s="3">
        <v>33271</v>
      </c>
      <c r="H7477" s="3" t="s">
        <v>387</v>
      </c>
    </row>
    <row r="7478" spans="1:8" ht="102.75" x14ac:dyDescent="0.25">
      <c r="A7478" s="3" t="s">
        <v>21928</v>
      </c>
      <c r="B7478" s="3"/>
      <c r="C7478" s="3" t="s">
        <v>21929</v>
      </c>
      <c r="D7478" s="3" t="s">
        <v>21930</v>
      </c>
      <c r="E7478" s="3" t="s">
        <v>21931</v>
      </c>
      <c r="F7478" s="3" t="str">
        <f>"260-399-7636"</f>
        <v>260-399-7636</v>
      </c>
      <c r="G7478" s="3">
        <v>5416</v>
      </c>
      <c r="H7478" s="3" t="s">
        <v>194</v>
      </c>
    </row>
    <row r="7479" spans="1:8" ht="39" x14ac:dyDescent="0.25">
      <c r="A7479" s="3" t="s">
        <v>21932</v>
      </c>
      <c r="B7479" s="3"/>
      <c r="C7479" s="3" t="str">
        <f>"QPS supplies commercial and industrial products to the construction and manufacturing facilities."</f>
        <v>QPS supplies commercial and industrial products to the construction and manufacturing facilities.</v>
      </c>
      <c r="D7479" s="3" t="s">
        <v>21933</v>
      </c>
      <c r="E7479" s="3" t="s">
        <v>21934</v>
      </c>
      <c r="F7479" s="3" t="str">
        <f>"219-393-1990"</f>
        <v>219-393-1990</v>
      </c>
      <c r="G7479" s="3">
        <v>444190</v>
      </c>
      <c r="H7479" s="3" t="s">
        <v>1188</v>
      </c>
    </row>
    <row r="7480" spans="1:8" ht="319.5" x14ac:dyDescent="0.25">
      <c r="A7480" s="3" t="s">
        <v>21935</v>
      </c>
      <c r="B7480" s="3"/>
      <c r="C7480" s="3" t="s">
        <v>21936</v>
      </c>
      <c r="D7480" s="3" t="s">
        <v>21937</v>
      </c>
      <c r="E7480" s="3" t="s">
        <v>21938</v>
      </c>
      <c r="F7480" s="3" t="str">
        <f>"260-562-2240"</f>
        <v>260-562-2240</v>
      </c>
      <c r="G7480" s="3">
        <v>541611</v>
      </c>
      <c r="H7480" s="3" t="s">
        <v>278</v>
      </c>
    </row>
    <row r="7481" spans="1:8" ht="102.75" x14ac:dyDescent="0.25">
      <c r="A7481" s="3" t="s">
        <v>21939</v>
      </c>
      <c r="B7481" s="3"/>
      <c r="C7481" s="3" t="s">
        <v>21940</v>
      </c>
      <c r="D7481" s="3" t="s">
        <v>9</v>
      </c>
      <c r="E7481" s="3" t="s">
        <v>21941</v>
      </c>
      <c r="F7481" s="3" t="str">
        <f>"3175381215"</f>
        <v>3175381215</v>
      </c>
      <c r="G7481" s="3">
        <v>233</v>
      </c>
      <c r="H7481" s="3" t="s">
        <v>131</v>
      </c>
    </row>
    <row r="7482" spans="1:8" ht="26.25" x14ac:dyDescent="0.25">
      <c r="A7482" s="3" t="s">
        <v>21942</v>
      </c>
      <c r="B7482" s="3"/>
      <c r="C7482" s="2"/>
      <c r="D7482" s="3" t="s">
        <v>9</v>
      </c>
      <c r="E7482" s="3" t="s">
        <v>3274</v>
      </c>
      <c r="F7482" s="3" t="str">
        <f>"765/689-9175"</f>
        <v>765/689-9175</v>
      </c>
      <c r="G7482" s="3">
        <v>23511</v>
      </c>
      <c r="H7482" s="3" t="s">
        <v>892</v>
      </c>
    </row>
    <row r="7483" spans="1:8" ht="39" x14ac:dyDescent="0.25">
      <c r="A7483" s="3" t="s">
        <v>21943</v>
      </c>
      <c r="B7483" s="3"/>
      <c r="C7483" s="3" t="str">
        <f>"Pest Control, Termite Control, Pest Estimates, Termite Estimates, Inspections for closings"</f>
        <v>Pest Control, Termite Control, Pest Estimates, Termite Estimates, Inspections for closings</v>
      </c>
      <c r="D7483" s="3" t="s">
        <v>21944</v>
      </c>
      <c r="E7483" s="3" t="s">
        <v>21945</v>
      </c>
      <c r="F7483" s="3" t="str">
        <f>"812-944-4452"</f>
        <v>812-944-4452</v>
      </c>
      <c r="G7483" s="3">
        <v>56171</v>
      </c>
      <c r="H7483" s="3" t="s">
        <v>946</v>
      </c>
    </row>
    <row r="7484" spans="1:8" ht="217.5" x14ac:dyDescent="0.25">
      <c r="A7484" s="3" t="s">
        <v>21946</v>
      </c>
      <c r="B7484" s="3"/>
      <c r="C7484" s="3" t="s">
        <v>21947</v>
      </c>
      <c r="D7484" s="3" t="s">
        <v>9</v>
      </c>
      <c r="E7484" s="3" t="s">
        <v>21948</v>
      </c>
      <c r="F7484" s="3" t="str">
        <f>"317-351-4255"</f>
        <v>317-351-4255</v>
      </c>
      <c r="G7484" s="3">
        <v>541620</v>
      </c>
      <c r="H7484" s="3" t="s">
        <v>216</v>
      </c>
    </row>
    <row r="7485" spans="1:8" ht="26.25" x14ac:dyDescent="0.25">
      <c r="A7485" s="3" t="s">
        <v>21949</v>
      </c>
      <c r="B7485" s="3"/>
      <c r="C7485" s="3" t="str">
        <f>"Manufacture and distributor of specialized HVAC&amp;R equipment"</f>
        <v>Manufacture and distributor of specialized HVAC&amp;R equipment</v>
      </c>
      <c r="D7485" s="3" t="s">
        <v>9</v>
      </c>
      <c r="E7485" s="3" t="s">
        <v>21950</v>
      </c>
      <c r="F7485" s="3" t="str">
        <f>"317-443-6167"</f>
        <v>317-443-6167</v>
      </c>
      <c r="G7485" s="3">
        <v>22133</v>
      </c>
      <c r="H7485" s="3" t="s">
        <v>5198</v>
      </c>
    </row>
    <row r="7486" spans="1:8" ht="255.75" x14ac:dyDescent="0.25">
      <c r="A7486" s="3" t="s">
        <v>21951</v>
      </c>
      <c r="B7486" s="3"/>
      <c r="C7486" s="3" t="s">
        <v>21952</v>
      </c>
      <c r="D7486" s="3" t="s">
        <v>21953</v>
      </c>
      <c r="E7486" s="3" t="s">
        <v>21954</v>
      </c>
      <c r="F7486" s="3" t="str">
        <f>"(812)288-7211"</f>
        <v>(812)288-7211</v>
      </c>
      <c r="G7486" s="3">
        <v>611692</v>
      </c>
      <c r="H7486" s="3" t="s">
        <v>7109</v>
      </c>
    </row>
    <row r="7487" spans="1:8" ht="128.25" x14ac:dyDescent="0.25">
      <c r="A7487" s="3" t="s">
        <v>21955</v>
      </c>
      <c r="B7487" s="3"/>
      <c r="C7487" s="3" t="s">
        <v>21956</v>
      </c>
      <c r="D7487" s="3" t="s">
        <v>21957</v>
      </c>
      <c r="E7487" s="3" t="s">
        <v>21958</v>
      </c>
      <c r="F7487" s="3" t="str">
        <f>"812-284-7085"</f>
        <v>812-284-7085</v>
      </c>
      <c r="G7487" s="3">
        <v>541922</v>
      </c>
      <c r="H7487" s="3" t="s">
        <v>1545</v>
      </c>
    </row>
    <row r="7488" spans="1:8" ht="332.25" x14ac:dyDescent="0.25">
      <c r="A7488" s="3" t="s">
        <v>21959</v>
      </c>
      <c r="B7488" s="3"/>
      <c r="C7488" s="3" t="s">
        <v>21960</v>
      </c>
      <c r="D7488" s="3" t="s">
        <v>9</v>
      </c>
      <c r="E7488" s="3" t="s">
        <v>21961</v>
      </c>
      <c r="F7488" s="3" t="str">
        <f>"317-913-0155"</f>
        <v>317-913-0155</v>
      </c>
      <c r="G7488" s="3">
        <v>5416</v>
      </c>
      <c r="H7488" s="3" t="s">
        <v>194</v>
      </c>
    </row>
    <row r="7489" spans="1:8" ht="39" x14ac:dyDescent="0.25">
      <c r="A7489" s="3" t="s">
        <v>21962</v>
      </c>
      <c r="B7489" s="3"/>
      <c r="C7489" s="3" t="str">
        <f>"Manufacturer rep of Commercial Heating, Air Conditioning, Ventilation and Power Equipment"</f>
        <v>Manufacturer rep of Commercial Heating, Air Conditioning, Ventilation and Power Equipment</v>
      </c>
      <c r="D7489" s="3" t="s">
        <v>21963</v>
      </c>
      <c r="E7489" s="3" t="s">
        <v>21964</v>
      </c>
      <c r="F7489" s="3" t="str">
        <f>"260-485-9999"</f>
        <v>260-485-9999</v>
      </c>
      <c r="G7489" s="3">
        <v>423720</v>
      </c>
      <c r="H7489" s="3" t="s">
        <v>2695</v>
      </c>
    </row>
    <row r="7490" spans="1:8" ht="26.25" x14ac:dyDescent="0.25">
      <c r="A7490" s="3" t="s">
        <v>21965</v>
      </c>
      <c r="B7490" s="3"/>
      <c r="C7490" s="3" t="str">
        <f>"Commercial and industrial cleaning."</f>
        <v>Commercial and industrial cleaning.</v>
      </c>
      <c r="D7490" s="3" t="s">
        <v>9</v>
      </c>
      <c r="E7490" s="3" t="s">
        <v>21966</v>
      </c>
      <c r="F7490" s="3" t="str">
        <f>"812-547-3435"</f>
        <v>812-547-3435</v>
      </c>
      <c r="G7490" s="3">
        <v>561720</v>
      </c>
      <c r="H7490" s="3" t="s">
        <v>222</v>
      </c>
    </row>
    <row r="7491" spans="1:8" ht="77.25" x14ac:dyDescent="0.25">
      <c r="A7491" s="3" t="s">
        <v>21967</v>
      </c>
      <c r="B7491" s="3"/>
      <c r="C7491" s="3" t="str">
        <f>"This buisness was formed on 10-10-07. We specialize as a subcontractor for Temperature Control installations and other electrical work. We combine with over 16 years of temp control experience and 26 years of regular electrical experience."</f>
        <v>This buisness was formed on 10-10-07. We specialize as a subcontractor for Temperature Control installations and other electrical work. We combine with over 16 years of temp control experience and 26 years of regular electrical experience.</v>
      </c>
      <c r="D7491" s="3" t="s">
        <v>9</v>
      </c>
      <c r="E7491" s="3" t="s">
        <v>46</v>
      </c>
      <c r="F7491" s="3" t="str">
        <f>"812 873-4450"</f>
        <v>812 873-4450</v>
      </c>
      <c r="G7491" s="3">
        <v>238210</v>
      </c>
      <c r="H7491" s="3" t="s">
        <v>306</v>
      </c>
    </row>
    <row r="7492" spans="1:8" ht="39" x14ac:dyDescent="0.25">
      <c r="A7492" s="3" t="s">
        <v>21968</v>
      </c>
      <c r="B7492" s="3"/>
      <c r="C7492" s="3" t="str">
        <f>"Full service copy shop(copies, business cards, digital copies, fax service, typesetting, etc.)"</f>
        <v>Full service copy shop(copies, business cards, digital copies, fax service, typesetting, etc.)</v>
      </c>
      <c r="D7492" s="3" t="s">
        <v>9</v>
      </c>
      <c r="E7492" s="3" t="s">
        <v>21969</v>
      </c>
      <c r="F7492" s="3" t="str">
        <f>"765-463-0232"</f>
        <v>765-463-0232</v>
      </c>
      <c r="G7492" s="3">
        <v>561439</v>
      </c>
      <c r="H7492" s="3" t="s">
        <v>3872</v>
      </c>
    </row>
    <row r="7493" spans="1:8" ht="26.25" x14ac:dyDescent="0.25">
      <c r="A7493" s="3" t="s">
        <v>21970</v>
      </c>
      <c r="B7493" s="3"/>
      <c r="C7493" s="3" t="str">
        <f>"Project Management / Engineering"</f>
        <v>Project Management / Engineering</v>
      </c>
      <c r="D7493" s="3" t="s">
        <v>9</v>
      </c>
      <c r="E7493" s="3" t="s">
        <v>21971</v>
      </c>
      <c r="F7493" s="3" t="str">
        <f>"8129236037"</f>
        <v>8129236037</v>
      </c>
      <c r="G7493" s="3">
        <v>541330</v>
      </c>
      <c r="H7493" s="3" t="s">
        <v>82</v>
      </c>
    </row>
    <row r="7494" spans="1:8" ht="77.25" x14ac:dyDescent="0.25">
      <c r="A7494" s="3" t="s">
        <v>21972</v>
      </c>
      <c r="B7494" s="3"/>
      <c r="C7494" s="3" t="str">
        <f>"Full service drycleaning and laundry plant, providing same day professional drycleaning and laundry services to commerical and retail customers. Specializing in cook uniforms and casino apparel."</f>
        <v>Full service drycleaning and laundry plant, providing same day professional drycleaning and laundry services to commerical and retail customers. Specializing in cook uniforms and casino apparel.</v>
      </c>
      <c r="D7494" s="3" t="s">
        <v>9</v>
      </c>
      <c r="E7494" s="3" t="s">
        <v>21973</v>
      </c>
      <c r="F7494" s="3" t="str">
        <f>"219 981-8565"</f>
        <v>219 981-8565</v>
      </c>
      <c r="G7494" s="3">
        <v>812322</v>
      </c>
      <c r="H7494" s="3" t="s">
        <v>21974</v>
      </c>
    </row>
    <row r="7495" spans="1:8" ht="102.75" x14ac:dyDescent="0.25">
      <c r="A7495" s="3" t="s">
        <v>21975</v>
      </c>
      <c r="B7495" s="3"/>
      <c r="C7495" s="3" t="s">
        <v>21976</v>
      </c>
      <c r="D7495" s="3" t="s">
        <v>21923</v>
      </c>
      <c r="E7495" s="3" t="s">
        <v>21977</v>
      </c>
      <c r="F7495" s="3" t="str">
        <f>"317-351-4255"</f>
        <v>317-351-4255</v>
      </c>
      <c r="G7495" s="3">
        <v>541330</v>
      </c>
      <c r="H7495" s="3" t="s">
        <v>82</v>
      </c>
    </row>
    <row r="7496" spans="1:8" ht="179.25" x14ac:dyDescent="0.25">
      <c r="A7496" s="3" t="s">
        <v>21975</v>
      </c>
      <c r="B7496" s="3"/>
      <c r="C7496" s="3" t="s">
        <v>21978</v>
      </c>
      <c r="D7496" s="3" t="s">
        <v>21923</v>
      </c>
      <c r="E7496" s="3" t="s">
        <v>21979</v>
      </c>
      <c r="F7496" s="3" t="str">
        <f>"317-351-4255"</f>
        <v>317-351-4255</v>
      </c>
      <c r="G7496" s="3">
        <v>562910</v>
      </c>
      <c r="H7496" s="3" t="s">
        <v>2278</v>
      </c>
    </row>
    <row r="7497" spans="1:8" ht="26.25" x14ac:dyDescent="0.25">
      <c r="A7497" s="3" t="s">
        <v>21980</v>
      </c>
      <c r="B7497" s="3"/>
      <c r="C7497" s="3" t="str">
        <f>"Fire Protection contractor - installing, maintenance, repair and inspections"</f>
        <v>Fire Protection contractor - installing, maintenance, repair and inspections</v>
      </c>
      <c r="D7497" s="3" t="s">
        <v>9</v>
      </c>
      <c r="E7497" s="3" t="s">
        <v>21981</v>
      </c>
      <c r="F7497" s="3" t="str">
        <f>"8129261825"</f>
        <v>8129261825</v>
      </c>
      <c r="G7497" s="3">
        <v>238990</v>
      </c>
      <c r="H7497" s="3" t="s">
        <v>481</v>
      </c>
    </row>
    <row r="7498" spans="1:8" ht="141" x14ac:dyDescent="0.25">
      <c r="A7498" s="3" t="s">
        <v>21982</v>
      </c>
      <c r="B7498" s="3"/>
      <c r="C7498" s="3" t="s">
        <v>21983</v>
      </c>
      <c r="D7498" s="3" t="s">
        <v>21984</v>
      </c>
      <c r="E7498" s="3" t="s">
        <v>21985</v>
      </c>
      <c r="F7498" s="3" t="str">
        <f>"260-484-7711"</f>
        <v>260-484-7711</v>
      </c>
      <c r="G7498" s="3">
        <v>72111</v>
      </c>
      <c r="H7498" s="3" t="s">
        <v>872</v>
      </c>
    </row>
    <row r="7499" spans="1:8" ht="51.75" x14ac:dyDescent="0.25">
      <c r="A7499" s="3" t="s">
        <v>21986</v>
      </c>
      <c r="B7499" s="3"/>
      <c r="C7499" s="3" t="str">
        <f>"We print outdoor &amp; indoor signages like Banners, posters, yard signs, decals, floor decal, cling windows, construction site signs."</f>
        <v>We print outdoor &amp; indoor signages like Banners, posters, yard signs, decals, floor decal, cling windows, construction site signs.</v>
      </c>
      <c r="D7499" s="3" t="s">
        <v>21987</v>
      </c>
      <c r="E7499" s="3" t="s">
        <v>21988</v>
      </c>
      <c r="F7499" s="3" t="str">
        <f>"317-753-0042"</f>
        <v>317-753-0042</v>
      </c>
      <c r="G7499" s="3">
        <v>323</v>
      </c>
      <c r="H7499" s="3" t="s">
        <v>302</v>
      </c>
    </row>
    <row r="7500" spans="1:8" ht="39" x14ac:dyDescent="0.25">
      <c r="A7500" s="3" t="s">
        <v>21989</v>
      </c>
      <c r="B7500" s="3"/>
      <c r="C7500" s="3" t="str">
        <f>"we are a logistic freight company which transport freight nation wide. We Broker freight for other businesses."</f>
        <v>we are a logistic freight company which transport freight nation wide. We Broker freight for other businesses.</v>
      </c>
      <c r="D7500" s="3" t="s">
        <v>9</v>
      </c>
      <c r="E7500" s="3" t="s">
        <v>21990</v>
      </c>
      <c r="F7500" s="3" t="str">
        <f>"317-926-1788"</f>
        <v>317-926-1788</v>
      </c>
      <c r="G7500" s="3">
        <v>42386</v>
      </c>
      <c r="H7500" s="3" t="s">
        <v>17127</v>
      </c>
    </row>
    <row r="7501" spans="1:8" ht="166.5" x14ac:dyDescent="0.25">
      <c r="A7501" s="3" t="s">
        <v>21991</v>
      </c>
      <c r="B7501" s="3"/>
      <c r="C7501" s="3" t="s">
        <v>21992</v>
      </c>
      <c r="D7501" s="3" t="s">
        <v>21993</v>
      </c>
      <c r="E7501" s="3" t="s">
        <v>21994</v>
      </c>
      <c r="F7501" s="3" t="str">
        <f>"317-852-5970"</f>
        <v>317-852-5970</v>
      </c>
      <c r="G7501" s="3">
        <v>541930</v>
      </c>
      <c r="H7501" s="3" t="s">
        <v>971</v>
      </c>
    </row>
    <row r="7502" spans="1:8" ht="26.25" x14ac:dyDescent="0.25">
      <c r="A7502" s="3" t="s">
        <v>21995</v>
      </c>
      <c r="B7502" s="3"/>
      <c r="C7502" s="3" t="str">
        <f>"Printer Sales, Service and Supplies, Remanufactured Compatible Toner and Ink"</f>
        <v>Printer Sales, Service and Supplies, Remanufactured Compatible Toner and Ink</v>
      </c>
      <c r="D7502" s="3" t="s">
        <v>21996</v>
      </c>
      <c r="E7502" s="3" t="s">
        <v>21997</v>
      </c>
      <c r="F7502" s="3" t="str">
        <f>"219-663-8086"</f>
        <v>219-663-8086</v>
      </c>
      <c r="G7502" s="3">
        <v>33</v>
      </c>
      <c r="H7502" s="3" t="s">
        <v>999</v>
      </c>
    </row>
    <row r="7503" spans="1:8" ht="90" x14ac:dyDescent="0.25">
      <c r="A7503" s="3" t="s">
        <v>21998</v>
      </c>
      <c r="B7503" s="3"/>
      <c r="C7503" s="3" t="s">
        <v>21999</v>
      </c>
      <c r="D7503" s="3" t="s">
        <v>9</v>
      </c>
      <c r="E7503" s="3" t="s">
        <v>22000</v>
      </c>
      <c r="F7503" s="3" t="str">
        <f>"317-861-4588"</f>
        <v>317-861-4588</v>
      </c>
      <c r="G7503" s="3">
        <v>42385</v>
      </c>
      <c r="H7503" s="3" t="s">
        <v>419</v>
      </c>
    </row>
    <row r="7504" spans="1:8" ht="128.25" x14ac:dyDescent="0.25">
      <c r="A7504" s="3" t="s">
        <v>22001</v>
      </c>
      <c r="B7504" s="3"/>
      <c r="C7504" s="3" t="s">
        <v>22002</v>
      </c>
      <c r="D7504" s="3" t="s">
        <v>22003</v>
      </c>
      <c r="E7504" s="3" t="s">
        <v>22004</v>
      </c>
      <c r="F7504" s="3" t="str">
        <f>"317-489-0600"</f>
        <v>317-489-0600</v>
      </c>
      <c r="G7504" s="3">
        <v>42384</v>
      </c>
      <c r="H7504" s="3" t="s">
        <v>553</v>
      </c>
    </row>
    <row r="7505" spans="1:8" x14ac:dyDescent="0.25">
      <c r="A7505" s="3" t="s">
        <v>22005</v>
      </c>
      <c r="B7505" s="3"/>
      <c r="C7505" s="2"/>
      <c r="D7505" s="3" t="s">
        <v>9</v>
      </c>
      <c r="E7505" s="3" t="s">
        <v>46</v>
      </c>
      <c r="F7505" s="2"/>
      <c r="G7505" s="3">
        <v>33271</v>
      </c>
      <c r="H7505" s="3" t="s">
        <v>387</v>
      </c>
    </row>
    <row r="7506" spans="1:8" ht="64.5" x14ac:dyDescent="0.25">
      <c r="A7506" s="3" t="s">
        <v>22006</v>
      </c>
      <c r="B7506" s="3"/>
      <c r="C7506" s="3" t="str">
        <f>"At Quality Outdoor Power, we can service any make/model outdoor power equipment. We carry Snapper, Snapper Pro, Cub Cadet, Simplicity, Echo, Bear Cat, Boss, Scag, Kawaski, and Briggs &amp; Stratton."</f>
        <v>At Quality Outdoor Power, we can service any make/model outdoor power equipment. We carry Snapper, Snapper Pro, Cub Cadet, Simplicity, Echo, Bear Cat, Boss, Scag, Kawaski, and Briggs &amp; Stratton.</v>
      </c>
      <c r="D7506" s="3" t="s">
        <v>22007</v>
      </c>
      <c r="E7506" s="3" t="s">
        <v>22008</v>
      </c>
      <c r="F7506" s="3" t="str">
        <f>"765-450-6819"</f>
        <v>765-450-6819</v>
      </c>
      <c r="G7506" s="3">
        <v>444210</v>
      </c>
      <c r="H7506" s="3" t="s">
        <v>392</v>
      </c>
    </row>
    <row r="7507" spans="1:8" ht="102.75" x14ac:dyDescent="0.25">
      <c r="A7507" s="3" t="s">
        <v>22009</v>
      </c>
      <c r="B7507" s="3"/>
      <c r="C7507" s="3" t="s">
        <v>22010</v>
      </c>
      <c r="D7507" s="3" t="s">
        <v>9</v>
      </c>
      <c r="E7507" s="3" t="s">
        <v>22011</v>
      </c>
      <c r="F7507" s="3" t="str">
        <f>"317-916-0482"</f>
        <v>317-916-0482</v>
      </c>
      <c r="G7507" s="3">
        <v>561720</v>
      </c>
      <c r="H7507" s="3" t="s">
        <v>222</v>
      </c>
    </row>
    <row r="7508" spans="1:8" ht="51.75" x14ac:dyDescent="0.25">
      <c r="A7508" s="3" t="s">
        <v>22012</v>
      </c>
      <c r="B7508" s="3"/>
      <c r="C7508" s="3" t="str">
        <f>"Distributor and repair facility for pumps, motors, air compressors, gear boxes, lift stations,etc. for wastewater and water treatment facilities, schools and industries"</f>
        <v>Distributor and repair facility for pumps, motors, air compressors, gear boxes, lift stations,etc. for wastewater and water treatment facilities, schools and industries</v>
      </c>
      <c r="D7508" s="3" t="s">
        <v>9</v>
      </c>
      <c r="E7508" s="3" t="s">
        <v>22013</v>
      </c>
      <c r="F7508" s="3" t="str">
        <f>"317-881-0205"</f>
        <v>317-881-0205</v>
      </c>
      <c r="G7508" s="3">
        <v>811</v>
      </c>
      <c r="H7508" s="3" t="s">
        <v>816</v>
      </c>
    </row>
    <row r="7509" spans="1:8" ht="39" x14ac:dyDescent="0.25">
      <c r="A7509" s="3" t="s">
        <v>22014</v>
      </c>
      <c r="B7509" s="3"/>
      <c r="C7509" s="3" t="str">
        <f>"Commerical Roofing &amp; Sheet Metal Contractors specializing in maintenance and repair."</f>
        <v>Commerical Roofing &amp; Sheet Metal Contractors specializing in maintenance and repair.</v>
      </c>
      <c r="D7509" s="3" t="s">
        <v>22015</v>
      </c>
      <c r="E7509" s="3" t="s">
        <v>22016</v>
      </c>
      <c r="F7509" s="3" t="str">
        <f>"317-536-1788"</f>
        <v>317-536-1788</v>
      </c>
      <c r="G7509" s="3">
        <v>238160</v>
      </c>
      <c r="H7509" s="3" t="s">
        <v>144</v>
      </c>
    </row>
    <row r="7510" spans="1:8" ht="26.25" x14ac:dyDescent="0.25">
      <c r="A7510" s="3" t="s">
        <v>22017</v>
      </c>
      <c r="B7510" s="3"/>
      <c r="C7510" s="3" t="str">
        <f>"Heating, Air Conditioning &amp; Duct Cleaning"</f>
        <v>Heating, Air Conditioning &amp; Duct Cleaning</v>
      </c>
      <c r="D7510" s="3" t="s">
        <v>22018</v>
      </c>
      <c r="E7510" s="3" t="s">
        <v>22019</v>
      </c>
      <c r="F7510" s="3" t="str">
        <f>"317-889-1661"</f>
        <v>317-889-1661</v>
      </c>
      <c r="G7510" s="3">
        <v>2351</v>
      </c>
      <c r="H7510" s="3" t="s">
        <v>892</v>
      </c>
    </row>
    <row r="7511" spans="1:8" ht="102.75" x14ac:dyDescent="0.25">
      <c r="A7511" s="3" t="s">
        <v>22020</v>
      </c>
      <c r="B7511" s="3"/>
      <c r="C7511" s="3" t="s">
        <v>22021</v>
      </c>
      <c r="D7511" s="3" t="s">
        <v>9</v>
      </c>
      <c r="E7511" s="3" t="s">
        <v>22022</v>
      </c>
      <c r="F7511" s="3" t="str">
        <f>"8125913695"</f>
        <v>8125913695</v>
      </c>
      <c r="G7511" s="3">
        <v>238320</v>
      </c>
      <c r="H7511" s="3" t="s">
        <v>462</v>
      </c>
    </row>
    <row r="7512" spans="1:8" ht="26.25" x14ac:dyDescent="0.25">
      <c r="A7512" s="3" t="s">
        <v>22023</v>
      </c>
      <c r="B7512" s="3"/>
      <c r="C7512" s="3" t="str">
        <f>"Set up and teardown of prefabricated modular units."</f>
        <v>Set up and teardown of prefabricated modular units.</v>
      </c>
      <c r="D7512" s="3" t="s">
        <v>22024</v>
      </c>
      <c r="E7512" s="3" t="s">
        <v>46</v>
      </c>
      <c r="F7512" s="2"/>
      <c r="G7512" s="3">
        <v>238990</v>
      </c>
      <c r="H7512" s="3" t="s">
        <v>481</v>
      </c>
    </row>
    <row r="7513" spans="1:8" ht="26.25" x14ac:dyDescent="0.25">
      <c r="A7513" s="3" t="s">
        <v>22025</v>
      </c>
      <c r="B7513" s="3"/>
      <c r="C7513" s="3" t="str">
        <f>"Property management"</f>
        <v>Property management</v>
      </c>
      <c r="D7513" s="3" t="s">
        <v>22026</v>
      </c>
      <c r="E7513" s="3" t="s">
        <v>22027</v>
      </c>
      <c r="F7513" s="3" t="str">
        <f>"317-409-3225"</f>
        <v>317-409-3225</v>
      </c>
      <c r="G7513" s="3">
        <v>233</v>
      </c>
      <c r="H7513" s="3" t="s">
        <v>131</v>
      </c>
    </row>
    <row r="7514" spans="1:8" ht="26.25" x14ac:dyDescent="0.25">
      <c r="A7514" s="3" t="s">
        <v>22028</v>
      </c>
      <c r="B7514" s="3"/>
      <c r="C7514" s="3" t="str">
        <f>"Contractor Sales of tools and small equipment."</f>
        <v>Contractor Sales of tools and small equipment.</v>
      </c>
      <c r="D7514" s="3" t="s">
        <v>22029</v>
      </c>
      <c r="E7514" s="3" t="s">
        <v>22030</v>
      </c>
      <c r="F7514" s="3" t="str">
        <f>"317-786-0042"</f>
        <v>317-786-0042</v>
      </c>
      <c r="G7514" s="3">
        <v>42184</v>
      </c>
      <c r="H7514" s="3" t="s">
        <v>1601</v>
      </c>
    </row>
    <row r="7515" spans="1:8" ht="102.75" x14ac:dyDescent="0.25">
      <c r="A7515" s="3" t="s">
        <v>22031</v>
      </c>
      <c r="B7515" s="3"/>
      <c r="C7515" s="3" t="s">
        <v>22032</v>
      </c>
      <c r="D7515" s="3" t="s">
        <v>22033</v>
      </c>
      <c r="E7515" s="3" t="s">
        <v>22034</v>
      </c>
      <c r="F7515" s="3" t="str">
        <f>"317.578.8980"</f>
        <v>317.578.8980</v>
      </c>
      <c r="G7515" s="3">
        <v>54171</v>
      </c>
      <c r="H7515" s="3" t="s">
        <v>22035</v>
      </c>
    </row>
    <row r="7516" spans="1:8" ht="306.75" x14ac:dyDescent="0.25">
      <c r="A7516" s="3" t="s">
        <v>22036</v>
      </c>
      <c r="B7516" s="3"/>
      <c r="C7516" s="3" t="s">
        <v>22037</v>
      </c>
      <c r="D7516" s="3" t="s">
        <v>9</v>
      </c>
      <c r="E7516" s="3" t="s">
        <v>22038</v>
      </c>
      <c r="F7516" s="3" t="str">
        <f>"317-344-9734"</f>
        <v>317-344-9734</v>
      </c>
      <c r="G7516" s="3">
        <v>541330</v>
      </c>
      <c r="H7516" s="3" t="s">
        <v>82</v>
      </c>
    </row>
    <row r="7517" spans="1:8" ht="230.25" x14ac:dyDescent="0.25">
      <c r="A7517" s="3" t="s">
        <v>22039</v>
      </c>
      <c r="B7517" s="3"/>
      <c r="C7517" s="3" t="s">
        <v>22040</v>
      </c>
      <c r="D7517" s="3" t="s">
        <v>22041</v>
      </c>
      <c r="E7517" s="3" t="s">
        <v>22042</v>
      </c>
      <c r="F7517" s="3" t="str">
        <f>"1-219-864-8215"</f>
        <v>1-219-864-8215</v>
      </c>
      <c r="G7517" s="3">
        <v>541330</v>
      </c>
      <c r="H7517" s="3" t="s">
        <v>82</v>
      </c>
    </row>
    <row r="7518" spans="1:8" ht="102.75" x14ac:dyDescent="0.25">
      <c r="A7518" s="3" t="s">
        <v>22043</v>
      </c>
      <c r="B7518" s="3"/>
      <c r="C7518" s="3" t="s">
        <v>22044</v>
      </c>
      <c r="D7518" s="3" t="s">
        <v>9</v>
      </c>
      <c r="E7518" s="3" t="s">
        <v>22045</v>
      </c>
      <c r="F7518" s="3" t="str">
        <f>"812-574-4098"</f>
        <v>812-574-4098</v>
      </c>
      <c r="G7518" s="3">
        <v>54161</v>
      </c>
      <c r="H7518" s="3" t="s">
        <v>1221</v>
      </c>
    </row>
    <row r="7519" spans="1:8" x14ac:dyDescent="0.25">
      <c r="A7519" s="3" t="s">
        <v>22046</v>
      </c>
      <c r="B7519" s="3"/>
      <c r="C7519" s="3" t="str">
        <f>"Dump Truck Services"</f>
        <v>Dump Truck Services</v>
      </c>
      <c r="D7519" s="3" t="s">
        <v>9</v>
      </c>
      <c r="E7519" s="3" t="s">
        <v>46</v>
      </c>
      <c r="F7519" s="2"/>
      <c r="G7519" s="3">
        <v>49</v>
      </c>
      <c r="H7519" s="3" t="s">
        <v>104</v>
      </c>
    </row>
    <row r="7520" spans="1:8" ht="26.25" x14ac:dyDescent="0.25">
      <c r="A7520" s="3" t="s">
        <v>22047</v>
      </c>
      <c r="B7520" s="3"/>
      <c r="C7520" s="3" t="str">
        <f>" "</f>
        <v xml:space="preserve"> </v>
      </c>
      <c r="D7520" s="3" t="s">
        <v>22048</v>
      </c>
      <c r="E7520" s="3" t="s">
        <v>46</v>
      </c>
      <c r="F7520" s="3" t="str">
        <f>"317-216-7640"</f>
        <v>317-216-7640</v>
      </c>
      <c r="G7520" s="3">
        <v>5324</v>
      </c>
      <c r="H7520" s="3" t="s">
        <v>1681</v>
      </c>
    </row>
    <row r="7521" spans="1:8" ht="243" x14ac:dyDescent="0.25">
      <c r="A7521" s="3" t="s">
        <v>22049</v>
      </c>
      <c r="B7521" s="3"/>
      <c r="C7521" s="3" t="s">
        <v>22050</v>
      </c>
      <c r="D7521" s="3" t="s">
        <v>22051</v>
      </c>
      <c r="E7521" s="3" t="s">
        <v>22052</v>
      </c>
      <c r="F7521" s="3" t="str">
        <f>"317.594.4500"</f>
        <v>317.594.4500</v>
      </c>
      <c r="G7521" s="3">
        <v>339113</v>
      </c>
      <c r="H7521" s="3" t="s">
        <v>18825</v>
      </c>
    </row>
    <row r="7522" spans="1:8" ht="64.5" x14ac:dyDescent="0.25">
      <c r="A7522" s="3" t="s">
        <v>22053</v>
      </c>
      <c r="B7522" s="3"/>
      <c r="C7522" s="3" t="str">
        <f>"Quest Information Systems is a leading information technology consulting firm specializing in addressing unique business problems through custom software solutions and associated services."</f>
        <v>Quest Information Systems is a leading information technology consulting firm specializing in addressing unique business problems through custom software solutions and associated services.</v>
      </c>
      <c r="D7522" s="3" t="s">
        <v>22054</v>
      </c>
      <c r="E7522" s="3" t="s">
        <v>22055</v>
      </c>
      <c r="F7522" s="3" t="str">
        <f>"317-806-8821"</f>
        <v>317-806-8821</v>
      </c>
      <c r="G7522" s="3">
        <v>541511</v>
      </c>
      <c r="H7522" s="3" t="s">
        <v>122</v>
      </c>
    </row>
    <row r="7523" spans="1:8" ht="115.5" x14ac:dyDescent="0.25">
      <c r="A7523" s="3" t="s">
        <v>22056</v>
      </c>
      <c r="B7523" s="3"/>
      <c r="C7523" s="3" t="s">
        <v>22057</v>
      </c>
      <c r="D7523" s="3" t="s">
        <v>22058</v>
      </c>
      <c r="E7523" s="3" t="s">
        <v>22059</v>
      </c>
      <c r="F7523" s="3" t="str">
        <f>"317.876.9108"</f>
        <v>317.876.9108</v>
      </c>
      <c r="G7523" s="3">
        <v>332710</v>
      </c>
      <c r="H7523" s="3" t="s">
        <v>387</v>
      </c>
    </row>
    <row r="7524" spans="1:8" ht="90" x14ac:dyDescent="0.25">
      <c r="A7524" s="3" t="s">
        <v>22060</v>
      </c>
      <c r="B7524" s="3"/>
      <c r="C7524" s="3" t="str">
        <f>"Qumulus Solutions is a value added reseller of servers, storage, and data backup hardware and software. The Company provides custom design, implementation and support for the Big Data and Analytics environments of large and mid-sized organizations."</f>
        <v>Qumulus Solutions is a value added reseller of servers, storage, and data backup hardware and software. The Company provides custom design, implementation and support for the Big Data and Analytics environments of large and mid-sized organizations.</v>
      </c>
      <c r="D7524" s="3" t="s">
        <v>22061</v>
      </c>
      <c r="E7524" s="3" t="s">
        <v>22062</v>
      </c>
      <c r="F7524" s="3" t="str">
        <f>"1-920-QUMULUS"</f>
        <v>1-920-QUMULUS</v>
      </c>
      <c r="G7524" s="3">
        <v>518210</v>
      </c>
      <c r="H7524" s="3" t="s">
        <v>3133</v>
      </c>
    </row>
    <row r="7525" spans="1:8" ht="26.25" x14ac:dyDescent="0.25">
      <c r="A7525" s="3" t="s">
        <v>22063</v>
      </c>
      <c r="B7525" s="3"/>
      <c r="C7525" s="3" t="str">
        <f>"Selling farm and lawn equipment"</f>
        <v>Selling farm and lawn equipment</v>
      </c>
      <c r="D7525" s="3" t="s">
        <v>9</v>
      </c>
      <c r="E7525" s="3" t="s">
        <v>22064</v>
      </c>
      <c r="F7525" s="3" t="str">
        <f>"260-82-4726"</f>
        <v>260-82-4726</v>
      </c>
      <c r="G7525" s="3">
        <v>11</v>
      </c>
      <c r="H7525" s="3" t="s">
        <v>175</v>
      </c>
    </row>
    <row r="7526" spans="1:8" x14ac:dyDescent="0.25">
      <c r="A7526" s="3" t="s">
        <v>22065</v>
      </c>
      <c r="B7526" s="3"/>
      <c r="C7526" s="3" t="str">
        <f>"Sales and installation of Sod"</f>
        <v>Sales and installation of Sod</v>
      </c>
      <c r="D7526" s="3" t="s">
        <v>9</v>
      </c>
      <c r="E7526" s="3" t="s">
        <v>46</v>
      </c>
      <c r="F7526" s="2"/>
      <c r="G7526" s="3">
        <v>1119</v>
      </c>
      <c r="H7526" s="3" t="s">
        <v>18451</v>
      </c>
    </row>
    <row r="7527" spans="1:8" ht="26.25" x14ac:dyDescent="0.25">
      <c r="A7527" s="3" t="s">
        <v>22066</v>
      </c>
      <c r="B7527" s="3"/>
      <c r="C7527" s="3" t="str">
        <f>"Local Trucking - Sand, Gravel,Dirt, Asphalt"</f>
        <v>Local Trucking - Sand, Gravel,Dirt, Asphalt</v>
      </c>
      <c r="D7527" s="3" t="s">
        <v>9</v>
      </c>
      <c r="E7527" s="3" t="s">
        <v>46</v>
      </c>
      <c r="F7527" s="2"/>
      <c r="G7527" s="3">
        <v>484220</v>
      </c>
      <c r="H7527" s="3" t="s">
        <v>11</v>
      </c>
    </row>
    <row r="7528" spans="1:8" ht="39" x14ac:dyDescent="0.25">
      <c r="A7528" s="3" t="s">
        <v>22067</v>
      </c>
      <c r="B7528" s="3"/>
      <c r="C7528" s="3" t="str">
        <f>"Residential, Commercial, and Industrial electrical contracting. 24 hour emergency service calls."</f>
        <v>Residential, Commercial, and Industrial electrical contracting. 24 hour emergency service calls.</v>
      </c>
      <c r="D7528" s="3" t="s">
        <v>9</v>
      </c>
      <c r="E7528" s="3" t="s">
        <v>22068</v>
      </c>
      <c r="F7528" s="3" t="str">
        <f>"317-718-0487"</f>
        <v>317-718-0487</v>
      </c>
      <c r="G7528" s="3">
        <v>2353</v>
      </c>
      <c r="H7528" s="3" t="s">
        <v>306</v>
      </c>
    </row>
    <row r="7529" spans="1:8" ht="39" x14ac:dyDescent="0.25">
      <c r="A7529" s="3" t="s">
        <v>22069</v>
      </c>
      <c r="B7529" s="3"/>
      <c r="C7529" s="3" t="str">
        <f>"Water well contractor, Oil &amp; Gas Well Drilling Contractor, Oil &amp; Gas Well Plugging Contractor"</f>
        <v>Water well contractor, Oil &amp; Gas Well Drilling Contractor, Oil &amp; Gas Well Plugging Contractor</v>
      </c>
      <c r="D7529" s="3" t="s">
        <v>9</v>
      </c>
      <c r="E7529" s="3" t="s">
        <v>22070</v>
      </c>
      <c r="F7529" s="3" t="str">
        <f>"765-289-8264"</f>
        <v>765-289-8264</v>
      </c>
      <c r="G7529" s="3">
        <v>23581</v>
      </c>
      <c r="H7529" s="3" t="s">
        <v>6620</v>
      </c>
    </row>
    <row r="7530" spans="1:8" ht="26.25" x14ac:dyDescent="0.25">
      <c r="A7530" s="3" t="s">
        <v>22071</v>
      </c>
      <c r="B7530" s="3"/>
      <c r="C7530" s="3" t="str">
        <f>" "</f>
        <v xml:space="preserve"> </v>
      </c>
      <c r="D7530" s="3" t="s">
        <v>22072</v>
      </c>
      <c r="E7530" s="3" t="s">
        <v>46</v>
      </c>
      <c r="F7530" s="3" t="str">
        <f>"317-888-9111"</f>
        <v>317-888-9111</v>
      </c>
      <c r="G7530" s="3">
        <v>238220</v>
      </c>
      <c r="H7530" s="3" t="s">
        <v>348</v>
      </c>
    </row>
    <row r="7531" spans="1:8" ht="64.5" x14ac:dyDescent="0.25">
      <c r="A7531" s="3" t="s">
        <v>22073</v>
      </c>
      <c r="B7531" s="3"/>
      <c r="C7531" s="3" t="str">
        <f>"R A Chappell Enterprises operates in business-to-business markets as an agent and broker primarily engaged in wholesaling durable goods on a commission or fee basis."</f>
        <v>R A Chappell Enterprises operates in business-to-business markets as an agent and broker primarily engaged in wholesaling durable goods on a commission or fee basis.</v>
      </c>
      <c r="D7531" s="3" t="s">
        <v>22074</v>
      </c>
      <c r="E7531" s="3" t="s">
        <v>22075</v>
      </c>
      <c r="F7531" s="3" t="str">
        <f>"765-425-6840"</f>
        <v>765-425-6840</v>
      </c>
      <c r="G7531" s="3">
        <v>423</v>
      </c>
      <c r="H7531" s="3" t="s">
        <v>1561</v>
      </c>
    </row>
    <row r="7532" spans="1:8" ht="90" x14ac:dyDescent="0.25">
      <c r="A7532" s="3" t="s">
        <v>22076</v>
      </c>
      <c r="B7532" s="3"/>
      <c r="C7532" s="3" t="str">
        <f>"WE SPECIALIZE IN CARPET AND UPHOLSTRY CLEANING USING A LOW MOISURE EXTRACTION SYSTEM, AND JANITORIAL WORK. OUR COMPANY IS FAMILY OWNED AND DEDICATED TO QUALITY NOT QUANITY. PLEASE GIVE US A CHANCE TO SHOW YOU WHAT WE CAN DO"</f>
        <v>WE SPECIALIZE IN CARPET AND UPHOLSTRY CLEANING USING A LOW MOISURE EXTRACTION SYSTEM, AND JANITORIAL WORK. OUR COMPANY IS FAMILY OWNED AND DEDICATED TO QUALITY NOT QUANITY. PLEASE GIVE US A CHANCE TO SHOW YOU WHAT WE CAN DO</v>
      </c>
      <c r="D7532" s="3" t="s">
        <v>9</v>
      </c>
      <c r="E7532" s="3" t="s">
        <v>6001</v>
      </c>
      <c r="F7532" s="3" t="str">
        <f>"812-327-6001"</f>
        <v>812-327-6001</v>
      </c>
      <c r="G7532" s="3">
        <v>561720</v>
      </c>
      <c r="H7532" s="3" t="s">
        <v>222</v>
      </c>
    </row>
    <row r="7533" spans="1:8" ht="90" x14ac:dyDescent="0.25">
      <c r="A7533" s="3" t="s">
        <v>22077</v>
      </c>
      <c r="B7533" s="3"/>
      <c r="C7533" s="3" t="s">
        <v>22078</v>
      </c>
      <c r="D7533" s="3" t="s">
        <v>22079</v>
      </c>
      <c r="E7533" s="3" t="s">
        <v>22080</v>
      </c>
      <c r="F7533" s="3" t="str">
        <f>"3177038115"</f>
        <v>3177038115</v>
      </c>
      <c r="G7533" s="3">
        <v>541513</v>
      </c>
      <c r="H7533" s="3" t="s">
        <v>2401</v>
      </c>
    </row>
    <row r="7534" spans="1:8" ht="64.5" x14ac:dyDescent="0.25">
      <c r="A7534" s="3" t="s">
        <v>22081</v>
      </c>
      <c r="B7534" s="3"/>
      <c r="C7534" s="3" t="str">
        <f>"The Roman Catholic Archdiocese of Indianapolis comprises 133 parishes, 68 schools, six Catholic Charities agencies and many offices of ministry across central and southern Indiana."</f>
        <v>The Roman Catholic Archdiocese of Indianapolis comprises 133 parishes, 68 schools, six Catholic Charities agencies and many offices of ministry across central and southern Indiana.</v>
      </c>
      <c r="D7534" s="3" t="s">
        <v>22082</v>
      </c>
      <c r="E7534" s="3" t="s">
        <v>22083</v>
      </c>
      <c r="F7534" s="3" t="str">
        <f>"317-236-1400"</f>
        <v>317-236-1400</v>
      </c>
      <c r="G7534" s="3">
        <v>813</v>
      </c>
      <c r="H7534" s="3" t="s">
        <v>13057</v>
      </c>
    </row>
    <row r="7535" spans="1:8" ht="26.25" x14ac:dyDescent="0.25">
      <c r="A7535" s="3" t="s">
        <v>22084</v>
      </c>
      <c r="B7535" s="3"/>
      <c r="C7535" s="3" t="str">
        <f>"We are a Mechanical, Electrical and Plumbing Engineering Firm."</f>
        <v>We are a Mechanical, Electrical and Plumbing Engineering Firm.</v>
      </c>
      <c r="D7535" s="3" t="s">
        <v>22085</v>
      </c>
      <c r="E7535" s="3" t="s">
        <v>22086</v>
      </c>
      <c r="F7535" s="3" t="str">
        <f>"317-634-4672"</f>
        <v>317-634-4672</v>
      </c>
      <c r="G7535" s="3">
        <v>541330</v>
      </c>
      <c r="H7535" s="3" t="s">
        <v>82</v>
      </c>
    </row>
    <row r="7536" spans="1:8" ht="255.75" x14ac:dyDescent="0.25">
      <c r="A7536" s="3" t="s">
        <v>22087</v>
      </c>
      <c r="B7536" s="3"/>
      <c r="C7536" s="3" t="s">
        <v>22088</v>
      </c>
      <c r="D7536" s="3" t="s">
        <v>22089</v>
      </c>
      <c r="E7536" s="3" t="s">
        <v>22090</v>
      </c>
      <c r="F7536" s="3" t="str">
        <f>"800-466-2596"</f>
        <v>800-466-2596</v>
      </c>
      <c r="G7536" s="3">
        <v>444190</v>
      </c>
      <c r="H7536" s="3" t="s">
        <v>1188</v>
      </c>
    </row>
    <row r="7537" spans="1:8" ht="102.75" x14ac:dyDescent="0.25">
      <c r="A7537" s="3" t="s">
        <v>22091</v>
      </c>
      <c r="B7537" s="3"/>
      <c r="C7537" s="3" t="s">
        <v>22092</v>
      </c>
      <c r="D7537" s="3" t="s">
        <v>22093</v>
      </c>
      <c r="E7537" s="3" t="s">
        <v>22094</v>
      </c>
      <c r="F7537" s="3" t="str">
        <f>"317-705-1516"</f>
        <v>317-705-1516</v>
      </c>
      <c r="G7537" s="3">
        <v>541990</v>
      </c>
      <c r="H7537" s="3" t="s">
        <v>378</v>
      </c>
    </row>
    <row r="7538" spans="1:8" ht="64.5" x14ac:dyDescent="0.25">
      <c r="A7538" s="3" t="s">
        <v>22095</v>
      </c>
      <c r="B7538" s="3"/>
      <c r="C7538" s="3" t="str">
        <f>"fence contractor for commercial and residential applications - install chain link, wood, pvc, and ornamental fences, along with a variety of specialty work for fabricating material."</f>
        <v>fence contractor for commercial and residential applications - install chain link, wood, pvc, and ornamental fences, along with a variety of specialty work for fabricating material.</v>
      </c>
      <c r="D7538" s="3" t="s">
        <v>22096</v>
      </c>
      <c r="E7538" s="3" t="s">
        <v>22097</v>
      </c>
      <c r="F7538" s="3" t="str">
        <f>"260-478-7667"</f>
        <v>260-478-7667</v>
      </c>
      <c r="G7538" s="3">
        <v>238990</v>
      </c>
      <c r="H7538" s="3" t="s">
        <v>481</v>
      </c>
    </row>
    <row r="7539" spans="1:8" ht="64.5" x14ac:dyDescent="0.25">
      <c r="A7539" s="3" t="s">
        <v>22098</v>
      </c>
      <c r="B7539" s="3"/>
      <c r="C7539" s="3" t="str">
        <f>"My primary business is online sales and distribution of Art. Other business opportunities, teaming ventures with subcontractors for construction, cleaning, and painting."</f>
        <v>My primary business is online sales and distribution of Art. Other business opportunities, teaming ventures with subcontractors for construction, cleaning, and painting.</v>
      </c>
      <c r="D7539" s="3" t="s">
        <v>9</v>
      </c>
      <c r="E7539" s="3" t="s">
        <v>22099</v>
      </c>
      <c r="F7539" s="3" t="str">
        <f>"1-866-593-5888"</f>
        <v>1-866-593-5888</v>
      </c>
      <c r="G7539" s="3">
        <v>453920</v>
      </c>
      <c r="H7539" s="3" t="s">
        <v>2616</v>
      </c>
    </row>
    <row r="7540" spans="1:8" ht="51.75" x14ac:dyDescent="0.25">
      <c r="A7540" s="3" t="s">
        <v>22100</v>
      </c>
      <c r="B7540" s="3"/>
      <c r="C7540" s="3" t="str">
        <f>"R&amp;D Services4 U provides services in Janitorial, cleaning, maintenance, plumbing, electrical, tree service and lawn services."</f>
        <v>R&amp;D Services4 U provides services in Janitorial, cleaning, maintenance, plumbing, electrical, tree service and lawn services.</v>
      </c>
      <c r="D7540" s="3" t="s">
        <v>9</v>
      </c>
      <c r="E7540" s="3" t="s">
        <v>22099</v>
      </c>
      <c r="F7540" s="3" t="str">
        <f>"317-748-5920"</f>
        <v>317-748-5920</v>
      </c>
      <c r="G7540" s="3">
        <v>561720</v>
      </c>
      <c r="H7540" s="3" t="s">
        <v>222</v>
      </c>
    </row>
    <row r="7541" spans="1:8" x14ac:dyDescent="0.25">
      <c r="A7541" s="3" t="s">
        <v>22101</v>
      </c>
      <c r="B7541" s="3"/>
      <c r="C7541" s="3" t="str">
        <f>"Design/Build/Remodel"</f>
        <v>Design/Build/Remodel</v>
      </c>
      <c r="D7541" s="3" t="s">
        <v>9</v>
      </c>
      <c r="E7541" s="3" t="s">
        <v>46</v>
      </c>
      <c r="F7541" s="2"/>
      <c r="G7541" s="3">
        <v>2332</v>
      </c>
      <c r="H7541" s="3" t="s">
        <v>3466</v>
      </c>
    </row>
    <row r="7542" spans="1:8" ht="77.25" x14ac:dyDescent="0.25">
      <c r="A7542" s="3" t="s">
        <v>22102</v>
      </c>
      <c r="B7542" s="3"/>
      <c r="C7542" s="3" t="str">
        <f>"R&amp;K Concrete, Inc. performs concrete work - basement walls, floors, sidewalks, curbs, retaining walls, stamped concrete. The president of the company, Bob Redinbo, has over 25 years experience in the concrete business."</f>
        <v>R&amp;K Concrete, Inc. performs concrete work - basement walls, floors, sidewalks, curbs, retaining walls, stamped concrete. The president of the company, Bob Redinbo, has over 25 years experience in the concrete business.</v>
      </c>
      <c r="D7542" s="3" t="s">
        <v>9</v>
      </c>
      <c r="E7542" s="3" t="s">
        <v>22103</v>
      </c>
      <c r="F7542" s="3" t="str">
        <f>"765-742-2563"</f>
        <v>765-742-2563</v>
      </c>
      <c r="G7542" s="3">
        <v>23571</v>
      </c>
      <c r="H7542" s="3" t="s">
        <v>576</v>
      </c>
    </row>
    <row r="7543" spans="1:8" ht="141" x14ac:dyDescent="0.25">
      <c r="A7543" s="3" t="s">
        <v>22104</v>
      </c>
      <c r="B7543" s="3"/>
      <c r="C7543" s="3" t="s">
        <v>22105</v>
      </c>
      <c r="D7543" s="3" t="s">
        <v>22106</v>
      </c>
      <c r="E7543" s="3" t="s">
        <v>22107</v>
      </c>
      <c r="F7543" s="3" t="str">
        <f>"3172383978"</f>
        <v>3172383978</v>
      </c>
      <c r="G7543" s="3">
        <v>238320</v>
      </c>
      <c r="H7543" s="3" t="s">
        <v>462</v>
      </c>
    </row>
    <row r="7544" spans="1:8" ht="64.5" x14ac:dyDescent="0.25">
      <c r="A7544" s="3" t="s">
        <v>22108</v>
      </c>
      <c r="B7544" s="3"/>
      <c r="C7544" s="3" t="str">
        <f>"Providing subsurface inspection services and equipment to industrial, municipal, and petrochemical clients. Offering a full range of video, sonar, laser pipeline inspection equipment sales, rental, and field services"</f>
        <v>Providing subsurface inspection services and equipment to industrial, municipal, and petrochemical clients. Offering a full range of video, sonar, laser pipeline inspection equipment sales, rental, and field services</v>
      </c>
      <c r="D7544" s="3" t="s">
        <v>22109</v>
      </c>
      <c r="E7544" s="3" t="s">
        <v>22110</v>
      </c>
      <c r="F7544" s="3" t="str">
        <f>"574-223-5426"</f>
        <v>574-223-5426</v>
      </c>
      <c r="G7544" s="3">
        <v>541990</v>
      </c>
      <c r="H7544" s="3" t="s">
        <v>378</v>
      </c>
    </row>
    <row r="7545" spans="1:8" ht="39" x14ac:dyDescent="0.25">
      <c r="A7545" s="3" t="s">
        <v>22111</v>
      </c>
      <c r="B7545" s="3"/>
      <c r="C7545" s="3" t="str">
        <f>"We are a construction company that not only does Painting and Cleaning, but also roofing and Masonary."</f>
        <v>We are a construction company that not only does Painting and Cleaning, but also roofing and Masonary.</v>
      </c>
      <c r="D7545" s="3" t="s">
        <v>22112</v>
      </c>
      <c r="E7545" s="3" t="s">
        <v>22113</v>
      </c>
      <c r="F7545" s="3" t="str">
        <f>"317-480-1121"</f>
        <v>317-480-1121</v>
      </c>
      <c r="G7545" s="3">
        <v>238320</v>
      </c>
      <c r="H7545" s="3" t="s">
        <v>462</v>
      </c>
    </row>
    <row r="7546" spans="1:8" ht="51.75" x14ac:dyDescent="0.25">
      <c r="A7546" s="3" t="s">
        <v>22114</v>
      </c>
      <c r="B7546" s="3"/>
      <c r="C7546" s="3" t="str">
        <f>"We produce and sell metal and paper targets. We have metal targets for air guns, 22 cal., larger cal. handguns, and rifles. We also customize targets."</f>
        <v>We produce and sell metal and paper targets. We have metal targets for air guns, 22 cal., larger cal. handguns, and rifles. We also customize targets.</v>
      </c>
      <c r="D7546" s="3" t="s">
        <v>22115</v>
      </c>
      <c r="E7546" s="3" t="s">
        <v>22116</v>
      </c>
      <c r="F7546" s="3" t="str">
        <f>"574-342-2848"</f>
        <v>574-342-2848</v>
      </c>
      <c r="G7546" s="3">
        <v>336413</v>
      </c>
      <c r="H7546" s="3" t="s">
        <v>22117</v>
      </c>
    </row>
    <row r="7547" spans="1:8" ht="90" x14ac:dyDescent="0.25">
      <c r="A7547" s="3" t="s">
        <v>22118</v>
      </c>
      <c r="B7547" s="3"/>
      <c r="C7547" s="3" t="s">
        <v>22119</v>
      </c>
      <c r="D7547" s="3" t="s">
        <v>22120</v>
      </c>
      <c r="E7547" s="3" t="s">
        <v>22121</v>
      </c>
      <c r="F7547" s="3" t="str">
        <f>"TBA"</f>
        <v>TBA</v>
      </c>
      <c r="G7547" s="3">
        <v>2359</v>
      </c>
      <c r="H7547" s="3" t="s">
        <v>631</v>
      </c>
    </row>
    <row r="7548" spans="1:8" ht="268.5" x14ac:dyDescent="0.25">
      <c r="A7548" s="3" t="s">
        <v>22122</v>
      </c>
      <c r="B7548" s="3"/>
      <c r="C7548" s="3" t="s">
        <v>22123</v>
      </c>
      <c r="D7548" s="3" t="s">
        <v>22124</v>
      </c>
      <c r="E7548" s="3" t="s">
        <v>22125</v>
      </c>
      <c r="F7548" s="3" t="str">
        <f>"574-278-7191"</f>
        <v>574-278-7191</v>
      </c>
      <c r="G7548" s="3">
        <v>541990</v>
      </c>
      <c r="H7548" s="3" t="s">
        <v>378</v>
      </c>
    </row>
    <row r="7549" spans="1:8" ht="26.25" x14ac:dyDescent="0.25">
      <c r="A7549" s="3" t="s">
        <v>22126</v>
      </c>
      <c r="B7549" s="3"/>
      <c r="C7549" s="2"/>
      <c r="D7549" s="3" t="s">
        <v>9</v>
      </c>
      <c r="E7549" s="3" t="s">
        <v>22127</v>
      </c>
      <c r="F7549" s="3" t="str">
        <f>"574-272-4738"</f>
        <v>574-272-4738</v>
      </c>
      <c r="G7549" s="3">
        <v>531320</v>
      </c>
      <c r="H7549" s="3" t="s">
        <v>34</v>
      </c>
    </row>
    <row r="7550" spans="1:8" ht="255.75" x14ac:dyDescent="0.25">
      <c r="A7550" s="3" t="s">
        <v>22128</v>
      </c>
      <c r="B7550" s="3"/>
      <c r="C7550" s="3" t="s">
        <v>22129</v>
      </c>
      <c r="D7550" s="3" t="s">
        <v>22130</v>
      </c>
      <c r="E7550" s="3" t="s">
        <v>46</v>
      </c>
      <c r="F7550" s="3" t="str">
        <f>"219-972-2141"</f>
        <v>219-972-2141</v>
      </c>
      <c r="G7550" s="3">
        <v>541330</v>
      </c>
      <c r="H7550" s="3" t="s">
        <v>82</v>
      </c>
    </row>
    <row r="7551" spans="1:8" ht="115.5" x14ac:dyDescent="0.25">
      <c r="A7551" s="3" t="s">
        <v>22131</v>
      </c>
      <c r="B7551" s="3"/>
      <c r="C7551" s="3" t="s">
        <v>22132</v>
      </c>
      <c r="D7551" s="3" t="s">
        <v>22133</v>
      </c>
      <c r="E7551" s="3" t="s">
        <v>22134</v>
      </c>
      <c r="F7551" s="3" t="str">
        <f>"219-924-8400"</f>
        <v>219-924-8400</v>
      </c>
      <c r="G7551" s="3">
        <v>541330</v>
      </c>
      <c r="H7551" s="3" t="s">
        <v>82</v>
      </c>
    </row>
    <row r="7552" spans="1:8" ht="26.25" x14ac:dyDescent="0.25">
      <c r="A7552" s="3" t="s">
        <v>22135</v>
      </c>
      <c r="B7552" s="3"/>
      <c r="C7552" s="3" t="str">
        <f>"R. L. Rowley &amp; Associates provides legal and government administrative services."</f>
        <v>R. L. Rowley &amp; Associates provides legal and government administrative services.</v>
      </c>
      <c r="D7552" s="3" t="s">
        <v>9</v>
      </c>
      <c r="E7552" s="3" t="s">
        <v>22136</v>
      </c>
      <c r="F7552" s="3" t="str">
        <f>"(317) 610-3347"</f>
        <v>(317) 610-3347</v>
      </c>
      <c r="G7552" s="3">
        <v>541110</v>
      </c>
      <c r="H7552" s="3" t="s">
        <v>2978</v>
      </c>
    </row>
    <row r="7553" spans="1:8" ht="115.5" x14ac:dyDescent="0.25">
      <c r="A7553" s="3" t="s">
        <v>22137</v>
      </c>
      <c r="B7553" s="3"/>
      <c r="C7553" s="3" t="s">
        <v>22138</v>
      </c>
      <c r="D7553" s="3" t="s">
        <v>22139</v>
      </c>
      <c r="E7553" s="3" t="s">
        <v>22140</v>
      </c>
      <c r="F7553" s="3" t="str">
        <f>"317-865-1413"</f>
        <v>317-865-1413</v>
      </c>
      <c r="G7553" s="3">
        <v>541910</v>
      </c>
      <c r="H7553" s="3" t="s">
        <v>510</v>
      </c>
    </row>
    <row r="7554" spans="1:8" ht="166.5" x14ac:dyDescent="0.25">
      <c r="A7554" s="3" t="s">
        <v>22141</v>
      </c>
      <c r="B7554" s="3"/>
      <c r="C7554" s="3" t="s">
        <v>22142</v>
      </c>
      <c r="D7554" s="3" t="s">
        <v>9</v>
      </c>
      <c r="E7554" s="3" t="s">
        <v>22143</v>
      </c>
      <c r="F7554" s="3" t="str">
        <f>"3176792032"</f>
        <v>3176792032</v>
      </c>
      <c r="G7554" s="3">
        <v>23</v>
      </c>
      <c r="H7554" s="3" t="s">
        <v>133</v>
      </c>
    </row>
    <row r="7555" spans="1:8" ht="204.75" x14ac:dyDescent="0.25">
      <c r="A7555" s="3" t="s">
        <v>22144</v>
      </c>
      <c r="B7555" s="3"/>
      <c r="C7555" s="3" t="s">
        <v>22145</v>
      </c>
      <c r="D7555" s="3" t="s">
        <v>22146</v>
      </c>
      <c r="E7555" s="3" t="s">
        <v>22147</v>
      </c>
      <c r="F7555" s="3" t="str">
        <f>"765-795-6377"</f>
        <v>765-795-6377</v>
      </c>
      <c r="G7555" s="3">
        <v>23611</v>
      </c>
      <c r="H7555" s="3" t="s">
        <v>3466</v>
      </c>
    </row>
    <row r="7556" spans="1:8" ht="51.75" x14ac:dyDescent="0.25">
      <c r="A7556" s="3" t="s">
        <v>22148</v>
      </c>
      <c r="B7556" s="3"/>
      <c r="C7556" s="3" t="str">
        <f>"residential and light commercial general contractors - single and multi-family dwellings and commercial including churches, funeral homes, restaurants, etc."</f>
        <v>residential and light commercial general contractors - single and multi-family dwellings and commercial including churches, funeral homes, restaurants, etc.</v>
      </c>
      <c r="D7556" s="3" t="s">
        <v>9</v>
      </c>
      <c r="E7556" s="3" t="s">
        <v>46</v>
      </c>
      <c r="F7556" s="2"/>
      <c r="G7556" s="3">
        <v>2332</v>
      </c>
      <c r="H7556" s="3" t="s">
        <v>3466</v>
      </c>
    </row>
    <row r="7557" spans="1:8" ht="51.75" x14ac:dyDescent="0.25">
      <c r="A7557" s="3" t="s">
        <v>22149</v>
      </c>
      <c r="B7557" s="3"/>
      <c r="C7557" s="3" t="str">
        <f>"We are a livestock and small animal feed manufacturer. We are also water softner salt and livestock salt distributors. We also distribute Deicing products"</f>
        <v>We are a livestock and small animal feed manufacturer. We are also water softner salt and livestock salt distributors. We also distribute Deicing products</v>
      </c>
      <c r="D7557" s="3" t="s">
        <v>9</v>
      </c>
      <c r="E7557" s="3" t="s">
        <v>22150</v>
      </c>
      <c r="F7557" s="3" t="str">
        <f>"800 276-2528"</f>
        <v>800 276-2528</v>
      </c>
      <c r="G7557" s="3">
        <v>3112</v>
      </c>
      <c r="H7557" s="3" t="s">
        <v>22151</v>
      </c>
    </row>
    <row r="7558" spans="1:8" ht="64.5" x14ac:dyDescent="0.25">
      <c r="A7558" s="3" t="s">
        <v>22152</v>
      </c>
      <c r="B7558" s="3"/>
      <c r="C7558" s="3" t="str">
        <f>"We are a provider of home medical equipment and supplies for sales or rental. We provide durable medical equipment and supplies along with respiratory products such as oxygen, CPAP, BiPap, etc."</f>
        <v>We are a provider of home medical equipment and supplies for sales or rental. We provide durable medical equipment and supplies along with respiratory products such as oxygen, CPAP, BiPap, etc.</v>
      </c>
      <c r="D7558" s="3" t="s">
        <v>22153</v>
      </c>
      <c r="E7558" s="3" t="s">
        <v>46</v>
      </c>
      <c r="F7558" s="3" t="str">
        <f>"1-800-558-7620"</f>
        <v>1-800-558-7620</v>
      </c>
      <c r="G7558" s="3">
        <v>446199</v>
      </c>
      <c r="H7558" s="3" t="s">
        <v>1760</v>
      </c>
    </row>
    <row r="7559" spans="1:8" ht="26.25" x14ac:dyDescent="0.25">
      <c r="A7559" s="3" t="s">
        <v>22154</v>
      </c>
      <c r="B7559" s="3"/>
      <c r="C7559" s="3" t="str">
        <f>"providing cleaning supplies to business in Indianan"</f>
        <v>providing cleaning supplies to business in Indianan</v>
      </c>
      <c r="D7559" s="3" t="s">
        <v>22155</v>
      </c>
      <c r="E7559" s="3" t="s">
        <v>22156</v>
      </c>
      <c r="F7559" s="3" t="str">
        <f>"765-459-0311"</f>
        <v>765-459-0311</v>
      </c>
      <c r="G7559" s="3">
        <v>56172</v>
      </c>
      <c r="H7559" s="3" t="s">
        <v>222</v>
      </c>
    </row>
    <row r="7560" spans="1:8" ht="39" x14ac:dyDescent="0.25">
      <c r="A7560" s="3" t="s">
        <v>22157</v>
      </c>
      <c r="B7560" s="3"/>
      <c r="C7560" s="3" t="str">
        <f>"Fire Protection contractor performing on new and renovation projects and has a complete service department."</f>
        <v>Fire Protection contractor performing on new and renovation projects and has a complete service department.</v>
      </c>
      <c r="D7560" s="3" t="s">
        <v>22158</v>
      </c>
      <c r="E7560" s="3" t="s">
        <v>22159</v>
      </c>
      <c r="F7560" s="3" t="str">
        <f>"3176342002"</f>
        <v>3176342002</v>
      </c>
      <c r="G7560" s="3">
        <v>2389</v>
      </c>
      <c r="H7560" s="3" t="s">
        <v>1236</v>
      </c>
    </row>
    <row r="7561" spans="1:8" ht="26.25" x14ac:dyDescent="0.25">
      <c r="A7561" s="3" t="s">
        <v>22160</v>
      </c>
      <c r="B7561" s="3"/>
      <c r="C7561" s="3" t="str">
        <f>"Sales of all types of watercraft and accesories"</f>
        <v>Sales of all types of watercraft and accesories</v>
      </c>
      <c r="D7561" s="3" t="s">
        <v>9</v>
      </c>
      <c r="E7561" s="3" t="s">
        <v>22161</v>
      </c>
      <c r="F7561" s="3" t="str">
        <f>"765-564-2142"</f>
        <v>765-564-2142</v>
      </c>
      <c r="G7561" s="3">
        <v>221</v>
      </c>
      <c r="H7561" s="3" t="s">
        <v>1151</v>
      </c>
    </row>
    <row r="7562" spans="1:8" ht="77.25" x14ac:dyDescent="0.25">
      <c r="A7562" s="3" t="s">
        <v>22162</v>
      </c>
      <c r="B7562" s="3"/>
      <c r="C7562" s="3" t="str">
        <f>"R.E.P. Enterprises, LLC, d/b/a Tippecanoe Translation Services and d/b/a R.E.P. Insurance Services provides Spanish-English interpreting and translation services as well as offers general insurance lines, both commercial and personal."</f>
        <v>R.E.P. Enterprises, LLC, d/b/a Tippecanoe Translation Services and d/b/a R.E.P. Insurance Services provides Spanish-English interpreting and translation services as well as offers general insurance lines, both commercial and personal.</v>
      </c>
      <c r="D7562" s="3" t="s">
        <v>22163</v>
      </c>
      <c r="E7562" s="3" t="s">
        <v>22164</v>
      </c>
      <c r="F7562" s="3" t="str">
        <f>"(765) 474-7494"</f>
        <v>(765) 474-7494</v>
      </c>
      <c r="G7562" s="3">
        <v>541930</v>
      </c>
      <c r="H7562" s="3" t="s">
        <v>971</v>
      </c>
    </row>
    <row r="7563" spans="1:8" ht="39" x14ac:dyDescent="0.25">
      <c r="A7563" s="3" t="s">
        <v>22165</v>
      </c>
      <c r="B7563" s="3"/>
      <c r="C7563" s="3" t="str">
        <f>"Electrical Contractor providing electrical service and construction for commerical and residential clients."</f>
        <v>Electrical Contractor providing electrical service and construction for commerical and residential clients.</v>
      </c>
      <c r="D7563" s="3" t="s">
        <v>9</v>
      </c>
      <c r="E7563" s="3" t="s">
        <v>22166</v>
      </c>
      <c r="F7563" s="3" t="str">
        <f>"317-257-7380"</f>
        <v>317-257-7380</v>
      </c>
      <c r="G7563" s="3">
        <v>238210</v>
      </c>
      <c r="H7563" s="3" t="s">
        <v>306</v>
      </c>
    </row>
    <row r="7564" spans="1:8" ht="153.75" x14ac:dyDescent="0.25">
      <c r="A7564" s="3" t="s">
        <v>22167</v>
      </c>
      <c r="B7564" s="3"/>
      <c r="C7564" s="3" t="s">
        <v>22168</v>
      </c>
      <c r="D7564" s="3" t="s">
        <v>22169</v>
      </c>
      <c r="E7564" s="3" t="s">
        <v>22170</v>
      </c>
      <c r="F7564" s="3" t="str">
        <f>"317-733-6339"</f>
        <v>317-733-6339</v>
      </c>
      <c r="G7564" s="3">
        <v>238110</v>
      </c>
      <c r="H7564" s="3" t="s">
        <v>156</v>
      </c>
    </row>
    <row r="7565" spans="1:8" ht="102.75" x14ac:dyDescent="0.25">
      <c r="A7565" s="3" t="s">
        <v>22171</v>
      </c>
      <c r="B7565" s="3"/>
      <c r="C7565" s="3" t="s">
        <v>22172</v>
      </c>
      <c r="D7565" s="3" t="s">
        <v>22173</v>
      </c>
      <c r="E7565" s="3" t="s">
        <v>22174</v>
      </c>
      <c r="F7565" s="3" t="str">
        <f>"317-815-1441"</f>
        <v>317-815-1441</v>
      </c>
      <c r="G7565" s="3">
        <v>52</v>
      </c>
      <c r="H7565" s="3" t="s">
        <v>50</v>
      </c>
    </row>
    <row r="7566" spans="1:8" ht="39" x14ac:dyDescent="0.25">
      <c r="A7566" s="3" t="s">
        <v>22175</v>
      </c>
      <c r="B7566" s="3"/>
      <c r="C7566" s="3" t="str">
        <f>"Electrical contractor, specialising in service and maintenance work. Generator sales and service"</f>
        <v>Electrical contractor, specialising in service and maintenance work. Generator sales and service</v>
      </c>
      <c r="D7566" s="3" t="s">
        <v>22176</v>
      </c>
      <c r="E7566" s="3" t="s">
        <v>22177</v>
      </c>
      <c r="F7566" s="3" t="str">
        <f>"812-537-8635"</f>
        <v>812-537-8635</v>
      </c>
      <c r="G7566" s="3">
        <v>238210</v>
      </c>
      <c r="H7566" s="3" t="s">
        <v>306</v>
      </c>
    </row>
    <row r="7567" spans="1:8" ht="77.25" x14ac:dyDescent="0.25">
      <c r="A7567" s="3" t="s">
        <v>22178</v>
      </c>
      <c r="B7567" s="3"/>
      <c r="C7567" s="3" t="str">
        <f>"Manufacture and market solar lighting for a variety of application including portabel restrooms, boat docks, sidewalks, outbuildings, utility trailers, etc. We manufacture and market our product in Elkhart, Indiana."</f>
        <v>Manufacture and market solar lighting for a variety of application including portabel restrooms, boat docks, sidewalks, outbuildings, utility trailers, etc. We manufacture and market our product in Elkhart, Indiana.</v>
      </c>
      <c r="D7567" s="3" t="s">
        <v>22179</v>
      </c>
      <c r="E7567" s="3" t="s">
        <v>22180</v>
      </c>
      <c r="F7567" s="3" t="str">
        <f>"574-294-2624"</f>
        <v>574-294-2624</v>
      </c>
      <c r="G7567" s="3">
        <v>3351</v>
      </c>
      <c r="H7567" s="3" t="s">
        <v>22181</v>
      </c>
    </row>
    <row r="7568" spans="1:8" ht="77.25" x14ac:dyDescent="0.25">
      <c r="A7568" s="3" t="s">
        <v>22182</v>
      </c>
      <c r="B7568" s="3"/>
      <c r="C7568" s="3" t="str">
        <f>"We have worked with many State Agencies and Municipalities during the past 28 years and have provided a vast amount of services. These include, heavy highway and bridgework, public utility, railroad and commercial custom concrete projects."</f>
        <v>We have worked with many State Agencies and Municipalities during the past 28 years and have provided a vast amount of services. These include, heavy highway and bridgework, public utility, railroad and commercial custom concrete projects.</v>
      </c>
      <c r="D7568" s="3" t="s">
        <v>9</v>
      </c>
      <c r="E7568" s="3" t="s">
        <v>22183</v>
      </c>
      <c r="F7568" s="3" t="str">
        <f>"8127526884"</f>
        <v>8127526884</v>
      </c>
      <c r="G7568" s="3">
        <v>237990</v>
      </c>
      <c r="H7568" s="3" t="s">
        <v>2631</v>
      </c>
    </row>
    <row r="7569" spans="1:8" ht="51.75" x14ac:dyDescent="0.25">
      <c r="A7569" s="3" t="s">
        <v>22184</v>
      </c>
      <c r="B7569" s="3"/>
      <c r="C7569" s="3" t="str">
        <f>"sales ansd service of lawn and garden equipment including mower, chain saws trimmers and other related products, excluding chemicals and fertilizers."</f>
        <v>sales ansd service of lawn and garden equipment including mower, chain saws trimmers and other related products, excluding chemicals and fertilizers.</v>
      </c>
      <c r="D7569" s="3" t="s">
        <v>9</v>
      </c>
      <c r="E7569" s="3" t="s">
        <v>22185</v>
      </c>
      <c r="F7569" s="3" t="str">
        <f>"765-644-0966"</f>
        <v>765-644-0966</v>
      </c>
      <c r="G7569" s="3">
        <v>4442</v>
      </c>
      <c r="H7569" s="3" t="s">
        <v>852</v>
      </c>
    </row>
    <row r="7570" spans="1:8" ht="26.25" x14ac:dyDescent="0.25">
      <c r="A7570" s="3" t="s">
        <v>22186</v>
      </c>
      <c r="B7570" s="3"/>
      <c r="C7570" s="3" t="str">
        <f>"Commerical real estate appraisal and brokerage within the State of Indiana."</f>
        <v>Commerical real estate appraisal and brokerage within the State of Indiana.</v>
      </c>
      <c r="D7570" s="3" t="s">
        <v>9</v>
      </c>
      <c r="E7570" s="3" t="s">
        <v>22187</v>
      </c>
      <c r="F7570" s="3" t="str">
        <f>"317-816-3380"</f>
        <v>317-816-3380</v>
      </c>
      <c r="G7570" s="3">
        <v>531320</v>
      </c>
      <c r="H7570" s="3" t="s">
        <v>34</v>
      </c>
    </row>
    <row r="7571" spans="1:8" ht="90" x14ac:dyDescent="0.25">
      <c r="A7571" s="3" t="s">
        <v>22188</v>
      </c>
      <c r="B7571" s="3"/>
      <c r="C7571" s="3" t="s">
        <v>22189</v>
      </c>
      <c r="D7571" s="3" t="s">
        <v>22190</v>
      </c>
      <c r="E7571" s="3" t="s">
        <v>22191</v>
      </c>
      <c r="F7571" s="3" t="str">
        <f>"317-631-5316"</f>
        <v>317-631-5316</v>
      </c>
      <c r="G7571" s="3">
        <v>238220</v>
      </c>
      <c r="H7571" s="3" t="s">
        <v>348</v>
      </c>
    </row>
    <row r="7572" spans="1:8" ht="26.25" x14ac:dyDescent="0.25">
      <c r="A7572" s="3" t="s">
        <v>22192</v>
      </c>
      <c r="B7572" s="3"/>
      <c r="C7572" s="3" t="str">
        <f>"Electrical Contractor for commerical and residential"</f>
        <v>Electrical Contractor for commerical and residential</v>
      </c>
      <c r="D7572" s="3" t="s">
        <v>9</v>
      </c>
      <c r="E7572" s="3" t="s">
        <v>22193</v>
      </c>
      <c r="F7572" s="3" t="str">
        <f>"317-698-9439"</f>
        <v>317-698-9439</v>
      </c>
      <c r="G7572" s="3">
        <v>238210</v>
      </c>
      <c r="H7572" s="3" t="s">
        <v>306</v>
      </c>
    </row>
    <row r="7573" spans="1:8" ht="26.25" x14ac:dyDescent="0.25">
      <c r="A7573" s="3" t="s">
        <v>22194</v>
      </c>
      <c r="B7573" s="3"/>
      <c r="C7573" s="3" t="str">
        <f>"24 hours 7 days a week Towing and recovery services. No job to large or small."</f>
        <v>24 hours 7 days a week Towing and recovery services. No job to large or small.</v>
      </c>
      <c r="D7573" s="3" t="s">
        <v>22195</v>
      </c>
      <c r="E7573" s="3" t="s">
        <v>46</v>
      </c>
      <c r="F7573" s="3" t="str">
        <f>"219-313-8272"</f>
        <v>219-313-8272</v>
      </c>
      <c r="G7573" s="3">
        <v>488410</v>
      </c>
      <c r="H7573" s="3" t="s">
        <v>4171</v>
      </c>
    </row>
    <row r="7574" spans="1:8" x14ac:dyDescent="0.25">
      <c r="A7574" s="3" t="s">
        <v>22196</v>
      </c>
      <c r="B7574" s="3"/>
      <c r="C7574" s="3" t="str">
        <f>"Hauling of sand, gravel, asphalt"</f>
        <v>Hauling of sand, gravel, asphalt</v>
      </c>
      <c r="D7574" s="3" t="s">
        <v>9</v>
      </c>
      <c r="E7574" s="3" t="s">
        <v>46</v>
      </c>
      <c r="F7574" s="2"/>
      <c r="G7574" s="3">
        <v>23</v>
      </c>
      <c r="H7574" s="3" t="s">
        <v>133</v>
      </c>
    </row>
    <row r="7575" spans="1:8" ht="115.5" x14ac:dyDescent="0.25">
      <c r="A7575" s="3" t="s">
        <v>22197</v>
      </c>
      <c r="B7575" s="3"/>
      <c r="C7575" s="3" t="s">
        <v>22198</v>
      </c>
      <c r="D7575" s="3" t="s">
        <v>22199</v>
      </c>
      <c r="E7575" s="3" t="s">
        <v>22200</v>
      </c>
      <c r="F7575" s="3" t="str">
        <f>"317-627-1814"</f>
        <v>317-627-1814</v>
      </c>
      <c r="G7575" s="3">
        <v>54143</v>
      </c>
      <c r="H7575" s="3" t="s">
        <v>78</v>
      </c>
    </row>
    <row r="7576" spans="1:8" ht="39" x14ac:dyDescent="0.25">
      <c r="A7576" s="3" t="s">
        <v>22201</v>
      </c>
      <c r="B7576" s="3"/>
      <c r="C7576" s="3" t="str">
        <f>"Selling labels which identify the type of medication in a prescription bottle,i.e. Blood Pressure, Diabetes, Heart."</f>
        <v>Selling labels which identify the type of medication in a prescription bottle,i.e. Blood Pressure, Diabetes, Heart.</v>
      </c>
      <c r="D7576" s="3" t="s">
        <v>22202</v>
      </c>
      <c r="E7576" s="3" t="s">
        <v>22203</v>
      </c>
      <c r="F7576" s="3" t="str">
        <f>"800-249-1170"</f>
        <v>800-249-1170</v>
      </c>
      <c r="G7576" s="3">
        <v>44</v>
      </c>
      <c r="H7576" s="3" t="s">
        <v>574</v>
      </c>
    </row>
    <row r="7577" spans="1:8" ht="77.25" x14ac:dyDescent="0.25">
      <c r="A7577" s="3" t="s">
        <v>22204</v>
      </c>
      <c r="B7577" s="3"/>
      <c r="C7577" s="3" t="str">
        <f>"Ranger Enterprises is a veteran owned small business doing quality competitive machining and sheet metal fabrication just north of the Bloomington Crane gate. If we can serve you in the future please do not hesitate to contact us."</f>
        <v>Ranger Enterprises is a veteran owned small business doing quality competitive machining and sheet metal fabrication just north of the Bloomington Crane gate. If we can serve you in the future please do not hesitate to contact us.</v>
      </c>
      <c r="D7577" s="3" t="s">
        <v>9</v>
      </c>
      <c r="E7577" s="3" t="s">
        <v>22205</v>
      </c>
      <c r="F7577" s="3" t="str">
        <f>"8128251246"</f>
        <v>8128251246</v>
      </c>
      <c r="G7577" s="3">
        <v>332710</v>
      </c>
      <c r="H7577" s="3" t="s">
        <v>387</v>
      </c>
    </row>
    <row r="7578" spans="1:8" ht="64.5" x14ac:dyDescent="0.25">
      <c r="A7578" s="3" t="s">
        <v>22206</v>
      </c>
      <c r="B7578" s="3"/>
      <c r="C7578" s="3" t="str">
        <f>"Laundry and dry cleaning plant along with 2 self serve laundry facilities in Gary and one in Hobart. We also do pick of and delivery to homes and businesses in Northwest Indiana's Lake and Porter Counties."</f>
        <v>Laundry and dry cleaning plant along with 2 self serve laundry facilities in Gary and one in Hobart. We also do pick of and delivery to homes and businesses in Northwest Indiana's Lake and Porter Counties.</v>
      </c>
      <c r="D7578" s="3" t="s">
        <v>22207</v>
      </c>
      <c r="E7578" s="3" t="s">
        <v>22208</v>
      </c>
      <c r="F7578" s="3" t="str">
        <f>"(219) 887-6655"</f>
        <v>(219) 887-6655</v>
      </c>
      <c r="G7578" s="3">
        <v>236220</v>
      </c>
      <c r="H7578" s="3" t="s">
        <v>598</v>
      </c>
    </row>
    <row r="7579" spans="1:8" ht="192" x14ac:dyDescent="0.25">
      <c r="A7579" s="3" t="s">
        <v>22209</v>
      </c>
      <c r="B7579" s="3"/>
      <c r="C7579" s="3" t="s">
        <v>22210</v>
      </c>
      <c r="D7579" s="3" t="s">
        <v>22211</v>
      </c>
      <c r="E7579" s="3" t="s">
        <v>22212</v>
      </c>
      <c r="F7579" s="3" t="str">
        <f>"317.633-4040"</f>
        <v>317.633-4040</v>
      </c>
      <c r="G7579" s="3">
        <v>541310</v>
      </c>
      <c r="H7579" s="3" t="s">
        <v>446</v>
      </c>
    </row>
    <row r="7580" spans="1:8" ht="39" x14ac:dyDescent="0.25">
      <c r="A7580" s="3" t="s">
        <v>22213</v>
      </c>
      <c r="B7580" s="3"/>
      <c r="C7580" s="3" t="str">
        <f>"supply of sub-contract services including assembly, fabrication, janitorial, lawn and landscaping and packaging."</f>
        <v>supply of sub-contract services including assembly, fabrication, janitorial, lawn and landscaping and packaging.</v>
      </c>
      <c r="D7580" s="3" t="s">
        <v>22214</v>
      </c>
      <c r="E7580" s="3" t="s">
        <v>22215</v>
      </c>
      <c r="F7580" s="3" t="str">
        <f>"(812) 945-4063"</f>
        <v>(812) 945-4063</v>
      </c>
      <c r="G7580" s="3">
        <v>624310</v>
      </c>
      <c r="H7580" s="3" t="s">
        <v>488</v>
      </c>
    </row>
    <row r="7581" spans="1:8" ht="26.25" x14ac:dyDescent="0.25">
      <c r="A7581" s="3" t="s">
        <v>22216</v>
      </c>
      <c r="B7581" s="3"/>
      <c r="C7581" s="3" t="str">
        <f>"Promotional and Marketing items."</f>
        <v>Promotional and Marketing items.</v>
      </c>
      <c r="D7581" s="3" t="s">
        <v>22217</v>
      </c>
      <c r="E7581" s="3" t="s">
        <v>22218</v>
      </c>
      <c r="F7581" s="3" t="str">
        <f>"317-782-0940"</f>
        <v>317-782-0940</v>
      </c>
      <c r="G7581" s="3">
        <v>541613</v>
      </c>
      <c r="H7581" s="3" t="s">
        <v>558</v>
      </c>
    </row>
    <row r="7582" spans="1:8" ht="90" x14ac:dyDescent="0.25">
      <c r="A7582" s="3" t="s">
        <v>22219</v>
      </c>
      <c r="B7582" s="3"/>
      <c r="C7582" s="3" t="str">
        <f>"Provides process improvement and business improvement through lean manufacturing, six sigma (black belt), and 12 years of US Army (Officer) leadership experience. Background in logistics, manufacturing, healthcare, and financial operations."</f>
        <v>Provides process improvement and business improvement through lean manufacturing, six sigma (black belt), and 12 years of US Army (Officer) leadership experience. Background in logistics, manufacturing, healthcare, and financial operations.</v>
      </c>
      <c r="D7582" s="3" t="s">
        <v>9</v>
      </c>
      <c r="E7582" s="3" t="s">
        <v>22220</v>
      </c>
      <c r="F7582" s="2"/>
      <c r="G7582" s="3">
        <v>54161</v>
      </c>
      <c r="H7582" s="3" t="s">
        <v>1221</v>
      </c>
    </row>
    <row r="7583" spans="1:8" ht="26.25" x14ac:dyDescent="0.25">
      <c r="A7583" s="3" t="s">
        <v>22221</v>
      </c>
      <c r="B7583" s="3"/>
      <c r="C7583" s="3" t="str">
        <f>"sheet metal fabrication and installation"</f>
        <v>sheet metal fabrication and installation</v>
      </c>
      <c r="D7583" s="3" t="s">
        <v>9</v>
      </c>
      <c r="E7583" s="3" t="s">
        <v>46</v>
      </c>
      <c r="F7583" s="3" t="str">
        <f>"765-778-1514"</f>
        <v>765-778-1514</v>
      </c>
      <c r="G7583" s="3">
        <v>238220</v>
      </c>
      <c r="H7583" s="3" t="s">
        <v>348</v>
      </c>
    </row>
    <row r="7584" spans="1:8" ht="26.25" x14ac:dyDescent="0.25">
      <c r="A7584" s="3" t="s">
        <v>22222</v>
      </c>
      <c r="B7584" s="3"/>
      <c r="C7584" s="3" t="str">
        <f>"Manufacturer of custom envelopes."</f>
        <v>Manufacturer of custom envelopes.</v>
      </c>
      <c r="D7584" s="3" t="s">
        <v>22223</v>
      </c>
      <c r="E7584" s="3" t="s">
        <v>22224</v>
      </c>
      <c r="F7584" s="3" t="str">
        <f>"3173536251"</f>
        <v>3173536251</v>
      </c>
      <c r="G7584" s="3">
        <v>322232</v>
      </c>
      <c r="H7584" s="3" t="s">
        <v>3207</v>
      </c>
    </row>
    <row r="7585" spans="1:8" ht="39" x14ac:dyDescent="0.25">
      <c r="A7585" s="3" t="s">
        <v>22225</v>
      </c>
      <c r="B7585" s="3"/>
      <c r="C7585" s="3" t="str">
        <f>"Primary is real estate development and leasing secondary is design and development in technology applications"</f>
        <v>Primary is real estate development and leasing secondary is design and development in technology applications</v>
      </c>
      <c r="D7585" s="3" t="s">
        <v>9</v>
      </c>
      <c r="E7585" s="3" t="s">
        <v>46</v>
      </c>
      <c r="F7585" s="2"/>
      <c r="G7585" s="3">
        <v>541330</v>
      </c>
      <c r="H7585" s="3" t="s">
        <v>82</v>
      </c>
    </row>
    <row r="7586" spans="1:8" x14ac:dyDescent="0.25">
      <c r="A7586" s="3" t="s">
        <v>22226</v>
      </c>
      <c r="B7586" s="3"/>
      <c r="C7586" s="2"/>
      <c r="D7586" s="3" t="s">
        <v>9</v>
      </c>
      <c r="E7586" s="3" t="s">
        <v>46</v>
      </c>
      <c r="F7586" s="2"/>
      <c r="G7586" s="3">
        <v>531390</v>
      </c>
      <c r="H7586" s="3" t="s">
        <v>623</v>
      </c>
    </row>
    <row r="7587" spans="1:8" ht="26.25" x14ac:dyDescent="0.25">
      <c r="A7587" s="3" t="s">
        <v>22227</v>
      </c>
      <c r="B7587" s="3"/>
      <c r="C7587" s="3" t="str">
        <f>"Commercial Collections"</f>
        <v>Commercial Collections</v>
      </c>
      <c r="D7587" s="3" t="s">
        <v>22228</v>
      </c>
      <c r="E7587" s="3" t="s">
        <v>22229</v>
      </c>
      <c r="F7587" s="3" t="str">
        <f>"812-944-5329"</f>
        <v>812-944-5329</v>
      </c>
      <c r="G7587" s="3">
        <v>561440</v>
      </c>
      <c r="H7587" s="3" t="s">
        <v>473</v>
      </c>
    </row>
    <row r="7588" spans="1:8" ht="319.5" x14ac:dyDescent="0.25">
      <c r="A7588" s="3" t="s">
        <v>22230</v>
      </c>
      <c r="B7588" s="3"/>
      <c r="C7588" s="3" t="s">
        <v>22231</v>
      </c>
      <c r="D7588" s="3" t="s">
        <v>22232</v>
      </c>
      <c r="E7588" s="3" t="s">
        <v>22233</v>
      </c>
      <c r="F7588" s="3" t="str">
        <f>"317-624-9500"</f>
        <v>317-624-9500</v>
      </c>
      <c r="G7588" s="3">
        <v>541512</v>
      </c>
      <c r="H7588" s="3" t="s">
        <v>19</v>
      </c>
    </row>
    <row r="7589" spans="1:8" ht="306.75" x14ac:dyDescent="0.25">
      <c r="A7589" s="3" t="s">
        <v>22234</v>
      </c>
      <c r="B7589" s="3"/>
      <c r="C7589" s="3" t="s">
        <v>22235</v>
      </c>
      <c r="D7589" s="3" t="s">
        <v>22236</v>
      </c>
      <c r="E7589" s="3" t="s">
        <v>46</v>
      </c>
      <c r="F7589" s="3" t="str">
        <f>"888-899-1727"</f>
        <v>888-899-1727</v>
      </c>
      <c r="G7589" s="3">
        <v>532291</v>
      </c>
      <c r="H7589" s="3" t="s">
        <v>1861</v>
      </c>
    </row>
    <row r="7590" spans="1:8" ht="319.5" x14ac:dyDescent="0.25">
      <c r="A7590" s="3" t="s">
        <v>22237</v>
      </c>
      <c r="B7590" s="3"/>
      <c r="C7590" s="3" t="s">
        <v>22238</v>
      </c>
      <c r="D7590" s="3" t="s">
        <v>22239</v>
      </c>
      <c r="E7590" s="3" t="s">
        <v>22240</v>
      </c>
      <c r="F7590" s="3" t="str">
        <f>"317-573-0166"</f>
        <v>317-573-0166</v>
      </c>
      <c r="G7590" s="3">
        <v>541618</v>
      </c>
      <c r="H7590" s="3" t="s">
        <v>3527</v>
      </c>
    </row>
    <row r="7591" spans="1:8" ht="26.25" x14ac:dyDescent="0.25">
      <c r="A7591" s="3" t="s">
        <v>22241</v>
      </c>
      <c r="B7591" s="3"/>
      <c r="C7591" s="3" t="str">
        <f>"Installation and service of security, fire alarm and camera systems."</f>
        <v>Installation and service of security, fire alarm and camera systems.</v>
      </c>
      <c r="D7591" s="3" t="s">
        <v>22242</v>
      </c>
      <c r="E7591" s="3" t="s">
        <v>22243</v>
      </c>
      <c r="F7591" s="3" t="str">
        <f>"7656494236"</f>
        <v>7656494236</v>
      </c>
      <c r="G7591" s="3">
        <v>561621</v>
      </c>
      <c r="H7591" s="3" t="s">
        <v>827</v>
      </c>
    </row>
    <row r="7592" spans="1:8" ht="26.25" x14ac:dyDescent="0.25">
      <c r="A7592" s="3" t="s">
        <v>22244</v>
      </c>
      <c r="B7592" s="3"/>
      <c r="C7592" s="3" t="str">
        <f>"Video and 3-D animation production - Concept to Completion"</f>
        <v>Video and 3-D animation production - Concept to Completion</v>
      </c>
      <c r="D7592" s="3" t="s">
        <v>22245</v>
      </c>
      <c r="E7592" s="3" t="s">
        <v>22246</v>
      </c>
      <c r="F7592" s="3" t="str">
        <f>"317-423-2192"</f>
        <v>317-423-2192</v>
      </c>
      <c r="G7592" s="3">
        <v>5121</v>
      </c>
      <c r="H7592" s="3" t="s">
        <v>22247</v>
      </c>
    </row>
    <row r="7593" spans="1:8" ht="39" x14ac:dyDescent="0.25">
      <c r="A7593" s="3" t="s">
        <v>22248</v>
      </c>
      <c r="B7593" s="3"/>
      <c r="C7593" s="3" t="str">
        <f>"Provide services to help the elderly and disabled remain independent and living in the community."</f>
        <v>Provide services to help the elderly and disabled remain independent and living in the community.</v>
      </c>
      <c r="D7593" s="3" t="s">
        <v>22249</v>
      </c>
      <c r="E7593" s="3" t="s">
        <v>22250</v>
      </c>
      <c r="F7593" s="3" t="str">
        <f>"1-800-522-2916"</f>
        <v>1-800-522-2916</v>
      </c>
      <c r="G7593" s="3">
        <v>624190</v>
      </c>
      <c r="H7593" s="3" t="s">
        <v>54</v>
      </c>
    </row>
    <row r="7594" spans="1:8" ht="90" x14ac:dyDescent="0.25">
      <c r="A7594" s="3" t="s">
        <v>22251</v>
      </c>
      <c r="B7594" s="3"/>
      <c r="C7594" s="3" t="str">
        <f>"Real Time Detention is a full service manufacturer representative agency specializing in the detention industry. We offer products and services for the construction of new correctional facilities, as well as the ongoing management of existing facilities."</f>
        <v>Real Time Detention is a full service manufacturer representative agency specializing in the detention industry. We offer products and services for the construction of new correctional facilities, as well as the ongoing management of existing facilities.</v>
      </c>
      <c r="D7594" s="3" t="s">
        <v>22252</v>
      </c>
      <c r="E7594" s="3" t="s">
        <v>22253</v>
      </c>
      <c r="F7594" s="3" t="str">
        <f>"317-567-0087"</f>
        <v>317-567-0087</v>
      </c>
      <c r="G7594" s="3">
        <v>4234</v>
      </c>
      <c r="H7594" s="3" t="s">
        <v>4160</v>
      </c>
    </row>
    <row r="7595" spans="1:8" ht="90" x14ac:dyDescent="0.25">
      <c r="A7595" s="3" t="s">
        <v>22254</v>
      </c>
      <c r="B7595" s="3"/>
      <c r="C7595" s="3" t="str">
        <f>"A firm providing property management services such as boarding, yard maintinence, and weatherization of abandoned properties. We also provide mortgage field services, property preservation, and weatherization energy auditing."</f>
        <v>A firm providing property management services such as boarding, yard maintinence, and weatherization of abandoned properties. We also provide mortgage field services, property preservation, and weatherization energy auditing.</v>
      </c>
      <c r="D7595" s="3" t="s">
        <v>22255</v>
      </c>
      <c r="E7595" s="3" t="s">
        <v>22256</v>
      </c>
      <c r="F7595" s="3" t="str">
        <f>"317 495 1519"</f>
        <v>317 495 1519</v>
      </c>
      <c r="G7595" s="3">
        <v>531</v>
      </c>
      <c r="H7595" s="3" t="s">
        <v>74</v>
      </c>
    </row>
    <row r="7596" spans="1:8" ht="64.5" x14ac:dyDescent="0.25">
      <c r="A7596" s="3" t="s">
        <v>22257</v>
      </c>
      <c r="B7596" s="3"/>
      <c r="C7596" s="3" t="str">
        <f>"Multi-diversified Company that is geared towards providing exceptional service/education in the Industrial, Commercial, and Residential Construction field."</f>
        <v>Multi-diversified Company that is geared towards providing exceptional service/education in the Industrial, Commercial, and Residential Construction field.</v>
      </c>
      <c r="D7596" s="3" t="s">
        <v>9</v>
      </c>
      <c r="E7596" s="3" t="s">
        <v>22258</v>
      </c>
      <c r="F7596" s="3" t="str">
        <f>"317-333-9740"</f>
        <v>317-333-9740</v>
      </c>
      <c r="G7596" s="3">
        <v>23</v>
      </c>
      <c r="H7596" s="3" t="s">
        <v>133</v>
      </c>
    </row>
    <row r="7597" spans="1:8" ht="64.5" x14ac:dyDescent="0.25">
      <c r="A7597" s="3" t="s">
        <v>22259</v>
      </c>
      <c r="B7597" s="3"/>
      <c r="C7597" s="3" t="str">
        <f>"Multi diversified General Contracting/Construction Management Company that provides Demolition/General Sevices/Educational Services in the Industrial/Commercial/Residential Field"</f>
        <v>Multi diversified General Contracting/Construction Management Company that provides Demolition/General Sevices/Educational Services in the Industrial/Commercial/Residential Field</v>
      </c>
      <c r="D7597" s="3" t="s">
        <v>9</v>
      </c>
      <c r="E7597" s="3" t="s">
        <v>22258</v>
      </c>
      <c r="F7597" s="3" t="str">
        <f>"317-333-9740"</f>
        <v>317-333-9740</v>
      </c>
      <c r="G7597" s="3">
        <v>233</v>
      </c>
      <c r="H7597" s="3" t="s">
        <v>131</v>
      </c>
    </row>
    <row r="7598" spans="1:8" ht="26.25" x14ac:dyDescent="0.25">
      <c r="A7598" s="3" t="s">
        <v>22260</v>
      </c>
      <c r="B7598" s="3"/>
      <c r="C7598" s="2"/>
      <c r="D7598" s="3" t="s">
        <v>9</v>
      </c>
      <c r="E7598" s="3" t="s">
        <v>46</v>
      </c>
      <c r="F7598" s="3" t="str">
        <f>"317-299-5017"</f>
        <v>317-299-5017</v>
      </c>
      <c r="G7598" s="3">
        <v>811121</v>
      </c>
      <c r="H7598" s="3" t="s">
        <v>1432</v>
      </c>
    </row>
    <row r="7599" spans="1:8" ht="26.25" x14ac:dyDescent="0.25">
      <c r="A7599" s="3" t="s">
        <v>22261</v>
      </c>
      <c r="B7599" s="3"/>
      <c r="C7599" s="3" t="str">
        <f>"Water Authority to distribute water to its members. You must be a member."</f>
        <v>Water Authority to distribute water to its members. You must be a member.</v>
      </c>
      <c r="D7599" s="3" t="s">
        <v>9</v>
      </c>
      <c r="E7599" s="3" t="s">
        <v>22262</v>
      </c>
      <c r="F7599" s="3" t="str">
        <f>"765-672-8419"</f>
        <v>765-672-8419</v>
      </c>
      <c r="G7599" s="3">
        <v>221310</v>
      </c>
      <c r="H7599" s="3" t="s">
        <v>1833</v>
      </c>
    </row>
    <row r="7600" spans="1:8" ht="141" x14ac:dyDescent="0.25">
      <c r="A7600" s="3" t="s">
        <v>22263</v>
      </c>
      <c r="B7600" s="3"/>
      <c r="C7600" s="3" t="s">
        <v>22264</v>
      </c>
      <c r="D7600" s="3" t="s">
        <v>22265</v>
      </c>
      <c r="E7600" s="3" t="s">
        <v>22266</v>
      </c>
      <c r="F7600" s="3" t="str">
        <f>"2196591616"</f>
        <v>2196591616</v>
      </c>
      <c r="G7600" s="3">
        <v>339950</v>
      </c>
      <c r="H7600" s="3" t="s">
        <v>68</v>
      </c>
    </row>
    <row r="7601" spans="1:8" ht="39" x14ac:dyDescent="0.25">
      <c r="A7601" s="3" t="s">
        <v>22267</v>
      </c>
      <c r="B7601" s="3"/>
      <c r="C7601" s="3" t="str">
        <f>"We manufacture and distribute mops, dust mops, handles, brooms, and MicroFiber cleaning products."</f>
        <v>We manufacture and distribute mops, dust mops, handles, brooms, and MicroFiber cleaning products.</v>
      </c>
      <c r="D7601" s="3" t="s">
        <v>22268</v>
      </c>
      <c r="E7601" s="3" t="s">
        <v>22269</v>
      </c>
      <c r="F7601" s="3" t="str">
        <f>"(800) 521-5343"</f>
        <v>(800) 521-5343</v>
      </c>
      <c r="G7601" s="3">
        <v>339994</v>
      </c>
      <c r="H7601" s="3" t="s">
        <v>22270</v>
      </c>
    </row>
    <row r="7602" spans="1:8" ht="26.25" x14ac:dyDescent="0.25">
      <c r="A7602" s="3" t="s">
        <v>22271</v>
      </c>
      <c r="B7602" s="3"/>
      <c r="C7602" s="3" t="str">
        <f>"Provide services to developmentally disabled individuals throughout Indiana."</f>
        <v>Provide services to developmentally disabled individuals throughout Indiana.</v>
      </c>
      <c r="D7602" s="3" t="s">
        <v>9</v>
      </c>
      <c r="E7602" s="3" t="s">
        <v>46</v>
      </c>
      <c r="F7602" s="2"/>
      <c r="G7602" s="3">
        <v>62</v>
      </c>
      <c r="H7602" s="3" t="s">
        <v>1168</v>
      </c>
    </row>
    <row r="7603" spans="1:8" ht="26.25" x14ac:dyDescent="0.25">
      <c r="A7603" s="3" t="s">
        <v>22272</v>
      </c>
      <c r="B7603" s="3"/>
      <c r="C7603" s="3" t="str">
        <f>"Provider of services to developmentally disabled clients."</f>
        <v>Provider of services to developmentally disabled clients.</v>
      </c>
      <c r="D7603" s="3" t="s">
        <v>9</v>
      </c>
      <c r="E7603" s="3" t="s">
        <v>46</v>
      </c>
      <c r="F7603" s="3" t="str">
        <f>"317-581-2380"</f>
        <v>317-581-2380</v>
      </c>
      <c r="G7603" s="3">
        <v>62</v>
      </c>
      <c r="H7603" s="3" t="s">
        <v>1168</v>
      </c>
    </row>
    <row r="7604" spans="1:8" ht="26.25" x14ac:dyDescent="0.25">
      <c r="A7604" s="3" t="s">
        <v>22273</v>
      </c>
      <c r="B7604" s="3"/>
      <c r="C7604" s="3" t="str">
        <f>"ACCOUSTICAL MAPPING OF WATER BODIES."</f>
        <v>ACCOUSTICAL MAPPING OF WATER BODIES.</v>
      </c>
      <c r="D7604" s="3" t="s">
        <v>22274</v>
      </c>
      <c r="E7604" s="3" t="s">
        <v>22275</v>
      </c>
      <c r="F7604" s="3" t="str">
        <f>"317-580-8282"</f>
        <v>317-580-8282</v>
      </c>
      <c r="G7604" s="3">
        <v>541990</v>
      </c>
      <c r="H7604" s="3" t="s">
        <v>378</v>
      </c>
    </row>
    <row r="7605" spans="1:8" ht="26.25" x14ac:dyDescent="0.25">
      <c r="A7605" s="3" t="s">
        <v>22276</v>
      </c>
      <c r="B7605" s="3"/>
      <c r="C7605" s="3" t="str">
        <f>"computer and audio/visual rentals"</f>
        <v>computer and audio/visual rentals</v>
      </c>
      <c r="D7605" s="3" t="s">
        <v>22277</v>
      </c>
      <c r="E7605" s="3" t="s">
        <v>22278</v>
      </c>
      <c r="F7605" s="3" t="str">
        <f>"800-673-7350"</f>
        <v>800-673-7350</v>
      </c>
      <c r="G7605" s="3">
        <v>443120</v>
      </c>
      <c r="H7605" s="3" t="s">
        <v>609</v>
      </c>
    </row>
    <row r="7606" spans="1:8" ht="26.25" x14ac:dyDescent="0.25">
      <c r="A7606" s="3" t="s">
        <v>22279</v>
      </c>
      <c r="B7606" s="3"/>
      <c r="C7606" s="3" t="str">
        <f>"Solid Waste Refuse Hauling Company"</f>
        <v>Solid Waste Refuse Hauling Company</v>
      </c>
      <c r="D7606" s="3" t="s">
        <v>9</v>
      </c>
      <c r="E7606" s="3" t="s">
        <v>22280</v>
      </c>
      <c r="F7606" s="3" t="str">
        <f>"812-298-2100"</f>
        <v>812-298-2100</v>
      </c>
      <c r="G7606" s="3">
        <v>562111</v>
      </c>
      <c r="H7606" s="3" t="s">
        <v>1818</v>
      </c>
    </row>
    <row r="7607" spans="1:8" ht="51.75" x14ac:dyDescent="0.25">
      <c r="A7607" s="3" t="s">
        <v>22281</v>
      </c>
      <c r="B7607" s="3"/>
      <c r="C7607" s="3" t="str">
        <f>"Residential, Commercial and Industrial collection, transportation and disposal of municipal solid waste and recycleable materials."</f>
        <v>Residential, Commercial and Industrial collection, transportation and disposal of municipal solid waste and recycleable materials.</v>
      </c>
      <c r="D7607" s="3" t="s">
        <v>9</v>
      </c>
      <c r="E7607" s="3" t="s">
        <v>22282</v>
      </c>
      <c r="F7607" s="3" t="str">
        <f>"317.921.1667"</f>
        <v>317.921.1667</v>
      </c>
      <c r="G7607" s="3">
        <v>562111</v>
      </c>
      <c r="H7607" s="3" t="s">
        <v>1818</v>
      </c>
    </row>
    <row r="7608" spans="1:8" ht="166.5" x14ac:dyDescent="0.25">
      <c r="A7608" s="3" t="s">
        <v>22283</v>
      </c>
      <c r="B7608" s="3"/>
      <c r="C7608" s="3" t="s">
        <v>22284</v>
      </c>
      <c r="D7608" s="3" t="s">
        <v>22285</v>
      </c>
      <c r="E7608" s="3" t="s">
        <v>22286</v>
      </c>
      <c r="F7608" s="3" t="str">
        <f>"317-218-0650"</f>
        <v>317-218-0650</v>
      </c>
      <c r="G7608" s="3">
        <v>561310</v>
      </c>
      <c r="H7608" s="3" t="s">
        <v>1720</v>
      </c>
    </row>
    <row r="7609" spans="1:8" ht="26.25" x14ac:dyDescent="0.25">
      <c r="A7609" s="3" t="s">
        <v>22287</v>
      </c>
      <c r="B7609" s="3"/>
      <c r="C7609" s="3" t="str">
        <f>"Provide janitorial, post construction, and foreclosed property clean-up services."</f>
        <v>Provide janitorial, post construction, and foreclosed property clean-up services.</v>
      </c>
      <c r="D7609" s="3" t="s">
        <v>22288</v>
      </c>
      <c r="E7609" s="3" t="s">
        <v>22289</v>
      </c>
      <c r="F7609" s="3" t="str">
        <f>"317-474-2201"</f>
        <v>317-474-2201</v>
      </c>
      <c r="G7609" s="3">
        <v>56172</v>
      </c>
      <c r="H7609" s="3" t="s">
        <v>222</v>
      </c>
    </row>
    <row r="7610" spans="1:8" ht="64.5" x14ac:dyDescent="0.25">
      <c r="A7610" s="3" t="s">
        <v>22290</v>
      </c>
      <c r="B7610" s="3"/>
      <c r="C7610" s="3" t="str">
        <f>"FULL HARDWARE AND RENTAL STORE. MAJOR IN WOODWORKING - LARGEST WOODWORKING STORE IN CENTRAL INDIANA. TOOL SHARPENING FACILITY. WE ARE AN MRO."</f>
        <v>FULL HARDWARE AND RENTAL STORE. MAJOR IN WOODWORKING - LARGEST WOODWORKING STORE IN CENTRAL INDIANA. TOOL SHARPENING FACILITY. WE ARE AN MRO.</v>
      </c>
      <c r="D7610" s="3" t="s">
        <v>22291</v>
      </c>
      <c r="E7610" s="3" t="s">
        <v>46</v>
      </c>
      <c r="F7610" s="3" t="str">
        <f>"812-876-2632"</f>
        <v>812-876-2632</v>
      </c>
      <c r="G7610" s="3">
        <v>44</v>
      </c>
      <c r="H7610" s="3" t="s">
        <v>574</v>
      </c>
    </row>
    <row r="7611" spans="1:8" ht="26.25" x14ac:dyDescent="0.25">
      <c r="A7611" s="3" t="s">
        <v>22292</v>
      </c>
      <c r="B7611" s="3"/>
      <c r="C7611" s="2"/>
      <c r="D7611" s="3" t="s">
        <v>22293</v>
      </c>
      <c r="E7611" s="3" t="s">
        <v>22294</v>
      </c>
      <c r="F7611" s="3" t="str">
        <f>"317-633-6000"</f>
        <v>317-633-6000</v>
      </c>
      <c r="G7611" s="3">
        <v>531210</v>
      </c>
      <c r="H7611" s="3" t="s">
        <v>1101</v>
      </c>
    </row>
    <row r="7612" spans="1:8" ht="26.25" x14ac:dyDescent="0.25">
      <c r="A7612" s="3" t="s">
        <v>22292</v>
      </c>
      <c r="B7612" s="3"/>
      <c r="C7612" s="2"/>
      <c r="D7612" s="3" t="s">
        <v>22293</v>
      </c>
      <c r="E7612" s="3" t="s">
        <v>22295</v>
      </c>
      <c r="F7612" s="3" t="str">
        <f>"317-663-6000"</f>
        <v>317-663-6000</v>
      </c>
      <c r="G7612" s="3">
        <v>53</v>
      </c>
      <c r="H7612" s="3" t="s">
        <v>2336</v>
      </c>
    </row>
    <row r="7613" spans="1:8" ht="64.5" x14ac:dyDescent="0.25">
      <c r="A7613" s="3" t="s">
        <v>22296</v>
      </c>
      <c r="B7613" s="3"/>
      <c r="C7613" s="3" t="str">
        <f>"Minority/Woman owned business providing construction services which includes General Construction, Construction Management, Electrical Contracting and Specialties Work."</f>
        <v>Minority/Woman owned business providing construction services which includes General Construction, Construction Management, Electrical Contracting and Specialties Work.</v>
      </c>
      <c r="D7613" s="3" t="s">
        <v>22297</v>
      </c>
      <c r="E7613" s="3" t="s">
        <v>22298</v>
      </c>
      <c r="F7613" s="3" t="str">
        <f>"317-569-8181"</f>
        <v>317-569-8181</v>
      </c>
      <c r="G7613" s="3">
        <v>236220</v>
      </c>
      <c r="H7613" s="3" t="s">
        <v>598</v>
      </c>
    </row>
    <row r="7614" spans="1:8" x14ac:dyDescent="0.25">
      <c r="A7614" s="3" t="s">
        <v>22299</v>
      </c>
      <c r="B7614" s="3"/>
      <c r="C7614" s="3" t="str">
        <f>"selling wholesale chemical herbicides"</f>
        <v>selling wholesale chemical herbicides</v>
      </c>
      <c r="D7614" s="3" t="s">
        <v>9</v>
      </c>
      <c r="E7614" s="3" t="s">
        <v>22300</v>
      </c>
      <c r="F7614" s="2"/>
      <c r="G7614" s="3">
        <v>23599</v>
      </c>
      <c r="H7614" s="3" t="s">
        <v>248</v>
      </c>
    </row>
    <row r="7615" spans="1:8" ht="39" x14ac:dyDescent="0.25">
      <c r="A7615" s="3" t="s">
        <v>22301</v>
      </c>
      <c r="B7615" s="3"/>
      <c r="C7615" s="3" t="str">
        <f>"Installation and service of satellite television headend systems and satellite television programming"</f>
        <v>Installation and service of satellite television headend systems and satellite television programming</v>
      </c>
      <c r="D7615" s="3" t="s">
        <v>22302</v>
      </c>
      <c r="E7615" s="3" t="s">
        <v>22303</v>
      </c>
      <c r="F7615" s="3" t="str">
        <f>"877-477-3474"</f>
        <v>877-477-3474</v>
      </c>
      <c r="G7615" s="3">
        <v>517110</v>
      </c>
      <c r="H7615" s="3" t="s">
        <v>8574</v>
      </c>
    </row>
    <row r="7616" spans="1:8" ht="26.25" x14ac:dyDescent="0.25">
      <c r="A7616" s="3" t="s">
        <v>22304</v>
      </c>
      <c r="B7616" s="3"/>
      <c r="C7616" s="3" t="str">
        <f>"REV-1 provides professional nationwide collections services for all creditors"</f>
        <v>REV-1 provides professional nationwide collections services for all creditors</v>
      </c>
      <c r="D7616" s="3" t="s">
        <v>22305</v>
      </c>
      <c r="E7616" s="3" t="s">
        <v>22306</v>
      </c>
      <c r="F7616" s="3" t="str">
        <f>"317-883-5640"</f>
        <v>317-883-5640</v>
      </c>
      <c r="G7616" s="3">
        <v>561440</v>
      </c>
      <c r="H7616" s="3" t="s">
        <v>473</v>
      </c>
    </row>
    <row r="7617" spans="1:8" ht="39" x14ac:dyDescent="0.25">
      <c r="A7617" s="3" t="s">
        <v>22307</v>
      </c>
      <c r="B7617" s="3"/>
      <c r="C7617" s="3" t="str">
        <f>"John Deere Dealer who sells JD equipment, JCB Construction Equipment, ASV, and JD Golf and Turf."</f>
        <v>John Deere Dealer who sells JD equipment, JCB Construction Equipment, ASV, and JD Golf and Turf.</v>
      </c>
      <c r="D7617" s="3" t="s">
        <v>22308</v>
      </c>
      <c r="E7617" s="3" t="s">
        <v>22309</v>
      </c>
      <c r="F7617" s="3" t="str">
        <f>"1-800-382-9038"</f>
        <v>1-800-382-9038</v>
      </c>
      <c r="G7617" s="3">
        <v>42182</v>
      </c>
      <c r="H7617" s="3" t="s">
        <v>22310</v>
      </c>
    </row>
    <row r="7618" spans="1:8" ht="39" x14ac:dyDescent="0.25">
      <c r="A7618" s="3" t="s">
        <v>22311</v>
      </c>
      <c r="B7618" s="3"/>
      <c r="C7618" s="3" t="str">
        <f>"ASSEMBLE &amp; DISTRIBUTE WHEEL/TIRE ASSEMBLIES TO RV &amp; TRAILER MANUFACTURERS."</f>
        <v>ASSEMBLE &amp; DISTRIBUTE WHEEL/TIRE ASSEMBLIES TO RV &amp; TRAILER MANUFACTURERS.</v>
      </c>
      <c r="D7618" s="3" t="s">
        <v>9</v>
      </c>
      <c r="E7618" s="3" t="s">
        <v>22312</v>
      </c>
      <c r="F7618" s="3" t="str">
        <f>"800-573-7765"</f>
        <v>800-573-7765</v>
      </c>
      <c r="G7618" s="3">
        <v>423990</v>
      </c>
      <c r="H7618" s="3" t="s">
        <v>983</v>
      </c>
    </row>
    <row r="7619" spans="1:8" ht="141" x14ac:dyDescent="0.25">
      <c r="A7619" s="3" t="s">
        <v>22313</v>
      </c>
      <c r="B7619" s="3"/>
      <c r="C7619" s="3" t="s">
        <v>22314</v>
      </c>
      <c r="D7619" s="3" t="s">
        <v>9</v>
      </c>
      <c r="E7619" s="3" t="s">
        <v>22315</v>
      </c>
      <c r="F7619" s="3" t="str">
        <f>"317-202-0913"</f>
        <v>317-202-0913</v>
      </c>
      <c r="G7619" s="3">
        <v>453998</v>
      </c>
      <c r="H7619" s="3" t="s">
        <v>112</v>
      </c>
    </row>
    <row r="7620" spans="1:8" ht="153.75" x14ac:dyDescent="0.25">
      <c r="A7620" s="3" t="s">
        <v>22316</v>
      </c>
      <c r="B7620" s="3"/>
      <c r="C7620" s="3" t="s">
        <v>22317</v>
      </c>
      <c r="D7620" s="3" t="s">
        <v>22318</v>
      </c>
      <c r="E7620" s="3" t="s">
        <v>22319</v>
      </c>
      <c r="F7620" s="3" t="str">
        <f>"(317) 506-4411"</f>
        <v>(317) 506-4411</v>
      </c>
      <c r="G7620" s="3">
        <v>541310</v>
      </c>
      <c r="H7620" s="3" t="s">
        <v>446</v>
      </c>
    </row>
    <row r="7621" spans="1:8" ht="26.25" x14ac:dyDescent="0.25">
      <c r="A7621" s="3" t="s">
        <v>22320</v>
      </c>
      <c r="B7621" s="3"/>
      <c r="C7621" s="3" t="str">
        <f>"Specialty Subcontractor"</f>
        <v>Specialty Subcontractor</v>
      </c>
      <c r="D7621" s="3" t="s">
        <v>22321</v>
      </c>
      <c r="E7621" s="3" t="s">
        <v>22322</v>
      </c>
      <c r="F7621" s="3" t="str">
        <f>"317/547-5271"</f>
        <v>317/547-5271</v>
      </c>
      <c r="G7621" s="3">
        <v>238140</v>
      </c>
      <c r="H7621" s="3" t="s">
        <v>1830</v>
      </c>
    </row>
    <row r="7622" spans="1:8" ht="51.75" x14ac:dyDescent="0.25">
      <c r="A7622" s="3" t="s">
        <v>22323</v>
      </c>
      <c r="B7622" s="3"/>
      <c r="C7622" s="3" t="str">
        <f>"Small Commercial Printer with offset presses, digital copiers, large format, graphic design, bindery/finishing abilities and promotional products distributor"</f>
        <v>Small Commercial Printer with offset presses, digital copiers, large format, graphic design, bindery/finishing abilities and promotional products distributor</v>
      </c>
      <c r="D7622" s="3" t="s">
        <v>22324</v>
      </c>
      <c r="E7622" s="3" t="s">
        <v>22325</v>
      </c>
      <c r="F7622" s="3" t="str">
        <f>"317-788-1504"</f>
        <v>317-788-1504</v>
      </c>
      <c r="G7622" s="3">
        <v>323114</v>
      </c>
      <c r="H7622" s="3" t="s">
        <v>1068</v>
      </c>
    </row>
    <row r="7623" spans="1:8" ht="115.5" x14ac:dyDescent="0.25">
      <c r="A7623" s="3" t="s">
        <v>22326</v>
      </c>
      <c r="B7623" s="3"/>
      <c r="C7623" s="3" t="s">
        <v>22327</v>
      </c>
      <c r="D7623" s="3" t="s">
        <v>22328</v>
      </c>
      <c r="E7623" s="3" t="s">
        <v>22329</v>
      </c>
      <c r="F7623" s="3" t="str">
        <f>"317-788-1242"</f>
        <v>317-788-1242</v>
      </c>
      <c r="G7623" s="3">
        <v>32311</v>
      </c>
      <c r="H7623" s="3" t="s">
        <v>531</v>
      </c>
    </row>
    <row r="7624" spans="1:8" ht="26.25" x14ac:dyDescent="0.25">
      <c r="A7624" s="3" t="s">
        <v>22330</v>
      </c>
      <c r="B7624" s="3"/>
      <c r="C7624" s="3" t="str">
        <f>"Provide portable rental/service for construction and special events."</f>
        <v>Provide portable rental/service for construction and special events.</v>
      </c>
      <c r="D7624" s="3" t="s">
        <v>9</v>
      </c>
      <c r="E7624" s="3" t="s">
        <v>22331</v>
      </c>
      <c r="F7624" s="3" t="str">
        <f>"(317) 858-8066"</f>
        <v>(317) 858-8066</v>
      </c>
      <c r="G7624" s="3">
        <v>562991</v>
      </c>
      <c r="H7624" s="3" t="s">
        <v>468</v>
      </c>
    </row>
    <row r="7625" spans="1:8" ht="90" x14ac:dyDescent="0.25">
      <c r="A7625" s="3" t="s">
        <v>22332</v>
      </c>
      <c r="B7625" s="3"/>
      <c r="C7625" s="3" t="s">
        <v>22333</v>
      </c>
      <c r="D7625" s="3" t="s">
        <v>9</v>
      </c>
      <c r="E7625" s="3" t="s">
        <v>46</v>
      </c>
      <c r="F7625" s="3" t="str">
        <f>"260-336-3699"</f>
        <v>260-336-3699</v>
      </c>
      <c r="G7625" s="3">
        <v>2381</v>
      </c>
      <c r="H7625" s="3" t="s">
        <v>6672</v>
      </c>
    </row>
    <row r="7626" spans="1:8" ht="39" x14ac:dyDescent="0.25">
      <c r="A7626" s="3" t="s">
        <v>22334</v>
      </c>
      <c r="B7626" s="3"/>
      <c r="C7626" s="3" t="str">
        <f>"my business had been owned by my wife and I since 1989 we are soley an indiana business"</f>
        <v>my business had been owned by my wife and I since 1989 we are soley an indiana business</v>
      </c>
      <c r="D7626" s="3" t="s">
        <v>9</v>
      </c>
      <c r="E7626" s="3" t="s">
        <v>22335</v>
      </c>
      <c r="F7626" s="3" t="str">
        <f>"765-447-5520"</f>
        <v>765-447-5520</v>
      </c>
      <c r="G7626" s="3">
        <v>442210</v>
      </c>
      <c r="H7626" s="3" t="s">
        <v>2301</v>
      </c>
    </row>
    <row r="7627" spans="1:8" ht="26.25" x14ac:dyDescent="0.25">
      <c r="A7627" s="3" t="s">
        <v>22336</v>
      </c>
      <c r="B7627" s="3"/>
      <c r="C7627" s="3" t="str">
        <f>"Anodizing of titanium, electropolish, laser engraving"</f>
        <v>Anodizing of titanium, electropolish, laser engraving</v>
      </c>
      <c r="D7627" s="3" t="s">
        <v>9</v>
      </c>
      <c r="E7627" s="3" t="s">
        <v>22337</v>
      </c>
      <c r="F7627" s="3" t="str">
        <f>"574-269-5900"</f>
        <v>574-269-5900</v>
      </c>
      <c r="G7627" s="3">
        <v>332813</v>
      </c>
      <c r="H7627" s="3" t="s">
        <v>12139</v>
      </c>
    </row>
    <row r="7628" spans="1:8" ht="115.5" x14ac:dyDescent="0.25">
      <c r="A7628" s="3" t="s">
        <v>22338</v>
      </c>
      <c r="B7628" s="3"/>
      <c r="C7628" s="3" t="s">
        <v>22339</v>
      </c>
      <c r="D7628" s="3" t="s">
        <v>22340</v>
      </c>
      <c r="E7628" s="3" t="s">
        <v>22341</v>
      </c>
      <c r="F7628" s="3" t="str">
        <f>"(574) 875-5183"</f>
        <v>(574) 875-5183</v>
      </c>
      <c r="G7628" s="3">
        <v>237310</v>
      </c>
      <c r="H7628" s="3" t="s">
        <v>768</v>
      </c>
    </row>
    <row r="7629" spans="1:8" ht="39" x14ac:dyDescent="0.25">
      <c r="A7629" s="3" t="s">
        <v>22342</v>
      </c>
      <c r="B7629" s="3"/>
      <c r="C7629" s="3" t="str">
        <f>"Engineering, design, development and manufacturing of high tech motor vehicles and components."</f>
        <v>Engineering, design, development and manufacturing of high tech motor vehicles and components.</v>
      </c>
      <c r="D7629" s="3" t="s">
        <v>22343</v>
      </c>
      <c r="E7629" s="3" t="s">
        <v>46</v>
      </c>
      <c r="F7629" s="3" t="str">
        <f>"317-248-9470"</f>
        <v>317-248-9470</v>
      </c>
      <c r="G7629" s="3">
        <v>336111</v>
      </c>
      <c r="H7629" s="3" t="s">
        <v>8911</v>
      </c>
    </row>
    <row r="7630" spans="1:8" ht="319.5" x14ac:dyDescent="0.25">
      <c r="A7630" s="3" t="s">
        <v>22344</v>
      </c>
      <c r="B7630" s="3"/>
      <c r="C7630" s="3" t="s">
        <v>22345</v>
      </c>
      <c r="D7630" s="3" t="s">
        <v>22346</v>
      </c>
      <c r="E7630" s="3" t="s">
        <v>22347</v>
      </c>
      <c r="F7630" s="3" t="str">
        <f>"317-392-6150"</f>
        <v>317-392-6150</v>
      </c>
      <c r="G7630" s="3">
        <v>332439</v>
      </c>
      <c r="H7630" s="3" t="s">
        <v>22348</v>
      </c>
    </row>
    <row r="7631" spans="1:8" ht="26.25" x14ac:dyDescent="0.25">
      <c r="A7631" s="3" t="s">
        <v>22349</v>
      </c>
      <c r="B7631" s="3"/>
      <c r="C7631" s="2"/>
      <c r="D7631" s="3" t="s">
        <v>9</v>
      </c>
      <c r="E7631" s="3" t="s">
        <v>22350</v>
      </c>
      <c r="F7631" s="3" t="str">
        <f>"317-926-1267"</f>
        <v>317-926-1267</v>
      </c>
      <c r="G7631" s="3">
        <v>23829</v>
      </c>
      <c r="H7631" s="3" t="s">
        <v>237</v>
      </c>
    </row>
    <row r="7632" spans="1:8" ht="179.25" x14ac:dyDescent="0.25">
      <c r="A7632" s="3" t="s">
        <v>22351</v>
      </c>
      <c r="B7632" s="3"/>
      <c r="C7632" s="3" t="s">
        <v>22352</v>
      </c>
      <c r="D7632" s="3" t="s">
        <v>22353</v>
      </c>
      <c r="E7632" s="3" t="s">
        <v>22354</v>
      </c>
      <c r="F7632" s="3" t="str">
        <f>"(800) 580-7483"</f>
        <v>(800) 580-7483</v>
      </c>
      <c r="G7632" s="3">
        <v>453210</v>
      </c>
      <c r="H7632" s="3" t="s">
        <v>431</v>
      </c>
    </row>
    <row r="7633" spans="1:8" ht="26.25" x14ac:dyDescent="0.25">
      <c r="A7633" s="3" t="s">
        <v>22355</v>
      </c>
      <c r="B7633" s="3"/>
      <c r="C7633" s="3" t="str">
        <f>"NAPA AUTO PARTS STORE"</f>
        <v>NAPA AUTO PARTS STORE</v>
      </c>
      <c r="D7633" s="3" t="s">
        <v>9</v>
      </c>
      <c r="E7633" s="3" t="s">
        <v>22356</v>
      </c>
      <c r="F7633" s="3" t="str">
        <f>"812-2652653"</f>
        <v>812-2652653</v>
      </c>
      <c r="G7633" s="3">
        <v>44131</v>
      </c>
      <c r="H7633" s="3" t="s">
        <v>1699</v>
      </c>
    </row>
    <row r="7634" spans="1:8" ht="26.25" x14ac:dyDescent="0.25">
      <c r="A7634" s="3" t="s">
        <v>22357</v>
      </c>
      <c r="B7634" s="3"/>
      <c r="C7634" s="3" t="str">
        <f>"Welding, industrial, and safety supplies."</f>
        <v>Welding, industrial, and safety supplies.</v>
      </c>
      <c r="D7634" s="3" t="s">
        <v>9</v>
      </c>
      <c r="E7634" s="3" t="s">
        <v>22358</v>
      </c>
      <c r="F7634" s="3" t="str">
        <f>"219-515-6181"</f>
        <v>219-515-6181</v>
      </c>
      <c r="G7634" s="3">
        <v>453998</v>
      </c>
      <c r="H7634" s="3" t="s">
        <v>112</v>
      </c>
    </row>
    <row r="7635" spans="1:8" ht="64.5" x14ac:dyDescent="0.25">
      <c r="A7635" s="3" t="s">
        <v>22359</v>
      </c>
      <c r="B7635" s="3"/>
      <c r="C7635" s="3" t="str">
        <f>"A Full transportation provider for freight all kinds, domestic &amp; international. Air, Ground, Ocean, Next Flight, Expedited, Flatbed, Specialty Equipment. Available 24 hrs. a day, 7 days a week including Holidays"</f>
        <v>A Full transportation provider for freight all kinds, domestic &amp; international. Air, Ground, Ocean, Next Flight, Expedited, Flatbed, Specialty Equipment. Available 24 hrs. a day, 7 days a week including Holidays</v>
      </c>
      <c r="D7635" s="3" t="s">
        <v>22360</v>
      </c>
      <c r="E7635" s="3" t="s">
        <v>22361</v>
      </c>
      <c r="F7635" s="3" t="str">
        <f>"317.803.2369"</f>
        <v>317.803.2369</v>
      </c>
      <c r="G7635" s="3">
        <v>484121</v>
      </c>
      <c r="H7635" s="3" t="s">
        <v>342</v>
      </c>
    </row>
    <row r="7636" spans="1:8" ht="51.75" x14ac:dyDescent="0.25">
      <c r="A7636" s="3" t="s">
        <v>22362</v>
      </c>
      <c r="B7636" s="3"/>
      <c r="C7636" s="3" t="str">
        <f>"Sale and installation of Outdoor Bleachers (alum-a-stand and I Beam construction), Grandstands, Stadium Seating, Press Boxes, and synthetic turf"</f>
        <v>Sale and installation of Outdoor Bleachers (alum-a-stand and I Beam construction), Grandstands, Stadium Seating, Press Boxes, and synthetic turf</v>
      </c>
      <c r="D7636" s="3" t="s">
        <v>22363</v>
      </c>
      <c r="E7636" s="3" t="s">
        <v>22364</v>
      </c>
      <c r="F7636" s="3" t="str">
        <f>"812-376-6135"</f>
        <v>812-376-6135</v>
      </c>
      <c r="G7636" s="3">
        <v>238390</v>
      </c>
      <c r="H7636" s="3" t="s">
        <v>2109</v>
      </c>
    </row>
    <row r="7637" spans="1:8" ht="26.25" x14ac:dyDescent="0.25">
      <c r="A7637" s="3" t="s">
        <v>22365</v>
      </c>
      <c r="B7637" s="3"/>
      <c r="C7637" s="3" t="str">
        <f>"Administrative management consulting services"</f>
        <v>Administrative management consulting services</v>
      </c>
      <c r="D7637" s="3" t="s">
        <v>9</v>
      </c>
      <c r="E7637" s="3" t="s">
        <v>46</v>
      </c>
      <c r="F7637" s="2"/>
      <c r="G7637" s="3">
        <v>541611</v>
      </c>
      <c r="H7637" s="3" t="s">
        <v>278</v>
      </c>
    </row>
    <row r="7638" spans="1:8" ht="51.75" x14ac:dyDescent="0.25">
      <c r="A7638" s="3" t="s">
        <v>22366</v>
      </c>
      <c r="B7638" s="3"/>
      <c r="C7638" s="3" t="str">
        <f>"Wholesaler of non-durable goods and services with core business as petroleum wholesaler and sub-contractor for logistics and transportation services"</f>
        <v>Wholesaler of non-durable goods and services with core business as petroleum wholesaler and sub-contractor for logistics and transportation services</v>
      </c>
      <c r="D7638" s="3" t="s">
        <v>9</v>
      </c>
      <c r="E7638" s="3" t="s">
        <v>22367</v>
      </c>
      <c r="F7638" s="3" t="str">
        <f>"317-417-8284"</f>
        <v>317-417-8284</v>
      </c>
      <c r="G7638" s="3">
        <v>424720</v>
      </c>
      <c r="H7638" s="3" t="s">
        <v>6992</v>
      </c>
    </row>
    <row r="7639" spans="1:8" ht="77.25" x14ac:dyDescent="0.25">
      <c r="A7639" s="3" t="s">
        <v>22368</v>
      </c>
      <c r="B7639" s="3"/>
      <c r="C7639" s="3" t="str">
        <f>"My busines will provide janitorial or cleaning services for business offices. My business will also offer cleaning services to apartment complex or tenants upon termination of lease to clean the apartments for new residents to move in."</f>
        <v>My busines will provide janitorial or cleaning services for business offices. My business will also offer cleaning services to apartment complex or tenants upon termination of lease to clean the apartments for new residents to move in.</v>
      </c>
      <c r="D7639" s="3" t="s">
        <v>9</v>
      </c>
      <c r="E7639" s="3" t="s">
        <v>22369</v>
      </c>
      <c r="F7639" s="3" t="str">
        <f>"317-603-2922"</f>
        <v>317-603-2922</v>
      </c>
      <c r="G7639" s="3">
        <v>56172</v>
      </c>
      <c r="H7639" s="3" t="s">
        <v>222</v>
      </c>
    </row>
    <row r="7640" spans="1:8" ht="128.25" x14ac:dyDescent="0.25">
      <c r="A7640" s="3" t="s">
        <v>22370</v>
      </c>
      <c r="B7640" s="3"/>
      <c r="C7640" s="3" t="s">
        <v>22371</v>
      </c>
      <c r="D7640" s="3" t="s">
        <v>22372</v>
      </c>
      <c r="E7640" s="3" t="s">
        <v>22373</v>
      </c>
      <c r="F7640" s="3" t="str">
        <f>"317-885-6704"</f>
        <v>317-885-6704</v>
      </c>
      <c r="G7640" s="3">
        <v>541512</v>
      </c>
      <c r="H7640" s="3" t="s">
        <v>19</v>
      </c>
    </row>
    <row r="7641" spans="1:8" ht="51.75" x14ac:dyDescent="0.25">
      <c r="A7641" s="3" t="s">
        <v>22374</v>
      </c>
      <c r="B7641" s="3"/>
      <c r="C7641" s="3" t="str">
        <f>"We provide asphalt paving and repair, seal coating, striping, crack filling, concrete repair and replacement, snow removal and landscaping services."</f>
        <v>We provide asphalt paving and repair, seal coating, striping, crack filling, concrete repair and replacement, snow removal and landscaping services.</v>
      </c>
      <c r="D7641" s="3" t="s">
        <v>9</v>
      </c>
      <c r="E7641" s="3" t="s">
        <v>22375</v>
      </c>
      <c r="F7641" s="3" t="str">
        <f>"2360-422-6068"</f>
        <v>2360-422-6068</v>
      </c>
      <c r="G7641" s="3">
        <v>238</v>
      </c>
      <c r="H7641" s="3" t="s">
        <v>397</v>
      </c>
    </row>
    <row r="7642" spans="1:8" ht="115.5" x14ac:dyDescent="0.25">
      <c r="A7642" s="3" t="s">
        <v>22376</v>
      </c>
      <c r="B7642" s="3"/>
      <c r="C7642" s="3" t="s">
        <v>22377</v>
      </c>
      <c r="D7642" s="3" t="s">
        <v>9</v>
      </c>
      <c r="E7642" s="3" t="s">
        <v>46</v>
      </c>
      <c r="F7642" s="3" t="str">
        <f>"800-454-7091, EXT. 711"</f>
        <v>800-454-7091, EXT. 711</v>
      </c>
      <c r="G7642" s="3">
        <v>561210</v>
      </c>
      <c r="H7642" s="3" t="s">
        <v>1697</v>
      </c>
    </row>
    <row r="7643" spans="1:8" ht="128.25" x14ac:dyDescent="0.25">
      <c r="A7643" s="3" t="s">
        <v>22378</v>
      </c>
      <c r="B7643" s="3"/>
      <c r="C7643" s="3" t="s">
        <v>22379</v>
      </c>
      <c r="D7643" s="3" t="s">
        <v>22380</v>
      </c>
      <c r="E7643" s="3" t="s">
        <v>22381</v>
      </c>
      <c r="F7643" s="3" t="str">
        <f>"317-875-9191"</f>
        <v>317-875-9191</v>
      </c>
      <c r="G7643" s="3">
        <v>4246</v>
      </c>
      <c r="H7643" s="3" t="s">
        <v>3234</v>
      </c>
    </row>
    <row r="7644" spans="1:8" ht="39" x14ac:dyDescent="0.25">
      <c r="A7644" s="3" t="s">
        <v>22382</v>
      </c>
      <c r="B7644" s="3"/>
      <c r="C7644" s="3" t="str">
        <f>"Provide painting equipment and systems for liquid and powder application including design, layout, and installation services."</f>
        <v>Provide painting equipment and systems for liquid and powder application including design, layout, and installation services.</v>
      </c>
      <c r="D7644" s="3" t="s">
        <v>22383</v>
      </c>
      <c r="E7644" s="3" t="s">
        <v>22384</v>
      </c>
      <c r="F7644" s="3" t="str">
        <f>"219-836-1222"</f>
        <v>219-836-1222</v>
      </c>
      <c r="G7644" s="3">
        <v>423830</v>
      </c>
      <c r="H7644" s="3" t="s">
        <v>172</v>
      </c>
    </row>
    <row r="7645" spans="1:8" ht="26.25" x14ac:dyDescent="0.25">
      <c r="A7645" s="3" t="s">
        <v>22385</v>
      </c>
      <c r="B7645" s="3"/>
      <c r="C7645" s="3" t="str">
        <f>" "</f>
        <v xml:space="preserve"> </v>
      </c>
      <c r="D7645" s="3" t="s">
        <v>9</v>
      </c>
      <c r="E7645" s="3" t="s">
        <v>46</v>
      </c>
      <c r="F7645" s="2"/>
      <c r="G7645" s="3">
        <v>5412</v>
      </c>
      <c r="H7645" s="3" t="s">
        <v>311</v>
      </c>
    </row>
    <row r="7646" spans="1:8" ht="179.25" x14ac:dyDescent="0.25">
      <c r="A7646" s="3" t="s">
        <v>22386</v>
      </c>
      <c r="B7646" s="3"/>
      <c r="C7646" s="3" t="s">
        <v>22387</v>
      </c>
      <c r="D7646" s="3" t="s">
        <v>22388</v>
      </c>
      <c r="E7646" s="3" t="s">
        <v>22389</v>
      </c>
      <c r="F7646" s="3" t="str">
        <f>"765-414-6111"</f>
        <v>765-414-6111</v>
      </c>
      <c r="G7646" s="3">
        <v>541690</v>
      </c>
      <c r="H7646" s="3" t="s">
        <v>652</v>
      </c>
    </row>
    <row r="7647" spans="1:8" ht="90" x14ac:dyDescent="0.25">
      <c r="A7647" s="3" t="s">
        <v>22390</v>
      </c>
      <c r="B7647" s="3"/>
      <c r="C7647" s="3" t="s">
        <v>22391</v>
      </c>
      <c r="D7647" s="3" t="s">
        <v>9</v>
      </c>
      <c r="E7647" s="3" t="s">
        <v>22392</v>
      </c>
      <c r="F7647" s="3" t="str">
        <f>"812-295-4795"</f>
        <v>812-295-4795</v>
      </c>
      <c r="G7647" s="3">
        <v>621399</v>
      </c>
      <c r="H7647" s="3" t="s">
        <v>2306</v>
      </c>
    </row>
    <row r="7648" spans="1:8" ht="39" x14ac:dyDescent="0.25">
      <c r="A7648" s="3" t="s">
        <v>22393</v>
      </c>
      <c r="B7648" s="3"/>
      <c r="C7648" s="3" t="str">
        <f>"Your one stop shop for all printing, binding, mailboxes, banners, passport photos, business cards, shipping, copying."</f>
        <v>Your one stop shop for all printing, binding, mailboxes, banners, passport photos, business cards, shipping, copying.</v>
      </c>
      <c r="D7648" s="3" t="s">
        <v>22394</v>
      </c>
      <c r="E7648" s="3" t="s">
        <v>22395</v>
      </c>
      <c r="F7648" s="3" t="str">
        <f>"3174669616"</f>
        <v>3174669616</v>
      </c>
      <c r="G7648" s="3">
        <v>323110</v>
      </c>
      <c r="H7648" s="3" t="s">
        <v>1900</v>
      </c>
    </row>
    <row r="7649" spans="1:8" ht="77.25" x14ac:dyDescent="0.25">
      <c r="A7649" s="3" t="s">
        <v>22396</v>
      </c>
      <c r="B7649" s="3"/>
      <c r="C7649" s="3" t="str">
        <f>"Truck driver training for preparation and testing for entry-level positions with national, regional and local companies. Curriculum includes classroom, hands-on training in modern up-to-date equipment. Contract training available to employers."</f>
        <v>Truck driver training for preparation and testing for entry-level positions with national, regional and local companies. Curriculum includes classroom, hands-on training in modern up-to-date equipment. Contract training available to employers.</v>
      </c>
      <c r="D7649" s="3" t="s">
        <v>22397</v>
      </c>
      <c r="E7649" s="3" t="s">
        <v>4693</v>
      </c>
      <c r="F7649" s="3" t="str">
        <f>"317-783-7483"</f>
        <v>317-783-7483</v>
      </c>
      <c r="G7649" s="3">
        <v>611519</v>
      </c>
      <c r="H7649" s="3" t="s">
        <v>5262</v>
      </c>
    </row>
    <row r="7650" spans="1:8" ht="26.25" x14ac:dyDescent="0.25">
      <c r="A7650" s="3" t="s">
        <v>22398</v>
      </c>
      <c r="B7650" s="3"/>
      <c r="C7650" s="3" t="str">
        <f>"Public safety equipment sales &amp; service"</f>
        <v>Public safety equipment sales &amp; service</v>
      </c>
      <c r="D7650" s="3" t="s">
        <v>22399</v>
      </c>
      <c r="E7650" s="3" t="s">
        <v>22400</v>
      </c>
      <c r="F7650" s="3" t="str">
        <f>"317-879-3119"</f>
        <v>317-879-3119</v>
      </c>
      <c r="G7650" s="3">
        <v>42185</v>
      </c>
      <c r="H7650" s="3" t="s">
        <v>16433</v>
      </c>
    </row>
    <row r="7651" spans="1:8" x14ac:dyDescent="0.25">
      <c r="A7651" s="3" t="s">
        <v>22401</v>
      </c>
      <c r="B7651" s="3"/>
      <c r="C7651" s="2"/>
      <c r="D7651" s="3" t="s">
        <v>9</v>
      </c>
      <c r="E7651" s="3" t="s">
        <v>46</v>
      </c>
      <c r="F7651" s="2"/>
      <c r="G7651" s="3">
        <v>541110</v>
      </c>
      <c r="H7651" s="3" t="s">
        <v>2978</v>
      </c>
    </row>
    <row r="7652" spans="1:8" ht="26.25" x14ac:dyDescent="0.25">
      <c r="A7652" s="3" t="s">
        <v>22402</v>
      </c>
      <c r="B7652" s="3"/>
      <c r="C7652" s="2"/>
      <c r="D7652" s="3" t="s">
        <v>22403</v>
      </c>
      <c r="E7652" s="3" t="s">
        <v>22404</v>
      </c>
      <c r="F7652" s="3" t="str">
        <f>"765-473-5578"</f>
        <v>765-473-5578</v>
      </c>
      <c r="G7652" s="3">
        <v>212312</v>
      </c>
      <c r="H7652" s="3" t="s">
        <v>3264</v>
      </c>
    </row>
    <row r="7653" spans="1:8" ht="39" x14ac:dyDescent="0.25">
      <c r="A7653" s="3" t="s">
        <v>22405</v>
      </c>
      <c r="B7653" s="3"/>
      <c r="C7653" s="3" t="str">
        <f>"WATER TREATMENT EQUIPMENT SERVICES AND SUPPLIES - RESIDENTIAL, COMMERCIAL AND INDUSTRIAL"</f>
        <v>WATER TREATMENT EQUIPMENT SERVICES AND SUPPLIES - RESIDENTIAL, COMMERCIAL AND INDUSTRIAL</v>
      </c>
      <c r="D7653" s="3" t="s">
        <v>22406</v>
      </c>
      <c r="E7653" s="3" t="s">
        <v>22407</v>
      </c>
      <c r="F7653" s="3" t="str">
        <f>"8125224810"</f>
        <v>8125224810</v>
      </c>
      <c r="G7653" s="3">
        <v>45399</v>
      </c>
      <c r="H7653" s="3" t="s">
        <v>3215</v>
      </c>
    </row>
    <row r="7654" spans="1:8" ht="51.75" x14ac:dyDescent="0.25">
      <c r="A7654" s="3" t="s">
        <v>22408</v>
      </c>
      <c r="B7654" s="3"/>
      <c r="C7654" s="3" t="str">
        <f>"Retail western boots &amp; apparel, leather goods, outerwear &amp; workwear, tack, cast iron, jewelry, &amp; furniture; Scooters; also an Old Time Photo Shop"</f>
        <v>Retail western boots &amp; apparel, leather goods, outerwear &amp; workwear, tack, cast iron, jewelry, &amp; furniture; Scooters; also an Old Time Photo Shop</v>
      </c>
      <c r="D7654" s="3" t="s">
        <v>22409</v>
      </c>
      <c r="E7654" s="3" t="s">
        <v>22410</v>
      </c>
      <c r="F7654" s="3" t="str">
        <f>"812-299-8379"</f>
        <v>812-299-8379</v>
      </c>
      <c r="G7654" s="3">
        <v>452111</v>
      </c>
      <c r="H7654" s="3" t="s">
        <v>22411</v>
      </c>
    </row>
    <row r="7655" spans="1:8" ht="90" x14ac:dyDescent="0.25">
      <c r="A7655" s="3" t="s">
        <v>22412</v>
      </c>
      <c r="B7655" s="3"/>
      <c r="C7655" s="3" t="s">
        <v>22413</v>
      </c>
      <c r="D7655" s="3" t="s">
        <v>22414</v>
      </c>
      <c r="E7655" s="3" t="s">
        <v>22415</v>
      </c>
      <c r="F7655" s="3" t="str">
        <f>"800-540-3576"</f>
        <v>800-540-3576</v>
      </c>
      <c r="G7655" s="3">
        <v>541613</v>
      </c>
      <c r="H7655" s="3" t="s">
        <v>558</v>
      </c>
    </row>
    <row r="7656" spans="1:8" ht="77.25" x14ac:dyDescent="0.25">
      <c r="A7656" s="3" t="s">
        <v>22416</v>
      </c>
      <c r="B7656" s="3"/>
      <c r="C7656" s="3" t="str">
        <f>"The firm will be retained and responsible for recruiting for all levels of staffing. The firm will provide qualified candidates, and if placed/hired, the firm will be paid for its time and due diligence to find these candidates"</f>
        <v>The firm will be retained and responsible for recruiting for all levels of staffing. The firm will provide qualified candidates, and if placed/hired, the firm will be paid for its time and due diligence to find these candidates</v>
      </c>
      <c r="D7656" s="3" t="s">
        <v>22417</v>
      </c>
      <c r="E7656" s="3" t="s">
        <v>22418</v>
      </c>
      <c r="F7656" s="3" t="str">
        <f>"3177279768"</f>
        <v>3177279768</v>
      </c>
      <c r="G7656" s="3">
        <v>541611</v>
      </c>
      <c r="H7656" s="3" t="s">
        <v>278</v>
      </c>
    </row>
    <row r="7657" spans="1:8" ht="26.25" x14ac:dyDescent="0.25">
      <c r="A7657" s="3" t="s">
        <v>22419</v>
      </c>
      <c r="B7657" s="3"/>
      <c r="C7657" s="3" t="str">
        <f>"WE ARE A BOWLING RECREATION CENTER."</f>
        <v>WE ARE A BOWLING RECREATION CENTER.</v>
      </c>
      <c r="D7657" s="3" t="s">
        <v>22420</v>
      </c>
      <c r="E7657" s="3" t="s">
        <v>22421</v>
      </c>
      <c r="F7657" s="3" t="str">
        <f>"765-447-4106"</f>
        <v>765-447-4106</v>
      </c>
      <c r="G7657" s="3">
        <v>71395</v>
      </c>
      <c r="H7657" s="3" t="s">
        <v>22422</v>
      </c>
    </row>
    <row r="7658" spans="1:8" ht="141" x14ac:dyDescent="0.25">
      <c r="A7658" s="3" t="s">
        <v>22423</v>
      </c>
      <c r="B7658" s="3"/>
      <c r="C7658" s="3" t="s">
        <v>22424</v>
      </c>
      <c r="D7658" s="3" t="s">
        <v>22425</v>
      </c>
      <c r="E7658" s="3" t="s">
        <v>22426</v>
      </c>
      <c r="F7658" s="3" t="str">
        <f>"877-500-4420"</f>
        <v>877-500-4420</v>
      </c>
      <c r="G7658" s="3">
        <v>541350</v>
      </c>
      <c r="H7658" s="3" t="s">
        <v>1784</v>
      </c>
    </row>
    <row r="7659" spans="1:8" ht="179.25" x14ac:dyDescent="0.25">
      <c r="A7659" s="3" t="s">
        <v>22427</v>
      </c>
      <c r="B7659" s="3"/>
      <c r="C7659" s="3" t="s">
        <v>22428</v>
      </c>
      <c r="D7659" s="3" t="s">
        <v>9</v>
      </c>
      <c r="E7659" s="3" t="s">
        <v>22429</v>
      </c>
      <c r="F7659" s="3" t="str">
        <f>"260-665-3761"</f>
        <v>260-665-3761</v>
      </c>
      <c r="G7659" s="3">
        <v>541330</v>
      </c>
      <c r="H7659" s="3" t="s">
        <v>82</v>
      </c>
    </row>
    <row r="7660" spans="1:8" ht="51.75" x14ac:dyDescent="0.25">
      <c r="A7660" s="3" t="s">
        <v>22430</v>
      </c>
      <c r="B7660" s="3"/>
      <c r="C7660" s="3" t="str">
        <f>"Royal Office Products sells and services office supplies equipment and furniture we have been in business since 1971and love doing business in the great state of Indiana."</f>
        <v>Royal Office Products sells and services office supplies equipment and furniture we have been in business since 1971and love doing business in the great state of Indiana.</v>
      </c>
      <c r="D7660" s="3" t="s">
        <v>22431</v>
      </c>
      <c r="E7660" s="3" t="s">
        <v>22432</v>
      </c>
      <c r="F7660" s="3" t="str">
        <f>"812-423-6475"</f>
        <v>812-423-6475</v>
      </c>
      <c r="G7660" s="3">
        <v>453210</v>
      </c>
      <c r="H7660" s="3" t="s">
        <v>431</v>
      </c>
    </row>
    <row r="7661" spans="1:8" ht="39" x14ac:dyDescent="0.25">
      <c r="A7661" s="3" t="s">
        <v>22433</v>
      </c>
      <c r="B7661" s="3"/>
      <c r="C7661" s="3" t="str">
        <f>"Commercial property management specializing in lawn care and snow removal services."</f>
        <v>Commercial property management specializing in lawn care and snow removal services.</v>
      </c>
      <c r="D7661" s="3" t="s">
        <v>22434</v>
      </c>
      <c r="E7661" s="3" t="s">
        <v>22435</v>
      </c>
      <c r="F7661" s="3" t="str">
        <f>"317-894-0187"</f>
        <v>317-894-0187</v>
      </c>
      <c r="G7661" s="3">
        <v>561730</v>
      </c>
      <c r="H7661" s="3" t="s">
        <v>65</v>
      </c>
    </row>
    <row r="7662" spans="1:8" ht="166.5" x14ac:dyDescent="0.25">
      <c r="A7662" s="3" t="s">
        <v>22436</v>
      </c>
      <c r="B7662" s="3"/>
      <c r="C7662" s="3" t="s">
        <v>22437</v>
      </c>
      <c r="D7662" s="3" t="s">
        <v>22438</v>
      </c>
      <c r="E7662" s="3" t="s">
        <v>22439</v>
      </c>
      <c r="F7662" s="3" t="str">
        <f>"219-322-4821"</f>
        <v>219-322-4821</v>
      </c>
      <c r="G7662" s="3">
        <v>541613</v>
      </c>
      <c r="H7662" s="3" t="s">
        <v>558</v>
      </c>
    </row>
    <row r="7663" spans="1:8" ht="153.75" x14ac:dyDescent="0.25">
      <c r="A7663" s="3" t="s">
        <v>22440</v>
      </c>
      <c r="B7663" s="3"/>
      <c r="C7663" s="3" t="s">
        <v>22441</v>
      </c>
      <c r="D7663" s="3" t="s">
        <v>22442</v>
      </c>
      <c r="E7663" s="3" t="s">
        <v>22443</v>
      </c>
      <c r="F7663" s="3" t="str">
        <f>"317-247-0300"</f>
        <v>317-247-0300</v>
      </c>
      <c r="G7663" s="3">
        <v>323</v>
      </c>
      <c r="H7663" s="3" t="s">
        <v>302</v>
      </c>
    </row>
    <row r="7664" spans="1:8" ht="39" x14ac:dyDescent="0.25">
      <c r="A7664" s="3" t="s">
        <v>22444</v>
      </c>
      <c r="B7664" s="3"/>
      <c r="C7664" s="3" t="str">
        <f>"Sales, assembly, installation, repair; and removal and disposal of existing lockers and other misc. Division 10 products."</f>
        <v>Sales, assembly, installation, repair; and removal and disposal of existing lockers and other misc. Division 10 products.</v>
      </c>
      <c r="D7664" s="3" t="s">
        <v>22445</v>
      </c>
      <c r="E7664" s="3" t="s">
        <v>22446</v>
      </c>
      <c r="F7664" s="3" t="str">
        <f>"317-889-6245"</f>
        <v>317-889-6245</v>
      </c>
      <c r="G7664" s="3">
        <v>2389</v>
      </c>
      <c r="H7664" s="3" t="s">
        <v>1236</v>
      </c>
    </row>
    <row r="7665" spans="1:8" ht="26.25" x14ac:dyDescent="0.25">
      <c r="A7665" s="3" t="s">
        <v>22447</v>
      </c>
      <c r="B7665" s="3"/>
      <c r="C7665" s="3" t="str">
        <f>"Electrical contractor that also provides low voltage systems."</f>
        <v>Electrical contractor that also provides low voltage systems.</v>
      </c>
      <c r="D7665" s="3" t="s">
        <v>22448</v>
      </c>
      <c r="E7665" s="3" t="s">
        <v>22449</v>
      </c>
      <c r="F7665" s="3" t="str">
        <f>"812-989-2231"</f>
        <v>812-989-2231</v>
      </c>
      <c r="G7665" s="3">
        <v>238210</v>
      </c>
      <c r="H7665" s="3" t="s">
        <v>306</v>
      </c>
    </row>
    <row r="7666" spans="1:8" ht="26.25" x14ac:dyDescent="0.25">
      <c r="A7666" s="3" t="s">
        <v>22450</v>
      </c>
      <c r="B7666" s="3"/>
      <c r="C7666" s="3" t="str">
        <f>"Electrical Contractor"</f>
        <v>Electrical Contractor</v>
      </c>
      <c r="D7666" s="3" t="s">
        <v>22451</v>
      </c>
      <c r="E7666" s="3" t="s">
        <v>22452</v>
      </c>
      <c r="F7666" s="3" t="str">
        <f>"812-989-2231"</f>
        <v>812-989-2231</v>
      </c>
      <c r="G7666" s="3">
        <v>238210</v>
      </c>
      <c r="H7666" s="3" t="s">
        <v>306</v>
      </c>
    </row>
    <row r="7667" spans="1:8" ht="26.25" x14ac:dyDescent="0.25">
      <c r="A7667" s="3" t="s">
        <v>22453</v>
      </c>
      <c r="B7667" s="3"/>
      <c r="C7667" s="3" t="str">
        <f>"Application Software Development, IBM Iseries, Windows."</f>
        <v>Application Software Development, IBM Iseries, Windows.</v>
      </c>
      <c r="D7667" s="3" t="s">
        <v>9</v>
      </c>
      <c r="E7667" s="3" t="s">
        <v>22454</v>
      </c>
      <c r="F7667" s="3" t="str">
        <f>"574 457 2009"</f>
        <v>574 457 2009</v>
      </c>
      <c r="G7667" s="3">
        <v>541511</v>
      </c>
      <c r="H7667" s="3" t="s">
        <v>122</v>
      </c>
    </row>
    <row r="7668" spans="1:8" ht="26.25" x14ac:dyDescent="0.25">
      <c r="A7668" s="3" t="s">
        <v>22455</v>
      </c>
      <c r="B7668" s="3"/>
      <c r="C7668" s="3" t="str">
        <f>"Graphic Design."</f>
        <v>Graphic Design.</v>
      </c>
      <c r="D7668" s="3" t="s">
        <v>9</v>
      </c>
      <c r="E7668" s="3" t="s">
        <v>22456</v>
      </c>
      <c r="F7668" s="3" t="str">
        <f>"812-333-9307"</f>
        <v>812-333-9307</v>
      </c>
      <c r="G7668" s="3">
        <v>541430</v>
      </c>
      <c r="H7668" s="3" t="s">
        <v>78</v>
      </c>
    </row>
    <row r="7669" spans="1:8" ht="26.25" x14ac:dyDescent="0.25">
      <c r="A7669" s="3" t="s">
        <v>22457</v>
      </c>
      <c r="B7669" s="3"/>
      <c r="C7669" s="3" t="str">
        <f>"We are a wrecking and demolition company for commercial and residential accounts."</f>
        <v>We are a wrecking and demolition company for commercial and residential accounts.</v>
      </c>
      <c r="D7669" s="3" t="s">
        <v>9</v>
      </c>
      <c r="E7669" s="3" t="s">
        <v>46</v>
      </c>
      <c r="F7669" s="2"/>
      <c r="G7669" s="3">
        <v>23594</v>
      </c>
      <c r="H7669" s="3" t="s">
        <v>17439</v>
      </c>
    </row>
    <row r="7670" spans="1:8" ht="153.75" x14ac:dyDescent="0.25">
      <c r="A7670" s="3" t="s">
        <v>22458</v>
      </c>
      <c r="B7670" s="3"/>
      <c r="C7670" s="3" t="s">
        <v>22459</v>
      </c>
      <c r="D7670" s="3" t="s">
        <v>9</v>
      </c>
      <c r="E7670" s="3" t="s">
        <v>22460</v>
      </c>
      <c r="F7670" s="3" t="str">
        <f>"317-996-4600"</f>
        <v>317-996-4600</v>
      </c>
      <c r="G7670" s="3">
        <v>23551</v>
      </c>
      <c r="H7670" s="3" t="s">
        <v>3583</v>
      </c>
    </row>
    <row r="7671" spans="1:8" ht="26.25" x14ac:dyDescent="0.25">
      <c r="A7671" s="3" t="s">
        <v>22461</v>
      </c>
      <c r="B7671" s="3"/>
      <c r="C7671" s="3" t="str">
        <f>"Residential Treatment Facility for adolescents male and female."</f>
        <v>Residential Treatment Facility for adolescents male and female.</v>
      </c>
      <c r="D7671" s="3" t="s">
        <v>22462</v>
      </c>
      <c r="E7671" s="3" t="s">
        <v>20205</v>
      </c>
      <c r="F7671" s="3" t="str">
        <f>"317-783-4003"</f>
        <v>317-783-4003</v>
      </c>
      <c r="G7671" s="3">
        <v>623990</v>
      </c>
      <c r="H7671" s="3" t="s">
        <v>11066</v>
      </c>
    </row>
    <row r="7672" spans="1:8" ht="115.5" x14ac:dyDescent="0.25">
      <c r="A7672" s="3" t="s">
        <v>22463</v>
      </c>
      <c r="B7672" s="3"/>
      <c r="C7672" s="3" t="s">
        <v>22464</v>
      </c>
      <c r="D7672" s="3" t="s">
        <v>22465</v>
      </c>
      <c r="E7672" s="3" t="s">
        <v>46</v>
      </c>
      <c r="F7672" s="3" t="str">
        <f>"(574)266-3473"</f>
        <v>(574)266-3473</v>
      </c>
      <c r="G7672" s="3">
        <v>811212</v>
      </c>
      <c r="H7672" s="3" t="s">
        <v>1632</v>
      </c>
    </row>
    <row r="7673" spans="1:8" ht="90" x14ac:dyDescent="0.25">
      <c r="A7673" s="3" t="s">
        <v>22466</v>
      </c>
      <c r="B7673" s="3"/>
      <c r="C7673" s="3" t="s">
        <v>22467</v>
      </c>
      <c r="D7673" s="3" t="s">
        <v>22468</v>
      </c>
      <c r="E7673" s="3" t="s">
        <v>22469</v>
      </c>
      <c r="F7673" s="3" t="str">
        <f>"317-372-3743"</f>
        <v>317-372-3743</v>
      </c>
      <c r="G7673" s="3">
        <v>423810</v>
      </c>
      <c r="H7673" s="3" t="s">
        <v>4276</v>
      </c>
    </row>
    <row r="7674" spans="1:8" ht="243" x14ac:dyDescent="0.25">
      <c r="A7674" s="3" t="s">
        <v>22470</v>
      </c>
      <c r="B7674" s="3"/>
      <c r="C7674" s="3" t="s">
        <v>22471</v>
      </c>
      <c r="D7674" s="3" t="s">
        <v>22472</v>
      </c>
      <c r="E7674" s="3" t="s">
        <v>46</v>
      </c>
      <c r="F7674" s="3" t="str">
        <f>"317-786-0461"</f>
        <v>317-786-0461</v>
      </c>
      <c r="G7674" s="3">
        <v>541330</v>
      </c>
      <c r="H7674" s="3" t="s">
        <v>82</v>
      </c>
    </row>
    <row r="7675" spans="1:8" ht="51.75" x14ac:dyDescent="0.25">
      <c r="A7675" s="3" t="s">
        <v>22473</v>
      </c>
      <c r="B7675" s="3"/>
      <c r="C7675" s="3" t="str">
        <f>"We are a woman owned buisness located in the Indianapolis, IN area and we provide off duty police officers for security and patrol serives for all types of security needs."</f>
        <v>We are a woman owned buisness located in the Indianapolis, IN area and we provide off duty police officers for security and patrol serives for all types of security needs.</v>
      </c>
      <c r="D7675" s="3" t="s">
        <v>22474</v>
      </c>
      <c r="E7675" s="3" t="s">
        <v>22475</v>
      </c>
      <c r="F7675" s="3" t="str">
        <f>"317-430-3228"</f>
        <v>317-430-3228</v>
      </c>
      <c r="G7675" s="3">
        <v>561612</v>
      </c>
      <c r="H7675" s="3" t="s">
        <v>362</v>
      </c>
    </row>
    <row r="7676" spans="1:8" ht="255.75" x14ac:dyDescent="0.25">
      <c r="A7676" s="3" t="s">
        <v>22476</v>
      </c>
      <c r="B7676" s="3"/>
      <c r="C7676" s="3" t="s">
        <v>22477</v>
      </c>
      <c r="D7676" s="3" t="s">
        <v>22478</v>
      </c>
      <c r="E7676" s="3" t="s">
        <v>22479</v>
      </c>
      <c r="F7676" s="3" t="str">
        <f>"317.541.9300 EXT. 212"</f>
        <v>317.541.9300 EXT. 212</v>
      </c>
      <c r="G7676" s="3">
        <v>541511</v>
      </c>
      <c r="H7676" s="3" t="s">
        <v>122</v>
      </c>
    </row>
    <row r="7677" spans="1:8" ht="26.25" x14ac:dyDescent="0.25">
      <c r="A7677" s="3" t="s">
        <v>22480</v>
      </c>
      <c r="B7677" s="3"/>
      <c r="C7677" s="3" t="str">
        <f>"Two-Way Radio Communications Sales and Service"</f>
        <v>Two-Way Radio Communications Sales and Service</v>
      </c>
      <c r="D7677" s="3" t="s">
        <v>22481</v>
      </c>
      <c r="E7677" s="3" t="s">
        <v>46</v>
      </c>
      <c r="F7677" s="3" t="str">
        <f>"765-742-1229"</f>
        <v>765-742-1229</v>
      </c>
      <c r="G7677" s="3">
        <v>811213</v>
      </c>
      <c r="H7677" s="3" t="s">
        <v>1077</v>
      </c>
    </row>
    <row r="7678" spans="1:8" ht="39" x14ac:dyDescent="0.25">
      <c r="A7678" s="3" t="s">
        <v>22482</v>
      </c>
      <c r="B7678" s="3"/>
      <c r="C7678" s="3" t="str">
        <f>"Retail,Commercial and Wholesale tire sales and service and automotive service"</f>
        <v>Retail,Commercial and Wholesale tire sales and service and automotive service</v>
      </c>
      <c r="D7678" s="3" t="s">
        <v>22483</v>
      </c>
      <c r="E7678" s="3" t="s">
        <v>46</v>
      </c>
      <c r="F7678" s="3" t="str">
        <f>"812-465-5565 EXT 1027"</f>
        <v>812-465-5565 EXT 1027</v>
      </c>
      <c r="G7678" s="3">
        <v>441320</v>
      </c>
      <c r="H7678" s="3" t="s">
        <v>190</v>
      </c>
    </row>
    <row r="7679" spans="1:8" ht="39" x14ac:dyDescent="0.25">
      <c r="A7679" s="3" t="s">
        <v>22484</v>
      </c>
      <c r="B7679" s="3"/>
      <c r="C7679" s="3" t="str">
        <f>"We are a high end luxury manufacturer producing high end ready to wear handbags, clothing, and ladies shoes"</f>
        <v>We are a high end luxury manufacturer producing high end ready to wear handbags, clothing, and ladies shoes</v>
      </c>
      <c r="D7679" s="3" t="s">
        <v>9</v>
      </c>
      <c r="E7679" s="3" t="s">
        <v>22485</v>
      </c>
      <c r="F7679" s="2"/>
      <c r="G7679" s="3">
        <v>315234</v>
      </c>
      <c r="H7679" s="3" t="s">
        <v>22486</v>
      </c>
    </row>
    <row r="7680" spans="1:8" ht="90" x14ac:dyDescent="0.25">
      <c r="A7680" s="3" t="s">
        <v>22487</v>
      </c>
      <c r="B7680" s="3"/>
      <c r="C7680" s="3" t="str">
        <f>"Petroleum Products Specialists: We carry a complete line of oils, lubricants, greases, and fuels to meet the needs of today's equipment. Quality, Service and Delivery are unsurpassed. Rackham Service Corp. is prepared to meet all of your petroleum needs."</f>
        <v>Petroleum Products Specialists: We carry a complete line of oils, lubricants, greases, and fuels to meet the needs of today's equipment. Quality, Service and Delivery are unsurpassed. Rackham Service Corp. is prepared to meet all of your petroleum needs.</v>
      </c>
      <c r="D7680" s="3" t="s">
        <v>22488</v>
      </c>
      <c r="E7680" s="3" t="s">
        <v>22489</v>
      </c>
      <c r="F7680" s="3" t="str">
        <f>"219-362-2111"</f>
        <v>219-362-2111</v>
      </c>
      <c r="G7680" s="3">
        <v>424710</v>
      </c>
      <c r="H7680" s="3" t="s">
        <v>22490</v>
      </c>
    </row>
    <row r="7681" spans="1:8" ht="64.5" x14ac:dyDescent="0.25">
      <c r="A7681" s="3" t="s">
        <v>22491</v>
      </c>
      <c r="B7681" s="3"/>
      <c r="C7681" s="3" t="str">
        <f>"We supply leveled sheets, re-squared blanks and slit coil. We supply cold-rolled, pickle-oil, galvanized, galvannealed and electro-galvanized. We stock a variety of gauges."</f>
        <v>We supply leveled sheets, re-squared blanks and slit coil. We supply cold-rolled, pickle-oil, galvanized, galvannealed and electro-galvanized. We stock a variety of gauges.</v>
      </c>
      <c r="D7681" s="3" t="s">
        <v>22492</v>
      </c>
      <c r="E7681" s="3" t="s">
        <v>46</v>
      </c>
      <c r="F7681" s="3" t="str">
        <f>"708-985-0514"</f>
        <v>708-985-0514</v>
      </c>
      <c r="G7681" s="3">
        <v>423510</v>
      </c>
      <c r="H7681" s="3" t="s">
        <v>10869</v>
      </c>
    </row>
    <row r="7682" spans="1:8" ht="39" x14ac:dyDescent="0.25">
      <c r="A7682" s="3" t="s">
        <v>22493</v>
      </c>
      <c r="B7682" s="3"/>
      <c r="C7682" s="3" t="str">
        <f>"Custom Picture Framing, Conservation and restoration of Fine Art, Fire and Water resoration of art and framed pictures"</f>
        <v>Custom Picture Framing, Conservation and restoration of Fine Art, Fire and Water resoration of art and framed pictures</v>
      </c>
      <c r="D7682" s="3" t="s">
        <v>9</v>
      </c>
      <c r="E7682" s="3" t="s">
        <v>22494</v>
      </c>
      <c r="F7682" s="3" t="str">
        <f>"5742870266"</f>
        <v>5742870266</v>
      </c>
      <c r="G7682" s="3">
        <v>453920</v>
      </c>
      <c r="H7682" s="3" t="s">
        <v>2616</v>
      </c>
    </row>
    <row r="7683" spans="1:8" ht="90" x14ac:dyDescent="0.25">
      <c r="A7683" s="3" t="s">
        <v>22495</v>
      </c>
      <c r="B7683" s="3"/>
      <c r="C7683" s="3" t="s">
        <v>22496</v>
      </c>
      <c r="D7683" s="3" t="s">
        <v>9</v>
      </c>
      <c r="E7683" s="3" t="s">
        <v>22497</v>
      </c>
      <c r="F7683" s="3" t="str">
        <f>"(219) 531-2566"</f>
        <v>(219) 531-2566</v>
      </c>
      <c r="G7683" s="3">
        <v>443112</v>
      </c>
      <c r="H7683" s="3" t="s">
        <v>3890</v>
      </c>
    </row>
    <row r="7684" spans="1:8" ht="51.75" x14ac:dyDescent="0.25">
      <c r="A7684" s="3" t="s">
        <v>22495</v>
      </c>
      <c r="B7684" s="3"/>
      <c r="C7684" s="3" t="str">
        <f>"FCC land mobile radio license application preparation, and filing. Radio communications equipment, accessories, and parts sales."</f>
        <v>FCC land mobile radio license application preparation, and filing. Radio communications equipment, accessories, and parts sales.</v>
      </c>
      <c r="D7684" s="3" t="s">
        <v>22498</v>
      </c>
      <c r="E7684" s="3" t="s">
        <v>22497</v>
      </c>
      <c r="F7684" s="3" t="str">
        <f>"(219) 531-2566"</f>
        <v>(219) 531-2566</v>
      </c>
      <c r="G7684" s="3">
        <v>443112</v>
      </c>
      <c r="H7684" s="3" t="s">
        <v>3890</v>
      </c>
    </row>
    <row r="7685" spans="1:8" ht="77.25" x14ac:dyDescent="0.25">
      <c r="A7685" s="3" t="s">
        <v>22499</v>
      </c>
      <c r="B7685" s="3"/>
      <c r="C7685" s="3" t="str">
        <f>"Rm Construction offers complete construction &amp; landscaping services for both the residential and commercial industries. RM Construction has extensive experience in the construction industry with a reputable reputation and references."</f>
        <v>Rm Construction offers complete construction &amp; landscaping services for both the residential and commercial industries. RM Construction has extensive experience in the construction industry with a reputable reputation and references.</v>
      </c>
      <c r="D7685" s="3" t="s">
        <v>22500</v>
      </c>
      <c r="E7685" s="3" t="s">
        <v>22501</v>
      </c>
      <c r="F7685" s="3" t="str">
        <f>"317-471-3583"</f>
        <v>317-471-3583</v>
      </c>
      <c r="G7685" s="3">
        <v>23</v>
      </c>
      <c r="H7685" s="3" t="s">
        <v>133</v>
      </c>
    </row>
    <row r="7686" spans="1:8" ht="64.5" x14ac:dyDescent="0.25">
      <c r="A7686" s="3" t="s">
        <v>22502</v>
      </c>
      <c r="B7686" s="3"/>
      <c r="C7686" s="3" t="str">
        <f>"I provide professional janitorial services to the public, also provide support to customers who are overwhelm with paperwork, such as typing, payroll, data entry, bookkeeping etc."</f>
        <v>I provide professional janitorial services to the public, also provide support to customers who are overwhelm with paperwork, such as typing, payroll, data entry, bookkeeping etc.</v>
      </c>
      <c r="D7686" s="3" t="s">
        <v>22503</v>
      </c>
      <c r="E7686" s="3" t="s">
        <v>22504</v>
      </c>
      <c r="F7686" s="3" t="str">
        <f>"812.256.5922"</f>
        <v>812.256.5922</v>
      </c>
      <c r="G7686" s="3">
        <v>561720</v>
      </c>
      <c r="H7686" s="3" t="s">
        <v>222</v>
      </c>
    </row>
    <row r="7687" spans="1:8" ht="77.25" x14ac:dyDescent="0.25">
      <c r="A7687" s="3" t="s">
        <v>22505</v>
      </c>
      <c r="B7687" s="3"/>
      <c r="C7687" s="3" t="str">
        <f>"Rahab Restoration Center is a Non-Profit Corporation of the State of Indiana. The company serves the public through social benefit initiatives involving alcohol and substance abuse, domestic violence, addiction and recovery, and drug screening."</f>
        <v>Rahab Restoration Center is a Non-Profit Corporation of the State of Indiana. The company serves the public through social benefit initiatives involving alcohol and substance abuse, domestic violence, addiction and recovery, and drug screening.</v>
      </c>
      <c r="D7687" s="3" t="s">
        <v>9</v>
      </c>
      <c r="E7687" s="3" t="s">
        <v>22506</v>
      </c>
      <c r="F7687" s="3" t="str">
        <f>"317-444-1139"</f>
        <v>317-444-1139</v>
      </c>
      <c r="G7687" s="3">
        <v>541380</v>
      </c>
      <c r="H7687" s="3" t="s">
        <v>226</v>
      </c>
    </row>
    <row r="7688" spans="1:8" ht="26.25" x14ac:dyDescent="0.25">
      <c r="A7688" s="3" t="s">
        <v>22507</v>
      </c>
      <c r="B7688" s="3"/>
      <c r="C7688" s="3" t="str">
        <f>"Meeting your adaptive needs since 1999."</f>
        <v>Meeting your adaptive needs since 1999.</v>
      </c>
      <c r="D7688" s="3" t="s">
        <v>9</v>
      </c>
      <c r="E7688" s="3" t="s">
        <v>22508</v>
      </c>
      <c r="F7688" s="3" t="str">
        <f>"317-867-0277"</f>
        <v>317-867-0277</v>
      </c>
      <c r="G7688" s="3">
        <v>624120</v>
      </c>
      <c r="H7688" s="3" t="s">
        <v>22</v>
      </c>
    </row>
    <row r="7689" spans="1:8" ht="102.75" x14ac:dyDescent="0.25">
      <c r="A7689" s="3" t="s">
        <v>22509</v>
      </c>
      <c r="B7689" s="3"/>
      <c r="C7689" s="3" t="s">
        <v>22510</v>
      </c>
      <c r="D7689" s="3" t="s">
        <v>22511</v>
      </c>
      <c r="E7689" s="3" t="s">
        <v>22512</v>
      </c>
      <c r="F7689" s="3" t="str">
        <f>"812-265-0030"</f>
        <v>812-265-0030</v>
      </c>
      <c r="G7689" s="3">
        <v>327215</v>
      </c>
      <c r="H7689" s="3" t="s">
        <v>22513</v>
      </c>
    </row>
    <row r="7690" spans="1:8" ht="51.75" x14ac:dyDescent="0.25">
      <c r="A7690" s="3" t="s">
        <v>22514</v>
      </c>
      <c r="B7690" s="3"/>
      <c r="C7690" s="3" t="str">
        <f>"Rainbow's Ink, LLC is a micro publishing company specializing in quality books for children with an emphasis on education and personal development."</f>
        <v>Rainbow's Ink, LLC is a micro publishing company specializing in quality books for children with an emphasis on education and personal development.</v>
      </c>
      <c r="D7690" s="3" t="s">
        <v>22515</v>
      </c>
      <c r="E7690" s="3" t="s">
        <v>22516</v>
      </c>
      <c r="F7690" s="3" t="str">
        <f>"219 682-5516"</f>
        <v>219 682-5516</v>
      </c>
      <c r="G7690" s="3">
        <v>511130</v>
      </c>
      <c r="H7690" s="3" t="s">
        <v>3146</v>
      </c>
    </row>
    <row r="7691" spans="1:8" ht="26.25" x14ac:dyDescent="0.25">
      <c r="A7691" s="3" t="s">
        <v>22517</v>
      </c>
      <c r="B7691" s="3"/>
      <c r="C7691" s="3" t="str">
        <f>"Manufacturer of education electronic hobby kits and small electronic devices."</f>
        <v>Manufacturer of education electronic hobby kits and small electronic devices.</v>
      </c>
      <c r="D7691" s="3" t="s">
        <v>22518</v>
      </c>
      <c r="E7691" s="3" t="s">
        <v>22519</v>
      </c>
      <c r="F7691" s="3" t="str">
        <f>"3177455602"</f>
        <v>3177455602</v>
      </c>
      <c r="G7691" s="3">
        <v>335999</v>
      </c>
      <c r="H7691" s="3" t="s">
        <v>11218</v>
      </c>
    </row>
    <row r="7692" spans="1:8" ht="64.5" x14ac:dyDescent="0.25">
      <c r="A7692" s="3" t="s">
        <v>22520</v>
      </c>
      <c r="B7692" s="3"/>
      <c r="C7692" s="3" t="str">
        <f>"Raindrops N Roses is a full service florist priding ourselves in customer satisfaction and quality fresh and silk flowers, balloons, plants, and decor. We operate approx 50 weddings per year and large banquets."</f>
        <v>Raindrops N Roses is a full service florist priding ourselves in customer satisfaction and quality fresh and silk flowers, balloons, plants, and decor. We operate approx 50 weddings per year and large banquets.</v>
      </c>
      <c r="D7692" s="3" t="s">
        <v>22521</v>
      </c>
      <c r="E7692" s="3" t="s">
        <v>22522</v>
      </c>
      <c r="F7692" s="3" t="str">
        <f>"317-398-2577"</f>
        <v>317-398-2577</v>
      </c>
      <c r="G7692" s="3">
        <v>4531</v>
      </c>
      <c r="H7692" s="3" t="s">
        <v>2584</v>
      </c>
    </row>
    <row r="7693" spans="1:8" ht="102.75" x14ac:dyDescent="0.25">
      <c r="A7693" s="3" t="s">
        <v>22523</v>
      </c>
      <c r="B7693" s="3"/>
      <c r="C7693" s="3" t="s">
        <v>22524</v>
      </c>
      <c r="D7693" s="3" t="s">
        <v>9</v>
      </c>
      <c r="E7693" s="3" t="s">
        <v>22525</v>
      </c>
      <c r="F7693" s="3" t="str">
        <f>"812-675-0725"</f>
        <v>812-675-0725</v>
      </c>
      <c r="G7693" s="3">
        <v>236220</v>
      </c>
      <c r="H7693" s="3" t="s">
        <v>598</v>
      </c>
    </row>
    <row r="7694" spans="1:8" ht="77.25" x14ac:dyDescent="0.25">
      <c r="A7694" s="3" t="s">
        <v>22526</v>
      </c>
      <c r="B7694" s="3"/>
      <c r="C7694" s="3" t="str">
        <f>"I apply UV rated single ply roof systems to flat and metal roofs making them seamless and energy efficient with warrentys. I also insulate with spray foam insulation for inside dwellings. Interior and exterior spray foam insulation"</f>
        <v>I apply UV rated single ply roof systems to flat and metal roofs making them seamless and energy efficient with warrentys. I also insulate with spray foam insulation for inside dwellings. Interior and exterior spray foam insulation</v>
      </c>
      <c r="D7694" s="3" t="s">
        <v>9</v>
      </c>
      <c r="E7694" s="3" t="s">
        <v>22527</v>
      </c>
      <c r="F7694" s="3" t="str">
        <f>"(260) 854-2827"</f>
        <v>(260) 854-2827</v>
      </c>
      <c r="G7694" s="3">
        <v>5617</v>
      </c>
      <c r="H7694" s="3" t="s">
        <v>812</v>
      </c>
    </row>
    <row r="7695" spans="1:8" ht="64.5" x14ac:dyDescent="0.25">
      <c r="A7695" s="3" t="s">
        <v>22528</v>
      </c>
      <c r="B7695" s="3"/>
      <c r="C7695" s="3" t="str">
        <f>"Raitt Corporation, which has been in business since 1956, owns and leases trucking terminals and other commercial properties located in the Midwestern United States."</f>
        <v>Raitt Corporation, which has been in business since 1956, owns and leases trucking terminals and other commercial properties located in the Midwestern United States.</v>
      </c>
      <c r="D7695" s="3" t="s">
        <v>9</v>
      </c>
      <c r="E7695" s="3" t="s">
        <v>22529</v>
      </c>
      <c r="F7695" s="3" t="str">
        <f>"574-287-8022"</f>
        <v>574-287-8022</v>
      </c>
      <c r="G7695" s="3">
        <v>531120</v>
      </c>
      <c r="H7695" s="3" t="s">
        <v>2926</v>
      </c>
    </row>
    <row r="7696" spans="1:8" ht="102.75" x14ac:dyDescent="0.25">
      <c r="A7696" s="3" t="s">
        <v>22530</v>
      </c>
      <c r="B7696" s="3"/>
      <c r="C7696" s="3" t="s">
        <v>22531</v>
      </c>
      <c r="D7696" s="3" t="s">
        <v>9</v>
      </c>
      <c r="E7696" s="3" t="s">
        <v>22532</v>
      </c>
      <c r="F7696" s="3" t="str">
        <f>"317-748-3111"</f>
        <v>317-748-3111</v>
      </c>
      <c r="G7696" s="3">
        <v>561730</v>
      </c>
      <c r="H7696" s="3" t="s">
        <v>65</v>
      </c>
    </row>
    <row r="7697" spans="1:8" ht="64.5" x14ac:dyDescent="0.25">
      <c r="A7697" s="3" t="s">
        <v>22533</v>
      </c>
      <c r="B7697" s="3"/>
      <c r="C7697" s="3" t="str">
        <f>"We manufacture exterior rear-view mirrors for the Motorhome, Bus, Firetruck, and Specialty Vehicle markets. We sell to all original equipment makers, distributors, retail and individual customers."</f>
        <v>We manufacture exterior rear-view mirrors for the Motorhome, Bus, Firetruck, and Specialty Vehicle markets. We sell to all original equipment makers, distributors, retail and individual customers.</v>
      </c>
      <c r="D7697" s="3" t="s">
        <v>22534</v>
      </c>
      <c r="E7697" s="3" t="s">
        <v>22535</v>
      </c>
      <c r="F7697" s="3" t="str">
        <f>"574-266-1455"</f>
        <v>574-266-1455</v>
      </c>
      <c r="G7697" s="3">
        <v>3363</v>
      </c>
      <c r="H7697" s="3" t="s">
        <v>20505</v>
      </c>
    </row>
    <row r="7698" spans="1:8" ht="204.75" x14ac:dyDescent="0.25">
      <c r="A7698" s="3" t="s">
        <v>22536</v>
      </c>
      <c r="B7698" s="3"/>
      <c r="C7698" s="3" t="s">
        <v>22537</v>
      </c>
      <c r="D7698" s="3" t="s">
        <v>9</v>
      </c>
      <c r="E7698" s="3" t="s">
        <v>22538</v>
      </c>
      <c r="F7698" s="3" t="str">
        <f>"800-525-9497"</f>
        <v>800-525-9497</v>
      </c>
      <c r="G7698" s="3">
        <v>611710</v>
      </c>
      <c r="H7698" s="3" t="s">
        <v>508</v>
      </c>
    </row>
    <row r="7699" spans="1:8" ht="26.25" x14ac:dyDescent="0.25">
      <c r="A7699" s="3" t="s">
        <v>22539</v>
      </c>
      <c r="B7699" s="3"/>
      <c r="C7699" s="3" t="str">
        <f>" "</f>
        <v xml:space="preserve"> </v>
      </c>
      <c r="D7699" s="3" t="s">
        <v>9</v>
      </c>
      <c r="E7699" s="3" t="s">
        <v>46</v>
      </c>
      <c r="F7699" s="3" t="str">
        <f>"219-789-4040"</f>
        <v>219-789-4040</v>
      </c>
      <c r="G7699" s="3">
        <v>811111</v>
      </c>
      <c r="H7699" s="3" t="s">
        <v>2383</v>
      </c>
    </row>
    <row r="7700" spans="1:8" ht="64.5" x14ac:dyDescent="0.25">
      <c r="A7700" s="3" t="s">
        <v>22540</v>
      </c>
      <c r="B7700" s="3"/>
      <c r="C7700" s="3" t="str">
        <f>"Retair &amp; whosale garden center growing over 170 virities of aquatic plants,seller of garden ponds,pond liner,and ornamental goldfish &amp; Koi,as well as garden decore,grass seed &amp; fertilizer."</f>
        <v>Retair &amp; whosale garden center growing over 170 virities of aquatic plants,seller of garden ponds,pond liner,and ornamental goldfish &amp; Koi,as well as garden decore,grass seed &amp; fertilizer.</v>
      </c>
      <c r="D7700" s="3" t="s">
        <v>22541</v>
      </c>
      <c r="E7700" s="3" t="s">
        <v>22542</v>
      </c>
      <c r="F7700" s="3" t="str">
        <f>"812-347-2191"</f>
        <v>812-347-2191</v>
      </c>
      <c r="G7700" s="3">
        <v>111422</v>
      </c>
      <c r="H7700" s="3" t="s">
        <v>9610</v>
      </c>
    </row>
    <row r="7701" spans="1:8" ht="192" x14ac:dyDescent="0.25">
      <c r="A7701" s="3" t="s">
        <v>22543</v>
      </c>
      <c r="B7701" s="3"/>
      <c r="C7701" s="3" t="s">
        <v>22544</v>
      </c>
      <c r="D7701" s="3" t="s">
        <v>22545</v>
      </c>
      <c r="E7701" s="3" t="s">
        <v>46</v>
      </c>
      <c r="F7701" s="3" t="str">
        <f>"630-833-9100"</f>
        <v>630-833-9100</v>
      </c>
      <c r="G7701" s="3">
        <v>23</v>
      </c>
      <c r="H7701" s="3" t="s">
        <v>133</v>
      </c>
    </row>
    <row r="7702" spans="1:8" ht="51.75" x14ac:dyDescent="0.25">
      <c r="A7702" s="3" t="s">
        <v>22546</v>
      </c>
      <c r="B7702" s="3"/>
      <c r="C7702" s="3" t="str">
        <f>"Installation of business telephone systems, computer networks, computer cabling, fiber optic cable, loud speaker paging, and security cameras."</f>
        <v>Installation of business telephone systems, computer networks, computer cabling, fiber optic cable, loud speaker paging, and security cameras.</v>
      </c>
      <c r="D7702" s="3" t="s">
        <v>22547</v>
      </c>
      <c r="E7702" s="3" t="s">
        <v>22548</v>
      </c>
      <c r="F7702" s="3" t="str">
        <f>"877-525-5146"</f>
        <v>877-525-5146</v>
      </c>
      <c r="G7702" s="3">
        <v>238210</v>
      </c>
      <c r="H7702" s="3" t="s">
        <v>306</v>
      </c>
    </row>
    <row r="7703" spans="1:8" ht="64.5" x14ac:dyDescent="0.25">
      <c r="A7703" s="3" t="s">
        <v>22549</v>
      </c>
      <c r="B7703" s="3"/>
      <c r="C7703" s="3" t="str">
        <f>"Aftermarket auto parts for cars, trucks(light&amp;HD),and industrial equipment.A full line jobber store for 18 years with over 60 years of experienced personel."</f>
        <v>Aftermarket auto parts for cars, trucks(light&amp;HD),and industrial equipment.A full line jobber store for 18 years with over 60 years of experienced personel.</v>
      </c>
      <c r="D7703" s="3" t="s">
        <v>9</v>
      </c>
      <c r="E7703" s="3" t="s">
        <v>22550</v>
      </c>
      <c r="F7703" s="3" t="str">
        <f>"260-636-2983"</f>
        <v>260-636-2983</v>
      </c>
      <c r="G7703" s="3">
        <v>42</v>
      </c>
      <c r="H7703" s="3" t="s">
        <v>674</v>
      </c>
    </row>
    <row r="7704" spans="1:8" ht="51.75" x14ac:dyDescent="0.25">
      <c r="A7704" s="3" t="s">
        <v>22551</v>
      </c>
      <c r="B7704" s="3"/>
      <c r="C7704" s="3" t="str">
        <f>"Randolph operates a solid waste landfill near Modoc, IN and solid waste transfer stations in Mt. Comfort, Franklin, Muncie, Anderson and Indianapolis Indiana."</f>
        <v>Randolph operates a solid waste landfill near Modoc, IN and solid waste transfer stations in Mt. Comfort, Franklin, Muncie, Anderson and Indianapolis Indiana.</v>
      </c>
      <c r="D7704" s="3" t="s">
        <v>9</v>
      </c>
      <c r="E7704" s="3" t="s">
        <v>22552</v>
      </c>
      <c r="F7704" s="3" t="str">
        <f>"(765) 853-57"</f>
        <v>(765) 853-57</v>
      </c>
      <c r="G7704" s="3">
        <v>562212</v>
      </c>
      <c r="H7704" s="3" t="s">
        <v>7832</v>
      </c>
    </row>
    <row r="7705" spans="1:8" ht="217.5" x14ac:dyDescent="0.25">
      <c r="A7705" s="3" t="s">
        <v>22553</v>
      </c>
      <c r="B7705" s="3"/>
      <c r="C7705" s="3" t="s">
        <v>22554</v>
      </c>
      <c r="D7705" s="3" t="s">
        <v>22555</v>
      </c>
      <c r="E7705" s="3" t="s">
        <v>22556</v>
      </c>
      <c r="F7705" s="3" t="str">
        <f>"812-285-9999"</f>
        <v>812-285-9999</v>
      </c>
      <c r="G7705" s="3">
        <v>488410</v>
      </c>
      <c r="H7705" s="3" t="s">
        <v>4171</v>
      </c>
    </row>
    <row r="7706" spans="1:8" ht="115.5" x14ac:dyDescent="0.25">
      <c r="A7706" s="3" t="s">
        <v>22557</v>
      </c>
      <c r="B7706" s="3"/>
      <c r="C7706" s="3" t="s">
        <v>22558</v>
      </c>
      <c r="D7706" s="3" t="s">
        <v>22559</v>
      </c>
      <c r="E7706" s="3" t="s">
        <v>22560</v>
      </c>
      <c r="F7706" s="3" t="str">
        <f>"317-575-7992"</f>
        <v>317-575-7992</v>
      </c>
      <c r="G7706" s="3">
        <v>4841</v>
      </c>
      <c r="H7706" s="3" t="s">
        <v>3598</v>
      </c>
    </row>
    <row r="7707" spans="1:8" ht="26.25" x14ac:dyDescent="0.25">
      <c r="A7707" s="3" t="s">
        <v>22561</v>
      </c>
      <c r="B7707" s="3"/>
      <c r="C7707" s="3" t="str">
        <f>"Provider of safe and reliable non-emergency medical transportation."</f>
        <v>Provider of safe and reliable non-emergency medical transportation.</v>
      </c>
      <c r="D7707" s="3" t="s">
        <v>9</v>
      </c>
      <c r="E7707" s="3" t="s">
        <v>46</v>
      </c>
      <c r="F7707" s="3" t="str">
        <f>"219-944-4880"</f>
        <v>219-944-4880</v>
      </c>
      <c r="G7707" s="3">
        <v>485991</v>
      </c>
      <c r="H7707" s="3" t="s">
        <v>6936</v>
      </c>
    </row>
    <row r="7708" spans="1:8" ht="102.75" x14ac:dyDescent="0.25">
      <c r="A7708" s="3" t="s">
        <v>22562</v>
      </c>
      <c r="B7708" s="3"/>
      <c r="C7708" s="3" t="s">
        <v>22563</v>
      </c>
      <c r="D7708" s="3" t="s">
        <v>22564</v>
      </c>
      <c r="E7708" s="3" t="s">
        <v>22565</v>
      </c>
      <c r="F7708" s="3" t="str">
        <f>"812-334-9891"</f>
        <v>812-334-9891</v>
      </c>
      <c r="G7708" s="3">
        <v>238910</v>
      </c>
      <c r="H7708" s="3" t="s">
        <v>886</v>
      </c>
    </row>
    <row r="7709" spans="1:8" ht="64.5" x14ac:dyDescent="0.25">
      <c r="A7709" s="3" t="s">
        <v>22566</v>
      </c>
      <c r="B7709" s="3"/>
      <c r="C7709" s="3" t="str">
        <f>"Commercial flooring contractor and member of Local No. 90 Carpenters Union. Specializing in sales and installation of carpet, vinyl tile, sheet flooring, and flash-coving."</f>
        <v>Commercial flooring contractor and member of Local No. 90 Carpenters Union. Specializing in sales and installation of carpet, vinyl tile, sheet flooring, and flash-coving.</v>
      </c>
      <c r="D7709" s="3" t="s">
        <v>9</v>
      </c>
      <c r="E7709" s="3" t="s">
        <v>46</v>
      </c>
      <c r="F7709" s="3" t="str">
        <f>"812-423-9054"</f>
        <v>812-423-9054</v>
      </c>
      <c r="G7709" s="3">
        <v>2355</v>
      </c>
      <c r="H7709" s="3" t="s">
        <v>1839</v>
      </c>
    </row>
    <row r="7710" spans="1:8" ht="26.25" x14ac:dyDescent="0.25">
      <c r="A7710" s="3" t="s">
        <v>22567</v>
      </c>
      <c r="B7710" s="3"/>
      <c r="C7710" s="3" t="str">
        <f>"hvac, sheetmetal"</f>
        <v>hvac, sheetmetal</v>
      </c>
      <c r="D7710" s="3" t="s">
        <v>9</v>
      </c>
      <c r="E7710" s="3" t="s">
        <v>22568</v>
      </c>
      <c r="F7710" s="3" t="str">
        <f>"812757554"</f>
        <v>812757554</v>
      </c>
      <c r="G7710" s="3">
        <v>238220</v>
      </c>
      <c r="H7710" s="3" t="s">
        <v>348</v>
      </c>
    </row>
    <row r="7711" spans="1:8" ht="77.25" x14ac:dyDescent="0.25">
      <c r="A7711" s="3" t="s">
        <v>22569</v>
      </c>
      <c r="B7711" s="3"/>
      <c r="C7711" s="3" t="str">
        <f>"Ray Hoskins and Associates is a human services consulting organization, providing strategic consulting, training, and other services to government and not for profits in areas of Child Welfare, Juvenile Justice, Workforce Development and Education."</f>
        <v>Ray Hoskins and Associates is a human services consulting organization, providing strategic consulting, training, and other services to government and not for profits in areas of Child Welfare, Juvenile Justice, Workforce Development and Education.</v>
      </c>
      <c r="D7711" s="3" t="s">
        <v>22570</v>
      </c>
      <c r="E7711" s="3" t="s">
        <v>22571</v>
      </c>
      <c r="F7711" s="3" t="str">
        <f>"317-780-0703"</f>
        <v>317-780-0703</v>
      </c>
      <c r="G7711" s="3">
        <v>81</v>
      </c>
      <c r="H7711" s="3" t="s">
        <v>751</v>
      </c>
    </row>
    <row r="7712" spans="1:8" ht="26.25" x14ac:dyDescent="0.25">
      <c r="A7712" s="3" t="s">
        <v>22572</v>
      </c>
      <c r="B7712" s="3"/>
      <c r="C7712" s="3" t="str">
        <f>"Owner of office leasing space"</f>
        <v>Owner of office leasing space</v>
      </c>
      <c r="D7712" s="3" t="s">
        <v>9</v>
      </c>
      <c r="E7712" s="3" t="s">
        <v>22573</v>
      </c>
      <c r="F7712" s="3" t="str">
        <f>"2194721092"</f>
        <v>2194721092</v>
      </c>
      <c r="G7712" s="3">
        <v>531120</v>
      </c>
      <c r="H7712" s="3" t="s">
        <v>2926</v>
      </c>
    </row>
    <row r="7713" spans="1:8" ht="64.5" x14ac:dyDescent="0.25">
      <c r="A7713" s="3" t="s">
        <v>22574</v>
      </c>
      <c r="B7713" s="3"/>
      <c r="C7713" s="3" t="str">
        <f>"Sales and service for GMC truck. Service for various makes to include most American manufacturers and several import manufacturers. Collision repair. Parts supplies to garages."</f>
        <v>Sales and service for GMC truck. Service for various makes to include most American manufacturers and several import manufacturers. Collision repair. Parts supplies to garages.</v>
      </c>
      <c r="D7713" s="3" t="s">
        <v>22575</v>
      </c>
      <c r="E7713" s="3" t="s">
        <v>22576</v>
      </c>
      <c r="F7713" s="3" t="str">
        <f>"317-888-9500"</f>
        <v>317-888-9500</v>
      </c>
      <c r="G7713" s="3">
        <v>441110</v>
      </c>
      <c r="H7713" s="3" t="s">
        <v>2588</v>
      </c>
    </row>
    <row r="7714" spans="1:8" ht="51.75" x14ac:dyDescent="0.25">
      <c r="A7714" s="3" t="s">
        <v>22577</v>
      </c>
      <c r="B7714" s="3"/>
      <c r="C7714" s="3" t="str">
        <f>"Ray Skillman Performance Ford operates sales and service for all Ford products, including medium duty trucks. We are located in Greenwood, Indiana."</f>
        <v>Ray Skillman Performance Ford operates sales and service for all Ford products, including medium duty trucks. We are located in Greenwood, Indiana.</v>
      </c>
      <c r="D7714" s="3" t="s">
        <v>22578</v>
      </c>
      <c r="E7714" s="3" t="s">
        <v>22576</v>
      </c>
      <c r="F7714" s="3" t="str">
        <f>"317-885-9800"</f>
        <v>317-885-9800</v>
      </c>
      <c r="G7714" s="3">
        <v>441110</v>
      </c>
      <c r="H7714" s="3" t="s">
        <v>2588</v>
      </c>
    </row>
    <row r="7715" spans="1:8" ht="26.25" x14ac:dyDescent="0.25">
      <c r="A7715" s="3" t="s">
        <v>22579</v>
      </c>
      <c r="B7715" s="3"/>
      <c r="C7715" s="3" t="str">
        <f>"Supplier of GM Parts and Accessories."</f>
        <v>Supplier of GM Parts and Accessories.</v>
      </c>
      <c r="D7715" s="3" t="s">
        <v>22580</v>
      </c>
      <c r="E7715" s="3" t="s">
        <v>22581</v>
      </c>
      <c r="F7715" s="3" t="str">
        <f>"3178883550"</f>
        <v>3178883550</v>
      </c>
      <c r="G7715" s="3">
        <v>4413</v>
      </c>
      <c r="H7715" s="3" t="s">
        <v>1210</v>
      </c>
    </row>
    <row r="7716" spans="1:8" ht="26.25" x14ac:dyDescent="0.25">
      <c r="A7716" s="3" t="s">
        <v>22582</v>
      </c>
      <c r="B7716" s="3"/>
      <c r="C7716" s="3" t="str">
        <f>"Automotive parts and accessories"</f>
        <v>Automotive parts and accessories</v>
      </c>
      <c r="D7716" s="3" t="s">
        <v>22583</v>
      </c>
      <c r="E7716" s="3" t="s">
        <v>22584</v>
      </c>
      <c r="F7716" s="3" t="str">
        <f>"765-395-7721"</f>
        <v>765-395-7721</v>
      </c>
      <c r="G7716" s="3">
        <v>441310</v>
      </c>
      <c r="H7716" s="3" t="s">
        <v>1699</v>
      </c>
    </row>
    <row r="7717" spans="1:8" ht="39" x14ac:dyDescent="0.25">
      <c r="A7717" s="3" t="s">
        <v>22585</v>
      </c>
      <c r="B7717" s="3"/>
      <c r="C7717" s="3" t="str">
        <f>"Retail sales and service of John Deere, Echo, Honda, Landpride, and Billy Goat lawn and garden equipment"</f>
        <v>Retail sales and service of John Deere, Echo, Honda, Landpride, and Billy Goat lawn and garden equipment</v>
      </c>
      <c r="D7717" s="3" t="s">
        <v>22586</v>
      </c>
      <c r="E7717" s="3" t="s">
        <v>22587</v>
      </c>
      <c r="F7717" s="3" t="str">
        <f>"812-246-6309"</f>
        <v>812-246-6309</v>
      </c>
      <c r="G7717" s="3">
        <v>444210</v>
      </c>
      <c r="H7717" s="3" t="s">
        <v>392</v>
      </c>
    </row>
    <row r="7718" spans="1:8" ht="64.5" x14ac:dyDescent="0.25">
      <c r="A7718" s="3" t="s">
        <v>22588</v>
      </c>
      <c r="B7718" s="3"/>
      <c r="C7718" s="3" t="str">
        <f>"Automotive and light truck repair and diagnosis. oil changes, rotations, balances. Almost all automotive and light truck repair except air conditioning and internal transmission repair."</f>
        <v>Automotive and light truck repair and diagnosis. oil changes, rotations, balances. Almost all automotive and light truck repair except air conditioning and internal transmission repair.</v>
      </c>
      <c r="D7718" s="3" t="s">
        <v>9</v>
      </c>
      <c r="E7718" s="3" t="s">
        <v>46</v>
      </c>
      <c r="F7718" s="2"/>
      <c r="G7718" s="3">
        <v>811198</v>
      </c>
      <c r="H7718" s="3" t="s">
        <v>2171</v>
      </c>
    </row>
    <row r="7719" spans="1:8" ht="64.5" x14ac:dyDescent="0.25">
      <c r="A7719" s="3" t="s">
        <v>22589</v>
      </c>
      <c r="B7719" s="3"/>
      <c r="C7719" s="3" t="str">
        <f>"TRASH REMOVAL COMPANY OFFERS WASTE REMOVAL SERVICES, RECYCLING SERVICES, GRINDING SERVICES, MULCH SERVICES AND DOCUMENT DESTRUCTION (SHREDDING SERVICES)"</f>
        <v>TRASH REMOVAL COMPANY OFFERS WASTE REMOVAL SERVICES, RECYCLING SERVICES, GRINDING SERVICES, MULCH SERVICES AND DOCUMENT DESTRUCTION (SHREDDING SERVICES)</v>
      </c>
      <c r="D7719" s="3" t="s">
        <v>22590</v>
      </c>
      <c r="E7719" s="3" t="s">
        <v>22591</v>
      </c>
      <c r="F7719" s="3" t="str">
        <f>"317-539-2024"</f>
        <v>317-539-2024</v>
      </c>
      <c r="G7719" s="3">
        <v>562111</v>
      </c>
      <c r="H7719" s="3" t="s">
        <v>1818</v>
      </c>
    </row>
    <row r="7720" spans="1:8" ht="192" x14ac:dyDescent="0.25">
      <c r="A7720" s="3" t="s">
        <v>22592</v>
      </c>
      <c r="B7720" s="3"/>
      <c r="C7720" s="3" t="s">
        <v>22593</v>
      </c>
      <c r="D7720" s="3" t="s">
        <v>22594</v>
      </c>
      <c r="E7720" s="3" t="s">
        <v>22595</v>
      </c>
      <c r="F7720" s="3" t="str">
        <f>"812-854-7041"</f>
        <v>812-854-7041</v>
      </c>
      <c r="G7720" s="3">
        <v>541330</v>
      </c>
      <c r="H7720" s="3" t="s">
        <v>82</v>
      </c>
    </row>
    <row r="7721" spans="1:8" ht="64.5" x14ac:dyDescent="0.25">
      <c r="A7721" s="3" t="s">
        <v>22596</v>
      </c>
      <c r="B7721" s="3"/>
      <c r="C7721" s="3" t="str">
        <f>"Recovery Counseling Service is a outpatient program for adolescents and adults with substance abuse problems. We are cerrtified by the Department of Mental Health and Addiction"</f>
        <v>Recovery Counseling Service is a outpatient program for adolescents and adults with substance abuse problems. We are cerrtified by the Department of Mental Health and Addiction</v>
      </c>
      <c r="D7721" s="3" t="s">
        <v>9</v>
      </c>
      <c r="E7721" s="3" t="s">
        <v>22597</v>
      </c>
      <c r="F7721" s="3" t="str">
        <f>"317 421-0845"</f>
        <v>317 421-0845</v>
      </c>
      <c r="G7721" s="3">
        <v>62142</v>
      </c>
      <c r="H7721" s="3" t="s">
        <v>990</v>
      </c>
    </row>
    <row r="7722" spans="1:8" ht="26.25" x14ac:dyDescent="0.25">
      <c r="A7722" s="3" t="s">
        <v>22598</v>
      </c>
      <c r="B7722" s="3"/>
      <c r="C7722" s="3" t="str">
        <f>"Special Event Planning and Management"</f>
        <v>Special Event Planning and Management</v>
      </c>
      <c r="D7722" s="3" t="s">
        <v>9</v>
      </c>
      <c r="E7722" s="3" t="s">
        <v>22599</v>
      </c>
      <c r="F7722" s="3" t="str">
        <f>"3172517402"</f>
        <v>3172517402</v>
      </c>
      <c r="G7722" s="3">
        <v>541990</v>
      </c>
      <c r="H7722" s="3" t="s">
        <v>378</v>
      </c>
    </row>
    <row r="7723" spans="1:8" ht="39" x14ac:dyDescent="0.25">
      <c r="A7723" s="3" t="s">
        <v>22600</v>
      </c>
      <c r="B7723" s="3"/>
      <c r="C7723" s="3" t="str">
        <f>"Commercial and Residential Construction, New Construction and Remodel, Roofing, Siding, Gutters, Soffit, Fascia"</f>
        <v>Commercial and Residential Construction, New Construction and Remodel, Roofing, Siding, Gutters, Soffit, Fascia</v>
      </c>
      <c r="D7723" s="3" t="s">
        <v>9</v>
      </c>
      <c r="E7723" s="3" t="s">
        <v>22601</v>
      </c>
      <c r="F7723" s="3" t="str">
        <f>"812-443-7663"</f>
        <v>812-443-7663</v>
      </c>
      <c r="G7723" s="3">
        <v>23</v>
      </c>
      <c r="H7723" s="3" t="s">
        <v>133</v>
      </c>
    </row>
    <row r="7724" spans="1:8" ht="153.75" x14ac:dyDescent="0.25">
      <c r="A7724" s="3" t="s">
        <v>22602</v>
      </c>
      <c r="B7724" s="3"/>
      <c r="C7724" s="3" t="s">
        <v>22603</v>
      </c>
      <c r="D7724" s="3" t="s">
        <v>9</v>
      </c>
      <c r="E7724" s="3" t="s">
        <v>22604</v>
      </c>
      <c r="F7724" s="3" t="str">
        <f>"765-966-7527"</f>
        <v>765-966-7527</v>
      </c>
      <c r="G7724" s="3">
        <v>441310</v>
      </c>
      <c r="H7724" s="3" t="s">
        <v>1699</v>
      </c>
    </row>
    <row r="7725" spans="1:8" ht="77.25" x14ac:dyDescent="0.25">
      <c r="A7725" s="3" t="s">
        <v>22605</v>
      </c>
      <c r="B7725" s="3"/>
      <c r="C7725" s="3" t="str">
        <f>"Installation, maintenance, and sales of business telephone, data, and video systems. Voice, data, and video cabling systems. Sales of new and refurbished telephone systems. Consulting, and engineering services also provided."</f>
        <v>Installation, maintenance, and sales of business telephone, data, and video systems. Voice, data, and video cabling systems. Sales of new and refurbished telephone systems. Consulting, and engineering services also provided.</v>
      </c>
      <c r="D7725" s="3" t="s">
        <v>22606</v>
      </c>
      <c r="E7725" s="3" t="s">
        <v>22607</v>
      </c>
      <c r="F7725" s="3" t="str">
        <f>"317-852-9646"</f>
        <v>317-852-9646</v>
      </c>
      <c r="G7725" s="3">
        <v>5179</v>
      </c>
      <c r="H7725" s="3" t="s">
        <v>1677</v>
      </c>
    </row>
    <row r="7726" spans="1:8" ht="39" x14ac:dyDescent="0.25">
      <c r="A7726" s="3" t="s">
        <v>22608</v>
      </c>
      <c r="B7726" s="3"/>
      <c r="C7726" s="3" t="str">
        <f>"Office furniture dealership offering space planning, design, relocation, and installation services."</f>
        <v>Office furniture dealership offering space planning, design, relocation, and installation services.</v>
      </c>
      <c r="D7726" s="3" t="s">
        <v>22609</v>
      </c>
      <c r="E7726" s="3" t="s">
        <v>22610</v>
      </c>
      <c r="F7726" s="3" t="str">
        <f>"317-694-7197"</f>
        <v>317-694-7197</v>
      </c>
      <c r="G7726" s="3">
        <v>423210</v>
      </c>
      <c r="H7726" s="3" t="s">
        <v>3508</v>
      </c>
    </row>
    <row r="7727" spans="1:8" ht="102.75" x14ac:dyDescent="0.25">
      <c r="A7727" s="3" t="s">
        <v>22611</v>
      </c>
      <c r="B7727" s="3"/>
      <c r="C7727" s="3" t="s">
        <v>22612</v>
      </c>
      <c r="D7727" s="3" t="s">
        <v>3461</v>
      </c>
      <c r="E7727" s="3" t="s">
        <v>22613</v>
      </c>
      <c r="F7727" s="3" t="str">
        <f>"219-944-9591"</f>
        <v>219-944-9591</v>
      </c>
      <c r="G7727" s="3">
        <v>23594</v>
      </c>
      <c r="H7727" s="3" t="s">
        <v>17439</v>
      </c>
    </row>
    <row r="7728" spans="1:8" ht="39" x14ac:dyDescent="0.25">
      <c r="A7728" s="3" t="s">
        <v>22614</v>
      </c>
      <c r="B7728" s="3"/>
      <c r="C7728" s="3" t="str">
        <f>"Licensed real Estate brokerage providing professional real estate services in the state of Indiana"</f>
        <v>Licensed real Estate brokerage providing professional real estate services in the state of Indiana</v>
      </c>
      <c r="D7728" s="3" t="s">
        <v>9</v>
      </c>
      <c r="E7728" s="3" t="s">
        <v>19003</v>
      </c>
      <c r="F7728" s="3" t="str">
        <f>"3175475223"</f>
        <v>3175475223</v>
      </c>
      <c r="G7728" s="3">
        <v>531210</v>
      </c>
      <c r="H7728" s="3" t="s">
        <v>1101</v>
      </c>
    </row>
    <row r="7729" spans="1:8" ht="51.75" x14ac:dyDescent="0.25">
      <c r="A7729" s="3" t="s">
        <v>22615</v>
      </c>
      <c r="B7729" s="3"/>
      <c r="C7729" s="3" t="str">
        <f>"Plumbing, HVAC and Industrial Mechanical Contractor including sheet metal, welding, refrigeration, process piping, controls, equipment setting and 24 hour service"</f>
        <v>Plumbing, HVAC and Industrial Mechanical Contractor including sheet metal, welding, refrigeration, process piping, controls, equipment setting and 24 hour service</v>
      </c>
      <c r="D7729" s="3" t="s">
        <v>9</v>
      </c>
      <c r="E7729" s="3" t="s">
        <v>22616</v>
      </c>
      <c r="F7729" s="3" t="str">
        <f>"317-846-9299"</f>
        <v>317-846-9299</v>
      </c>
      <c r="G7729" s="3">
        <v>238220</v>
      </c>
      <c r="H7729" s="3" t="s">
        <v>348</v>
      </c>
    </row>
    <row r="7730" spans="1:8" ht="26.25" x14ac:dyDescent="0.25">
      <c r="A7730" s="3" t="s">
        <v>22617</v>
      </c>
      <c r="B7730" s="3"/>
      <c r="C7730" s="3" t="str">
        <f>"Commercial, Residential and ERC real estate appraisal company for Central Indiana."</f>
        <v>Commercial, Residential and ERC real estate appraisal company for Central Indiana.</v>
      </c>
      <c r="D7730" s="3" t="s">
        <v>22618</v>
      </c>
      <c r="E7730" s="3" t="s">
        <v>22619</v>
      </c>
      <c r="F7730" s="3" t="str">
        <f>"317-882-2626"</f>
        <v>317-882-2626</v>
      </c>
      <c r="G7730" s="3">
        <v>531320</v>
      </c>
      <c r="H7730" s="3" t="s">
        <v>34</v>
      </c>
    </row>
    <row r="7731" spans="1:8" ht="64.5" x14ac:dyDescent="0.25">
      <c r="A7731" s="3" t="s">
        <v>22620</v>
      </c>
      <c r="B7731" s="3"/>
      <c r="C7731" s="3" t="str">
        <f>"RPE/Cobb &amp; Associates is an established full service appraisal real estate firm that has been a major provider of commercial and residential appraisals throughtout Indiana."</f>
        <v>RPE/Cobb &amp; Associates is an established full service appraisal real estate firm that has been a major provider of commercial and residential appraisals throughtout Indiana.</v>
      </c>
      <c r="D7731" s="3" t="s">
        <v>22618</v>
      </c>
      <c r="E7731" s="3" t="s">
        <v>22619</v>
      </c>
      <c r="F7731" s="3" t="str">
        <f>"317-882-2626"</f>
        <v>317-882-2626</v>
      </c>
      <c r="G7731" s="3">
        <v>531320</v>
      </c>
      <c r="H7731" s="3" t="s">
        <v>34</v>
      </c>
    </row>
    <row r="7732" spans="1:8" ht="102.75" x14ac:dyDescent="0.25">
      <c r="A7732" s="3" t="s">
        <v>22621</v>
      </c>
      <c r="B7732" s="3"/>
      <c r="C7732" s="3" t="s">
        <v>22622</v>
      </c>
      <c r="D7732" s="3" t="s">
        <v>22623</v>
      </c>
      <c r="E7732" s="3" t="s">
        <v>22624</v>
      </c>
      <c r="F7732" s="3" t="str">
        <f>"317.254.9392"</f>
        <v>317.254.9392</v>
      </c>
      <c r="G7732" s="3">
        <v>541512</v>
      </c>
      <c r="H7732" s="3" t="s">
        <v>19</v>
      </c>
    </row>
    <row r="7733" spans="1:8" ht="51.75" x14ac:dyDescent="0.25">
      <c r="A7733" s="3" t="s">
        <v>22625</v>
      </c>
      <c r="B7733" s="3"/>
      <c r="C7733" s="3" t="str">
        <f>"Strategic planning, consulting new and emerging businesses predominantly in real estate disciplines. Buying and selling of real estate."</f>
        <v>Strategic planning, consulting new and emerging businesses predominantly in real estate disciplines. Buying and selling of real estate.</v>
      </c>
      <c r="D7733" s="3" t="s">
        <v>9</v>
      </c>
      <c r="E7733" s="3" t="s">
        <v>22626</v>
      </c>
      <c r="F7733" s="3" t="str">
        <f>"317-750-2537"</f>
        <v>317-750-2537</v>
      </c>
      <c r="G7733" s="3">
        <v>53</v>
      </c>
      <c r="H7733" s="3" t="s">
        <v>2336</v>
      </c>
    </row>
    <row r="7734" spans="1:8" ht="26.25" x14ac:dyDescent="0.25">
      <c r="A7734" s="3" t="s">
        <v>22627</v>
      </c>
      <c r="B7734" s="3"/>
      <c r="C7734" s="3" t="str">
        <f>"Real State Services, LLC is service oriented business which buys real estate for INDOT."</f>
        <v>Real State Services, LLC is service oriented business which buys real estate for INDOT.</v>
      </c>
      <c r="D7734" s="3" t="s">
        <v>9</v>
      </c>
      <c r="E7734" s="3" t="s">
        <v>22628</v>
      </c>
      <c r="F7734" s="3" t="str">
        <f>"317-917-9923"</f>
        <v>317-917-9923</v>
      </c>
      <c r="G7734" s="3">
        <v>531210</v>
      </c>
      <c r="H7734" s="3" t="s">
        <v>1101</v>
      </c>
    </row>
    <row r="7735" spans="1:8" ht="26.25" x14ac:dyDescent="0.25">
      <c r="A7735" s="3" t="s">
        <v>22629</v>
      </c>
      <c r="B7735" s="3"/>
      <c r="C7735" s="3" t="str">
        <f>"Food service contractor and full-service catering"</f>
        <v>Food service contractor and full-service catering</v>
      </c>
      <c r="D7735" s="3" t="s">
        <v>9</v>
      </c>
      <c r="E7735" s="3" t="s">
        <v>46</v>
      </c>
      <c r="F7735" s="3" t="str">
        <f>"317-543-0021"</f>
        <v>317-543-0021</v>
      </c>
      <c r="G7735" s="3">
        <v>722310</v>
      </c>
      <c r="H7735" s="3" t="s">
        <v>3051</v>
      </c>
    </row>
    <row r="7736" spans="1:8" ht="77.25" x14ac:dyDescent="0.25">
      <c r="A7736" s="3" t="s">
        <v>22630</v>
      </c>
      <c r="B7736" s="3"/>
      <c r="C7736" s="3" t="str">
        <f>"Ihsulated glass, patio doors, windows, glas table &amp; desk tops. Mirrors-bevels-tinted. Custom mirror walls sell &amp; install. Tub/Shower Enclosures Bath Furnishings. Store front windows and doors repair and service."</f>
        <v>Ihsulated glass, patio doors, windows, glas table &amp; desk tops. Mirrors-bevels-tinted. Custom mirror walls sell &amp; install. Tub/Shower Enclosures Bath Furnishings. Store front windows and doors repair and service.</v>
      </c>
      <c r="D7736" s="3" t="s">
        <v>22631</v>
      </c>
      <c r="E7736" s="3" t="s">
        <v>22632</v>
      </c>
      <c r="F7736" s="3" t="str">
        <f>"317-280-1071"</f>
        <v>317-280-1071</v>
      </c>
      <c r="G7736" s="3">
        <v>23592</v>
      </c>
      <c r="H7736" s="3" t="s">
        <v>2530</v>
      </c>
    </row>
    <row r="7737" spans="1:8" ht="115.5" x14ac:dyDescent="0.25">
      <c r="A7737" s="3" t="s">
        <v>22633</v>
      </c>
      <c r="B7737" s="3"/>
      <c r="C7737" s="3" t="s">
        <v>22634</v>
      </c>
      <c r="D7737" s="3" t="s">
        <v>22635</v>
      </c>
      <c r="E7737" s="3" t="s">
        <v>22636</v>
      </c>
      <c r="F7737" s="3" t="str">
        <f>"317-514-7900"</f>
        <v>317-514-7900</v>
      </c>
      <c r="G7737" s="3">
        <v>561720</v>
      </c>
      <c r="H7737" s="3" t="s">
        <v>222</v>
      </c>
    </row>
    <row r="7738" spans="1:8" ht="192" x14ac:dyDescent="0.25">
      <c r="A7738" s="3" t="s">
        <v>22637</v>
      </c>
      <c r="B7738" s="3"/>
      <c r="C7738" s="3" t="s">
        <v>22638</v>
      </c>
      <c r="D7738" s="3" t="s">
        <v>22639</v>
      </c>
      <c r="E7738" s="3" t="s">
        <v>22640</v>
      </c>
      <c r="F7738" s="3" t="str">
        <f>"(812) 372-6606"</f>
        <v>(812) 372-6606</v>
      </c>
      <c r="G7738" s="3">
        <v>52392</v>
      </c>
      <c r="H7738" s="3" t="s">
        <v>5025</v>
      </c>
    </row>
    <row r="7739" spans="1:8" ht="39" x14ac:dyDescent="0.25">
      <c r="A7739" s="3" t="s">
        <v>22641</v>
      </c>
      <c r="B7739" s="3"/>
      <c r="C7739" s="3" t="str">
        <f>"Fabricate rebar &amp; provide concrete supplies for commercial contractors throughout Indiana, Ohio &amp; Michigan."</f>
        <v>Fabricate rebar &amp; provide concrete supplies for commercial contractors throughout Indiana, Ohio &amp; Michigan.</v>
      </c>
      <c r="D7739" s="3" t="s">
        <v>9</v>
      </c>
      <c r="E7739" s="3" t="s">
        <v>46</v>
      </c>
      <c r="F7739" s="3" t="str">
        <f>"2604712002"</f>
        <v>2604712002</v>
      </c>
      <c r="G7739" s="3">
        <v>3312</v>
      </c>
      <c r="H7739" s="3" t="s">
        <v>1251</v>
      </c>
    </row>
    <row r="7740" spans="1:8" ht="64.5" x14ac:dyDescent="0.25">
      <c r="A7740" s="3" t="s">
        <v>22642</v>
      </c>
      <c r="B7740" s="3"/>
      <c r="C7740" s="3" t="str">
        <f>"soil testing for septic systems, erosion and sediment control material installation and maintenance, FEMA permitting, DNR permitting, other environmental permitting, groundwater sampling"</f>
        <v>soil testing for septic systems, erosion and sediment control material installation and maintenance, FEMA permitting, DNR permitting, other environmental permitting, groundwater sampling</v>
      </c>
      <c r="D7740" s="3" t="s">
        <v>9</v>
      </c>
      <c r="E7740" s="3" t="s">
        <v>22643</v>
      </c>
      <c r="F7740" s="2"/>
      <c r="G7740" s="3">
        <v>541620</v>
      </c>
      <c r="H7740" s="3" t="s">
        <v>216</v>
      </c>
    </row>
    <row r="7741" spans="1:8" ht="26.25" x14ac:dyDescent="0.25">
      <c r="A7741" s="3" t="s">
        <v>22644</v>
      </c>
      <c r="B7741" s="3"/>
      <c r="C7741" s="3" t="str">
        <f>"Pet and livestock feed store. Walk in retail store. Deliveries with prior arrangements."</f>
        <v>Pet and livestock feed store. Walk in retail store. Deliveries with prior arrangements.</v>
      </c>
      <c r="D7741" s="3" t="s">
        <v>9</v>
      </c>
      <c r="E7741" s="3" t="s">
        <v>22645</v>
      </c>
      <c r="F7741" s="3" t="str">
        <f>"765.473.3530"</f>
        <v>765.473.3530</v>
      </c>
      <c r="G7741" s="3">
        <v>453910</v>
      </c>
      <c r="H7741" s="3" t="s">
        <v>21486</v>
      </c>
    </row>
    <row r="7742" spans="1:8" ht="77.25" x14ac:dyDescent="0.25">
      <c r="A7742" s="3" t="s">
        <v>22646</v>
      </c>
      <c r="B7742" s="3"/>
      <c r="C7742" s="3" t="str">
        <f>"Reborn is all about code and loves entrepreneurs. Reborn partners with founders to create apps that solve real needs and deliver when it comes to return on investment, whether the idea is a web, mobile, or desktop app."</f>
        <v>Reborn is all about code and loves entrepreneurs. Reborn partners with founders to create apps that solve real needs and deliver when it comes to return on investment, whether the idea is a web, mobile, or desktop app.</v>
      </c>
      <c r="D7742" s="3" t="s">
        <v>22647</v>
      </c>
      <c r="E7742" s="3" t="s">
        <v>22648</v>
      </c>
      <c r="F7742" s="3" t="str">
        <f>"1-888-231-1724"</f>
        <v>1-888-231-1724</v>
      </c>
      <c r="G7742" s="3">
        <v>541511</v>
      </c>
      <c r="H7742" s="3" t="s">
        <v>122</v>
      </c>
    </row>
    <row r="7743" spans="1:8" ht="179.25" x14ac:dyDescent="0.25">
      <c r="A7743" s="3" t="s">
        <v>22649</v>
      </c>
      <c r="B7743" s="3"/>
      <c r="C7743" s="3" t="s">
        <v>22650</v>
      </c>
      <c r="D7743" s="3" t="s">
        <v>22651</v>
      </c>
      <c r="E7743" s="3" t="s">
        <v>22652</v>
      </c>
      <c r="F7743" s="3" t="str">
        <f>"574 848 5233"</f>
        <v>574 848 5233</v>
      </c>
      <c r="G7743" s="3">
        <v>3343</v>
      </c>
      <c r="H7743" s="3" t="s">
        <v>2776</v>
      </c>
    </row>
    <row r="7744" spans="1:8" ht="115.5" x14ac:dyDescent="0.25">
      <c r="A7744" s="3" t="s">
        <v>22653</v>
      </c>
      <c r="B7744" s="3"/>
      <c r="C7744" s="3" t="s">
        <v>22654</v>
      </c>
      <c r="D7744" s="3" t="s">
        <v>22655</v>
      </c>
      <c r="E7744" s="3" t="s">
        <v>22656</v>
      </c>
      <c r="F7744" s="3" t="str">
        <f>"317.409.0529"</f>
        <v>317.409.0529</v>
      </c>
      <c r="G7744" s="3">
        <v>541618</v>
      </c>
      <c r="H7744" s="3" t="s">
        <v>3527</v>
      </c>
    </row>
    <row r="7745" spans="1:8" ht="64.5" x14ac:dyDescent="0.25">
      <c r="A7745" s="3" t="s">
        <v>22657</v>
      </c>
      <c r="B7745" s="3"/>
      <c r="C7745" s="3" t="str">
        <f>"Third Party Administrator serving substance use disorders / preventative testing--with case management software, lab support, random selection, testing, reporting, and billing."</f>
        <v>Third Party Administrator serving substance use disorders / preventative testing--with case management software, lab support, random selection, testing, reporting, and billing.</v>
      </c>
      <c r="D7745" s="3" t="s">
        <v>9</v>
      </c>
      <c r="E7745" s="3" t="s">
        <v>46</v>
      </c>
      <c r="F7745" s="2"/>
      <c r="G7745" s="3">
        <v>561990</v>
      </c>
      <c r="H7745" s="3" t="s">
        <v>219</v>
      </c>
    </row>
    <row r="7746" spans="1:8" ht="26.25" x14ac:dyDescent="0.25">
      <c r="A7746" s="3" t="s">
        <v>22658</v>
      </c>
      <c r="B7746" s="3"/>
      <c r="C7746" s="3" t="str">
        <f>"A woman-owned business specializing in commerical playground equipment."</f>
        <v>A woman-owned business specializing in commerical playground equipment.</v>
      </c>
      <c r="D7746" s="3" t="s">
        <v>22659</v>
      </c>
      <c r="E7746" s="3" t="s">
        <v>22660</v>
      </c>
      <c r="F7746" s="3" t="str">
        <f>"317-776-7830"</f>
        <v>317-776-7830</v>
      </c>
      <c r="G7746" s="3">
        <v>423910</v>
      </c>
      <c r="H7746" s="3" t="s">
        <v>460</v>
      </c>
    </row>
    <row r="7747" spans="1:8" ht="64.5" x14ac:dyDescent="0.25">
      <c r="A7747" s="3" t="s">
        <v>22661</v>
      </c>
      <c r="B7747" s="3"/>
      <c r="C7747" s="3" t="str">
        <f>"Recreation insSites is an independent dealer for playground equipment, surfacing, and site amenities. We also provide installation and inspection services for all things related playgrounds."</f>
        <v>Recreation insSites is an independent dealer for playground equipment, surfacing, and site amenities. We also provide installation and inspection services for all things related playgrounds.</v>
      </c>
      <c r="D7747" s="3" t="s">
        <v>22662</v>
      </c>
      <c r="E7747" s="3" t="s">
        <v>22663</v>
      </c>
      <c r="F7747" s="3" t="str">
        <f>"3175780588"</f>
        <v>3175780588</v>
      </c>
      <c r="G7747" s="3">
        <v>238990</v>
      </c>
      <c r="H7747" s="3" t="s">
        <v>481</v>
      </c>
    </row>
    <row r="7748" spans="1:8" ht="102.75" x14ac:dyDescent="0.25">
      <c r="A7748" s="3" t="s">
        <v>22664</v>
      </c>
      <c r="B7748" s="3"/>
      <c r="C7748" s="3" t="s">
        <v>22665</v>
      </c>
      <c r="D7748" s="3" t="s">
        <v>22666</v>
      </c>
      <c r="E7748" s="3" t="s">
        <v>22667</v>
      </c>
      <c r="F7748" s="3" t="str">
        <f>"260-969-0280"</f>
        <v>260-969-0280</v>
      </c>
      <c r="G7748" s="3">
        <v>562998</v>
      </c>
      <c r="H7748" s="3" t="s">
        <v>1530</v>
      </c>
    </row>
    <row r="7749" spans="1:8" ht="102.75" x14ac:dyDescent="0.25">
      <c r="A7749" s="3" t="s">
        <v>22668</v>
      </c>
      <c r="B7749" s="3"/>
      <c r="C7749" s="3" t="s">
        <v>22669</v>
      </c>
      <c r="D7749" s="3" t="s">
        <v>22670</v>
      </c>
      <c r="E7749" s="3" t="s">
        <v>22671</v>
      </c>
      <c r="F7749" s="3" t="str">
        <f>"812-934-9641"</f>
        <v>812-934-9641</v>
      </c>
      <c r="G7749" s="3">
        <v>238190</v>
      </c>
      <c r="H7749" s="3" t="s">
        <v>1072</v>
      </c>
    </row>
    <row r="7750" spans="1:8" ht="77.25" x14ac:dyDescent="0.25">
      <c r="A7750" s="3" t="s">
        <v>22672</v>
      </c>
      <c r="B7750" s="3"/>
      <c r="C7750" s="3" t="str">
        <f>"Red Gold produces a full line of tomato products. Our products include canned tomatoes (whole, diced chopped, sliced, puree), juices, sauces, salsa, paste and ketchup. Food service or retail packaging is available. Our line includes 161 varieties."</f>
        <v>Red Gold produces a full line of tomato products. Our products include canned tomatoes (whole, diced chopped, sliced, puree), juices, sauces, salsa, paste and ketchup. Food service or retail packaging is available. Our line includes 161 varieties.</v>
      </c>
      <c r="D7750" s="3" t="s">
        <v>22673</v>
      </c>
      <c r="E7750" s="3" t="s">
        <v>22674</v>
      </c>
      <c r="F7750" s="3" t="str">
        <f>"765-754-7527"</f>
        <v>765-754-7527</v>
      </c>
      <c r="G7750" s="3">
        <v>311</v>
      </c>
      <c r="H7750" s="3" t="s">
        <v>3816</v>
      </c>
    </row>
    <row r="7751" spans="1:8" ht="51.75" x14ac:dyDescent="0.25">
      <c r="A7751" s="3" t="s">
        <v>22675</v>
      </c>
      <c r="B7751" s="3"/>
      <c r="C7751" s="3" t="str">
        <f>"Manufacturer of cabinetry, entertainment systems, built-ins, home office furnishings, commercial office furnishings, outdoor furniture, and garden structures."</f>
        <v>Manufacturer of cabinetry, entertainment systems, built-ins, home office furnishings, commercial office furnishings, outdoor furniture, and garden structures.</v>
      </c>
      <c r="D7751" s="3" t="s">
        <v>22676</v>
      </c>
      <c r="E7751" s="3" t="s">
        <v>22677</v>
      </c>
      <c r="F7751" s="3" t="str">
        <f>"877-393-2991"</f>
        <v>877-393-2991</v>
      </c>
      <c r="G7751" s="3">
        <v>337110</v>
      </c>
      <c r="H7751" s="3" t="s">
        <v>6044</v>
      </c>
    </row>
    <row r="7752" spans="1:8" ht="115.5" x14ac:dyDescent="0.25">
      <c r="A7752" s="3" t="s">
        <v>22678</v>
      </c>
      <c r="B7752" s="3"/>
      <c r="C7752" s="3" t="s">
        <v>22679</v>
      </c>
      <c r="D7752" s="3" t="s">
        <v>22680</v>
      </c>
      <c r="E7752" s="3" t="s">
        <v>22681</v>
      </c>
      <c r="F7752" s="3" t="str">
        <f>"812-314-3400"</f>
        <v>812-314-3400</v>
      </c>
      <c r="G7752" s="3">
        <v>561720</v>
      </c>
      <c r="H7752" s="3" t="s">
        <v>222</v>
      </c>
    </row>
    <row r="7753" spans="1:8" ht="51.75" x14ac:dyDescent="0.25">
      <c r="A7753" s="3" t="s">
        <v>22682</v>
      </c>
      <c r="B7753" s="3"/>
      <c r="C7753" s="3" t="str">
        <f>"Red Tempo Consulting, LLC provides consulting srevices around the disciplines of program, project, and contract/vendor management."</f>
        <v>Red Tempo Consulting, LLC provides consulting srevices around the disciplines of program, project, and contract/vendor management.</v>
      </c>
      <c r="D7753" s="3" t="s">
        <v>22683</v>
      </c>
      <c r="E7753" s="3" t="s">
        <v>22684</v>
      </c>
      <c r="F7753" s="3" t="str">
        <f>"317-409-7069"</f>
        <v>317-409-7069</v>
      </c>
      <c r="G7753" s="3">
        <v>541611</v>
      </c>
      <c r="H7753" s="3" t="s">
        <v>278</v>
      </c>
    </row>
    <row r="7754" spans="1:8" ht="26.25" x14ac:dyDescent="0.25">
      <c r="A7754" s="3" t="s">
        <v>22685</v>
      </c>
      <c r="B7754" s="3"/>
      <c r="C7754" s="3" t="str">
        <f>"Great Company"</f>
        <v>Great Company</v>
      </c>
      <c r="D7754" s="3" t="s">
        <v>22686</v>
      </c>
      <c r="E7754" s="3" t="s">
        <v>46</v>
      </c>
      <c r="F7754" s="3" t="str">
        <f>"317-333-3333"</f>
        <v>317-333-3333</v>
      </c>
      <c r="G7754" s="3">
        <v>11</v>
      </c>
      <c r="H7754" s="3" t="s">
        <v>175</v>
      </c>
    </row>
    <row r="7755" spans="1:8" ht="204.75" x14ac:dyDescent="0.25">
      <c r="A7755" s="3" t="s">
        <v>22687</v>
      </c>
      <c r="B7755" s="3"/>
      <c r="C7755" s="3" t="s">
        <v>22688</v>
      </c>
      <c r="D7755" s="3" t="s">
        <v>22689</v>
      </c>
      <c r="E7755" s="3" t="s">
        <v>46</v>
      </c>
      <c r="F7755" s="3" t="str">
        <f>"812-234-1568"</f>
        <v>812-234-1568</v>
      </c>
      <c r="G7755" s="3">
        <v>541110</v>
      </c>
      <c r="H7755" s="3" t="s">
        <v>2978</v>
      </c>
    </row>
    <row r="7756" spans="1:8" ht="51.75" x14ac:dyDescent="0.25">
      <c r="A7756" s="3" t="s">
        <v>22690</v>
      </c>
      <c r="B7756" s="3"/>
      <c r="C7756" s="3" t="str">
        <f>"We provide full service cleaning to commercial clients from daily cleaning to all types of floor care on an as needed basis."</f>
        <v>We provide full service cleaning to commercial clients from daily cleaning to all types of floor care on an as needed basis.</v>
      </c>
      <c r="D7756" s="3" t="s">
        <v>9</v>
      </c>
      <c r="E7756" s="3" t="s">
        <v>22691</v>
      </c>
      <c r="F7756" s="3" t="str">
        <f>"317-442-0142"</f>
        <v>317-442-0142</v>
      </c>
      <c r="G7756" s="3">
        <v>561720</v>
      </c>
      <c r="H7756" s="3" t="s">
        <v>222</v>
      </c>
    </row>
    <row r="7757" spans="1:8" ht="294" x14ac:dyDescent="0.25">
      <c r="A7757" s="3" t="s">
        <v>22692</v>
      </c>
      <c r="B7757" s="3"/>
      <c r="C7757" s="3" t="s">
        <v>22693</v>
      </c>
      <c r="D7757" s="3" t="s">
        <v>22694</v>
      </c>
      <c r="E7757" s="3" t="s">
        <v>22695</v>
      </c>
      <c r="F7757" s="3" t="str">
        <f>"317-731-5157"</f>
        <v>317-731-5157</v>
      </c>
      <c r="G7757" s="3">
        <v>339950</v>
      </c>
      <c r="H7757" s="3" t="s">
        <v>68</v>
      </c>
    </row>
    <row r="7758" spans="1:8" ht="26.25" x14ac:dyDescent="0.25">
      <c r="A7758" s="3" t="s">
        <v>22696</v>
      </c>
      <c r="B7758" s="3"/>
      <c r="C7758" s="3" t="str">
        <f>"Maintenance Hardware, Fasteners &amp; Related Supplies."</f>
        <v>Maintenance Hardware, Fasteners &amp; Related Supplies.</v>
      </c>
      <c r="D7758" s="3" t="s">
        <v>22697</v>
      </c>
      <c r="E7758" s="3" t="s">
        <v>22698</v>
      </c>
      <c r="F7758" s="3" t="str">
        <f>"317-485-7168"</f>
        <v>317-485-7168</v>
      </c>
      <c r="G7758" s="3">
        <v>42184</v>
      </c>
      <c r="H7758" s="3" t="s">
        <v>1601</v>
      </c>
    </row>
    <row r="7759" spans="1:8" ht="102.75" x14ac:dyDescent="0.25">
      <c r="A7759" s="3" t="s">
        <v>22696</v>
      </c>
      <c r="B7759" s="3"/>
      <c r="C7759" s="3" t="s">
        <v>22699</v>
      </c>
      <c r="D7759" s="3" t="s">
        <v>9</v>
      </c>
      <c r="E7759" s="3" t="s">
        <v>22700</v>
      </c>
      <c r="F7759" s="3" t="str">
        <f>"3174857168"</f>
        <v>3174857168</v>
      </c>
      <c r="G7759" s="3">
        <v>423710</v>
      </c>
      <c r="H7759" s="3" t="s">
        <v>6956</v>
      </c>
    </row>
    <row r="7760" spans="1:8" ht="77.25" x14ac:dyDescent="0.25">
      <c r="A7760" s="3" t="s">
        <v>22701</v>
      </c>
      <c r="B7760" s="3"/>
      <c r="C7760" s="3" t="str">
        <f>"We currently supply automotive and bus garages, trucking companies, hospital maintenance, factories, small engine and lawn mower repair shops, farmers, and wood shops. There isn't a customer too large or too small."</f>
        <v>We currently supply automotive and bus garages, trucking companies, hospital maintenance, factories, small engine and lawn mower repair shops, farmers, and wood shops. There isn't a customer too large or too small.</v>
      </c>
      <c r="D7760" s="3" t="s">
        <v>22702</v>
      </c>
      <c r="E7760" s="3" t="s">
        <v>22703</v>
      </c>
      <c r="F7760" s="3" t="str">
        <f>"3174858077"</f>
        <v>3174858077</v>
      </c>
      <c r="G7760" s="3">
        <v>423710</v>
      </c>
      <c r="H7760" s="3" t="s">
        <v>6956</v>
      </c>
    </row>
    <row r="7761" spans="1:8" ht="39" x14ac:dyDescent="0.25">
      <c r="A7761" s="3" t="s">
        <v>22704</v>
      </c>
      <c r="B7761" s="3"/>
      <c r="C7761" s="3" t="str">
        <f>"Commercial and industrial painting, wallcovering and special coatings contractor"</f>
        <v>Commercial and industrial painting, wallcovering and special coatings contractor</v>
      </c>
      <c r="D7761" s="3" t="s">
        <v>22705</v>
      </c>
      <c r="E7761" s="3" t="s">
        <v>22706</v>
      </c>
      <c r="F7761" s="3" t="str">
        <f>"317/359-0633"</f>
        <v>317/359-0633</v>
      </c>
      <c r="G7761" s="3">
        <v>238320</v>
      </c>
      <c r="H7761" s="3" t="s">
        <v>462</v>
      </c>
    </row>
    <row r="7762" spans="1:8" ht="26.25" x14ac:dyDescent="0.25">
      <c r="A7762" s="3" t="s">
        <v>22707</v>
      </c>
      <c r="B7762" s="3"/>
      <c r="C7762" s="3" t="str">
        <f>"We deliver dry goods within the 48 states"</f>
        <v>We deliver dry goods within the 48 states</v>
      </c>
      <c r="D7762" s="3" t="s">
        <v>22708</v>
      </c>
      <c r="E7762" s="3" t="s">
        <v>22709</v>
      </c>
      <c r="F7762" s="3" t="str">
        <f>"317-222-6515"</f>
        <v>317-222-6515</v>
      </c>
      <c r="G7762" s="3">
        <v>4841</v>
      </c>
      <c r="H7762" s="3" t="s">
        <v>3598</v>
      </c>
    </row>
    <row r="7763" spans="1:8" ht="90" x14ac:dyDescent="0.25">
      <c r="A7763" s="3" t="s">
        <v>22710</v>
      </c>
      <c r="B7763" s="3"/>
      <c r="C7763" s="3" t="str">
        <f>"Provide investment management services to individuals, corporate, institutional,governmental and non-profit clients. These services include retirement planning and investment advising as well as insurance and annutiy products and services."</f>
        <v>Provide investment management services to individuals, corporate, institutional,governmental and non-profit clients. These services include retirement planning and investment advising as well as insurance and annutiy products and services.</v>
      </c>
      <c r="D7763" s="3" t="s">
        <v>22711</v>
      </c>
      <c r="E7763" s="3" t="s">
        <v>22712</v>
      </c>
      <c r="F7763" s="3" t="str">
        <f>"317-308-9690"</f>
        <v>317-308-9690</v>
      </c>
      <c r="G7763" s="3">
        <v>523930</v>
      </c>
      <c r="H7763" s="3" t="s">
        <v>2936</v>
      </c>
    </row>
    <row r="7764" spans="1:8" ht="39" x14ac:dyDescent="0.25">
      <c r="A7764" s="3" t="s">
        <v>22713</v>
      </c>
      <c r="B7764" s="3"/>
      <c r="C7764" s="3" t="str">
        <f>"automobile / vehicle body repair; automobile / vehicle collision repair; automobile / vehicle painting"</f>
        <v>automobile / vehicle body repair; automobile / vehicle collision repair; automobile / vehicle painting</v>
      </c>
      <c r="D7764" s="3" t="s">
        <v>9</v>
      </c>
      <c r="E7764" s="3" t="s">
        <v>22714</v>
      </c>
      <c r="F7764" s="3" t="str">
        <f>"317-299-5017"</f>
        <v>317-299-5017</v>
      </c>
      <c r="G7764" s="3">
        <v>811121</v>
      </c>
      <c r="H7764" s="3" t="s">
        <v>1432</v>
      </c>
    </row>
    <row r="7765" spans="1:8" ht="26.25" x14ac:dyDescent="0.25">
      <c r="A7765" s="3" t="s">
        <v>22715</v>
      </c>
      <c r="B7765" s="3"/>
      <c r="C7765" s="3" t="str">
        <f>"SELL ROOFING, SIDING, INSULATION"</f>
        <v>SELL ROOFING, SIDING, INSULATION</v>
      </c>
      <c r="D7765" s="3" t="s">
        <v>22716</v>
      </c>
      <c r="E7765" s="3" t="s">
        <v>22717</v>
      </c>
      <c r="F7765" s="3" t="str">
        <f>"317-202-8200"</f>
        <v>317-202-8200</v>
      </c>
      <c r="G7765" s="3">
        <v>423330</v>
      </c>
      <c r="H7765" s="3" t="s">
        <v>8531</v>
      </c>
    </row>
    <row r="7766" spans="1:8" ht="39" x14ac:dyDescent="0.25">
      <c r="A7766" s="3" t="s">
        <v>22718</v>
      </c>
      <c r="B7766" s="3"/>
      <c r="C7766" s="3" t="str">
        <f>"A Resale Boutique, selling consigned clothing and accessories, and some furniture. Selling only the best of the best."</f>
        <v>A Resale Boutique, selling consigned clothing and accessories, and some furniture. Selling only the best of the best.</v>
      </c>
      <c r="D7766" s="3" t="s">
        <v>9</v>
      </c>
      <c r="E7766" s="3" t="s">
        <v>22719</v>
      </c>
      <c r="F7766" s="3" t="str">
        <f>"574-946-6123"</f>
        <v>574-946-6123</v>
      </c>
      <c r="G7766" s="3">
        <v>453310</v>
      </c>
      <c r="H7766" s="3" t="s">
        <v>22720</v>
      </c>
    </row>
    <row r="7767" spans="1:8" ht="128.25" x14ac:dyDescent="0.25">
      <c r="A7767" s="3" t="s">
        <v>22721</v>
      </c>
      <c r="B7767" s="3"/>
      <c r="C7767" s="3" t="s">
        <v>22722</v>
      </c>
      <c r="D7767" s="3" t="s">
        <v>9</v>
      </c>
      <c r="E7767" s="3" t="s">
        <v>46</v>
      </c>
      <c r="F7767" s="2"/>
      <c r="G7767" s="3">
        <v>332321</v>
      </c>
      <c r="H7767" s="3" t="s">
        <v>7074</v>
      </c>
    </row>
    <row r="7768" spans="1:8" ht="26.25" x14ac:dyDescent="0.25">
      <c r="A7768" s="3" t="s">
        <v>22723</v>
      </c>
      <c r="B7768" s="3"/>
      <c r="C7768" s="3" t="str">
        <f>"Reflections Ink -""Where the Heart Speaks and the Pen Reflects"""</f>
        <v>Reflections Ink -"Where the Heart Speaks and the Pen Reflects"</v>
      </c>
      <c r="D7768" s="3" t="s">
        <v>22724</v>
      </c>
      <c r="E7768" s="3" t="s">
        <v>22725</v>
      </c>
      <c r="F7768" s="3" t="str">
        <f>"317.702.9995"</f>
        <v>317.702.9995</v>
      </c>
      <c r="G7768" s="3">
        <v>711510</v>
      </c>
      <c r="H7768" s="3" t="s">
        <v>1980</v>
      </c>
    </row>
    <row r="7769" spans="1:8" ht="268.5" x14ac:dyDescent="0.25">
      <c r="A7769" s="3" t="s">
        <v>22726</v>
      </c>
      <c r="B7769" s="3"/>
      <c r="C7769" s="3" t="s">
        <v>22727</v>
      </c>
      <c r="D7769" s="3" t="s">
        <v>22728</v>
      </c>
      <c r="E7769" s="3" t="s">
        <v>22729</v>
      </c>
      <c r="F7769" s="3" t="str">
        <f>"812-793-2214"</f>
        <v>812-793-2214</v>
      </c>
      <c r="G7769" s="3">
        <v>3399</v>
      </c>
      <c r="H7769" s="3" t="s">
        <v>2236</v>
      </c>
    </row>
    <row r="7770" spans="1:8" ht="26.25" x14ac:dyDescent="0.25">
      <c r="A7770" s="3" t="s">
        <v>22730</v>
      </c>
      <c r="B7770" s="3"/>
      <c r="C7770" s="3" t="str">
        <f>"Regarding Media and Marketing LLC is a full service media buying company"</f>
        <v>Regarding Media and Marketing LLC is a full service media buying company</v>
      </c>
      <c r="D7770" s="3" t="s">
        <v>22731</v>
      </c>
      <c r="E7770" s="3" t="s">
        <v>22732</v>
      </c>
      <c r="F7770" s="3" t="str">
        <f>"317-431-3074"</f>
        <v>317-431-3074</v>
      </c>
      <c r="G7770" s="3">
        <v>11</v>
      </c>
      <c r="H7770" s="3" t="s">
        <v>175</v>
      </c>
    </row>
    <row r="7771" spans="1:8" ht="26.25" x14ac:dyDescent="0.25">
      <c r="A7771" s="3" t="s">
        <v>22733</v>
      </c>
      <c r="B7771" s="3"/>
      <c r="C7771" s="3" t="str">
        <f>" "</f>
        <v xml:space="preserve"> </v>
      </c>
      <c r="D7771" s="3" t="s">
        <v>9</v>
      </c>
      <c r="E7771" s="3" t="s">
        <v>46</v>
      </c>
      <c r="F7771" s="2"/>
      <c r="G7771" s="3">
        <v>531120</v>
      </c>
      <c r="H7771" s="3" t="s">
        <v>2926</v>
      </c>
    </row>
    <row r="7772" spans="1:8" ht="90" x14ac:dyDescent="0.25">
      <c r="A7772" s="3" t="s">
        <v>22734</v>
      </c>
      <c r="B7772" s="3"/>
      <c r="C7772" s="3" t="str">
        <f>"We are an asset-based full truckload carrier providing ""53"" dry vans by way of transportation. We provide full truckload transportation services for all dry non-hazmat products throughout the Midwest, central, and southern regions of the United States."</f>
        <v>We are an asset-based full truckload carrier providing "53" dry vans by way of transportation. We provide full truckload transportation services for all dry non-hazmat products throughout the Midwest, central, and southern regions of the United States.</v>
      </c>
      <c r="D7772" s="3" t="s">
        <v>9</v>
      </c>
      <c r="E7772" s="3" t="s">
        <v>22735</v>
      </c>
      <c r="F7772" s="3" t="str">
        <f>"317-538-8902"</f>
        <v>317-538-8902</v>
      </c>
      <c r="G7772" s="3">
        <v>484121</v>
      </c>
      <c r="H7772" s="3" t="s">
        <v>342</v>
      </c>
    </row>
    <row r="7773" spans="1:8" ht="77.25" x14ac:dyDescent="0.25">
      <c r="A7773" s="3" t="s">
        <v>22736</v>
      </c>
      <c r="B7773" s="3"/>
      <c r="C7773" s="3" t="str">
        <f>"To provide policy guidance and oversight to the WorkOne system in Indiana's Region 5 Economic Growth Region. Employment and training services are provided to individuals by means of the Region's WorkOne offices."</f>
        <v>To provide policy guidance and oversight to the WorkOne system in Indiana's Region 5 Economic Growth Region. Employment and training services are provided to individuals by means of the Region's WorkOne offices.</v>
      </c>
      <c r="D7773" s="3" t="s">
        <v>22737</v>
      </c>
      <c r="E7773" s="3" t="s">
        <v>46</v>
      </c>
      <c r="F7773" s="3" t="str">
        <f>"317.467.0248"</f>
        <v>317.467.0248</v>
      </c>
      <c r="G7773" s="3">
        <v>62419</v>
      </c>
      <c r="H7773" s="3" t="s">
        <v>54</v>
      </c>
    </row>
    <row r="7774" spans="1:8" ht="39" x14ac:dyDescent="0.25">
      <c r="A7774" s="3" t="s">
        <v>22738</v>
      </c>
      <c r="B7774" s="3"/>
      <c r="C7774" s="3" t="str">
        <f>"Regional Workforce Board that provides policy, planning and oversight in Indiana Workforce Development Region IV."</f>
        <v>Regional Workforce Board that provides policy, planning and oversight in Indiana Workforce Development Region IV.</v>
      </c>
      <c r="D7774" s="3" t="s">
        <v>9</v>
      </c>
      <c r="E7774" s="3" t="s">
        <v>46</v>
      </c>
      <c r="F7774" s="3" t="str">
        <f>"765-474-1710"</f>
        <v>765-474-1710</v>
      </c>
      <c r="G7774" s="3">
        <v>923130</v>
      </c>
      <c r="H7774" s="3" t="s">
        <v>724</v>
      </c>
    </row>
    <row r="7775" spans="1:8" ht="204.75" x14ac:dyDescent="0.25">
      <c r="A7775" s="3" t="s">
        <v>22739</v>
      </c>
      <c r="B7775" s="3"/>
      <c r="C7775" s="3" t="s">
        <v>22740</v>
      </c>
      <c r="D7775" s="3" t="s">
        <v>22741</v>
      </c>
      <c r="E7775" s="3" t="s">
        <v>22742</v>
      </c>
      <c r="F7775" s="3" t="str">
        <f>"812-367-1219"</f>
        <v>812-367-1219</v>
      </c>
      <c r="G7775" s="3">
        <v>238290</v>
      </c>
      <c r="H7775" s="3" t="s">
        <v>237</v>
      </c>
    </row>
    <row r="7776" spans="1:8" ht="77.25" x14ac:dyDescent="0.25">
      <c r="A7776" s="3" t="s">
        <v>22743</v>
      </c>
      <c r="B7776" s="3"/>
      <c r="C7776" s="3" t="str">
        <f>"TRS is The Registration System for meetings, conferences, training, events, volunteer programs . Highly customizable to fit the needs of your organization. TRS clients include large corporations, government, NFPs and independent meeting planners."</f>
        <v>TRS is The Registration System for meetings, conferences, training, events, volunteer programs . Highly customizable to fit the needs of your organization. TRS clients include large corporations, government, NFPs and independent meeting planners.</v>
      </c>
      <c r="D7776" s="3" t="s">
        <v>12721</v>
      </c>
      <c r="E7776" s="3" t="s">
        <v>22744</v>
      </c>
      <c r="F7776" s="3" t="str">
        <f>"317.548.4090"</f>
        <v>317.548.4090</v>
      </c>
      <c r="G7776" s="3">
        <v>518210</v>
      </c>
      <c r="H7776" s="3" t="s">
        <v>3133</v>
      </c>
    </row>
    <row r="7777" spans="1:8" ht="64.5" x14ac:dyDescent="0.25">
      <c r="A7777" s="3" t="s">
        <v>22745</v>
      </c>
      <c r="B7777" s="3"/>
      <c r="C7777" s="3" t="str">
        <f>"Rehab Strategies provides physical, occupational and speech therapy service to nursing homes and hospitals. We offer management, consulting and staffing to these facilities."</f>
        <v>Rehab Strategies provides physical, occupational and speech therapy service to nursing homes and hospitals. We offer management, consulting and staffing to these facilities.</v>
      </c>
      <c r="D7777" s="3" t="s">
        <v>22746</v>
      </c>
      <c r="E7777" s="3" t="s">
        <v>46</v>
      </c>
      <c r="F7777" s="3" t="str">
        <f>"317-887-1600"</f>
        <v>317-887-1600</v>
      </c>
      <c r="G7777" s="3">
        <v>621340</v>
      </c>
      <c r="H7777" s="3" t="s">
        <v>987</v>
      </c>
    </row>
    <row r="7778" spans="1:8" ht="64.5" x14ac:dyDescent="0.25">
      <c r="A7778" s="3" t="s">
        <v>22747</v>
      </c>
      <c r="B7778" s="3"/>
      <c r="C7778" s="3" t="str">
        <f>"local &amp; Suburban Transportation, vanpool transportation, special needs transpor- tation, airport transportation, elderly transportation, medicaid travel services, church events transportation"</f>
        <v>local &amp; Suburban Transportation, vanpool transportation, special needs transpor- tation, airport transportation, elderly transportation, medicaid travel services, church events transportation</v>
      </c>
      <c r="D7778" s="3" t="s">
        <v>9</v>
      </c>
      <c r="E7778" s="3" t="s">
        <v>22748</v>
      </c>
      <c r="F7778" s="3" t="str">
        <f>"317-336-1600"</f>
        <v>317-336-1600</v>
      </c>
      <c r="G7778" s="3">
        <v>485991</v>
      </c>
      <c r="H7778" s="3" t="s">
        <v>6936</v>
      </c>
    </row>
    <row r="7779" spans="1:8" ht="51.75" x14ac:dyDescent="0.25">
      <c r="A7779" s="3" t="s">
        <v>22749</v>
      </c>
      <c r="B7779" s="3"/>
      <c r="C7779" s="3" t="str">
        <f>"Full service lawn maintenance company. We offer landscaping , pond &amp; waterfall design and installation, mowing, trimming, edging, mulching, etc."</f>
        <v>Full service lawn maintenance company. We offer landscaping , pond &amp; waterfall design and installation, mowing, trimming, edging, mulching, etc.</v>
      </c>
      <c r="D7779" s="3" t="s">
        <v>9</v>
      </c>
      <c r="E7779" s="3" t="s">
        <v>22750</v>
      </c>
      <c r="F7779" s="3" t="str">
        <f>"317-491-2266"</f>
        <v>317-491-2266</v>
      </c>
      <c r="G7779" s="3">
        <v>561730</v>
      </c>
      <c r="H7779" s="3" t="s">
        <v>65</v>
      </c>
    </row>
    <row r="7780" spans="1:8" ht="26.25" x14ac:dyDescent="0.25">
      <c r="A7780" s="3" t="s">
        <v>22751</v>
      </c>
      <c r="B7780" s="3"/>
      <c r="C7780" s="3" t="str">
        <f>" "</f>
        <v xml:space="preserve"> </v>
      </c>
      <c r="D7780" s="3" t="s">
        <v>9</v>
      </c>
      <c r="E7780" s="3" t="s">
        <v>46</v>
      </c>
      <c r="F7780" s="2"/>
      <c r="G7780" s="3">
        <v>423120</v>
      </c>
      <c r="H7780" s="3" t="s">
        <v>1033</v>
      </c>
    </row>
    <row r="7781" spans="1:8" ht="90" x14ac:dyDescent="0.25">
      <c r="A7781" s="3" t="s">
        <v>22752</v>
      </c>
      <c r="B7781" s="3"/>
      <c r="C7781" s="3" t="s">
        <v>22753</v>
      </c>
      <c r="D7781" s="3" t="s">
        <v>22754</v>
      </c>
      <c r="E7781" s="3" t="s">
        <v>22755</v>
      </c>
      <c r="F7781" s="3" t="str">
        <f>"(765) 489-3870"</f>
        <v>(765) 489-3870</v>
      </c>
      <c r="G7781" s="3">
        <v>541820</v>
      </c>
      <c r="H7781" s="3" t="s">
        <v>795</v>
      </c>
    </row>
    <row r="7782" spans="1:8" ht="64.5" x14ac:dyDescent="0.25">
      <c r="A7782" s="3" t="s">
        <v>22756</v>
      </c>
      <c r="B7782" s="3"/>
      <c r="C7782" s="3" t="str">
        <f>"We provide I.T. Data management and integration services. We also provide Project Management Services. These services include setup, training and integration of services and methodologies."</f>
        <v>We provide I.T. Data management and integration services. We also provide Project Management Services. These services include setup, training and integration of services and methodologies.</v>
      </c>
      <c r="D7782" s="3" t="s">
        <v>22757</v>
      </c>
      <c r="E7782" s="3" t="s">
        <v>22758</v>
      </c>
      <c r="F7782" s="3" t="str">
        <f>"800-515-6914"</f>
        <v>800-515-6914</v>
      </c>
      <c r="G7782" s="3">
        <v>541512</v>
      </c>
      <c r="H7782" s="3" t="s">
        <v>19</v>
      </c>
    </row>
    <row r="7783" spans="1:8" ht="51.75" x14ac:dyDescent="0.25">
      <c r="A7783" s="3" t="s">
        <v>22759</v>
      </c>
      <c r="B7783" s="3"/>
      <c r="C7783" s="3" t="str">
        <f>"Medical, office, industrial and school janitorial services. We are BBP certified, we employ over 150 people we were founded in 1976 and are fully bonded and insured."</f>
        <v>Medical, office, industrial and school janitorial services. We are BBP certified, we employ over 150 people we were founded in 1976 and are fully bonded and insured.</v>
      </c>
      <c r="D7783" s="3" t="s">
        <v>9</v>
      </c>
      <c r="E7783" s="3" t="s">
        <v>22760</v>
      </c>
      <c r="F7783" s="3" t="str">
        <f>"260-483-3478"</f>
        <v>260-483-3478</v>
      </c>
      <c r="G7783" s="3">
        <v>561720</v>
      </c>
      <c r="H7783" s="3" t="s">
        <v>222</v>
      </c>
    </row>
    <row r="7784" spans="1:8" ht="64.5" x14ac:dyDescent="0.25">
      <c r="A7784" s="3" t="s">
        <v>22761</v>
      </c>
      <c r="B7784" s="3"/>
      <c r="C7784" s="3" t="str">
        <f>"Contract manufacturer of small, precision metal stampings .003"" to .1875"" thick. Punch press and Multi-slide (four-slide) metal stampings. Tool and die and prototypes. ISO9001:2000 certified."</f>
        <v>Contract manufacturer of small, precision metal stampings .003" to .1875" thick. Punch press and Multi-slide (four-slide) metal stampings. Tool and die and prototypes. ISO9001:2000 certified.</v>
      </c>
      <c r="D7784" s="3" t="s">
        <v>22762</v>
      </c>
      <c r="E7784" s="3" t="s">
        <v>22763</v>
      </c>
      <c r="F7784" s="3" t="str">
        <f>"574-259-8101"</f>
        <v>574-259-8101</v>
      </c>
      <c r="G7784" s="3">
        <v>332116</v>
      </c>
      <c r="H7784" s="3" t="s">
        <v>2954</v>
      </c>
    </row>
    <row r="7785" spans="1:8" ht="128.25" x14ac:dyDescent="0.25">
      <c r="A7785" s="3" t="s">
        <v>22764</v>
      </c>
      <c r="B7785" s="3"/>
      <c r="C7785" s="3" t="s">
        <v>22765</v>
      </c>
      <c r="D7785" s="3" t="s">
        <v>22766</v>
      </c>
      <c r="E7785" s="3" t="s">
        <v>22767</v>
      </c>
      <c r="F7785" s="3" t="str">
        <f>"219-746-6607"</f>
        <v>219-746-6607</v>
      </c>
      <c r="G7785" s="3">
        <v>541512</v>
      </c>
      <c r="H7785" s="3" t="s">
        <v>19</v>
      </c>
    </row>
    <row r="7786" spans="1:8" x14ac:dyDescent="0.25">
      <c r="A7786" s="3" t="s">
        <v>22768</v>
      </c>
      <c r="B7786" s="3"/>
      <c r="C7786" s="2"/>
      <c r="D7786" s="3" t="s">
        <v>9</v>
      </c>
      <c r="E7786" s="3" t="s">
        <v>46</v>
      </c>
      <c r="F7786" s="2"/>
      <c r="G7786" s="3">
        <v>424710</v>
      </c>
      <c r="H7786" s="3" t="s">
        <v>22490</v>
      </c>
    </row>
    <row r="7787" spans="1:8" ht="306.75" x14ac:dyDescent="0.25">
      <c r="A7787" s="3" t="s">
        <v>22769</v>
      </c>
      <c r="B7787" s="3"/>
      <c r="C7787" s="3" t="s">
        <v>22770</v>
      </c>
      <c r="D7787" s="3" t="s">
        <v>22771</v>
      </c>
      <c r="E7787" s="3" t="s">
        <v>22772</v>
      </c>
      <c r="F7787" s="3" t="str">
        <f>"317-474-6548"</f>
        <v>317-474-6548</v>
      </c>
      <c r="G7787" s="3">
        <v>541511</v>
      </c>
      <c r="H7787" s="3" t="s">
        <v>122</v>
      </c>
    </row>
    <row r="7788" spans="1:8" ht="77.25" x14ac:dyDescent="0.25">
      <c r="A7788" s="3" t="s">
        <v>22773</v>
      </c>
      <c r="B7788" s="3"/>
      <c r="C7788" s="3" t="str">
        <f>"We are a temporary labor management company. We hire our own employees and assign them to customers to support their temporary work force needs. Our Mission is to provide capable and reliable staffing solutions to our customers."</f>
        <v>We are a temporary labor management company. We hire our own employees and assign them to customers to support their temporary work force needs. Our Mission is to provide capable and reliable staffing solutions to our customers.</v>
      </c>
      <c r="D7788" s="3" t="s">
        <v>9</v>
      </c>
      <c r="E7788" s="3" t="s">
        <v>46</v>
      </c>
      <c r="F7788" s="3" t="str">
        <f>"317-283-2794"</f>
        <v>317-283-2794</v>
      </c>
      <c r="G7788" s="3">
        <v>56132</v>
      </c>
      <c r="H7788" s="3" t="s">
        <v>15</v>
      </c>
    </row>
    <row r="7789" spans="1:8" ht="26.25" x14ac:dyDescent="0.25">
      <c r="A7789" s="3" t="s">
        <v>22774</v>
      </c>
      <c r="B7789" s="3"/>
      <c r="C7789" s="3" t="str">
        <f>"Sales, Service and parts for trailers and semi-trailers"</f>
        <v>Sales, Service and parts for trailers and semi-trailers</v>
      </c>
      <c r="D7789" s="3" t="s">
        <v>22775</v>
      </c>
      <c r="E7789" s="3" t="s">
        <v>22776</v>
      </c>
      <c r="F7789" s="3" t="str">
        <f>"317-241-7180"</f>
        <v>317-241-7180</v>
      </c>
      <c r="G7789" s="3">
        <v>441229</v>
      </c>
      <c r="H7789" s="3" t="s">
        <v>3721</v>
      </c>
    </row>
    <row r="7790" spans="1:8" ht="39" x14ac:dyDescent="0.25">
      <c r="A7790" s="3" t="s">
        <v>22777</v>
      </c>
      <c r="B7790" s="3"/>
      <c r="C7790" s="3" t="str">
        <f>"Provider of consulting, management, accounting, and other professional services."</f>
        <v>Provider of consulting, management, accounting, and other professional services.</v>
      </c>
      <c r="D7790" s="3" t="s">
        <v>9</v>
      </c>
      <c r="E7790" s="3" t="s">
        <v>22778</v>
      </c>
      <c r="F7790" s="3" t="str">
        <f>"317-409-5555"</f>
        <v>317-409-5555</v>
      </c>
      <c r="G7790" s="3">
        <v>541990</v>
      </c>
      <c r="H7790" s="3" t="s">
        <v>378</v>
      </c>
    </row>
    <row r="7791" spans="1:8" ht="319.5" x14ac:dyDescent="0.25">
      <c r="A7791" s="3" t="s">
        <v>22779</v>
      </c>
      <c r="B7791" s="3"/>
      <c r="C7791" s="3" t="s">
        <v>22780</v>
      </c>
      <c r="D7791" s="3" t="s">
        <v>22781</v>
      </c>
      <c r="E7791" s="3" t="s">
        <v>46</v>
      </c>
      <c r="F7791" s="3" t="str">
        <f>"317-202-0000"</f>
        <v>317-202-0000</v>
      </c>
      <c r="G7791" s="3">
        <v>541990</v>
      </c>
      <c r="H7791" s="3" t="s">
        <v>378</v>
      </c>
    </row>
    <row r="7792" spans="1:8" ht="281.25" x14ac:dyDescent="0.25">
      <c r="A7792" s="3" t="s">
        <v>22782</v>
      </c>
      <c r="B7792" s="3"/>
      <c r="C7792" s="3" t="s">
        <v>22783</v>
      </c>
      <c r="D7792" s="3" t="s">
        <v>22784</v>
      </c>
      <c r="E7792" s="3" t="s">
        <v>22785</v>
      </c>
      <c r="F7792" s="3" t="str">
        <f>"(317) 202-0000"</f>
        <v>(317) 202-0000</v>
      </c>
      <c r="G7792" s="3">
        <v>541614</v>
      </c>
      <c r="H7792" s="3" t="s">
        <v>107</v>
      </c>
    </row>
    <row r="7793" spans="1:8" ht="90" x14ac:dyDescent="0.25">
      <c r="A7793" s="3" t="s">
        <v>22786</v>
      </c>
      <c r="B7793" s="3"/>
      <c r="C7793" s="3" t="s">
        <v>22787</v>
      </c>
      <c r="D7793" s="3" t="s">
        <v>22788</v>
      </c>
      <c r="E7793" s="3" t="s">
        <v>22789</v>
      </c>
      <c r="F7793" s="3" t="str">
        <f>"5748078148"</f>
        <v>5748078148</v>
      </c>
      <c r="G7793" s="3">
        <v>611710</v>
      </c>
      <c r="H7793" s="3" t="s">
        <v>508</v>
      </c>
    </row>
    <row r="7794" spans="1:8" ht="26.25" x14ac:dyDescent="0.25">
      <c r="A7794" s="3" t="s">
        <v>22790</v>
      </c>
      <c r="B7794" s="3"/>
      <c r="C7794" s="3" t="str">
        <f>"full service restaurant, with catering and delivery"</f>
        <v>full service restaurant, with catering and delivery</v>
      </c>
      <c r="D7794" s="3" t="s">
        <v>9</v>
      </c>
      <c r="E7794" s="3" t="s">
        <v>22791</v>
      </c>
      <c r="F7794" s="3" t="str">
        <f>"812-457-8079"</f>
        <v>812-457-8079</v>
      </c>
      <c r="G7794" s="3">
        <v>722110</v>
      </c>
      <c r="H7794" s="3" t="s">
        <v>1307</v>
      </c>
    </row>
    <row r="7795" spans="1:8" ht="51.75" x14ac:dyDescent="0.25">
      <c r="A7795" s="3" t="s">
        <v>22792</v>
      </c>
      <c r="B7795" s="3"/>
      <c r="C7795" s="3" t="str">
        <f>"Distinctive delivery services provider for all special needs. Services offered include one-time, route, and emergency needs throughout the state of Indiana."</f>
        <v>Distinctive delivery services provider for all special needs. Services offered include one-time, route, and emergency needs throughout the state of Indiana.</v>
      </c>
      <c r="D7795" s="3" t="s">
        <v>22793</v>
      </c>
      <c r="E7795" s="3" t="s">
        <v>22794</v>
      </c>
      <c r="F7795" s="3" t="str">
        <f>"317-370-9807"</f>
        <v>317-370-9807</v>
      </c>
      <c r="G7795" s="3">
        <v>492110</v>
      </c>
      <c r="H7795" s="3" t="s">
        <v>11632</v>
      </c>
    </row>
    <row r="7796" spans="1:8" ht="102.75" x14ac:dyDescent="0.25">
      <c r="A7796" s="3" t="s">
        <v>22795</v>
      </c>
      <c r="B7796" s="3"/>
      <c r="C7796" s="3" t="s">
        <v>22796</v>
      </c>
      <c r="D7796" s="3" t="s">
        <v>22797</v>
      </c>
      <c r="E7796" s="3" t="s">
        <v>22798</v>
      </c>
      <c r="F7796" s="3" t="str">
        <f>"317-783-1500"</f>
        <v>317-783-1500</v>
      </c>
      <c r="G7796" s="3">
        <v>238910</v>
      </c>
      <c r="H7796" s="3" t="s">
        <v>886</v>
      </c>
    </row>
    <row r="7797" spans="1:8" ht="90" x14ac:dyDescent="0.25">
      <c r="A7797" s="3" t="s">
        <v>22799</v>
      </c>
      <c r="B7797" s="3"/>
      <c r="C7797" s="3" t="s">
        <v>22800</v>
      </c>
      <c r="D7797" s="3" t="s">
        <v>9</v>
      </c>
      <c r="E7797" s="3" t="s">
        <v>46</v>
      </c>
      <c r="F7797" s="3" t="str">
        <f>"317-251-2253"</f>
        <v>317-251-2253</v>
      </c>
      <c r="G7797" s="3">
        <v>311811</v>
      </c>
      <c r="H7797" s="3" t="s">
        <v>22801</v>
      </c>
    </row>
    <row r="7798" spans="1:8" ht="141" x14ac:dyDescent="0.25">
      <c r="A7798" s="3" t="s">
        <v>22802</v>
      </c>
      <c r="B7798" s="3"/>
      <c r="C7798" s="3" t="s">
        <v>22803</v>
      </c>
      <c r="D7798" s="3" t="s">
        <v>22804</v>
      </c>
      <c r="E7798" s="3" t="s">
        <v>22805</v>
      </c>
      <c r="F7798" s="3" t="str">
        <f>"765-675-7586"</f>
        <v>765-675-7586</v>
      </c>
      <c r="G7798" s="3">
        <v>336211</v>
      </c>
      <c r="H7798" s="3" t="s">
        <v>6061</v>
      </c>
    </row>
    <row r="7799" spans="1:8" ht="26.25" x14ac:dyDescent="0.25">
      <c r="A7799" s="3" t="s">
        <v>22806</v>
      </c>
      <c r="B7799" s="3"/>
      <c r="C7799" s="3" t="str">
        <f>"Producer of consumer trade shows and expositions"</f>
        <v>Producer of consumer trade shows and expositions</v>
      </c>
      <c r="D7799" s="3" t="s">
        <v>22807</v>
      </c>
      <c r="E7799" s="3" t="s">
        <v>22808</v>
      </c>
      <c r="F7799" s="3" t="str">
        <f>"765 6417712"</f>
        <v>765 6417712</v>
      </c>
      <c r="G7799" s="3">
        <v>711320</v>
      </c>
      <c r="H7799" s="3" t="s">
        <v>22809</v>
      </c>
    </row>
    <row r="7800" spans="1:8" ht="26.25" x14ac:dyDescent="0.25">
      <c r="A7800" s="3" t="s">
        <v>22810</v>
      </c>
      <c r="B7800" s="3"/>
      <c r="C7800" s="3" t="str">
        <f>"A Crown &amp; Bridge Dental Lab"</f>
        <v>A Crown &amp; Bridge Dental Lab</v>
      </c>
      <c r="D7800" s="3" t="s">
        <v>9</v>
      </c>
      <c r="E7800" s="3" t="s">
        <v>46</v>
      </c>
      <c r="F7800" s="3" t="str">
        <f>"812-423-6440"</f>
        <v>812-423-6440</v>
      </c>
      <c r="G7800" s="3">
        <v>339</v>
      </c>
      <c r="H7800" s="3" t="s">
        <v>1092</v>
      </c>
    </row>
    <row r="7801" spans="1:8" ht="166.5" x14ac:dyDescent="0.25">
      <c r="A7801" s="3" t="s">
        <v>22811</v>
      </c>
      <c r="B7801" s="3"/>
      <c r="C7801" s="3" t="s">
        <v>22812</v>
      </c>
      <c r="D7801" s="3" t="s">
        <v>22813</v>
      </c>
      <c r="E7801" s="3" t="s">
        <v>22814</v>
      </c>
      <c r="F7801" s="3" t="str">
        <f>"812-372-3791"</f>
        <v>812-372-3791</v>
      </c>
      <c r="G7801" s="3">
        <v>23</v>
      </c>
      <c r="H7801" s="3" t="s">
        <v>133</v>
      </c>
    </row>
    <row r="7802" spans="1:8" ht="115.5" x14ac:dyDescent="0.25">
      <c r="A7802" s="3" t="s">
        <v>22815</v>
      </c>
      <c r="B7802" s="3"/>
      <c r="C7802" s="3" t="s">
        <v>22816</v>
      </c>
      <c r="D7802" s="3" t="s">
        <v>22817</v>
      </c>
      <c r="E7802" s="3" t="s">
        <v>46</v>
      </c>
      <c r="F7802" s="3" t="str">
        <f>"317-637-3377"</f>
        <v>317-637-3377</v>
      </c>
      <c r="G7802" s="3">
        <v>32311</v>
      </c>
      <c r="H7802" s="3" t="s">
        <v>531</v>
      </c>
    </row>
    <row r="7803" spans="1:8" ht="39" x14ac:dyDescent="0.25">
      <c r="A7803" s="3" t="s">
        <v>22818</v>
      </c>
      <c r="B7803" s="3"/>
      <c r="C7803" s="3" t="str">
        <f>"Commercial printer who provides sheetfed and flexographic capabilities. Also provides thermal printers, ribbons and labels."</f>
        <v>Commercial printer who provides sheetfed and flexographic capabilities. Also provides thermal printers, ribbons and labels.</v>
      </c>
      <c r="D7803" s="3" t="s">
        <v>22819</v>
      </c>
      <c r="E7803" s="3" t="s">
        <v>22820</v>
      </c>
      <c r="F7803" s="3" t="str">
        <f>"765-472-3984"</f>
        <v>765-472-3984</v>
      </c>
      <c r="G7803" s="3">
        <v>3231</v>
      </c>
      <c r="H7803" s="3" t="s">
        <v>302</v>
      </c>
    </row>
    <row r="7804" spans="1:8" ht="332.25" x14ac:dyDescent="0.25">
      <c r="A7804" s="3" t="s">
        <v>22821</v>
      </c>
      <c r="B7804" s="3"/>
      <c r="C7804" s="3" t="s">
        <v>22822</v>
      </c>
      <c r="D7804" s="3" t="s">
        <v>22823</v>
      </c>
      <c r="E7804" s="3" t="s">
        <v>22824</v>
      </c>
      <c r="F7804" s="3" t="str">
        <f>"317-704-4230"</f>
        <v>317-704-4230</v>
      </c>
      <c r="G7804" s="3">
        <v>54151</v>
      </c>
      <c r="H7804" s="3" t="s">
        <v>188</v>
      </c>
    </row>
    <row r="7805" spans="1:8" ht="179.25" x14ac:dyDescent="0.25">
      <c r="A7805" s="3" t="s">
        <v>22825</v>
      </c>
      <c r="B7805" s="3"/>
      <c r="C7805" s="3" t="s">
        <v>22826</v>
      </c>
      <c r="D7805" s="3" t="s">
        <v>22827</v>
      </c>
      <c r="E7805" s="3" t="s">
        <v>46</v>
      </c>
      <c r="F7805" s="3" t="str">
        <f>"800-700-7878"</f>
        <v>800-700-7878</v>
      </c>
      <c r="G7805" s="3">
        <v>522220</v>
      </c>
      <c r="H7805" s="3" t="s">
        <v>4071</v>
      </c>
    </row>
    <row r="7806" spans="1:8" ht="128.25" x14ac:dyDescent="0.25">
      <c r="A7806" s="3" t="s">
        <v>22828</v>
      </c>
      <c r="B7806" s="3"/>
      <c r="C7806" s="3" t="s">
        <v>22829</v>
      </c>
      <c r="D7806" s="3" t="s">
        <v>22830</v>
      </c>
      <c r="E7806" s="3" t="s">
        <v>22831</v>
      </c>
      <c r="F7806" s="3" t="str">
        <f>"317-877-3444 EXT 862"</f>
        <v>317-877-3444 EXT 862</v>
      </c>
      <c r="G7806" s="3">
        <v>514</v>
      </c>
      <c r="H7806" s="3" t="s">
        <v>322</v>
      </c>
    </row>
    <row r="7807" spans="1:8" ht="26.25" x14ac:dyDescent="0.25">
      <c r="A7807" s="3" t="s">
        <v>22832</v>
      </c>
      <c r="B7807" s="3"/>
      <c r="C7807" s="3" t="str">
        <f>" "</f>
        <v xml:space="preserve"> </v>
      </c>
      <c r="D7807" s="3" t="s">
        <v>22833</v>
      </c>
      <c r="E7807" s="3" t="s">
        <v>22834</v>
      </c>
      <c r="F7807" s="3" t="str">
        <f>"317-361-6772"</f>
        <v>317-361-6772</v>
      </c>
      <c r="G7807" s="3">
        <v>611710</v>
      </c>
      <c r="H7807" s="3" t="s">
        <v>508</v>
      </c>
    </row>
    <row r="7808" spans="1:8" ht="26.25" x14ac:dyDescent="0.25">
      <c r="A7808" s="3" t="s">
        <v>22835</v>
      </c>
      <c r="B7808" s="3"/>
      <c r="C7808" s="3" t="str">
        <f>" "</f>
        <v xml:space="preserve"> </v>
      </c>
      <c r="D7808" s="3" t="s">
        <v>22836</v>
      </c>
      <c r="E7808" s="3" t="s">
        <v>22837</v>
      </c>
      <c r="F7808" s="3" t="str">
        <f>"317-409-0693"</f>
        <v>317-409-0693</v>
      </c>
      <c r="G7808" s="3">
        <v>541330</v>
      </c>
      <c r="H7808" s="3" t="s">
        <v>82</v>
      </c>
    </row>
    <row r="7809" spans="1:8" ht="26.25" x14ac:dyDescent="0.25">
      <c r="A7809" s="3" t="s">
        <v>22838</v>
      </c>
      <c r="B7809" s="3"/>
      <c r="C7809" s="3" t="str">
        <f>"Residential Property Management Firm Conventional, Tax Credit, Subsidized"</f>
        <v>Residential Property Management Firm Conventional, Tax Credit, Subsidized</v>
      </c>
      <c r="D7809" s="3" t="s">
        <v>22839</v>
      </c>
      <c r="E7809" s="3" t="s">
        <v>22840</v>
      </c>
      <c r="F7809" s="3" t="str">
        <f>"219-939-4000"</f>
        <v>219-939-4000</v>
      </c>
      <c r="G7809" s="3">
        <v>53131</v>
      </c>
      <c r="H7809" s="3" t="s">
        <v>7550</v>
      </c>
    </row>
    <row r="7810" spans="1:8" ht="77.25" x14ac:dyDescent="0.25">
      <c r="A7810" s="3" t="s">
        <v>22841</v>
      </c>
      <c r="B7810" s="3"/>
      <c r="C7810" s="3" t="str">
        <f>"We provide planning, training, and exercises for disaster recovery (IT), business continuity, and emergency preparedness, including state and local government, public safety agencies, and private industry."</f>
        <v>We provide planning, training, and exercises for disaster recovery (IT), business continuity, and emergency preparedness, including state and local government, public safety agencies, and private industry.</v>
      </c>
      <c r="D7810" s="3" t="s">
        <v>9</v>
      </c>
      <c r="E7810" s="3" t="s">
        <v>22842</v>
      </c>
      <c r="F7810" s="3" t="str">
        <f>"317-694-5546"</f>
        <v>317-694-5546</v>
      </c>
      <c r="G7810" s="3">
        <v>541611</v>
      </c>
      <c r="H7810" s="3" t="s">
        <v>278</v>
      </c>
    </row>
    <row r="7811" spans="1:8" ht="26.25" x14ac:dyDescent="0.25">
      <c r="A7811" s="3" t="s">
        <v>22843</v>
      </c>
      <c r="B7811" s="3"/>
      <c r="C7811" s="3" t="str">
        <f>"RESIDENTIAL TREATMENT FACILITY FOR ADOLESCENT MALES."</f>
        <v>RESIDENTIAL TREATMENT FACILITY FOR ADOLESCENT MALES.</v>
      </c>
      <c r="D7811" s="3" t="s">
        <v>22844</v>
      </c>
      <c r="E7811" s="3" t="s">
        <v>20205</v>
      </c>
      <c r="F7811" s="3" t="str">
        <f>"317-630-5215"</f>
        <v>317-630-5215</v>
      </c>
      <c r="G7811" s="3">
        <v>623990</v>
      </c>
      <c r="H7811" s="3" t="s">
        <v>11066</v>
      </c>
    </row>
    <row r="7812" spans="1:8" ht="26.25" x14ac:dyDescent="0.25">
      <c r="A7812" s="3" t="s">
        <v>22845</v>
      </c>
      <c r="B7812" s="3"/>
      <c r="C7812" s="3" t="str">
        <f>"WBE/DBE/EDWOSB Engineering Staffing Services and subcontracting."</f>
        <v>WBE/DBE/EDWOSB Engineering Staffing Services and subcontracting.</v>
      </c>
      <c r="D7812" s="3" t="s">
        <v>22846</v>
      </c>
      <c r="E7812" s="3" t="s">
        <v>22847</v>
      </c>
      <c r="F7812" s="3" t="str">
        <f>"317-558-2911"</f>
        <v>317-558-2911</v>
      </c>
      <c r="G7812" s="3">
        <v>541330</v>
      </c>
      <c r="H7812" s="3" t="s">
        <v>82</v>
      </c>
    </row>
    <row r="7813" spans="1:8" ht="141" x14ac:dyDescent="0.25">
      <c r="A7813" s="3" t="s">
        <v>22848</v>
      </c>
      <c r="B7813" s="3"/>
      <c r="C7813" s="3" t="s">
        <v>22849</v>
      </c>
      <c r="D7813" s="3" t="s">
        <v>22850</v>
      </c>
      <c r="E7813" s="3" t="s">
        <v>22851</v>
      </c>
      <c r="F7813" s="3" t="str">
        <f>"317-663-6000"</f>
        <v>317-663-6000</v>
      </c>
      <c r="G7813" s="3">
        <v>531210</v>
      </c>
      <c r="H7813" s="3" t="s">
        <v>1101</v>
      </c>
    </row>
    <row r="7814" spans="1:8" ht="294" x14ac:dyDescent="0.25">
      <c r="A7814" s="3" t="s">
        <v>22852</v>
      </c>
      <c r="B7814" s="3"/>
      <c r="C7814" s="3" t="s">
        <v>22853</v>
      </c>
      <c r="D7814" s="3" t="s">
        <v>22854</v>
      </c>
      <c r="E7814" s="3" t="s">
        <v>22855</v>
      </c>
      <c r="F7814" s="2"/>
      <c r="G7814" s="3">
        <v>541612</v>
      </c>
      <c r="H7814" s="3" t="s">
        <v>1923</v>
      </c>
    </row>
    <row r="7815" spans="1:8" ht="51.75" x14ac:dyDescent="0.25">
      <c r="A7815" s="3" t="s">
        <v>22856</v>
      </c>
      <c r="B7815" s="3"/>
      <c r="C7815" s="3" t="str">
        <f>"We are a full service respiratory company. We provide respiratory therapist and all respiratory related equipment to long care facilities."</f>
        <v>We are a full service respiratory company. We provide respiratory therapist and all respiratory related equipment to long care facilities.</v>
      </c>
      <c r="D7815" s="3" t="s">
        <v>9</v>
      </c>
      <c r="E7815" s="3" t="s">
        <v>22857</v>
      </c>
      <c r="F7815" s="3" t="str">
        <f>"317-227-8055"</f>
        <v>317-227-8055</v>
      </c>
      <c r="G7815" s="3">
        <v>532291</v>
      </c>
      <c r="H7815" s="3" t="s">
        <v>1861</v>
      </c>
    </row>
    <row r="7816" spans="1:8" ht="26.25" x14ac:dyDescent="0.25">
      <c r="A7816" s="3" t="s">
        <v>22858</v>
      </c>
      <c r="B7816" s="3"/>
      <c r="C7816" s="3" t="str">
        <f>" "</f>
        <v xml:space="preserve"> </v>
      </c>
      <c r="D7816" s="3" t="s">
        <v>22859</v>
      </c>
      <c r="E7816" s="3" t="s">
        <v>22860</v>
      </c>
      <c r="F7816" s="3" t="str">
        <f>"3176430711"</f>
        <v>3176430711</v>
      </c>
      <c r="G7816" s="3">
        <v>541611</v>
      </c>
      <c r="H7816" s="3" t="s">
        <v>278</v>
      </c>
    </row>
    <row r="7817" spans="1:8" ht="141" x14ac:dyDescent="0.25">
      <c r="A7817" s="3" t="s">
        <v>22861</v>
      </c>
      <c r="B7817" s="3"/>
      <c r="C7817" s="3" t="s">
        <v>22862</v>
      </c>
      <c r="D7817" s="3" t="s">
        <v>22863</v>
      </c>
      <c r="E7817" s="3" t="s">
        <v>22864</v>
      </c>
      <c r="F7817" s="3" t="str">
        <f>"3174906160"</f>
        <v>3174906160</v>
      </c>
      <c r="G7817" s="3">
        <v>4461</v>
      </c>
      <c r="H7817" s="3" t="s">
        <v>1202</v>
      </c>
    </row>
    <row r="7818" spans="1:8" ht="51.75" x14ac:dyDescent="0.25">
      <c r="A7818" s="3" t="s">
        <v>22865</v>
      </c>
      <c r="B7818" s="3"/>
      <c r="C7818" s="3" t="str">
        <f>"Resume preparation and business writing. 30+ years experience in all industries. Provide outplacement services to companies undergoing staff reduction."</f>
        <v>Resume preparation and business writing. 30+ years experience in all industries. Provide outplacement services to companies undergoing staff reduction.</v>
      </c>
      <c r="D7818" s="3" t="s">
        <v>22866</v>
      </c>
      <c r="E7818" s="3" t="s">
        <v>22867</v>
      </c>
      <c r="F7818" s="3" t="str">
        <f>"317-280-9776"</f>
        <v>317-280-9776</v>
      </c>
      <c r="G7818" s="3">
        <v>711510</v>
      </c>
      <c r="H7818" s="3" t="s">
        <v>1980</v>
      </c>
    </row>
    <row r="7819" spans="1:8" ht="77.25" x14ac:dyDescent="0.25">
      <c r="A7819" s="3" t="s">
        <v>22868</v>
      </c>
      <c r="B7819" s="3"/>
      <c r="C7819" s="3" t="str">
        <f>"We are a small privately owned business, the business is owned by a retired lady and is managed by a man retired from the military. Our business can do the following types of work. Landscaping, Tree and Ground Services, Plus Lawn Maintenance"</f>
        <v>We are a small privately owned business, the business is owned by a retired lady and is managed by a man retired from the military. Our business can do the following types of work. Landscaping, Tree and Ground Services, Plus Lawn Maintenance</v>
      </c>
      <c r="D7819" s="3" t="s">
        <v>9</v>
      </c>
      <c r="E7819" s="3" t="s">
        <v>22869</v>
      </c>
      <c r="F7819" s="3" t="str">
        <f>"317-319-7878"</f>
        <v>317-319-7878</v>
      </c>
      <c r="G7819" s="3">
        <v>561730</v>
      </c>
      <c r="H7819" s="3" t="s">
        <v>65</v>
      </c>
    </row>
    <row r="7820" spans="1:8" ht="26.25" x14ac:dyDescent="0.25">
      <c r="A7820" s="3" t="s">
        <v>22870</v>
      </c>
      <c r="B7820" s="3"/>
      <c r="C7820" s="3" t="str">
        <f>"Non-profit volunteer placing organization"</f>
        <v>Non-profit volunteer placing organization</v>
      </c>
      <c r="D7820" s="3" t="s">
        <v>22871</v>
      </c>
      <c r="E7820" s="3" t="s">
        <v>22872</v>
      </c>
      <c r="F7820" s="3" t="str">
        <f>"812-254-1996"</f>
        <v>812-254-1996</v>
      </c>
      <c r="G7820" s="3">
        <v>235</v>
      </c>
      <c r="H7820" s="3" t="s">
        <v>259</v>
      </c>
    </row>
    <row r="7821" spans="1:8" ht="217.5" x14ac:dyDescent="0.25">
      <c r="A7821" s="3" t="s">
        <v>22873</v>
      </c>
      <c r="B7821" s="3"/>
      <c r="C7821" s="3" t="s">
        <v>22874</v>
      </c>
      <c r="D7821" s="3" t="s">
        <v>9</v>
      </c>
      <c r="E7821" s="3" t="s">
        <v>22875</v>
      </c>
      <c r="F7821" s="3" t="str">
        <f>"317-270-7117"</f>
        <v>317-270-7117</v>
      </c>
      <c r="G7821" s="3">
        <v>525990</v>
      </c>
      <c r="H7821" s="3" t="s">
        <v>1028</v>
      </c>
    </row>
    <row r="7822" spans="1:8" ht="26.25" x14ac:dyDescent="0.25">
      <c r="A7822" s="3" t="s">
        <v>22876</v>
      </c>
      <c r="B7822" s="3"/>
      <c r="C7822" s="3" t="str">
        <f>"PROVIDING CARE SERVICES TO INDIVIDUALS WITH DISABILITES"</f>
        <v>PROVIDING CARE SERVICES TO INDIVIDUALS WITH DISABILITES</v>
      </c>
      <c r="D7822" s="3" t="s">
        <v>9</v>
      </c>
      <c r="E7822" s="3" t="s">
        <v>22877</v>
      </c>
      <c r="F7822" s="2"/>
      <c r="G7822" s="3">
        <v>624120</v>
      </c>
      <c r="H7822" s="3" t="s">
        <v>22</v>
      </c>
    </row>
    <row r="7823" spans="1:8" ht="281.25" x14ac:dyDescent="0.25">
      <c r="A7823" s="3" t="s">
        <v>22878</v>
      </c>
      <c r="B7823" s="3"/>
      <c r="C7823" s="3" t="s">
        <v>22879</v>
      </c>
      <c r="D7823" s="3" t="s">
        <v>22880</v>
      </c>
      <c r="E7823" s="3" t="s">
        <v>22881</v>
      </c>
      <c r="F7823" s="3" t="str">
        <f>"3172597794"</f>
        <v>3172597794</v>
      </c>
      <c r="G7823" s="3">
        <v>44</v>
      </c>
      <c r="H7823" s="3" t="s">
        <v>574</v>
      </c>
    </row>
    <row r="7824" spans="1:8" ht="64.5" x14ac:dyDescent="0.25">
      <c r="A7824" s="3" t="s">
        <v>22882</v>
      </c>
      <c r="B7824" s="3"/>
      <c r="C7824" s="3" t="str">
        <f>"Reveal Consulting Group provides marketing consultation, advertising development, public relations, brand management, graphic design, and web design services."</f>
        <v>Reveal Consulting Group provides marketing consultation, advertising development, public relations, brand management, graphic design, and web design services.</v>
      </c>
      <c r="D7824" s="3" t="s">
        <v>22883</v>
      </c>
      <c r="E7824" s="3" t="s">
        <v>22884</v>
      </c>
      <c r="F7824" s="3" t="str">
        <f>"317-5781440"</f>
        <v>317-5781440</v>
      </c>
      <c r="G7824" s="3">
        <v>541810</v>
      </c>
      <c r="H7824" s="3" t="s">
        <v>976</v>
      </c>
    </row>
    <row r="7825" spans="1:8" ht="153.75" x14ac:dyDescent="0.25">
      <c r="A7825" s="3" t="s">
        <v>22885</v>
      </c>
      <c r="B7825" s="3"/>
      <c r="C7825" s="3" t="s">
        <v>22886</v>
      </c>
      <c r="D7825" s="3" t="s">
        <v>22887</v>
      </c>
      <c r="E7825" s="3" t="s">
        <v>22888</v>
      </c>
      <c r="F7825" s="3" t="str">
        <f>"317-507-9497"</f>
        <v>317-507-9497</v>
      </c>
      <c r="G7825" s="3">
        <v>541511</v>
      </c>
      <c r="H7825" s="3" t="s">
        <v>122</v>
      </c>
    </row>
    <row r="7826" spans="1:8" ht="90" x14ac:dyDescent="0.25">
      <c r="A7826" s="3" t="s">
        <v>22889</v>
      </c>
      <c r="B7826" s="3"/>
      <c r="C7826" s="3" t="s">
        <v>22890</v>
      </c>
      <c r="D7826" s="3" t="s">
        <v>9</v>
      </c>
      <c r="E7826" s="3" t="s">
        <v>22891</v>
      </c>
      <c r="F7826" s="3" t="str">
        <f>"765-894-1781"</f>
        <v>765-894-1781</v>
      </c>
      <c r="G7826" s="3">
        <v>62</v>
      </c>
      <c r="H7826" s="3" t="s">
        <v>1168</v>
      </c>
    </row>
    <row r="7827" spans="1:8" ht="90" x14ac:dyDescent="0.25">
      <c r="A7827" s="3" t="s">
        <v>22892</v>
      </c>
      <c r="B7827" s="3"/>
      <c r="C7827" s="3" t="s">
        <v>22893</v>
      </c>
      <c r="D7827" s="3" t="s">
        <v>9</v>
      </c>
      <c r="E7827" s="3" t="s">
        <v>22894</v>
      </c>
      <c r="F7827" s="3" t="str">
        <f>"260-925-2255"</f>
        <v>260-925-2255</v>
      </c>
      <c r="G7827" s="3">
        <v>541211</v>
      </c>
      <c r="H7827" s="3" t="s">
        <v>337</v>
      </c>
    </row>
    <row r="7828" spans="1:8" ht="39" x14ac:dyDescent="0.25">
      <c r="A7828" s="3" t="s">
        <v>22895</v>
      </c>
      <c r="B7828" s="3"/>
      <c r="C7828" s="3" t="str">
        <f>"tri-axle dump truck subcontractor. Hauling construction materials, such as asphalt, dirt, sand, gravel, concrete etc."</f>
        <v>tri-axle dump truck subcontractor. Hauling construction materials, such as asphalt, dirt, sand, gravel, concrete etc.</v>
      </c>
      <c r="D7828" s="3" t="s">
        <v>9</v>
      </c>
      <c r="E7828" s="3" t="s">
        <v>22896</v>
      </c>
      <c r="F7828" s="3" t="str">
        <f>"317-925-7151"</f>
        <v>317-925-7151</v>
      </c>
      <c r="G7828" s="3">
        <v>237310</v>
      </c>
      <c r="H7828" s="3" t="s">
        <v>768</v>
      </c>
    </row>
    <row r="7829" spans="1:8" ht="77.25" x14ac:dyDescent="0.25">
      <c r="A7829" s="3" t="s">
        <v>22897</v>
      </c>
      <c r="B7829" s="3"/>
      <c r="C7829" s="3" t="str">
        <f>"Team Pitifer is primarily a computer equipment and repair company. We specialize in providing new equipment including set up and installation of any software required. We also provide repair services including network configuration."</f>
        <v>Team Pitifer is primarily a computer equipment and repair company. We specialize in providing new equipment including set up and installation of any software required. We also provide repair services including network configuration.</v>
      </c>
      <c r="D7829" s="3" t="s">
        <v>22898</v>
      </c>
      <c r="E7829" s="3" t="s">
        <v>22899</v>
      </c>
      <c r="F7829" s="3" t="str">
        <f>"219-577-7581"</f>
        <v>219-577-7581</v>
      </c>
      <c r="G7829" s="3">
        <v>423430</v>
      </c>
      <c r="H7829" s="3" t="s">
        <v>127</v>
      </c>
    </row>
    <row r="7830" spans="1:8" ht="102.75" x14ac:dyDescent="0.25">
      <c r="A7830" s="3" t="s">
        <v>22900</v>
      </c>
      <c r="B7830" s="3"/>
      <c r="C7830" s="3" t="s">
        <v>22901</v>
      </c>
      <c r="D7830" s="3" t="s">
        <v>9</v>
      </c>
      <c r="E7830" s="3" t="s">
        <v>22902</v>
      </c>
      <c r="F7830" s="3" t="str">
        <f>"317-506-2241"</f>
        <v>317-506-2241</v>
      </c>
      <c r="G7830" s="3">
        <v>561410</v>
      </c>
      <c r="H7830" s="3" t="s">
        <v>4164</v>
      </c>
    </row>
    <row r="7831" spans="1:8" ht="26.25" x14ac:dyDescent="0.25">
      <c r="A7831" s="3" t="s">
        <v>22903</v>
      </c>
      <c r="B7831" s="3"/>
      <c r="C7831" s="3" t="str">
        <f>"Heating, Air conditioning, Refrigeration, and plumbing, Repairs and Installation"</f>
        <v>Heating, Air conditioning, Refrigeration, and plumbing, Repairs and Installation</v>
      </c>
      <c r="D7831" s="3" t="s">
        <v>9</v>
      </c>
      <c r="E7831" s="3" t="s">
        <v>22904</v>
      </c>
      <c r="F7831" s="2"/>
      <c r="G7831" s="3">
        <v>2351</v>
      </c>
      <c r="H7831" s="3" t="s">
        <v>892</v>
      </c>
    </row>
    <row r="7832" spans="1:8" ht="39" x14ac:dyDescent="0.25">
      <c r="A7832" s="3" t="s">
        <v>22905</v>
      </c>
      <c r="B7832" s="3"/>
      <c r="C7832" s="3" t="str">
        <f>"Provides Training and consultation in general safety, specialized rescue, and emergency services."</f>
        <v>Provides Training and consultation in general safety, specialized rescue, and emergency services.</v>
      </c>
      <c r="D7832" s="3" t="s">
        <v>9</v>
      </c>
      <c r="E7832" s="3" t="s">
        <v>46</v>
      </c>
      <c r="F7832" s="2"/>
      <c r="G7832" s="3">
        <v>922160</v>
      </c>
      <c r="H7832" s="3" t="s">
        <v>2246</v>
      </c>
    </row>
    <row r="7833" spans="1:8" ht="77.25" x14ac:dyDescent="0.25">
      <c r="A7833" s="3" t="s">
        <v>22906</v>
      </c>
      <c r="B7833" s="3"/>
      <c r="C7833" s="3" t="str">
        <f>"Michaelis is a full service, general contractor, that specializes in the repair of any real (residential and/or commercial) and/or personal property, due to a castastrophe such as fire, water, smoke, odor, tornado, lightning, wind, etc. damage."</f>
        <v>Michaelis is a full service, general contractor, that specializes in the repair of any real (residential and/or commercial) and/or personal property, due to a castastrophe such as fire, water, smoke, odor, tornado, lightning, wind, etc. damage.</v>
      </c>
      <c r="D7833" s="3" t="s">
        <v>22907</v>
      </c>
      <c r="E7833" s="3" t="s">
        <v>22908</v>
      </c>
      <c r="F7833" s="3" t="str">
        <f>"866-933-4949"</f>
        <v>866-933-4949</v>
      </c>
      <c r="G7833" s="3">
        <v>238</v>
      </c>
      <c r="H7833" s="3" t="s">
        <v>397</v>
      </c>
    </row>
    <row r="7834" spans="1:8" ht="26.25" x14ac:dyDescent="0.25">
      <c r="A7834" s="3" t="s">
        <v>22909</v>
      </c>
      <c r="B7834" s="3"/>
      <c r="C7834" s="3" t="str">
        <f>"Web design, custom web-based data-driven applications, web hosting."</f>
        <v>Web design, custom web-based data-driven applications, web hosting.</v>
      </c>
      <c r="D7834" s="3" t="s">
        <v>22910</v>
      </c>
      <c r="E7834" s="3" t="s">
        <v>22911</v>
      </c>
      <c r="F7834" s="3" t="str">
        <f>"317-916-8341"</f>
        <v>317-916-8341</v>
      </c>
      <c r="G7834" s="3">
        <v>541511</v>
      </c>
      <c r="H7834" s="3" t="s">
        <v>122</v>
      </c>
    </row>
    <row r="7835" spans="1:8" ht="90" x14ac:dyDescent="0.25">
      <c r="A7835" s="3" t="s">
        <v>22912</v>
      </c>
      <c r="B7835" s="3"/>
      <c r="C7835" s="3" t="s">
        <v>22913</v>
      </c>
      <c r="D7835" s="3" t="s">
        <v>8195</v>
      </c>
      <c r="E7835" s="3" t="s">
        <v>22914</v>
      </c>
      <c r="F7835" s="3" t="str">
        <f>"765-425-7423"</f>
        <v>765-425-7423</v>
      </c>
      <c r="G7835" s="3">
        <v>541330</v>
      </c>
      <c r="H7835" s="3" t="s">
        <v>82</v>
      </c>
    </row>
    <row r="7836" spans="1:8" ht="39" x14ac:dyDescent="0.25">
      <c r="A7836" s="3" t="s">
        <v>22915</v>
      </c>
      <c r="B7836" s="3"/>
      <c r="C7836" s="3" t="str">
        <f>"General photographic services. Experience with real estate, portraiture, landscape, and product photography."</f>
        <v>General photographic services. Experience with real estate, portraiture, landscape, and product photography.</v>
      </c>
      <c r="D7836" s="3" t="s">
        <v>22916</v>
      </c>
      <c r="E7836" s="3" t="s">
        <v>22917</v>
      </c>
      <c r="F7836" s="3" t="str">
        <f>"317-441-7198"</f>
        <v>317-441-7198</v>
      </c>
      <c r="G7836" s="3">
        <v>54192</v>
      </c>
      <c r="H7836" s="3" t="s">
        <v>2613</v>
      </c>
    </row>
    <row r="7837" spans="1:8" ht="26.25" x14ac:dyDescent="0.25">
      <c r="A7837" s="3" t="s">
        <v>22918</v>
      </c>
      <c r="B7837" s="3"/>
      <c r="C7837" s="3" t="str">
        <f>"Fire/safety equipment and apparel"</f>
        <v>Fire/safety equipment and apparel</v>
      </c>
      <c r="D7837" s="3" t="s">
        <v>9</v>
      </c>
      <c r="E7837" s="3" t="s">
        <v>22919</v>
      </c>
      <c r="F7837" s="3" t="str">
        <f>"(574) 870-6287"</f>
        <v>(574) 870-6287</v>
      </c>
      <c r="G7837" s="3">
        <v>4543</v>
      </c>
      <c r="H7837" s="3" t="s">
        <v>22920</v>
      </c>
    </row>
    <row r="7838" spans="1:8" ht="319.5" x14ac:dyDescent="0.25">
      <c r="A7838" s="3" t="s">
        <v>22921</v>
      </c>
      <c r="B7838" s="3"/>
      <c r="C7838" s="3" t="s">
        <v>22922</v>
      </c>
      <c r="D7838" s="3" t="s">
        <v>22923</v>
      </c>
      <c r="E7838" s="3" t="s">
        <v>22924</v>
      </c>
      <c r="F7838" s="3" t="str">
        <f>"800-552-5115"</f>
        <v>800-552-5115</v>
      </c>
      <c r="G7838" s="3">
        <v>541380</v>
      </c>
      <c r="H7838" s="3" t="s">
        <v>226</v>
      </c>
    </row>
    <row r="7839" spans="1:8" ht="77.25" x14ac:dyDescent="0.25">
      <c r="A7839" s="3" t="s">
        <v>22925</v>
      </c>
      <c r="B7839" s="3"/>
      <c r="C7839" s="3" t="str">
        <f>"We are manufacturer reps for printing plants around the country. We've been in business since 1979 and specialize in catalogs, brochures, and flyers. We make the sale and the customer works directly with a customer service rep at the printer."</f>
        <v>We are manufacturer reps for printing plants around the country. We've been in business since 1979 and specialize in catalogs, brochures, and flyers. We make the sale and the customer works directly with a customer service rep at the printer.</v>
      </c>
      <c r="D7839" s="3" t="s">
        <v>22926</v>
      </c>
      <c r="E7839" s="3" t="s">
        <v>22927</v>
      </c>
      <c r="F7839" s="3" t="str">
        <f>"317-815-9400"</f>
        <v>317-815-9400</v>
      </c>
      <c r="G7839" s="3">
        <v>541990</v>
      </c>
      <c r="H7839" s="3" t="s">
        <v>378</v>
      </c>
    </row>
    <row r="7840" spans="1:8" ht="39" x14ac:dyDescent="0.25">
      <c r="A7840" s="3" t="s">
        <v>22928</v>
      </c>
      <c r="B7840" s="3"/>
      <c r="C7840" s="3" t="str">
        <f>"international trade, government supply contracts, juices, bottled water, pallets, skids"</f>
        <v>international trade, government supply contracts, juices, bottled water, pallets, skids</v>
      </c>
      <c r="D7840" s="3" t="s">
        <v>22929</v>
      </c>
      <c r="E7840" s="3" t="s">
        <v>22930</v>
      </c>
      <c r="F7840" s="3" t="str">
        <f>"219-961-2226"</f>
        <v>219-961-2226</v>
      </c>
      <c r="G7840" s="3">
        <v>312111</v>
      </c>
      <c r="H7840" s="3" t="s">
        <v>22931</v>
      </c>
    </row>
    <row r="7841" spans="1:8" x14ac:dyDescent="0.25">
      <c r="A7841" s="3" t="s">
        <v>22932</v>
      </c>
      <c r="B7841" s="3"/>
      <c r="C7841" s="2"/>
      <c r="D7841" s="3" t="s">
        <v>9</v>
      </c>
      <c r="E7841" s="3" t="s">
        <v>46</v>
      </c>
      <c r="F7841" s="2"/>
      <c r="G7841" s="3">
        <v>541320</v>
      </c>
      <c r="H7841" s="3" t="s">
        <v>2241</v>
      </c>
    </row>
    <row r="7842" spans="1:8" ht="26.25" x14ac:dyDescent="0.25">
      <c r="A7842" s="3" t="s">
        <v>22933</v>
      </c>
      <c r="B7842" s="3"/>
      <c r="C7842" s="3" t="str">
        <f>"Setup of manufactured houses. Competitive prices. Call for a quote."</f>
        <v>Setup of manufactured houses. Competitive prices. Call for a quote.</v>
      </c>
      <c r="D7842" s="3" t="s">
        <v>9</v>
      </c>
      <c r="E7842" s="3" t="s">
        <v>46</v>
      </c>
      <c r="F7842" s="3" t="str">
        <f>"260-463-2217"</f>
        <v>260-463-2217</v>
      </c>
      <c r="G7842" s="3">
        <v>236</v>
      </c>
      <c r="H7842" s="3" t="s">
        <v>291</v>
      </c>
    </row>
    <row r="7843" spans="1:8" ht="26.25" x14ac:dyDescent="0.25">
      <c r="A7843" s="3" t="s">
        <v>22934</v>
      </c>
      <c r="B7843" s="3"/>
      <c r="C7843" s="3" t="str">
        <f>"Sell and service lawn and garden equipment."</f>
        <v>Sell and service lawn and garden equipment.</v>
      </c>
      <c r="D7843" s="3" t="s">
        <v>22935</v>
      </c>
      <c r="E7843" s="3" t="s">
        <v>22936</v>
      </c>
      <c r="F7843" s="3" t="str">
        <f>"812-876-9302"</f>
        <v>812-876-9302</v>
      </c>
      <c r="G7843" s="3">
        <v>44421</v>
      </c>
      <c r="H7843" s="3" t="s">
        <v>392</v>
      </c>
    </row>
    <row r="7844" spans="1:8" ht="102.75" x14ac:dyDescent="0.25">
      <c r="A7844" s="3" t="s">
        <v>22934</v>
      </c>
      <c r="B7844" s="3"/>
      <c r="C7844" s="3" t="s">
        <v>22937</v>
      </c>
      <c r="D7844" s="3" t="s">
        <v>22935</v>
      </c>
      <c r="E7844" s="3" t="s">
        <v>22936</v>
      </c>
      <c r="F7844" s="3" t="str">
        <f>"812-876-9302"</f>
        <v>812-876-9302</v>
      </c>
      <c r="G7844" s="3">
        <v>4442</v>
      </c>
      <c r="H7844" s="3" t="s">
        <v>852</v>
      </c>
    </row>
    <row r="7845" spans="1:8" ht="39" x14ac:dyDescent="0.25">
      <c r="A7845" s="3" t="s">
        <v>22938</v>
      </c>
      <c r="B7845" s="3"/>
      <c r="C7845" s="3" t="str">
        <f>"General practice law firm in business since 1957, engaged in the practice of law including, but not limited to, collections."</f>
        <v>General practice law firm in business since 1957, engaged in the practice of law including, but not limited to, collections.</v>
      </c>
      <c r="D7845" s="3" t="s">
        <v>22939</v>
      </c>
      <c r="E7845" s="3" t="s">
        <v>22940</v>
      </c>
      <c r="F7845" s="3" t="str">
        <f>"317-773-4400"</f>
        <v>317-773-4400</v>
      </c>
      <c r="G7845" s="3">
        <v>541110</v>
      </c>
      <c r="H7845" s="3" t="s">
        <v>2978</v>
      </c>
    </row>
    <row r="7846" spans="1:8" ht="77.25" x14ac:dyDescent="0.25">
      <c r="A7846" s="3" t="s">
        <v>22941</v>
      </c>
      <c r="B7846" s="3"/>
      <c r="C7846" s="3" t="str">
        <f>"Specializes in employee benefits - group medical (partial self funded and fully insured), pensions, investments and consulting services to financial institutions regarding our RICHBENEFIT Marketing Program."</f>
        <v>Specializes in employee benefits - group medical (partial self funded and fully insured), pensions, investments and consulting services to financial institutions regarding our RICHBENEFIT Marketing Program.</v>
      </c>
      <c r="D7846" s="3" t="s">
        <v>22942</v>
      </c>
      <c r="E7846" s="3" t="s">
        <v>22943</v>
      </c>
      <c r="F7846" s="3" t="str">
        <f>"812-378-4444"</f>
        <v>812-378-4444</v>
      </c>
      <c r="G7846" s="3">
        <v>5251</v>
      </c>
      <c r="H7846" s="3" t="s">
        <v>22944</v>
      </c>
    </row>
    <row r="7847" spans="1:8" ht="39" x14ac:dyDescent="0.25">
      <c r="A7847" s="3" t="s">
        <v>22945</v>
      </c>
      <c r="B7847" s="3"/>
      <c r="C7847" s="3" t="str">
        <f>"Administer/monitor federal/state labor standards requirements, general public administration."</f>
        <v>Administer/monitor federal/state labor standards requirements, general public administration.</v>
      </c>
      <c r="D7847" s="3" t="s">
        <v>9</v>
      </c>
      <c r="E7847" s="3" t="s">
        <v>22946</v>
      </c>
      <c r="F7847" s="3" t="str">
        <f>"317-852-7402"</f>
        <v>317-852-7402</v>
      </c>
      <c r="G7847" s="3">
        <v>926150</v>
      </c>
      <c r="H7847" s="3" t="s">
        <v>47</v>
      </c>
    </row>
    <row r="7848" spans="1:8" ht="90" x14ac:dyDescent="0.25">
      <c r="A7848" s="3" t="s">
        <v>22947</v>
      </c>
      <c r="B7848" s="3"/>
      <c r="C7848" s="3" t="str">
        <f>"We are a construction company which specializes in medical facilities including, but not limited to, radiation protection, equipment supports, MRI/CT installation and/or relocation, MRI/CT facility renovation, and general facility construction."</f>
        <v>We are a construction company which specializes in medical facilities including, but not limited to, radiation protection, equipment supports, MRI/CT installation and/or relocation, MRI/CT facility renovation, and general facility construction.</v>
      </c>
      <c r="D7848" s="3" t="s">
        <v>22948</v>
      </c>
      <c r="E7848" s="3" t="s">
        <v>22949</v>
      </c>
      <c r="F7848" s="3" t="str">
        <f>"812-597-4458"</f>
        <v>812-597-4458</v>
      </c>
      <c r="G7848" s="3">
        <v>233</v>
      </c>
      <c r="H7848" s="3" t="s">
        <v>131</v>
      </c>
    </row>
    <row r="7849" spans="1:8" ht="26.25" x14ac:dyDescent="0.25">
      <c r="A7849" s="3" t="s">
        <v>22950</v>
      </c>
      <c r="B7849" s="3"/>
      <c r="C7849" s="3" t="str">
        <f>" "</f>
        <v xml:space="preserve"> </v>
      </c>
      <c r="D7849" s="3" t="s">
        <v>9</v>
      </c>
      <c r="E7849" s="3" t="s">
        <v>22951</v>
      </c>
      <c r="F7849" s="3" t="str">
        <f>"317-615-0539"</f>
        <v>317-615-0539</v>
      </c>
      <c r="G7849" s="3">
        <v>234</v>
      </c>
      <c r="H7849" s="3" t="s">
        <v>1414</v>
      </c>
    </row>
    <row r="7850" spans="1:8" ht="26.25" x14ac:dyDescent="0.25">
      <c r="A7850" s="3" t="s">
        <v>22952</v>
      </c>
      <c r="B7850" s="3"/>
      <c r="C7850" s="3" t="str">
        <f>"Fence and Gate Construction"</f>
        <v>Fence and Gate Construction</v>
      </c>
      <c r="D7850" s="3" t="s">
        <v>9</v>
      </c>
      <c r="E7850" s="3" t="s">
        <v>22953</v>
      </c>
      <c r="F7850" s="3" t="str">
        <f>"765-649-1928"</f>
        <v>765-649-1928</v>
      </c>
      <c r="G7850" s="3">
        <v>238290</v>
      </c>
      <c r="H7850" s="3" t="s">
        <v>237</v>
      </c>
    </row>
    <row r="7851" spans="1:8" ht="51.75" x14ac:dyDescent="0.25">
      <c r="A7851" s="3" t="s">
        <v>22954</v>
      </c>
      <c r="B7851" s="3"/>
      <c r="C7851" s="3" t="str">
        <f>"Richland Development Group is a comercial leasing real-estate group. We currently lease properties located in Bloomington and Ellettsville Indiana."</f>
        <v>Richland Development Group is a comercial leasing real-estate group. We currently lease properties located in Bloomington and Ellettsville Indiana.</v>
      </c>
      <c r="D7851" s="3" t="s">
        <v>11220</v>
      </c>
      <c r="E7851" s="3" t="s">
        <v>22955</v>
      </c>
      <c r="F7851" s="3" t="str">
        <f>"317-624-9126"</f>
        <v>317-624-9126</v>
      </c>
      <c r="G7851" s="3">
        <v>531120</v>
      </c>
      <c r="H7851" s="3" t="s">
        <v>2926</v>
      </c>
    </row>
    <row r="7852" spans="1:8" ht="26.25" x14ac:dyDescent="0.25">
      <c r="A7852" s="3" t="s">
        <v>22956</v>
      </c>
      <c r="B7852" s="3"/>
      <c r="C7852" s="3" t="str">
        <f>"We are a fire department located in Greene County, Indiana"</f>
        <v>We are a fire department located in Greene County, Indiana</v>
      </c>
      <c r="D7852" s="3" t="s">
        <v>22957</v>
      </c>
      <c r="E7852" s="3" t="s">
        <v>22958</v>
      </c>
      <c r="F7852" s="3" t="str">
        <f>"812-384-8969"</f>
        <v>812-384-8969</v>
      </c>
      <c r="G7852" s="3">
        <v>922160</v>
      </c>
      <c r="H7852" s="3" t="s">
        <v>2246</v>
      </c>
    </row>
    <row r="7853" spans="1:8" ht="77.25" x14ac:dyDescent="0.25">
      <c r="A7853" s="3" t="s">
        <v>22959</v>
      </c>
      <c r="B7853" s="3"/>
      <c r="C7853" s="3" t="str">
        <f>"Richmarc is a full service high definition production company serving advertising agencies, corporations, network programming. Projects include television commercials, corp. communications and documentaries."</f>
        <v>Richmarc is a full service high definition production company serving advertising agencies, corporations, network programming. Projects include television commercials, corp. communications and documentaries.</v>
      </c>
      <c r="D7853" s="3" t="s">
        <v>22960</v>
      </c>
      <c r="E7853" s="3" t="s">
        <v>22961</v>
      </c>
      <c r="F7853" s="3" t="str">
        <f>"317-923-3456"</f>
        <v>317-923-3456</v>
      </c>
      <c r="G7853" s="3">
        <v>54192</v>
      </c>
      <c r="H7853" s="3" t="s">
        <v>2613</v>
      </c>
    </row>
    <row r="7854" spans="1:8" ht="26.25" x14ac:dyDescent="0.25">
      <c r="A7854" s="3" t="s">
        <v>22962</v>
      </c>
      <c r="B7854" s="3"/>
      <c r="C7854" s="3" t="str">
        <f>"Floorcovering Service"</f>
        <v>Floorcovering Service</v>
      </c>
      <c r="D7854" s="3" t="s">
        <v>9</v>
      </c>
      <c r="E7854" s="3" t="s">
        <v>22963</v>
      </c>
      <c r="F7854" s="3" t="str">
        <f>"317-861-1650"</f>
        <v>317-861-1650</v>
      </c>
      <c r="G7854" s="3">
        <v>23833</v>
      </c>
      <c r="H7854" s="3" t="s">
        <v>2995</v>
      </c>
    </row>
    <row r="7855" spans="1:8" ht="26.25" x14ac:dyDescent="0.25">
      <c r="A7855" s="3" t="s">
        <v>22964</v>
      </c>
      <c r="B7855" s="3"/>
      <c r="C7855" s="3" t="str">
        <f>"Full Service convenience store, fuel station, and automotive repair shop."</f>
        <v>Full Service convenience store, fuel station, and automotive repair shop.</v>
      </c>
      <c r="D7855" s="3" t="s">
        <v>22965</v>
      </c>
      <c r="E7855" s="3" t="s">
        <v>46</v>
      </c>
      <c r="F7855" s="3" t="str">
        <f>"5742775035"</f>
        <v>5742775035</v>
      </c>
      <c r="G7855" s="3">
        <v>447110</v>
      </c>
      <c r="H7855" s="3" t="s">
        <v>12131</v>
      </c>
    </row>
    <row r="7856" spans="1:8" ht="51.75" x14ac:dyDescent="0.25">
      <c r="A7856" s="3" t="s">
        <v>22966</v>
      </c>
      <c r="B7856" s="3"/>
      <c r="C7856" s="3" t="str">
        <f>"We design, install and maintain any commercial or residential landscape needs. We also grass seed residential and commercial lots/acreage."</f>
        <v>We design, install and maintain any commercial or residential landscape needs. We also grass seed residential and commercial lots/acreage.</v>
      </c>
      <c r="D7856" s="3" t="s">
        <v>9</v>
      </c>
      <c r="E7856" s="3" t="s">
        <v>22967</v>
      </c>
      <c r="F7856" s="3" t="str">
        <f>"260-627-7077"</f>
        <v>260-627-7077</v>
      </c>
      <c r="G7856" s="3">
        <v>541320</v>
      </c>
      <c r="H7856" s="3" t="s">
        <v>2241</v>
      </c>
    </row>
    <row r="7857" spans="1:8" ht="26.25" x14ac:dyDescent="0.25">
      <c r="A7857" s="3" t="s">
        <v>22968</v>
      </c>
      <c r="B7857" s="3"/>
      <c r="C7857" s="3" t="str">
        <f>"Underground Storage Tank and Fuel Systems Installation"</f>
        <v>Underground Storage Tank and Fuel Systems Installation</v>
      </c>
      <c r="D7857" s="3" t="s">
        <v>9</v>
      </c>
      <c r="E7857" s="3" t="s">
        <v>46</v>
      </c>
      <c r="F7857" s="3" t="str">
        <f>"765-282-3778"</f>
        <v>765-282-3778</v>
      </c>
      <c r="G7857" s="3">
        <v>2389</v>
      </c>
      <c r="H7857" s="3" t="s">
        <v>1236</v>
      </c>
    </row>
    <row r="7858" spans="1:8" ht="26.25" x14ac:dyDescent="0.25">
      <c r="A7858" s="3" t="s">
        <v>22969</v>
      </c>
      <c r="B7858" s="3"/>
      <c r="C7858" s="2"/>
      <c r="D7858" s="3" t="s">
        <v>22970</v>
      </c>
      <c r="E7858" s="3" t="s">
        <v>22971</v>
      </c>
      <c r="F7858" s="3" t="str">
        <f>"1-800-825-4340"</f>
        <v>1-800-825-4340</v>
      </c>
      <c r="G7858" s="3">
        <v>441110</v>
      </c>
      <c r="H7858" s="3" t="s">
        <v>2588</v>
      </c>
    </row>
    <row r="7859" spans="1:8" ht="230.25" x14ac:dyDescent="0.25">
      <c r="A7859" s="3" t="s">
        <v>22972</v>
      </c>
      <c r="B7859" s="3"/>
      <c r="C7859" s="3" t="s">
        <v>22973</v>
      </c>
      <c r="D7859" s="3" t="s">
        <v>22974</v>
      </c>
      <c r="E7859" s="3" t="s">
        <v>22975</v>
      </c>
      <c r="F7859" s="3" t="str">
        <f>"317-225-5868"</f>
        <v>317-225-5868</v>
      </c>
      <c r="G7859" s="3">
        <v>511210</v>
      </c>
      <c r="H7859" s="3" t="s">
        <v>315</v>
      </c>
    </row>
    <row r="7860" spans="1:8" ht="39" x14ac:dyDescent="0.25">
      <c r="A7860" s="3" t="s">
        <v>22976</v>
      </c>
      <c r="B7860" s="3"/>
      <c r="C7860" s="3" t="str">
        <f>"Right of Way Acquisition service for the highways and utilities, etc. Clients include INDOT, LPA's and consultants."</f>
        <v>Right of Way Acquisition service for the highways and utilities, etc. Clients include INDOT, LPA's and consultants.</v>
      </c>
      <c r="D7860" s="3" t="s">
        <v>9</v>
      </c>
      <c r="E7860" s="3" t="s">
        <v>22977</v>
      </c>
      <c r="F7860" s="3" t="str">
        <f>"260-471-6515"</f>
        <v>260-471-6515</v>
      </c>
      <c r="G7860" s="3">
        <v>541990</v>
      </c>
      <c r="H7860" s="3" t="s">
        <v>378</v>
      </c>
    </row>
    <row r="7861" spans="1:8" ht="77.25" x14ac:dyDescent="0.25">
      <c r="A7861" s="3" t="s">
        <v>22978</v>
      </c>
      <c r="B7861" s="3"/>
      <c r="C7861" s="3" t="str">
        <f>"Currently in route to publishing Dividing Lines Magazine and DLM in spanish, but not limited to producing television, radio advertisments for businesses. Also, currently producing a screenplay for a movie."</f>
        <v>Currently in route to publishing Dividing Lines Magazine and DLM in spanish, but not limited to producing television, radio advertisments for businesses. Also, currently producing a screenplay for a movie.</v>
      </c>
      <c r="D7861" s="3" t="s">
        <v>22979</v>
      </c>
      <c r="E7861" s="3" t="s">
        <v>22980</v>
      </c>
      <c r="F7861" s="3" t="str">
        <f>"3172938378"</f>
        <v>3172938378</v>
      </c>
      <c r="G7861" s="3">
        <v>541840</v>
      </c>
      <c r="H7861" s="3" t="s">
        <v>4886</v>
      </c>
    </row>
    <row r="7862" spans="1:8" ht="77.25" x14ac:dyDescent="0.25">
      <c r="A7862" s="3" t="s">
        <v>22981</v>
      </c>
      <c r="B7862" s="3"/>
      <c r="C7862" s="3" t="str">
        <f>"Brick Restoration specialist,commercial and residential restoration of brick.From foundation to chimney, brick structure repair from arches to towers or storefront of buildings to entire building. Waterproofing and excavating foundations."</f>
        <v>Brick Restoration specialist,commercial and residential restoration of brick.From foundation to chimney, brick structure repair from arches to towers or storefront of buildings to entire building. Waterproofing and excavating foundations.</v>
      </c>
      <c r="D7862" s="3" t="s">
        <v>22982</v>
      </c>
      <c r="E7862" s="3" t="s">
        <v>22983</v>
      </c>
      <c r="F7862" s="3" t="str">
        <f>"765-339-4989"</f>
        <v>765-339-4989</v>
      </c>
      <c r="G7862" s="3">
        <v>238140</v>
      </c>
      <c r="H7862" s="3" t="s">
        <v>1830</v>
      </c>
    </row>
    <row r="7863" spans="1:8" ht="39" x14ac:dyDescent="0.25">
      <c r="A7863" s="3" t="s">
        <v>22984</v>
      </c>
      <c r="B7863" s="3"/>
      <c r="C7863" s="3" t="str">
        <f>"Bulk fuel &amp; Tanker deliverys, auto maintanince &amp; repair Full service gas station, case oils"</f>
        <v>Bulk fuel &amp; Tanker deliverys, auto maintanince &amp; repair Full service gas station, case oils</v>
      </c>
      <c r="D7863" s="3" t="s">
        <v>9</v>
      </c>
      <c r="E7863" s="3" t="s">
        <v>22985</v>
      </c>
      <c r="F7863" s="3" t="str">
        <f>"812-723-2294"</f>
        <v>812-723-2294</v>
      </c>
      <c r="G7863" s="3">
        <v>45431</v>
      </c>
      <c r="H7863" s="3" t="s">
        <v>13772</v>
      </c>
    </row>
    <row r="7864" spans="1:8" ht="230.25" x14ac:dyDescent="0.25">
      <c r="A7864" s="3" t="s">
        <v>22986</v>
      </c>
      <c r="B7864" s="3"/>
      <c r="C7864" s="3" t="s">
        <v>22987</v>
      </c>
      <c r="D7864" s="3" t="s">
        <v>9</v>
      </c>
      <c r="E7864" s="3" t="s">
        <v>22988</v>
      </c>
      <c r="F7864" s="3" t="str">
        <f>"(574) 234-0482"</f>
        <v>(574) 234-0482</v>
      </c>
      <c r="G7864" s="3">
        <v>423990</v>
      </c>
      <c r="H7864" s="3" t="s">
        <v>983</v>
      </c>
    </row>
    <row r="7865" spans="1:8" ht="26.25" x14ac:dyDescent="0.25">
      <c r="A7865" s="3" t="s">
        <v>22989</v>
      </c>
      <c r="B7865" s="3"/>
      <c r="C7865" s="3" t="str">
        <f>"Residential and light commercial building, demolition, and related services."</f>
        <v>Residential and light commercial building, demolition, and related services.</v>
      </c>
      <c r="D7865" s="3" t="s">
        <v>9</v>
      </c>
      <c r="E7865" s="3" t="s">
        <v>46</v>
      </c>
      <c r="F7865" s="3" t="str">
        <f>"(812)689-4725"</f>
        <v>(812)689-4725</v>
      </c>
      <c r="G7865" s="3">
        <v>236</v>
      </c>
      <c r="H7865" s="3" t="s">
        <v>291</v>
      </c>
    </row>
    <row r="7866" spans="1:8" ht="26.25" x14ac:dyDescent="0.25">
      <c r="A7866" s="3" t="s">
        <v>22990</v>
      </c>
      <c r="B7866" s="3"/>
      <c r="C7866" s="3" t="str">
        <f>"County Government"</f>
        <v>County Government</v>
      </c>
      <c r="D7866" s="3" t="s">
        <v>22991</v>
      </c>
      <c r="E7866" s="3" t="s">
        <v>22992</v>
      </c>
      <c r="F7866" s="3" t="str">
        <f>"812-689-6311"</f>
        <v>812-689-6311</v>
      </c>
      <c r="G7866" s="3">
        <v>921190</v>
      </c>
      <c r="H7866" s="3" t="s">
        <v>4809</v>
      </c>
    </row>
    <row r="7867" spans="1:8" ht="51.75" x14ac:dyDescent="0.25">
      <c r="A7867" s="3" t="s">
        <v>22993</v>
      </c>
      <c r="B7867" s="3"/>
      <c r="C7867" s="3" t="str">
        <f>"We are a not for profit organization that provides mental health counseling services as well as linkage to appropriate community resources to fit client needs."</f>
        <v>We are a not for profit organization that provides mental health counseling services as well as linkage to appropriate community resources to fit client needs.</v>
      </c>
      <c r="D7867" s="3" t="s">
        <v>9</v>
      </c>
      <c r="E7867" s="3" t="s">
        <v>22994</v>
      </c>
      <c r="F7867" s="3" t="str">
        <f>"317-931-8018"</f>
        <v>317-931-8018</v>
      </c>
      <c r="G7867" s="3">
        <v>624190</v>
      </c>
      <c r="H7867" s="3" t="s">
        <v>54</v>
      </c>
    </row>
    <row r="7868" spans="1:8" ht="26.25" x14ac:dyDescent="0.25">
      <c r="A7868" s="3" t="s">
        <v>22995</v>
      </c>
      <c r="B7868" s="3"/>
      <c r="C7868" s="3" t="str">
        <f>"Help clients to buy and sell commerical, residential and land properties."</f>
        <v>Help clients to buy and sell commerical, residential and land properties.</v>
      </c>
      <c r="D7868" s="3" t="s">
        <v>9</v>
      </c>
      <c r="E7868" s="3" t="s">
        <v>22996</v>
      </c>
      <c r="F7868" s="3" t="str">
        <f>"317-603-4621"</f>
        <v>317-603-4621</v>
      </c>
      <c r="G7868" s="3">
        <v>531</v>
      </c>
      <c r="H7868" s="3" t="s">
        <v>74</v>
      </c>
    </row>
    <row r="7869" spans="1:8" ht="39" x14ac:dyDescent="0.25">
      <c r="A7869" s="3" t="s">
        <v>22997</v>
      </c>
      <c r="B7869" s="3"/>
      <c r="C7869" s="3" t="str">
        <f>"We provide home-based tutoring and mentoring services for youth ranging in age from 5 years old to 18 years of age."</f>
        <v>We provide home-based tutoring and mentoring services for youth ranging in age from 5 years old to 18 years of age.</v>
      </c>
      <c r="D7869" s="3" t="s">
        <v>9</v>
      </c>
      <c r="E7869" s="3" t="s">
        <v>22998</v>
      </c>
      <c r="F7869" s="3" t="str">
        <f>"(219) 201-0770"</f>
        <v>(219) 201-0770</v>
      </c>
      <c r="G7869" s="3">
        <v>611691</v>
      </c>
      <c r="H7869" s="3" t="s">
        <v>30</v>
      </c>
    </row>
    <row r="7870" spans="1:8" ht="39" x14ac:dyDescent="0.25">
      <c r="A7870" s="3" t="s">
        <v>22999</v>
      </c>
      <c r="B7870" s="3"/>
      <c r="C7870" s="3" t="str">
        <f>"Rising Sun Medical Center is a community health center that provides primary care from birth to death."</f>
        <v>Rising Sun Medical Center is a community health center that provides primary care from birth to death.</v>
      </c>
      <c r="D7870" s="3" t="s">
        <v>9</v>
      </c>
      <c r="E7870" s="3" t="s">
        <v>46</v>
      </c>
      <c r="F7870" s="3" t="str">
        <f>"812-438-2555"</f>
        <v>812-438-2555</v>
      </c>
      <c r="G7870" s="3">
        <v>621112</v>
      </c>
      <c r="H7870" s="3" t="s">
        <v>1112</v>
      </c>
    </row>
    <row r="7871" spans="1:8" ht="77.25" x14ac:dyDescent="0.25">
      <c r="A7871" s="3" t="s">
        <v>23000</v>
      </c>
      <c r="B7871" s="3"/>
      <c r="C7871" s="3" t="str">
        <f>"We are a 47 year old company located in Evansville, IN. Our primary business is consumer electronics. We sell, service and install consumer electronics. We are also involved in commercial, residential, businesses as well as retail."</f>
        <v>We are a 47 year old company located in Evansville, IN. Our primary business is consumer electronics. We sell, service and install consumer electronics. We are also involved in commercial, residential, businesses as well as retail.</v>
      </c>
      <c r="D7871" s="3" t="s">
        <v>23001</v>
      </c>
      <c r="E7871" s="3" t="s">
        <v>23002</v>
      </c>
      <c r="F7871" s="3" t="str">
        <f>"812-479-8787"</f>
        <v>812-479-8787</v>
      </c>
      <c r="G7871" s="3">
        <v>23599</v>
      </c>
      <c r="H7871" s="3" t="s">
        <v>248</v>
      </c>
    </row>
    <row r="7872" spans="1:8" ht="128.25" x14ac:dyDescent="0.25">
      <c r="A7872" s="3" t="s">
        <v>23003</v>
      </c>
      <c r="B7872" s="3"/>
      <c r="C7872" s="3" t="s">
        <v>23004</v>
      </c>
      <c r="D7872" s="3" t="s">
        <v>23005</v>
      </c>
      <c r="E7872" s="3" t="s">
        <v>23006</v>
      </c>
      <c r="F7872" s="3" t="str">
        <f>"317-291-1050"</f>
        <v>317-291-1050</v>
      </c>
      <c r="G7872" s="3">
        <v>32311</v>
      </c>
      <c r="H7872" s="3" t="s">
        <v>531</v>
      </c>
    </row>
    <row r="7873" spans="1:8" ht="64.5" x14ac:dyDescent="0.25">
      <c r="A7873" s="3" t="s">
        <v>23007</v>
      </c>
      <c r="B7873" s="3"/>
      <c r="C7873" s="3" t="str">
        <f>"As of this date we have been in business for 61 years doing business within a 100 mile radius of South Bend, IN. Our focus is on site preparation, demolition and site utilities, commercial and industrial."</f>
        <v>As of this date we have been in business for 61 years doing business within a 100 mile radius of South Bend, IN. Our focus is on site preparation, demolition and site utilities, commercial and industrial.</v>
      </c>
      <c r="D7873" s="3" t="s">
        <v>23008</v>
      </c>
      <c r="E7873" s="3" t="s">
        <v>23009</v>
      </c>
      <c r="F7873" s="3" t="str">
        <f>"574-288-4777"</f>
        <v>574-288-4777</v>
      </c>
      <c r="G7873" s="3">
        <v>23891</v>
      </c>
      <c r="H7873" s="3" t="s">
        <v>886</v>
      </c>
    </row>
    <row r="7874" spans="1:8" ht="26.25" x14ac:dyDescent="0.25">
      <c r="A7874" s="3" t="s">
        <v>23010</v>
      </c>
      <c r="B7874" s="3"/>
      <c r="C7874" s="3" t="str">
        <f>"Ritz Charles is a full-service special event facility with off-site catering services"</f>
        <v>Ritz Charles is a full-service special event facility with off-site catering services</v>
      </c>
      <c r="D7874" s="3" t="s">
        <v>23011</v>
      </c>
      <c r="E7874" s="3" t="s">
        <v>23012</v>
      </c>
      <c r="F7874" s="3" t="str">
        <f>"317-846-9158"</f>
        <v>317-846-9158</v>
      </c>
      <c r="G7874" s="3">
        <v>72232</v>
      </c>
      <c r="H7874" s="3" t="s">
        <v>266</v>
      </c>
    </row>
    <row r="7875" spans="1:8" ht="39" x14ac:dyDescent="0.25">
      <c r="A7875" s="3" t="s">
        <v>23013</v>
      </c>
      <c r="B7875" s="3"/>
      <c r="C7875" s="3" t="str">
        <f>"Distributor of safety and safety related products including eye, head,hand, hearing, respiratory and fall protection equipment."</f>
        <v>Distributor of safety and safety related products including eye, head,hand, hearing, respiratory and fall protection equipment.</v>
      </c>
      <c r="D7875" s="3" t="s">
        <v>23014</v>
      </c>
      <c r="E7875" s="3" t="s">
        <v>23015</v>
      </c>
      <c r="F7875" s="3" t="str">
        <f>"317-263-3500"</f>
        <v>317-263-3500</v>
      </c>
      <c r="G7875" s="3">
        <v>423990</v>
      </c>
      <c r="H7875" s="3" t="s">
        <v>983</v>
      </c>
    </row>
    <row r="7876" spans="1:8" ht="204.75" x14ac:dyDescent="0.25">
      <c r="A7876" s="3" t="s">
        <v>23016</v>
      </c>
      <c r="B7876" s="3"/>
      <c r="C7876" s="3" t="s">
        <v>23017</v>
      </c>
      <c r="D7876" s="3" t="s">
        <v>23018</v>
      </c>
      <c r="E7876" s="3" t="s">
        <v>23019</v>
      </c>
      <c r="F7876" s="3" t="str">
        <f>"8122858979"</f>
        <v>8122858979</v>
      </c>
      <c r="G7876" s="3">
        <v>926110</v>
      </c>
      <c r="H7876" s="3" t="s">
        <v>19417</v>
      </c>
    </row>
    <row r="7877" spans="1:8" ht="217.5" x14ac:dyDescent="0.25">
      <c r="A7877" s="3" t="s">
        <v>23020</v>
      </c>
      <c r="B7877" s="3"/>
      <c r="C7877" s="3" t="s">
        <v>23021</v>
      </c>
      <c r="D7877" s="3" t="s">
        <v>23022</v>
      </c>
      <c r="E7877" s="3" t="s">
        <v>23023</v>
      </c>
      <c r="F7877" s="3" t="str">
        <f>"812-265-2652"</f>
        <v>812-265-2652</v>
      </c>
      <c r="G7877" s="3">
        <v>561310</v>
      </c>
      <c r="H7877" s="3" t="s">
        <v>1720</v>
      </c>
    </row>
    <row r="7878" spans="1:8" ht="102.75" x14ac:dyDescent="0.25">
      <c r="A7878" s="3" t="s">
        <v>23024</v>
      </c>
      <c r="B7878" s="3"/>
      <c r="C7878" s="3" t="s">
        <v>23025</v>
      </c>
      <c r="D7878" s="3" t="s">
        <v>23026</v>
      </c>
      <c r="E7878" s="3" t="s">
        <v>23027</v>
      </c>
      <c r="F7878" s="3" t="str">
        <f>"812-248-4622"</f>
        <v>812-248-4622</v>
      </c>
      <c r="G7878" s="3">
        <v>448</v>
      </c>
      <c r="H7878" s="3" t="s">
        <v>2198</v>
      </c>
    </row>
    <row r="7879" spans="1:8" ht="204.75" x14ac:dyDescent="0.25">
      <c r="A7879" s="3" t="s">
        <v>23028</v>
      </c>
      <c r="B7879" s="3"/>
      <c r="C7879" s="3" t="s">
        <v>23029</v>
      </c>
      <c r="D7879" s="3" t="s">
        <v>23030</v>
      </c>
      <c r="E7879" s="3" t="s">
        <v>23031</v>
      </c>
      <c r="F7879" s="3" t="str">
        <f>"812-246-4055"</f>
        <v>812-246-4055</v>
      </c>
      <c r="G7879" s="3">
        <v>541511</v>
      </c>
      <c r="H7879" s="3" t="s">
        <v>122</v>
      </c>
    </row>
    <row r="7880" spans="1:8" ht="90" x14ac:dyDescent="0.25">
      <c r="A7880" s="3" t="s">
        <v>23032</v>
      </c>
      <c r="B7880" s="3"/>
      <c r="C7880" s="3" t="s">
        <v>23033</v>
      </c>
      <c r="D7880" s="3" t="s">
        <v>23034</v>
      </c>
      <c r="E7880" s="3" t="s">
        <v>23035</v>
      </c>
      <c r="F7880" s="3" t="str">
        <f>"317-328-1704"</f>
        <v>317-328-1704</v>
      </c>
      <c r="G7880" s="3">
        <v>238210</v>
      </c>
      <c r="H7880" s="3" t="s">
        <v>306</v>
      </c>
    </row>
    <row r="7881" spans="1:8" ht="51.75" x14ac:dyDescent="0.25">
      <c r="A7881" s="3" t="s">
        <v>23036</v>
      </c>
      <c r="B7881" s="3"/>
      <c r="C7881" s="3" t="str">
        <f>"Mechanical contractors: HVAC (heating and cooling), Electrical and Plumbing for residential and commercial applications. Solar and wind energy consultants."</f>
        <v>Mechanical contractors: HVAC (heating and cooling), Electrical and Plumbing for residential and commercial applications. Solar and wind energy consultants.</v>
      </c>
      <c r="D7881" s="3" t="s">
        <v>9</v>
      </c>
      <c r="E7881" s="3" t="s">
        <v>23037</v>
      </c>
      <c r="F7881" s="3" t="str">
        <f>"260-982-1180"</f>
        <v>260-982-1180</v>
      </c>
      <c r="G7881" s="3">
        <v>23511</v>
      </c>
      <c r="H7881" s="3" t="s">
        <v>892</v>
      </c>
    </row>
    <row r="7882" spans="1:8" ht="128.25" x14ac:dyDescent="0.25">
      <c r="A7882" s="3" t="s">
        <v>23038</v>
      </c>
      <c r="B7882" s="3"/>
      <c r="C7882" s="3" t="s">
        <v>23039</v>
      </c>
      <c r="D7882" s="3" t="s">
        <v>23040</v>
      </c>
      <c r="E7882" s="3" t="s">
        <v>23041</v>
      </c>
      <c r="F7882" s="3" t="str">
        <f>"317-572-5029"</f>
        <v>317-572-5029</v>
      </c>
      <c r="G7882" s="3">
        <v>561720</v>
      </c>
      <c r="H7882" s="3" t="s">
        <v>222</v>
      </c>
    </row>
    <row r="7883" spans="1:8" ht="39" x14ac:dyDescent="0.25">
      <c r="A7883" s="3" t="s">
        <v>23042</v>
      </c>
      <c r="B7883" s="3"/>
      <c r="C7883" s="3" t="str">
        <f>"All types of floorcovering including installation of the same, residential and commercial."</f>
        <v>All types of floorcovering including installation of the same, residential and commercial.</v>
      </c>
      <c r="D7883" s="3" t="s">
        <v>9</v>
      </c>
      <c r="E7883" s="3" t="s">
        <v>23043</v>
      </c>
      <c r="F7883" s="3" t="str">
        <f>"812-522-7738"</f>
        <v>812-522-7738</v>
      </c>
      <c r="G7883" s="3">
        <v>442210</v>
      </c>
      <c r="H7883" s="3" t="s">
        <v>2301</v>
      </c>
    </row>
    <row r="7884" spans="1:8" ht="166.5" x14ac:dyDescent="0.25">
      <c r="A7884" s="3" t="s">
        <v>23044</v>
      </c>
      <c r="B7884" s="3"/>
      <c r="C7884" s="3" t="s">
        <v>23045</v>
      </c>
      <c r="D7884" s="3" t="s">
        <v>9</v>
      </c>
      <c r="E7884" s="3" t="s">
        <v>23046</v>
      </c>
      <c r="F7884" s="3" t="str">
        <f>"317-722-1005"</f>
        <v>317-722-1005</v>
      </c>
      <c r="G7884" s="3">
        <v>922140</v>
      </c>
      <c r="H7884" s="3" t="s">
        <v>14982</v>
      </c>
    </row>
    <row r="7885" spans="1:8" ht="39" x14ac:dyDescent="0.25">
      <c r="A7885" s="3" t="s">
        <v>23047</v>
      </c>
      <c r="B7885" s="3"/>
      <c r="C7885" s="3" t="str">
        <f>"Heavy Construction Heavy Excavation and Earth Moving work Inside Maintenance of power plant facility"</f>
        <v>Heavy Construction Heavy Excavation and Earth Moving work Inside Maintenance of power plant facility</v>
      </c>
      <c r="D7885" s="3" t="s">
        <v>23048</v>
      </c>
      <c r="E7885" s="3" t="s">
        <v>46</v>
      </c>
      <c r="F7885" s="3" t="str">
        <f>"8122738795"</f>
        <v>8122738795</v>
      </c>
      <c r="G7885" s="3">
        <v>237990</v>
      </c>
      <c r="H7885" s="3" t="s">
        <v>2631</v>
      </c>
    </row>
    <row r="7886" spans="1:8" ht="128.25" x14ac:dyDescent="0.25">
      <c r="A7886" s="3" t="s">
        <v>23049</v>
      </c>
      <c r="B7886" s="3"/>
      <c r="C7886" s="3" t="s">
        <v>23050</v>
      </c>
      <c r="D7886" s="3" t="s">
        <v>23051</v>
      </c>
      <c r="E7886" s="3" t="s">
        <v>23052</v>
      </c>
      <c r="F7886" s="3" t="str">
        <f>"219-838-3400"</f>
        <v>219-838-3400</v>
      </c>
      <c r="G7886" s="3">
        <v>52421</v>
      </c>
      <c r="H7886" s="3" t="s">
        <v>1183</v>
      </c>
    </row>
    <row r="7887" spans="1:8" ht="26.25" x14ac:dyDescent="0.25">
      <c r="A7887" s="3" t="s">
        <v>23053</v>
      </c>
      <c r="B7887" s="3"/>
      <c r="C7887" s="3" t="str">
        <f>"Providing Automotive parts and Janitorial supplies to businesses."</f>
        <v>Providing Automotive parts and Janitorial supplies to businesses.</v>
      </c>
      <c r="D7887" s="3" t="s">
        <v>9</v>
      </c>
      <c r="E7887" s="3" t="s">
        <v>23054</v>
      </c>
      <c r="F7887" s="3" t="str">
        <f>"2196694869"</f>
        <v>2196694869</v>
      </c>
      <c r="G7887" s="3">
        <v>423120</v>
      </c>
      <c r="H7887" s="3" t="s">
        <v>1033</v>
      </c>
    </row>
    <row r="7888" spans="1:8" ht="192" x14ac:dyDescent="0.25">
      <c r="A7888" s="3" t="s">
        <v>23055</v>
      </c>
      <c r="B7888" s="3"/>
      <c r="C7888" s="3" t="s">
        <v>23056</v>
      </c>
      <c r="D7888" s="3" t="s">
        <v>23057</v>
      </c>
      <c r="E7888" s="3" t="s">
        <v>23058</v>
      </c>
      <c r="F7888" s="3" t="str">
        <f>"877-LET-OVER"</f>
        <v>877-LET-OVER</v>
      </c>
      <c r="G7888" s="3">
        <v>33995</v>
      </c>
      <c r="H7888" s="3" t="s">
        <v>68</v>
      </c>
    </row>
    <row r="7889" spans="1:8" ht="26.25" x14ac:dyDescent="0.25">
      <c r="A7889" s="3" t="s">
        <v>23059</v>
      </c>
      <c r="B7889" s="3"/>
      <c r="C7889" s="3" t="str">
        <f>"Offers Drivers education and Defensive driving courses"</f>
        <v>Offers Drivers education and Defensive driving courses</v>
      </c>
      <c r="D7889" s="3" t="s">
        <v>23060</v>
      </c>
      <c r="E7889" s="3" t="s">
        <v>23061</v>
      </c>
      <c r="F7889" s="3" t="str">
        <f>"317-7368354"</f>
        <v>317-7368354</v>
      </c>
      <c r="G7889" s="3">
        <v>11</v>
      </c>
      <c r="H7889" s="3" t="s">
        <v>175</v>
      </c>
    </row>
    <row r="7890" spans="1:8" ht="51.75" x14ac:dyDescent="0.25">
      <c r="A7890" s="3" t="s">
        <v>23062</v>
      </c>
      <c r="B7890" s="3"/>
      <c r="C7890" s="3" t="str">
        <f>"Road to Freedom, Inc. is a non-profit organization which specializes in providing outpatient treatment counseling for intensive addictions."</f>
        <v>Road to Freedom, Inc. is a non-profit organization which specializes in providing outpatient treatment counseling for intensive addictions.</v>
      </c>
      <c r="D7890" s="3" t="s">
        <v>9</v>
      </c>
      <c r="E7890" s="3" t="s">
        <v>23063</v>
      </c>
      <c r="F7890" s="3" t="str">
        <f>"317-568-0683"</f>
        <v>317-568-0683</v>
      </c>
      <c r="G7890" s="3">
        <v>621420</v>
      </c>
      <c r="H7890" s="3" t="s">
        <v>990</v>
      </c>
    </row>
    <row r="7891" spans="1:8" ht="102.75" x14ac:dyDescent="0.25">
      <c r="A7891" s="3" t="s">
        <v>23064</v>
      </c>
      <c r="B7891" s="3"/>
      <c r="C7891" s="3" t="s">
        <v>23065</v>
      </c>
      <c r="D7891" s="3" t="s">
        <v>23057</v>
      </c>
      <c r="E7891" s="3" t="s">
        <v>23058</v>
      </c>
      <c r="F7891" s="3" t="str">
        <f>"317-527-9488"</f>
        <v>317-527-9488</v>
      </c>
      <c r="G7891" s="3">
        <v>336</v>
      </c>
      <c r="H7891" s="3" t="s">
        <v>2720</v>
      </c>
    </row>
    <row r="7892" spans="1:8" ht="26.25" x14ac:dyDescent="0.25">
      <c r="A7892" s="3" t="s">
        <v>23066</v>
      </c>
      <c r="B7892" s="3"/>
      <c r="C7892" s="3" t="str">
        <f>"Asphalt Paving and other asphalt services including concrete, excavation, sewer"</f>
        <v>Asphalt Paving and other asphalt services including concrete, excavation, sewer</v>
      </c>
      <c r="D7892" s="3" t="s">
        <v>23067</v>
      </c>
      <c r="E7892" s="3" t="s">
        <v>23068</v>
      </c>
      <c r="F7892" s="3" t="str">
        <f>"(219) 944-4900"</f>
        <v>(219) 944-4900</v>
      </c>
      <c r="G7892" s="3">
        <v>237310</v>
      </c>
      <c r="H7892" s="3" t="s">
        <v>768</v>
      </c>
    </row>
    <row r="7893" spans="1:8" ht="39" x14ac:dyDescent="0.25">
      <c r="A7893" s="3" t="s">
        <v>23069</v>
      </c>
      <c r="B7893" s="3"/>
      <c r="C7893" s="3" t="str">
        <f>"Real Estate Appraisals"</f>
        <v>Real Estate Appraisals</v>
      </c>
      <c r="D7893" s="3" t="s">
        <v>9</v>
      </c>
      <c r="E7893" s="3" t="s">
        <v>23070</v>
      </c>
      <c r="F7893" s="3" t="str">
        <f>"317-257-6255 EXT 1"</f>
        <v>317-257-6255 EXT 1</v>
      </c>
      <c r="G7893" s="3">
        <v>531320</v>
      </c>
      <c r="H7893" s="3" t="s">
        <v>34</v>
      </c>
    </row>
    <row r="7894" spans="1:8" ht="39" x14ac:dyDescent="0.25">
      <c r="A7894" s="3" t="s">
        <v>23071</v>
      </c>
      <c r="B7894" s="3"/>
      <c r="C7894" s="3" t="str">
        <f>"Consulting Business on growth, Marketing, Diversity/Inclusion along with Trainong and Workshops"</f>
        <v>Consulting Business on growth, Marketing, Diversity/Inclusion along with Trainong and Workshops</v>
      </c>
      <c r="D7894" s="3" t="s">
        <v>9</v>
      </c>
      <c r="E7894" s="3" t="s">
        <v>23072</v>
      </c>
      <c r="F7894" s="3" t="str">
        <f>"502-759-6959"</f>
        <v>502-759-6959</v>
      </c>
      <c r="G7894" s="3">
        <v>541611</v>
      </c>
      <c r="H7894" s="3" t="s">
        <v>278</v>
      </c>
    </row>
    <row r="7895" spans="1:8" ht="179.25" x14ac:dyDescent="0.25">
      <c r="A7895" s="3" t="s">
        <v>23073</v>
      </c>
      <c r="B7895" s="3"/>
      <c r="C7895" s="3" t="s">
        <v>23074</v>
      </c>
      <c r="D7895" s="3" t="s">
        <v>9</v>
      </c>
      <c r="E7895" s="3" t="s">
        <v>46</v>
      </c>
      <c r="F7895" s="2"/>
      <c r="G7895" s="3">
        <v>236116</v>
      </c>
      <c r="H7895" s="3" t="s">
        <v>438</v>
      </c>
    </row>
    <row r="7896" spans="1:8" ht="77.25" x14ac:dyDescent="0.25">
      <c r="A7896" s="3" t="s">
        <v>23075</v>
      </c>
      <c r="B7896" s="3"/>
      <c r="C7896" s="3" t="str">
        <f>"Certified Public Accounting firm involved in small business services and tax services, financial statement preparation and evaluation for small business, financial projection work, forensic accounting services."</f>
        <v>Certified Public Accounting firm involved in small business services and tax services, financial statement preparation and evaluation for small business, financial projection work, forensic accounting services.</v>
      </c>
      <c r="D7896" s="3" t="s">
        <v>9</v>
      </c>
      <c r="E7896" s="3" t="s">
        <v>23076</v>
      </c>
      <c r="F7896" s="3" t="str">
        <f>"3176373575"</f>
        <v>3176373575</v>
      </c>
      <c r="G7896" s="3">
        <v>541211</v>
      </c>
      <c r="H7896" s="3" t="s">
        <v>337</v>
      </c>
    </row>
    <row r="7897" spans="1:8" ht="39" x14ac:dyDescent="0.25">
      <c r="A7897" s="3" t="s">
        <v>23077</v>
      </c>
      <c r="B7897" s="3"/>
      <c r="C7897" s="3" t="str">
        <f>"General contractor specializing in commercial, industrial, and design build work"</f>
        <v>General contractor specializing in commercial, industrial, and design build work</v>
      </c>
      <c r="D7897" s="3" t="s">
        <v>23078</v>
      </c>
      <c r="E7897" s="3" t="s">
        <v>23079</v>
      </c>
      <c r="F7897" s="3" t="str">
        <f>"(260) 432-5114"</f>
        <v>(260) 432-5114</v>
      </c>
      <c r="G7897" s="3">
        <v>233</v>
      </c>
      <c r="H7897" s="3" t="s">
        <v>131</v>
      </c>
    </row>
    <row r="7898" spans="1:8" ht="102.75" x14ac:dyDescent="0.25">
      <c r="A7898" s="3" t="s">
        <v>23080</v>
      </c>
      <c r="B7898" s="3"/>
      <c r="C7898" s="3" t="s">
        <v>23081</v>
      </c>
      <c r="D7898" s="3" t="s">
        <v>23082</v>
      </c>
      <c r="E7898" s="3" t="s">
        <v>23083</v>
      </c>
      <c r="F7898" s="3" t="str">
        <f>"317-745-6995"</f>
        <v>317-745-6995</v>
      </c>
      <c r="G7898" s="3">
        <v>541330</v>
      </c>
      <c r="H7898" s="3" t="s">
        <v>82</v>
      </c>
    </row>
    <row r="7899" spans="1:8" ht="64.5" x14ac:dyDescent="0.25">
      <c r="A7899" s="3" t="s">
        <v>23084</v>
      </c>
      <c r="B7899" s="3"/>
      <c r="C7899" s="3" t="str">
        <f>"Painting and wood finishing. We are a custom painting company that offers high quality painting services to home and business. We specialize in custom trim and cabinetry finishing and refinishing."</f>
        <v>Painting and wood finishing. We are a custom painting company that offers high quality painting services to home and business. We specialize in custom trim and cabinetry finishing and refinishing.</v>
      </c>
      <c r="D7899" s="3" t="s">
        <v>23085</v>
      </c>
      <c r="E7899" s="3" t="s">
        <v>23086</v>
      </c>
      <c r="F7899" s="3" t="str">
        <f>"317-440-2899"</f>
        <v>317-440-2899</v>
      </c>
      <c r="G7899" s="3">
        <v>238320</v>
      </c>
      <c r="H7899" s="3" t="s">
        <v>462</v>
      </c>
    </row>
    <row r="7900" spans="1:8" ht="26.25" x14ac:dyDescent="0.25">
      <c r="A7900" s="3" t="s">
        <v>23087</v>
      </c>
      <c r="B7900" s="3"/>
      <c r="C7900" s="3" t="str">
        <f>"Specializing in placing highly skilled IT professionals on a projecor interim basis."</f>
        <v>Specializing in placing highly skilled IT professionals on a projecor interim basis.</v>
      </c>
      <c r="D7900" s="3" t="s">
        <v>23088</v>
      </c>
      <c r="E7900" s="3" t="s">
        <v>23089</v>
      </c>
      <c r="F7900" s="3" t="str">
        <f>"317-687-3275"</f>
        <v>317-687-3275</v>
      </c>
      <c r="G7900" s="3">
        <v>561310</v>
      </c>
      <c r="H7900" s="3" t="s">
        <v>1720</v>
      </c>
    </row>
    <row r="7901" spans="1:8" ht="39" x14ac:dyDescent="0.25">
      <c r="A7901" s="3" t="s">
        <v>23090</v>
      </c>
      <c r="B7901" s="3"/>
      <c r="C7901" s="3" t="str">
        <f>"Complete full service Safety supplies, equipment, instruments. Rental equipment. Technical Service and Repair"</f>
        <v>Complete full service Safety supplies, equipment, instruments. Rental equipment. Technical Service and Repair</v>
      </c>
      <c r="D7901" s="3" t="s">
        <v>23091</v>
      </c>
      <c r="E7901" s="3" t="s">
        <v>23092</v>
      </c>
      <c r="F7901" s="3" t="str">
        <f>"502-587-0732"</f>
        <v>502-587-0732</v>
      </c>
      <c r="G7901" s="3">
        <v>423840</v>
      </c>
      <c r="H7901" s="3" t="s">
        <v>553</v>
      </c>
    </row>
    <row r="7902" spans="1:8" x14ac:dyDescent="0.25">
      <c r="A7902" s="3" t="s">
        <v>23093</v>
      </c>
      <c r="B7902" s="3"/>
      <c r="C7902" s="3" t="str">
        <f>" "</f>
        <v xml:space="preserve"> </v>
      </c>
      <c r="D7902" s="3" t="s">
        <v>9</v>
      </c>
      <c r="E7902" s="3" t="s">
        <v>46</v>
      </c>
      <c r="F7902" s="2"/>
      <c r="G7902" s="3">
        <v>531320</v>
      </c>
      <c r="H7902" s="3" t="s">
        <v>34</v>
      </c>
    </row>
    <row r="7903" spans="1:8" ht="281.25" x14ac:dyDescent="0.25">
      <c r="A7903" s="3" t="s">
        <v>23094</v>
      </c>
      <c r="B7903" s="3"/>
      <c r="C7903" s="3" t="s">
        <v>23095</v>
      </c>
      <c r="D7903" s="3" t="s">
        <v>23096</v>
      </c>
      <c r="E7903" s="3" t="s">
        <v>23097</v>
      </c>
      <c r="F7903" s="3" t="str">
        <f>"317-738-2386"</f>
        <v>317-738-2386</v>
      </c>
      <c r="G7903" s="3">
        <v>561730</v>
      </c>
      <c r="H7903" s="3" t="s">
        <v>65</v>
      </c>
    </row>
    <row r="7904" spans="1:8" ht="115.5" x14ac:dyDescent="0.25">
      <c r="A7904" s="3" t="s">
        <v>23098</v>
      </c>
      <c r="B7904" s="3"/>
      <c r="C7904" s="3" t="s">
        <v>23099</v>
      </c>
      <c r="D7904" s="3" t="s">
        <v>23100</v>
      </c>
      <c r="E7904" s="3" t="s">
        <v>23101</v>
      </c>
      <c r="F7904" s="3" t="str">
        <f>"574-848-4408"</f>
        <v>574-848-4408</v>
      </c>
      <c r="G7904" s="3">
        <v>32121</v>
      </c>
      <c r="H7904" s="3" t="s">
        <v>23102</v>
      </c>
    </row>
    <row r="7905" spans="1:8" ht="77.25" x14ac:dyDescent="0.25">
      <c r="A7905" s="3" t="s">
        <v>23103</v>
      </c>
      <c r="B7905" s="3"/>
      <c r="C7905" s="3" t="str">
        <f>"Digital print making services with an Epson wide format printer. Services include fine art reproductions, posters, banners and display hardware (poles, etc.). The different types of material offered are paper, poly, vinyl, canvas and cloth."</f>
        <v>Digital print making services with an Epson wide format printer. Services include fine art reproductions, posters, banners and display hardware (poles, etc.). The different types of material offered are paper, poly, vinyl, canvas and cloth.</v>
      </c>
      <c r="D7905" s="3" t="s">
        <v>23104</v>
      </c>
      <c r="E7905" s="3" t="s">
        <v>23105</v>
      </c>
      <c r="F7905" s="3" t="str">
        <f>"812-876-4770"</f>
        <v>812-876-4770</v>
      </c>
      <c r="G7905" s="3">
        <v>323115</v>
      </c>
      <c r="H7905" s="3" t="s">
        <v>5281</v>
      </c>
    </row>
    <row r="7906" spans="1:8" ht="26.25" x14ac:dyDescent="0.25">
      <c r="A7906" s="3" t="s">
        <v>23106</v>
      </c>
      <c r="B7906" s="3"/>
      <c r="C7906" s="3" t="str">
        <f>" "</f>
        <v xml:space="preserve"> </v>
      </c>
      <c r="D7906" s="3" t="s">
        <v>23107</v>
      </c>
      <c r="E7906" s="3" t="s">
        <v>23108</v>
      </c>
      <c r="F7906" s="3" t="str">
        <f>"317-636-5544"</f>
        <v>317-636-5544</v>
      </c>
      <c r="G7906" s="3">
        <v>44313</v>
      </c>
      <c r="H7906" s="3" t="s">
        <v>10630</v>
      </c>
    </row>
    <row r="7907" spans="1:8" ht="39" x14ac:dyDescent="0.25">
      <c r="A7907" s="3" t="s">
        <v>23109</v>
      </c>
      <c r="B7907" s="3"/>
      <c r="C7907" s="3" t="str">
        <f>"sales, service and installation of hvac equipment for residential and commercial customers"</f>
        <v>sales, service and installation of hvac equipment for residential and commercial customers</v>
      </c>
      <c r="D7907" s="3" t="s">
        <v>23110</v>
      </c>
      <c r="E7907" s="3" t="s">
        <v>23111</v>
      </c>
      <c r="F7907" s="3" t="str">
        <f>"812-944-6750"</f>
        <v>812-944-6750</v>
      </c>
      <c r="G7907" s="3">
        <v>238220</v>
      </c>
      <c r="H7907" s="3" t="s">
        <v>348</v>
      </c>
    </row>
    <row r="7908" spans="1:8" ht="26.25" x14ac:dyDescent="0.25">
      <c r="A7908" s="3" t="s">
        <v>23112</v>
      </c>
      <c r="B7908" s="3"/>
      <c r="C7908" s="3" t="str">
        <f>" "</f>
        <v xml:space="preserve"> </v>
      </c>
      <c r="D7908" s="3" t="s">
        <v>9</v>
      </c>
      <c r="E7908" s="3" t="s">
        <v>46</v>
      </c>
      <c r="F7908" s="2"/>
      <c r="G7908" s="3">
        <v>212312</v>
      </c>
      <c r="H7908" s="3" t="s">
        <v>3264</v>
      </c>
    </row>
    <row r="7909" spans="1:8" ht="26.25" x14ac:dyDescent="0.25">
      <c r="A7909" s="3" t="s">
        <v>23113</v>
      </c>
      <c r="B7909" s="3"/>
      <c r="C7909" s="3" t="str">
        <f>"Sale of nursery trees to commercial and residential developers"</f>
        <v>Sale of nursery trees to commercial and residential developers</v>
      </c>
      <c r="D7909" s="3" t="s">
        <v>9</v>
      </c>
      <c r="E7909" s="3" t="s">
        <v>46</v>
      </c>
      <c r="F7909" s="2"/>
      <c r="G7909" s="3">
        <v>111421</v>
      </c>
      <c r="H7909" s="3" t="s">
        <v>4222</v>
      </c>
    </row>
    <row r="7910" spans="1:8" ht="26.25" x14ac:dyDescent="0.25">
      <c r="A7910" s="3" t="s">
        <v>23114</v>
      </c>
      <c r="B7910" s="3"/>
      <c r="C7910" s="3" t="str">
        <f>"Janitorial Services"</f>
        <v>Janitorial Services</v>
      </c>
      <c r="D7910" s="3" t="s">
        <v>9</v>
      </c>
      <c r="E7910" s="3" t="s">
        <v>46</v>
      </c>
      <c r="F7910" s="3" t="str">
        <f>"317-826-9771"</f>
        <v>317-826-9771</v>
      </c>
      <c r="G7910" s="3">
        <v>561720</v>
      </c>
      <c r="H7910" s="3" t="s">
        <v>222</v>
      </c>
    </row>
    <row r="7911" spans="1:8" ht="77.25" x14ac:dyDescent="0.25">
      <c r="A7911" s="3" t="s">
        <v>23115</v>
      </c>
      <c r="B7911" s="3"/>
      <c r="C7911" s="3" t="str">
        <f>"Robinson is a full line truck equipment and snow plow distributor. We specialize in Dump Bodies, Platforms, Service Bodies, Lift gates, Snow Plows and salt spreaders. Robinson also does truck alignment and rebuild truck front ends."</f>
        <v>Robinson is a full line truck equipment and snow plow distributor. We specialize in Dump Bodies, Platforms, Service Bodies, Lift gates, Snow Plows and salt spreaders. Robinson also does truck alignment and rebuild truck front ends.</v>
      </c>
      <c r="D7911" s="3" t="s">
        <v>9</v>
      </c>
      <c r="E7911" s="3" t="s">
        <v>46</v>
      </c>
      <c r="F7911" s="3" t="str">
        <f>"7653963391"</f>
        <v>7653963391</v>
      </c>
      <c r="G7911" s="3">
        <v>336</v>
      </c>
      <c r="H7911" s="3" t="s">
        <v>2720</v>
      </c>
    </row>
    <row r="7912" spans="1:8" ht="64.5" x14ac:dyDescent="0.25">
      <c r="A7912" s="3" t="s">
        <v>23116</v>
      </c>
      <c r="B7912" s="3"/>
      <c r="C7912" s="3" t="str">
        <f>"We provide demolition work, land reclamation, and building site prep. We have built and moved levee’s, constructed ponds, ditches, and have installed water drainage systems plus field tile work."</f>
        <v>We provide demolition work, land reclamation, and building site prep. We have built and moved levee’s, constructed ponds, ditches, and have installed water drainage systems plus field tile work.</v>
      </c>
      <c r="D7912" s="3" t="s">
        <v>9</v>
      </c>
      <c r="E7912" s="3" t="s">
        <v>23117</v>
      </c>
      <c r="F7912" s="3" t="str">
        <f>"8127265244"</f>
        <v>8127265244</v>
      </c>
      <c r="G7912" s="3">
        <v>812990</v>
      </c>
      <c r="H7912" s="3" t="s">
        <v>294</v>
      </c>
    </row>
    <row r="7913" spans="1:8" ht="39" x14ac:dyDescent="0.25">
      <c r="A7913" s="3" t="s">
        <v>23118</v>
      </c>
      <c r="B7913" s="3"/>
      <c r="C7913" s="3" t="str">
        <f>"Family owned and operated since 1992, commercial and industrial painting and drywall company."</f>
        <v>Family owned and operated since 1992, commercial and industrial painting and drywall company.</v>
      </c>
      <c r="D7913" s="3" t="s">
        <v>23119</v>
      </c>
      <c r="E7913" s="3" t="s">
        <v>23120</v>
      </c>
      <c r="F7913" s="3" t="str">
        <f>"812-423-8832"</f>
        <v>812-423-8832</v>
      </c>
      <c r="G7913" s="3">
        <v>238320</v>
      </c>
      <c r="H7913" s="3" t="s">
        <v>462</v>
      </c>
    </row>
    <row r="7914" spans="1:8" x14ac:dyDescent="0.25">
      <c r="A7914" s="3" t="s">
        <v>23121</v>
      </c>
      <c r="B7914" s="3"/>
      <c r="C7914" s="3" t="str">
        <f>" "</f>
        <v xml:space="preserve"> </v>
      </c>
      <c r="D7914" s="3" t="s">
        <v>9</v>
      </c>
      <c r="E7914" s="3" t="s">
        <v>46</v>
      </c>
      <c r="F7914" s="2"/>
      <c r="G7914" s="3">
        <v>531210</v>
      </c>
      <c r="H7914" s="3" t="s">
        <v>1101</v>
      </c>
    </row>
    <row r="7915" spans="1:8" ht="77.25" x14ac:dyDescent="0.25">
      <c r="A7915" s="3" t="s">
        <v>23122</v>
      </c>
      <c r="B7915" s="3"/>
      <c r="C7915" s="3" t="str">
        <f>"Forte' is a woman owned business that creates, manages and produces all catagories and sizes of business meetings and business events. Forte' has been in existence since 1988 and has managed and produces events around the world."</f>
        <v>Forte' is a woman owned business that creates, manages and produces all catagories and sizes of business meetings and business events. Forte' has been in existence since 1988 and has managed and produces events around the world.</v>
      </c>
      <c r="D7915" s="3" t="s">
        <v>23123</v>
      </c>
      <c r="E7915" s="3" t="s">
        <v>23124</v>
      </c>
      <c r="F7915" s="3" t="str">
        <f>"3178735600"</f>
        <v>3178735600</v>
      </c>
      <c r="G7915" s="3">
        <v>561920</v>
      </c>
      <c r="H7915" s="3" t="s">
        <v>7034</v>
      </c>
    </row>
    <row r="7916" spans="1:8" ht="26.25" x14ac:dyDescent="0.25">
      <c r="A7916" s="3" t="s">
        <v>23125</v>
      </c>
      <c r="B7916" s="3"/>
      <c r="C7916" s="3" t="str">
        <f>" "</f>
        <v xml:space="preserve"> </v>
      </c>
      <c r="D7916" s="3" t="s">
        <v>9</v>
      </c>
      <c r="E7916" s="3" t="s">
        <v>46</v>
      </c>
      <c r="F7916" s="2"/>
      <c r="G7916" s="3">
        <v>3273</v>
      </c>
      <c r="H7916" s="3" t="s">
        <v>23126</v>
      </c>
    </row>
    <row r="7917" spans="1:8" ht="90" x14ac:dyDescent="0.25">
      <c r="A7917" s="3" t="s">
        <v>23127</v>
      </c>
      <c r="B7917" s="3"/>
      <c r="C7917" s="3" t="s">
        <v>23128</v>
      </c>
      <c r="D7917" s="3" t="s">
        <v>23129</v>
      </c>
      <c r="E7917" s="3" t="s">
        <v>23130</v>
      </c>
      <c r="F7917" s="3" t="str">
        <f>"800-633-9173"</f>
        <v>800-633-9173</v>
      </c>
      <c r="G7917" s="3">
        <v>326199</v>
      </c>
      <c r="H7917" s="3" t="s">
        <v>2129</v>
      </c>
    </row>
    <row r="7918" spans="1:8" ht="26.25" x14ac:dyDescent="0.25">
      <c r="A7918" s="3" t="s">
        <v>23131</v>
      </c>
      <c r="B7918" s="3"/>
      <c r="C7918" s="3" t="str">
        <f>"Quality Limestone products, state certified products, landscape products"</f>
        <v>Quality Limestone products, state certified products, landscape products</v>
      </c>
      <c r="D7918" s="3" t="s">
        <v>9</v>
      </c>
      <c r="E7918" s="3" t="s">
        <v>46</v>
      </c>
      <c r="F7918" s="3" t="str">
        <f>"260-694-6880"</f>
        <v>260-694-6880</v>
      </c>
      <c r="G7918" s="3">
        <v>21231</v>
      </c>
      <c r="H7918" s="3" t="s">
        <v>19721</v>
      </c>
    </row>
    <row r="7919" spans="1:8" ht="90" x14ac:dyDescent="0.25">
      <c r="A7919" s="3" t="s">
        <v>23132</v>
      </c>
      <c r="B7919" s="3"/>
      <c r="C7919" s="3" t="s">
        <v>23133</v>
      </c>
      <c r="D7919" s="3" t="s">
        <v>23134</v>
      </c>
      <c r="E7919" s="3" t="s">
        <v>23135</v>
      </c>
      <c r="F7919" s="3" t="str">
        <f>"812-472-8277"</f>
        <v>812-472-8277</v>
      </c>
      <c r="G7919" s="3">
        <v>541320</v>
      </c>
      <c r="H7919" s="3" t="s">
        <v>2241</v>
      </c>
    </row>
    <row r="7920" spans="1:8" ht="26.25" x14ac:dyDescent="0.25">
      <c r="A7920" s="3" t="s">
        <v>23136</v>
      </c>
      <c r="B7920" s="3"/>
      <c r="C7920" s="3" t="str">
        <f>"Masonry contractor"</f>
        <v>Masonry contractor</v>
      </c>
      <c r="D7920" s="3" t="s">
        <v>9</v>
      </c>
      <c r="E7920" s="3" t="s">
        <v>46</v>
      </c>
      <c r="F7920" s="3" t="str">
        <f>"812-824-9237"</f>
        <v>812-824-9237</v>
      </c>
      <c r="G7920" s="3">
        <v>238140</v>
      </c>
      <c r="H7920" s="3" t="s">
        <v>1830</v>
      </c>
    </row>
    <row r="7921" spans="1:8" ht="51.75" x14ac:dyDescent="0.25">
      <c r="A7921" s="3" t="s">
        <v>23137</v>
      </c>
      <c r="B7921" s="3"/>
      <c r="C7921" s="3" t="str">
        <f>"We supply readymix concrete to all types of contractors and homeowners. We also supply construction supplies to the construction industry."</f>
        <v>We supply readymix concrete to all types of contractors and homeowners. We also supply construction supplies to the construction industry.</v>
      </c>
      <c r="D7921" s="3" t="s">
        <v>9</v>
      </c>
      <c r="E7921" s="3" t="s">
        <v>23138</v>
      </c>
      <c r="F7921" s="3" t="str">
        <f>"219-405-1726"</f>
        <v>219-405-1726</v>
      </c>
      <c r="G7921" s="3">
        <v>327320</v>
      </c>
      <c r="H7921" s="3" t="s">
        <v>5501</v>
      </c>
    </row>
    <row r="7922" spans="1:8" ht="64.5" x14ac:dyDescent="0.25">
      <c r="A7922" s="3" t="s">
        <v>23139</v>
      </c>
      <c r="B7922" s="3"/>
      <c r="C7922" s="3" t="str">
        <f>"Manufacturing of hardwood products including dimensional lumber, mouldings, dowels, billets and radius mouldings. Custom millwork including reproduction mouldings, cabinets and fireplace mantles."</f>
        <v>Manufacturing of hardwood products including dimensional lumber, mouldings, dowels, billets and radius mouldings. Custom millwork including reproduction mouldings, cabinets and fireplace mantles.</v>
      </c>
      <c r="D7922" s="3" t="s">
        <v>9</v>
      </c>
      <c r="E7922" s="3" t="s">
        <v>23140</v>
      </c>
      <c r="F7922" s="3" t="str">
        <f>"765-883-5662"</f>
        <v>765-883-5662</v>
      </c>
      <c r="G7922" s="3">
        <v>444190</v>
      </c>
      <c r="H7922" s="3" t="s">
        <v>1188</v>
      </c>
    </row>
    <row r="7923" spans="1:8" ht="204.75" x14ac:dyDescent="0.25">
      <c r="A7923" s="3" t="s">
        <v>23141</v>
      </c>
      <c r="B7923" s="3"/>
      <c r="C7923" s="3" t="s">
        <v>23142</v>
      </c>
      <c r="D7923" s="3" t="s">
        <v>23143</v>
      </c>
      <c r="E7923" s="3" t="s">
        <v>23144</v>
      </c>
      <c r="F7923" s="3" t="str">
        <f>"213-640-7664"</f>
        <v>213-640-7664</v>
      </c>
      <c r="G7923" s="3">
        <v>711510</v>
      </c>
      <c r="H7923" s="3" t="s">
        <v>1980</v>
      </c>
    </row>
    <row r="7924" spans="1:8" ht="26.25" x14ac:dyDescent="0.25">
      <c r="A7924" s="3" t="s">
        <v>23145</v>
      </c>
      <c r="B7924" s="3"/>
      <c r="C7924" s="3" t="str">
        <f>"Commercial electronics contractor"</f>
        <v>Commercial electronics contractor</v>
      </c>
      <c r="D7924" s="3" t="s">
        <v>9</v>
      </c>
      <c r="E7924" s="3" t="s">
        <v>46</v>
      </c>
      <c r="F7924" s="3" t="str">
        <f>"260-744-9520"</f>
        <v>260-744-9520</v>
      </c>
      <c r="G7924" s="3">
        <v>23821</v>
      </c>
      <c r="H7924" s="3" t="s">
        <v>306</v>
      </c>
    </row>
    <row r="7925" spans="1:8" ht="102.75" x14ac:dyDescent="0.25">
      <c r="A7925" s="3" t="s">
        <v>23146</v>
      </c>
      <c r="B7925" s="3"/>
      <c r="C7925" s="3" t="s">
        <v>23147</v>
      </c>
      <c r="D7925" s="3" t="s">
        <v>23148</v>
      </c>
      <c r="E7925" s="3" t="s">
        <v>23149</v>
      </c>
      <c r="F7925" s="3" t="str">
        <f>"765-474-5402"</f>
        <v>765-474-5402</v>
      </c>
      <c r="G7925" s="3">
        <v>443120</v>
      </c>
      <c r="H7925" s="3" t="s">
        <v>609</v>
      </c>
    </row>
    <row r="7926" spans="1:8" ht="204.75" x14ac:dyDescent="0.25">
      <c r="A7926" s="3" t="s">
        <v>23150</v>
      </c>
      <c r="B7926" s="3"/>
      <c r="C7926" s="3" t="s">
        <v>23151</v>
      </c>
      <c r="D7926" s="3" t="s">
        <v>12971</v>
      </c>
      <c r="E7926" s="3" t="s">
        <v>23152</v>
      </c>
      <c r="F7926" s="3" t="str">
        <f>"219.397.8819"</f>
        <v>219.397.8819</v>
      </c>
      <c r="G7926" s="3">
        <v>236220</v>
      </c>
      <c r="H7926" s="3" t="s">
        <v>598</v>
      </c>
    </row>
    <row r="7927" spans="1:8" ht="77.25" x14ac:dyDescent="0.25">
      <c r="A7927" s="3" t="s">
        <v>23153</v>
      </c>
      <c r="B7927" s="3"/>
      <c r="C7927" s="3" t="str">
        <f>"computerized embroidery, digitized logos,silk screening, and apparel-wholesale and retail - in business 17 yrs. serving individuals, clubs, businesses and govt agencies. Small or large orders - call for quote"</f>
        <v>computerized embroidery, digitized logos,silk screening, and apparel-wholesale and retail - in business 17 yrs. serving individuals, clubs, businesses and govt agencies. Small or large orders - call for quote</v>
      </c>
      <c r="D7927" s="3" t="s">
        <v>23154</v>
      </c>
      <c r="E7927" s="3" t="s">
        <v>23155</v>
      </c>
      <c r="F7927" s="3" t="str">
        <f>"765 866 0281"</f>
        <v>765 866 0281</v>
      </c>
      <c r="G7927" s="3">
        <v>448150</v>
      </c>
      <c r="H7927" s="3" t="s">
        <v>2040</v>
      </c>
    </row>
    <row r="7928" spans="1:8" ht="26.25" x14ac:dyDescent="0.25">
      <c r="A7928" s="3" t="s">
        <v>23156</v>
      </c>
      <c r="B7928" s="3"/>
      <c r="C7928" s="3" t="str">
        <f>"Advertising Specialties and promotional materials"</f>
        <v>Advertising Specialties and promotional materials</v>
      </c>
      <c r="D7928" s="3" t="s">
        <v>9</v>
      </c>
      <c r="E7928" s="3" t="s">
        <v>46</v>
      </c>
      <c r="F7928" s="3" t="str">
        <f>"812-886-4185"</f>
        <v>812-886-4185</v>
      </c>
      <c r="G7928" s="3">
        <v>54181</v>
      </c>
      <c r="H7928" s="3" t="s">
        <v>976</v>
      </c>
    </row>
    <row r="7929" spans="1:8" ht="26.25" x14ac:dyDescent="0.25">
      <c r="A7929" s="3" t="s">
        <v>23157</v>
      </c>
      <c r="B7929" s="3"/>
      <c r="C7929" s="3" t="str">
        <f>"New Furniture Retail"</f>
        <v>New Furniture Retail</v>
      </c>
      <c r="D7929" s="3" t="s">
        <v>23158</v>
      </c>
      <c r="E7929" s="3" t="s">
        <v>23159</v>
      </c>
      <c r="F7929" s="3" t="str">
        <f>"765-939-3325"</f>
        <v>765-939-3325</v>
      </c>
      <c r="G7929" s="3">
        <v>442110</v>
      </c>
      <c r="H7929" s="3" t="s">
        <v>117</v>
      </c>
    </row>
    <row r="7930" spans="1:8" ht="128.25" x14ac:dyDescent="0.25">
      <c r="A7930" s="3" t="s">
        <v>23160</v>
      </c>
      <c r="B7930" s="3"/>
      <c r="C7930" s="3" t="s">
        <v>23161</v>
      </c>
      <c r="D7930" s="3" t="s">
        <v>23162</v>
      </c>
      <c r="E7930" s="3" t="s">
        <v>23163</v>
      </c>
      <c r="F7930" s="3" t="str">
        <f>"317-251-1738"</f>
        <v>317-251-1738</v>
      </c>
      <c r="G7930" s="3">
        <v>541330</v>
      </c>
      <c r="H7930" s="3" t="s">
        <v>82</v>
      </c>
    </row>
    <row r="7931" spans="1:8" ht="77.25" x14ac:dyDescent="0.25">
      <c r="A7931" s="3" t="s">
        <v>23164</v>
      </c>
      <c r="B7931" s="3"/>
      <c r="C7931" s="3" t="str">
        <f>"Rogers Group, Inc. is a growing, 105 year old company providing crushed stone, sand and gravel, asphalt, highway construction, concrete masonry and construction materials recycling. The company employs approx. 1,050 in seven states."</f>
        <v>Rogers Group, Inc. is a growing, 105 year old company providing crushed stone, sand and gravel, asphalt, highway construction, concrete masonry and construction materials recycling. The company employs approx. 1,050 in seven states.</v>
      </c>
      <c r="D7931" s="3" t="s">
        <v>23165</v>
      </c>
      <c r="E7931" s="3" t="s">
        <v>23166</v>
      </c>
      <c r="F7931" s="3" t="str">
        <f>"812-332-6341"</f>
        <v>812-332-6341</v>
      </c>
      <c r="G7931" s="3">
        <v>212312</v>
      </c>
      <c r="H7931" s="3" t="s">
        <v>3264</v>
      </c>
    </row>
    <row r="7932" spans="1:8" ht="26.25" x14ac:dyDescent="0.25">
      <c r="A7932" s="3" t="s">
        <v>23167</v>
      </c>
      <c r="B7932" s="3"/>
      <c r="C7932" s="2"/>
      <c r="D7932" s="3" t="s">
        <v>23168</v>
      </c>
      <c r="E7932" s="3" t="s">
        <v>23169</v>
      </c>
      <c r="F7932" s="3" t="str">
        <f>"800-449-7768"</f>
        <v>800-449-7768</v>
      </c>
      <c r="G7932" s="3">
        <v>424950</v>
      </c>
      <c r="H7932" s="3" t="s">
        <v>7232</v>
      </c>
    </row>
    <row r="7933" spans="1:8" ht="192" x14ac:dyDescent="0.25">
      <c r="A7933" s="3" t="s">
        <v>23170</v>
      </c>
      <c r="B7933" s="3"/>
      <c r="C7933" s="3" t="s">
        <v>23171</v>
      </c>
      <c r="D7933" s="3" t="s">
        <v>23172</v>
      </c>
      <c r="E7933" s="3" t="s">
        <v>46</v>
      </c>
      <c r="F7933" s="3" t="str">
        <f>"317-686-7800"</f>
        <v>317-686-7800</v>
      </c>
      <c r="G7933" s="3">
        <v>541810</v>
      </c>
      <c r="H7933" s="3" t="s">
        <v>976</v>
      </c>
    </row>
    <row r="7934" spans="1:8" ht="26.25" x14ac:dyDescent="0.25">
      <c r="A7934" s="3" t="s">
        <v>23173</v>
      </c>
      <c r="B7934" s="3"/>
      <c r="C7934" s="3" t="str">
        <f>" "</f>
        <v xml:space="preserve"> </v>
      </c>
      <c r="D7934" s="3" t="s">
        <v>23174</v>
      </c>
      <c r="E7934" s="3" t="s">
        <v>23175</v>
      </c>
      <c r="F7934" s="3" t="str">
        <f>"317-370-1486"</f>
        <v>317-370-1486</v>
      </c>
      <c r="G7934" s="3">
        <v>238210</v>
      </c>
      <c r="H7934" s="3" t="s">
        <v>306</v>
      </c>
    </row>
    <row r="7935" spans="1:8" x14ac:dyDescent="0.25">
      <c r="A7935" s="3" t="s">
        <v>23176</v>
      </c>
      <c r="B7935" s="3"/>
      <c r="C7935" s="2"/>
      <c r="D7935" s="3" t="s">
        <v>9</v>
      </c>
      <c r="E7935" s="3" t="s">
        <v>46</v>
      </c>
      <c r="F7935" s="2"/>
      <c r="G7935" s="3">
        <v>23</v>
      </c>
      <c r="H7935" s="3" t="s">
        <v>133</v>
      </c>
    </row>
    <row r="7936" spans="1:8" ht="26.25" x14ac:dyDescent="0.25">
      <c r="A7936" s="3" t="s">
        <v>23177</v>
      </c>
      <c r="B7936" s="3"/>
      <c r="C7936" s="3" t="str">
        <f>"Heating, Ventilating and Air Conditioning Sales and Service"</f>
        <v>Heating, Ventilating and Air Conditioning Sales and Service</v>
      </c>
      <c r="D7936" s="3" t="s">
        <v>23178</v>
      </c>
      <c r="E7936" s="3" t="s">
        <v>46</v>
      </c>
      <c r="F7936" s="3" t="str">
        <f>"260-492-2070"</f>
        <v>260-492-2070</v>
      </c>
      <c r="G7936" s="3">
        <v>238220</v>
      </c>
      <c r="H7936" s="3" t="s">
        <v>348</v>
      </c>
    </row>
    <row r="7937" spans="1:8" ht="26.25" x14ac:dyDescent="0.25">
      <c r="A7937" s="3" t="s">
        <v>23179</v>
      </c>
      <c r="B7937" s="3"/>
      <c r="C7937" s="3" t="str">
        <f>"Electrical Contractor, Residential, Commercial, and Light Industrial"</f>
        <v>Electrical Contractor, Residential, Commercial, and Light Industrial</v>
      </c>
      <c r="D7937" s="3" t="s">
        <v>9</v>
      </c>
      <c r="E7937" s="3" t="s">
        <v>23180</v>
      </c>
      <c r="F7937" s="3" t="str">
        <f>"765-423-1800"</f>
        <v>765-423-1800</v>
      </c>
      <c r="G7937" s="3">
        <v>2353</v>
      </c>
      <c r="H7937" s="3" t="s">
        <v>306</v>
      </c>
    </row>
    <row r="7938" spans="1:8" ht="26.25" x14ac:dyDescent="0.25">
      <c r="A7938" s="3" t="s">
        <v>23181</v>
      </c>
      <c r="B7938" s="3"/>
      <c r="C7938" s="3" t="str">
        <f>"Lease commercial property"</f>
        <v>Lease commercial property</v>
      </c>
      <c r="D7938" s="3" t="s">
        <v>9</v>
      </c>
      <c r="E7938" s="3" t="s">
        <v>23182</v>
      </c>
      <c r="F7938" s="3" t="str">
        <f>"765-294-1333"</f>
        <v>765-294-1333</v>
      </c>
      <c r="G7938" s="3">
        <v>5311</v>
      </c>
      <c r="H7938" s="3" t="s">
        <v>23183</v>
      </c>
    </row>
    <row r="7939" spans="1:8" ht="26.25" x14ac:dyDescent="0.25">
      <c r="A7939" s="3" t="s">
        <v>23184</v>
      </c>
      <c r="B7939" s="3"/>
      <c r="C7939" s="3" t="str">
        <f>"Executive Director of Indiana's Wabash River Heritage Corridor Commission"</f>
        <v>Executive Director of Indiana's Wabash River Heritage Corridor Commission</v>
      </c>
      <c r="D7939" s="3" t="s">
        <v>23185</v>
      </c>
      <c r="E7939" s="3" t="s">
        <v>23186</v>
      </c>
      <c r="F7939" s="3" t="str">
        <f>"260-637-5633"</f>
        <v>260-637-5633</v>
      </c>
      <c r="G7939" s="3">
        <v>92</v>
      </c>
      <c r="H7939" s="3" t="s">
        <v>3138</v>
      </c>
    </row>
    <row r="7940" spans="1:8" ht="64.5" x14ac:dyDescent="0.25">
      <c r="A7940" s="3" t="s">
        <v>23187</v>
      </c>
      <c r="B7940" s="3"/>
      <c r="C7940" s="3" t="str">
        <f>"Ron L. Dixon, Natural Resource Consulting, Inc. specializes in wetland consulting involving delineations, permitting, mitigation and monitoring of wetlands and floodway impacts."</f>
        <v>Ron L. Dixon, Natural Resource Consulting, Inc. specializes in wetland consulting involving delineations, permitting, mitigation and monitoring of wetlands and floodway impacts.</v>
      </c>
      <c r="D7940" s="3" t="s">
        <v>23188</v>
      </c>
      <c r="E7940" s="3" t="s">
        <v>23189</v>
      </c>
      <c r="F7940" s="3" t="str">
        <f>"(317) 862-7446"</f>
        <v>(317) 862-7446</v>
      </c>
      <c r="G7940" s="3">
        <v>11</v>
      </c>
      <c r="H7940" s="3" t="s">
        <v>175</v>
      </c>
    </row>
    <row r="7941" spans="1:8" ht="268.5" x14ac:dyDescent="0.25">
      <c r="A7941" s="3" t="s">
        <v>23190</v>
      </c>
      <c r="B7941" s="3"/>
      <c r="C7941" s="3" t="s">
        <v>23191</v>
      </c>
      <c r="D7941" s="3" t="s">
        <v>23192</v>
      </c>
      <c r="E7941" s="3" t="s">
        <v>23193</v>
      </c>
      <c r="F7941" s="3" t="str">
        <f>"317-696-1367"</f>
        <v>317-696-1367</v>
      </c>
      <c r="G7941" s="3">
        <v>611430</v>
      </c>
      <c r="H7941" s="3" t="s">
        <v>1224</v>
      </c>
    </row>
    <row r="7942" spans="1:8" ht="64.5" x14ac:dyDescent="0.25">
      <c r="A7942" s="3" t="s">
        <v>23194</v>
      </c>
      <c r="B7942" s="3"/>
      <c r="C7942" s="3" t="str">
        <f>"Providing training, seminars, workshops including business/government strategic planning and performance management, small business consulting, management and advisory services"</f>
        <v>Providing training, seminars, workshops including business/government strategic planning and performance management, small business consulting, management and advisory services</v>
      </c>
      <c r="D7942" s="3" t="s">
        <v>9</v>
      </c>
      <c r="E7942" s="3" t="s">
        <v>23195</v>
      </c>
      <c r="F7942" s="3" t="str">
        <f>"1-866-867-3981"</f>
        <v>1-866-867-3981</v>
      </c>
      <c r="G7942" s="3">
        <v>561110</v>
      </c>
      <c r="H7942" s="3" t="s">
        <v>4383</v>
      </c>
    </row>
    <row r="7943" spans="1:8" ht="26.25" x14ac:dyDescent="0.25">
      <c r="A7943" s="3" t="s">
        <v>23196</v>
      </c>
      <c r="B7943" s="3"/>
      <c r="C7943" s="3" t="str">
        <f>"Mobile Windshield Repair."</f>
        <v>Mobile Windshield Repair.</v>
      </c>
      <c r="D7943" s="3" t="s">
        <v>9</v>
      </c>
      <c r="E7943" s="3" t="s">
        <v>23197</v>
      </c>
      <c r="F7943" s="3" t="str">
        <f>"812/205-6207"</f>
        <v>812/205-6207</v>
      </c>
      <c r="G7943" s="3">
        <v>811122</v>
      </c>
      <c r="H7943" s="3" t="s">
        <v>7332</v>
      </c>
    </row>
    <row r="7944" spans="1:8" ht="77.25" x14ac:dyDescent="0.25">
      <c r="A7944" s="3" t="s">
        <v>23198</v>
      </c>
      <c r="B7944" s="3"/>
      <c r="C7944" s="3" t="str">
        <f>"We are a full service Janitorial Company, catering to businesses &amp; landlords. Our specialty is a complete turnaround of painting, windows, thorough cleaning &amp; carpet cleaning of vacant buildings to prepare for new occupants."</f>
        <v>We are a full service Janitorial Company, catering to businesses &amp; landlords. Our specialty is a complete turnaround of painting, windows, thorough cleaning &amp; carpet cleaning of vacant buildings to prepare for new occupants.</v>
      </c>
      <c r="D7944" s="3" t="s">
        <v>9</v>
      </c>
      <c r="E7944" s="3" t="s">
        <v>23199</v>
      </c>
      <c r="F7944" s="3" t="str">
        <f>"812-589-3434"</f>
        <v>812-589-3434</v>
      </c>
      <c r="G7944" s="3">
        <v>561720</v>
      </c>
      <c r="H7944" s="3" t="s">
        <v>222</v>
      </c>
    </row>
    <row r="7945" spans="1:8" ht="26.25" x14ac:dyDescent="0.25">
      <c r="A7945" s="3" t="s">
        <v>23200</v>
      </c>
      <c r="B7945" s="3"/>
      <c r="C7945" s="3" t="str">
        <f>"We provide janotirl services for commercial buildings."</f>
        <v>We provide janotirl services for commercial buildings.</v>
      </c>
      <c r="D7945" s="3" t="s">
        <v>9</v>
      </c>
      <c r="E7945" s="3" t="s">
        <v>46</v>
      </c>
      <c r="F7945" s="2"/>
      <c r="G7945" s="3">
        <v>23599</v>
      </c>
      <c r="H7945" s="3" t="s">
        <v>248</v>
      </c>
    </row>
    <row r="7946" spans="1:8" ht="51.75" x14ac:dyDescent="0.25">
      <c r="A7946" s="3" t="s">
        <v>23201</v>
      </c>
      <c r="B7946" s="3"/>
      <c r="C7946" s="3" t="str">
        <f>"Business and corporate management consultation services, strategic planning consultation services, and project management."</f>
        <v>Business and corporate management consultation services, strategic planning consultation services, and project management.</v>
      </c>
      <c r="D7946" s="3" t="s">
        <v>9</v>
      </c>
      <c r="E7946" s="3" t="s">
        <v>23202</v>
      </c>
      <c r="F7946" s="3" t="str">
        <f>"317-562-1556"</f>
        <v>317-562-1556</v>
      </c>
      <c r="G7946" s="3">
        <v>541611</v>
      </c>
      <c r="H7946" s="3" t="s">
        <v>278</v>
      </c>
    </row>
    <row r="7947" spans="1:8" ht="64.5" x14ac:dyDescent="0.25">
      <c r="A7947" s="3" t="s">
        <v>23203</v>
      </c>
      <c r="B7947" s="3"/>
      <c r="C7947" s="3" t="str">
        <f>"A distributor of promotional items imprinted with corporate logos, such as corporate apparel, tradeshow premiums and incentives, executive business gifts, or other marketing premiums."</f>
        <v>A distributor of promotional items imprinted with corporate logos, such as corporate apparel, tradeshow premiums and incentives, executive business gifts, or other marketing premiums.</v>
      </c>
      <c r="D7947" s="3" t="s">
        <v>23204</v>
      </c>
      <c r="E7947" s="3" t="s">
        <v>23205</v>
      </c>
      <c r="F7947" s="3" t="str">
        <f>"317-228-0269"</f>
        <v>317-228-0269</v>
      </c>
      <c r="G7947" s="3">
        <v>541890</v>
      </c>
      <c r="H7947" s="3" t="s">
        <v>401</v>
      </c>
    </row>
    <row r="7948" spans="1:8" ht="26.25" x14ac:dyDescent="0.25">
      <c r="A7948" s="3" t="s">
        <v>23206</v>
      </c>
      <c r="B7948" s="3"/>
      <c r="C7948" s="3" t="str">
        <f>"Office supplies."</f>
        <v>Office supplies.</v>
      </c>
      <c r="D7948" s="3" t="s">
        <v>20002</v>
      </c>
      <c r="E7948" s="3" t="s">
        <v>46</v>
      </c>
      <c r="F7948" s="3" t="str">
        <f>"765-962-5543"</f>
        <v>765-962-5543</v>
      </c>
      <c r="G7948" s="3">
        <v>4532</v>
      </c>
      <c r="H7948" s="3" t="s">
        <v>12372</v>
      </c>
    </row>
    <row r="7949" spans="1:8" ht="39" x14ac:dyDescent="0.25">
      <c r="A7949" s="3" t="s">
        <v>23207</v>
      </c>
      <c r="B7949" s="3"/>
      <c r="C7949" s="3" t="str">
        <f>"distributor of vinyl siding, vinyl &amp; wood windows, doors, and roofing shingles and accessories"</f>
        <v>distributor of vinyl siding, vinyl &amp; wood windows, doors, and roofing shingles and accessories</v>
      </c>
      <c r="D7949" s="3" t="s">
        <v>23208</v>
      </c>
      <c r="E7949" s="3" t="s">
        <v>23209</v>
      </c>
      <c r="F7949" s="3" t="str">
        <f>"812-335-8748"</f>
        <v>812-335-8748</v>
      </c>
      <c r="G7949" s="3">
        <v>444190</v>
      </c>
      <c r="H7949" s="3" t="s">
        <v>1188</v>
      </c>
    </row>
    <row r="7950" spans="1:8" ht="39" x14ac:dyDescent="0.25">
      <c r="A7950" s="3" t="s">
        <v>23210</v>
      </c>
      <c r="B7950" s="3"/>
      <c r="C7950" s="3" t="str">
        <f>"janitorial services, auto transporter, classic car restorer, snow removal(driveways,parking lots)"</f>
        <v>janitorial services, auto transporter, classic car restorer, snow removal(driveways,parking lots)</v>
      </c>
      <c r="D7950" s="3" t="s">
        <v>9</v>
      </c>
      <c r="E7950" s="3" t="s">
        <v>23211</v>
      </c>
      <c r="F7950" s="3" t="str">
        <f>"317-252-9578"</f>
        <v>317-252-9578</v>
      </c>
      <c r="G7950" s="3">
        <v>561720</v>
      </c>
      <c r="H7950" s="3" t="s">
        <v>222</v>
      </c>
    </row>
    <row r="7951" spans="1:8" ht="26.25" x14ac:dyDescent="0.25">
      <c r="A7951" s="3" t="s">
        <v>23212</v>
      </c>
      <c r="B7951" s="3"/>
      <c r="C7951" s="3" t="str">
        <f>"brick, landscaping and fireplace distributor"</f>
        <v>brick, landscaping and fireplace distributor</v>
      </c>
      <c r="D7951" s="3" t="s">
        <v>23213</v>
      </c>
      <c r="E7951" s="3" t="s">
        <v>23214</v>
      </c>
      <c r="F7951" s="3" t="str">
        <f>"574-234-2133"</f>
        <v>574-234-2133</v>
      </c>
      <c r="G7951" s="3">
        <v>444190</v>
      </c>
      <c r="H7951" s="3" t="s">
        <v>1188</v>
      </c>
    </row>
    <row r="7952" spans="1:8" ht="102.75" x14ac:dyDescent="0.25">
      <c r="A7952" s="3" t="s">
        <v>23215</v>
      </c>
      <c r="B7952" s="3"/>
      <c r="C7952" s="3" t="s">
        <v>23216</v>
      </c>
      <c r="D7952" s="3" t="s">
        <v>23217</v>
      </c>
      <c r="E7952" s="3" t="s">
        <v>23218</v>
      </c>
      <c r="F7952" s="3" t="str">
        <f>"317-867-3999"</f>
        <v>317-867-3999</v>
      </c>
      <c r="G7952" s="3">
        <v>561730</v>
      </c>
      <c r="H7952" s="3" t="s">
        <v>65</v>
      </c>
    </row>
    <row r="7953" spans="1:8" ht="77.25" x14ac:dyDescent="0.25">
      <c r="A7953" s="3" t="s">
        <v>23219</v>
      </c>
      <c r="B7953" s="3"/>
      <c r="C7953" s="3" t="str">
        <f>"Licensed, bonded and Guaranteed Professional Residential and Commercial handyman services including Major and Minor Repairs: * Drywall * Flooring * Decks * Painting * Gutters * Interior * Exterior You name it, we probably do it!! Guaranteed."</f>
        <v>Licensed, bonded and Guaranteed Professional Residential and Commercial handyman services including Major and Minor Repairs: * Drywall * Flooring * Decks * Painting * Gutters * Interior * Exterior You name it, we probably do it!! Guaranteed.</v>
      </c>
      <c r="D7953" s="3" t="s">
        <v>23220</v>
      </c>
      <c r="E7953" s="3" t="s">
        <v>23221</v>
      </c>
      <c r="F7953" s="3" t="str">
        <f>"317-431-4444"</f>
        <v>317-431-4444</v>
      </c>
      <c r="G7953" s="3">
        <v>236118</v>
      </c>
      <c r="H7953" s="3" t="s">
        <v>465</v>
      </c>
    </row>
    <row r="7954" spans="1:8" ht="26.25" x14ac:dyDescent="0.25">
      <c r="A7954" s="3" t="s">
        <v>23222</v>
      </c>
      <c r="B7954" s="3"/>
      <c r="C7954" s="3" t="str">
        <f>"Retail florist providing FTD and Teleflora products to business and individuals."</f>
        <v>Retail florist providing FTD and Teleflora products to business and individuals.</v>
      </c>
      <c r="D7954" s="3" t="s">
        <v>23223</v>
      </c>
      <c r="E7954" s="3" t="s">
        <v>23224</v>
      </c>
      <c r="F7954" s="3" t="str">
        <f>"800-664-6012"</f>
        <v>800-664-6012</v>
      </c>
      <c r="G7954" s="3">
        <v>453110</v>
      </c>
      <c r="H7954" s="3" t="s">
        <v>2584</v>
      </c>
    </row>
    <row r="7955" spans="1:8" x14ac:dyDescent="0.25">
      <c r="A7955" s="3" t="s">
        <v>23225</v>
      </c>
      <c r="B7955" s="3"/>
      <c r="C7955" s="3" t="str">
        <f>" "</f>
        <v xml:space="preserve"> </v>
      </c>
      <c r="D7955" s="3" t="s">
        <v>9</v>
      </c>
      <c r="E7955" s="3" t="s">
        <v>46</v>
      </c>
      <c r="F7955" s="2"/>
      <c r="G7955" s="3">
        <v>922160</v>
      </c>
      <c r="H7955" s="3" t="s">
        <v>2246</v>
      </c>
    </row>
    <row r="7956" spans="1:8" ht="26.25" x14ac:dyDescent="0.25">
      <c r="A7956" s="3" t="s">
        <v>23226</v>
      </c>
      <c r="B7956" s="3"/>
      <c r="C7956" s="3" t="str">
        <f>"Builder of new residental homes. Also, able to do any size remodeling project."</f>
        <v>Builder of new residental homes. Also, able to do any size remodeling project.</v>
      </c>
      <c r="D7956" s="3" t="s">
        <v>23227</v>
      </c>
      <c r="E7956" s="3" t="s">
        <v>23228</v>
      </c>
      <c r="F7956" s="3" t="str">
        <f>"574-271-1210"</f>
        <v>574-271-1210</v>
      </c>
      <c r="G7956" s="3">
        <v>453930</v>
      </c>
      <c r="H7956" s="3" t="s">
        <v>8257</v>
      </c>
    </row>
    <row r="7957" spans="1:8" ht="51.75" x14ac:dyDescent="0.25">
      <c r="A7957" s="3" t="s">
        <v>23229</v>
      </c>
      <c r="B7957" s="3"/>
      <c r="C7957" s="3" t="str">
        <f>"Rosh Systems LLC focuses on providing quality, reliable, and economical information technology services &amp; solutions."</f>
        <v>Rosh Systems LLC focuses on providing quality, reliable, and economical information technology services &amp; solutions.</v>
      </c>
      <c r="D7957" s="3" t="s">
        <v>9</v>
      </c>
      <c r="E7957" s="3" t="s">
        <v>23230</v>
      </c>
      <c r="F7957" s="3" t="str">
        <f>"(317) 821-0488"</f>
        <v>(317) 821-0488</v>
      </c>
      <c r="G7957" s="3">
        <v>5415</v>
      </c>
      <c r="H7957" s="3" t="s">
        <v>188</v>
      </c>
    </row>
    <row r="7958" spans="1:8" ht="51.75" x14ac:dyDescent="0.25">
      <c r="A7958" s="3" t="s">
        <v>23231</v>
      </c>
      <c r="B7958" s="3"/>
      <c r="C7958" s="3" t="str">
        <f>"Residential construction, including remodeling, roofing, siding, decks, garages. Experience also involved with small commercial building"</f>
        <v>Residential construction, including remodeling, roofing, siding, decks, garages. Experience also involved with small commercial building</v>
      </c>
      <c r="D7958" s="3" t="s">
        <v>9</v>
      </c>
      <c r="E7958" s="3" t="s">
        <v>46</v>
      </c>
      <c r="F7958" s="2"/>
      <c r="G7958" s="3">
        <v>23</v>
      </c>
      <c r="H7958" s="3" t="s">
        <v>133</v>
      </c>
    </row>
    <row r="7959" spans="1:8" ht="115.5" x14ac:dyDescent="0.25">
      <c r="A7959" s="3" t="s">
        <v>23232</v>
      </c>
      <c r="B7959" s="3"/>
      <c r="C7959" s="3" t="s">
        <v>23233</v>
      </c>
      <c r="D7959" s="3" t="s">
        <v>9</v>
      </c>
      <c r="E7959" s="3" t="s">
        <v>23234</v>
      </c>
      <c r="F7959" s="3" t="str">
        <f>"715.445.7567"</f>
        <v>715.445.7567</v>
      </c>
      <c r="G7959" s="3">
        <v>541720</v>
      </c>
      <c r="H7959" s="3" t="s">
        <v>1123</v>
      </c>
    </row>
    <row r="7960" spans="1:8" ht="64.5" x14ac:dyDescent="0.25">
      <c r="A7960" s="3" t="s">
        <v>23235</v>
      </c>
      <c r="B7960" s="3"/>
      <c r="C7960" s="3" t="str">
        <f>"Ross Development Inc. is a disabled veteran owned company with experience in Engineering Management, Mechanical Engineering, Quality Management Systems, Assembly -line material handling."</f>
        <v>Ross Development Inc. is a disabled veteran owned company with experience in Engineering Management, Mechanical Engineering, Quality Management Systems, Assembly -line material handling.</v>
      </c>
      <c r="D7960" s="3" t="s">
        <v>9</v>
      </c>
      <c r="E7960" s="3" t="s">
        <v>23236</v>
      </c>
      <c r="F7960" s="3" t="str">
        <f>"2604143392"</f>
        <v>2604143392</v>
      </c>
      <c r="G7960" s="3">
        <v>54133</v>
      </c>
      <c r="H7960" s="3" t="s">
        <v>82</v>
      </c>
    </row>
    <row r="7961" spans="1:8" ht="26.25" x14ac:dyDescent="0.25">
      <c r="A7961" s="3" t="s">
        <v>23237</v>
      </c>
      <c r="B7961" s="3"/>
      <c r="C7961" s="3" t="str">
        <f>" "</f>
        <v xml:space="preserve"> </v>
      </c>
      <c r="D7961" s="3" t="s">
        <v>9</v>
      </c>
      <c r="E7961" s="3" t="s">
        <v>46</v>
      </c>
      <c r="F7961" s="2"/>
      <c r="G7961" s="3">
        <v>484220</v>
      </c>
      <c r="H7961" s="3" t="s">
        <v>11</v>
      </c>
    </row>
    <row r="7962" spans="1:8" ht="26.25" x14ac:dyDescent="0.25">
      <c r="A7962" s="3" t="s">
        <v>23238</v>
      </c>
      <c r="B7962" s="3"/>
      <c r="C7962" s="3" t="str">
        <f>"Education - K-12 School Corporation"</f>
        <v>Education - K-12 School Corporation</v>
      </c>
      <c r="D7962" s="3" t="s">
        <v>23239</v>
      </c>
      <c r="E7962" s="3" t="s">
        <v>23240</v>
      </c>
      <c r="F7962" s="3" t="str">
        <f>"765-379-2990"</f>
        <v>765-379-2990</v>
      </c>
      <c r="G7962" s="3">
        <v>611110</v>
      </c>
      <c r="H7962" s="3" t="s">
        <v>3876</v>
      </c>
    </row>
    <row r="7963" spans="1:8" ht="51.75" x14ac:dyDescent="0.25">
      <c r="A7963" s="3" t="s">
        <v>23241</v>
      </c>
      <c r="B7963" s="3"/>
      <c r="C7963" s="3" t="str">
        <f>"Rossville Volunteer Fire department inc. is a small rural fire department that covers 92 square miles of protection area. We have been fighting fire since before 1935."</f>
        <v>Rossville Volunteer Fire department inc. is a small rural fire department that covers 92 square miles of protection area. We have been fighting fire since before 1935.</v>
      </c>
      <c r="D7963" s="3" t="s">
        <v>9</v>
      </c>
      <c r="E7963" s="3" t="s">
        <v>23242</v>
      </c>
      <c r="F7963" s="3" t="str">
        <f>"765-379-2330"</f>
        <v>765-379-2330</v>
      </c>
      <c r="G7963" s="3">
        <v>922160</v>
      </c>
      <c r="H7963" s="3" t="s">
        <v>2246</v>
      </c>
    </row>
    <row r="7964" spans="1:8" ht="77.25" x14ac:dyDescent="0.25">
      <c r="A7964" s="3" t="s">
        <v>23243</v>
      </c>
      <c r="B7964" s="3"/>
      <c r="C7964" s="3" t="str">
        <f>"HVAC&amp;R Contractor. Heating, ventilation, air conditioning &amp; refrigeration service and sales. Air duct cleaning. Ice machine repair and sales. Commercial and residential. Established /1994. Toll Free (888) 632-5732. Veteran owned business."</f>
        <v>HVAC&amp;R Contractor. Heating, ventilation, air conditioning &amp; refrigeration service and sales. Air duct cleaning. Ice machine repair and sales. Commercial and residential. Established /1994. Toll Free (888) 632-5732. Veteran owned business.</v>
      </c>
      <c r="D7964" s="3" t="s">
        <v>9</v>
      </c>
      <c r="E7964" s="3" t="s">
        <v>23244</v>
      </c>
      <c r="F7964" s="3" t="str">
        <f>"260-632-9999"</f>
        <v>260-632-9999</v>
      </c>
      <c r="G7964" s="3">
        <v>238220</v>
      </c>
      <c r="H7964" s="3" t="s">
        <v>348</v>
      </c>
    </row>
    <row r="7965" spans="1:8" ht="128.25" x14ac:dyDescent="0.25">
      <c r="A7965" s="3" t="s">
        <v>23245</v>
      </c>
      <c r="B7965" s="3"/>
      <c r="C7965" s="3" t="s">
        <v>23246</v>
      </c>
      <c r="D7965" s="3" t="s">
        <v>23247</v>
      </c>
      <c r="E7965" s="3" t="s">
        <v>23248</v>
      </c>
      <c r="F7965" s="3" t="str">
        <f>"317-352-2793"</f>
        <v>317-352-2793</v>
      </c>
      <c r="G7965" s="3">
        <v>32311</v>
      </c>
      <c r="H7965" s="3" t="s">
        <v>531</v>
      </c>
    </row>
    <row r="7966" spans="1:8" ht="179.25" x14ac:dyDescent="0.25">
      <c r="A7966" s="3" t="s">
        <v>23249</v>
      </c>
      <c r="B7966" s="3"/>
      <c r="C7966" s="3" t="s">
        <v>23250</v>
      </c>
      <c r="D7966" s="3" t="s">
        <v>9</v>
      </c>
      <c r="E7966" s="3" t="s">
        <v>23251</v>
      </c>
      <c r="F7966" s="3" t="str">
        <f>"219/326-7994"</f>
        <v>219/326-7994</v>
      </c>
      <c r="G7966" s="3">
        <v>32412</v>
      </c>
      <c r="H7966" s="3" t="s">
        <v>17512</v>
      </c>
    </row>
    <row r="7967" spans="1:8" ht="26.25" x14ac:dyDescent="0.25">
      <c r="A7967" s="3" t="s">
        <v>23252</v>
      </c>
      <c r="B7967" s="3"/>
      <c r="C7967" s="3" t="str">
        <f>" "</f>
        <v xml:space="preserve"> </v>
      </c>
      <c r="D7967" s="3" t="s">
        <v>9</v>
      </c>
      <c r="E7967" s="3" t="s">
        <v>46</v>
      </c>
      <c r="F7967" s="3" t="str">
        <f>"765-583-4461"</f>
        <v>765-583-4461</v>
      </c>
      <c r="G7967" s="3">
        <v>4413</v>
      </c>
      <c r="H7967" s="3" t="s">
        <v>1210</v>
      </c>
    </row>
    <row r="7968" spans="1:8" x14ac:dyDescent="0.25">
      <c r="A7968" s="3" t="s">
        <v>23253</v>
      </c>
      <c r="B7968" s="3"/>
      <c r="C7968" s="3" t="str">
        <f>"Provider of accounting and tax services"</f>
        <v>Provider of accounting and tax services</v>
      </c>
      <c r="D7968" s="3" t="s">
        <v>9</v>
      </c>
      <c r="E7968" s="3" t="s">
        <v>46</v>
      </c>
      <c r="F7968" s="2"/>
      <c r="G7968" s="3">
        <v>541211</v>
      </c>
      <c r="H7968" s="3" t="s">
        <v>337</v>
      </c>
    </row>
    <row r="7969" spans="1:8" ht="26.25" x14ac:dyDescent="0.25">
      <c r="A7969" s="3" t="s">
        <v>23254</v>
      </c>
      <c r="B7969" s="3"/>
      <c r="C7969" s="3" t="str">
        <f>"INTERIOR DESIGN, ARCHITECTURE, GRAPHIC DESIGN SERVICES"</f>
        <v>INTERIOR DESIGN, ARCHITECTURE, GRAPHIC DESIGN SERVICES</v>
      </c>
      <c r="D7969" s="3" t="s">
        <v>23255</v>
      </c>
      <c r="E7969" s="3" t="s">
        <v>23256</v>
      </c>
      <c r="F7969" s="3" t="str">
        <f>"317-636-3980"</f>
        <v>317-636-3980</v>
      </c>
      <c r="G7969" s="3">
        <v>541410</v>
      </c>
      <c r="H7969" s="3" t="s">
        <v>687</v>
      </c>
    </row>
    <row r="7970" spans="1:8" ht="141" x14ac:dyDescent="0.25">
      <c r="A7970" s="3" t="s">
        <v>23257</v>
      </c>
      <c r="B7970" s="3"/>
      <c r="C7970" s="3" t="s">
        <v>23258</v>
      </c>
      <c r="D7970" s="3" t="s">
        <v>23259</v>
      </c>
      <c r="E7970" s="3" t="s">
        <v>23260</v>
      </c>
      <c r="F7970" s="3" t="str">
        <f>"317-384-7355"</f>
        <v>317-384-7355</v>
      </c>
      <c r="G7970" s="3">
        <v>561612</v>
      </c>
      <c r="H7970" s="3" t="s">
        <v>362</v>
      </c>
    </row>
    <row r="7971" spans="1:8" ht="26.25" x14ac:dyDescent="0.25">
      <c r="A7971" s="3" t="s">
        <v>23261</v>
      </c>
      <c r="B7971" s="3"/>
      <c r="C7971" s="3" t="str">
        <f>"Right-of-Way Buying for Road Construction, Sewers, Waterways and Recreational Trails"</f>
        <v>Right-of-Way Buying for Road Construction, Sewers, Waterways and Recreational Trails</v>
      </c>
      <c r="D7971" s="3" t="s">
        <v>8195</v>
      </c>
      <c r="E7971" s="3" t="s">
        <v>23262</v>
      </c>
      <c r="F7971" s="3" t="str">
        <f>"260-622-6333"</f>
        <v>260-622-6333</v>
      </c>
      <c r="G7971" s="3">
        <v>53</v>
      </c>
      <c r="H7971" s="3" t="s">
        <v>2336</v>
      </c>
    </row>
    <row r="7972" spans="1:8" ht="90" x14ac:dyDescent="0.25">
      <c r="A7972" s="3" t="s">
        <v>23263</v>
      </c>
      <c r="B7972" s="3"/>
      <c r="C7972" s="3" t="s">
        <v>23264</v>
      </c>
      <c r="D7972" s="3" t="s">
        <v>23265</v>
      </c>
      <c r="E7972" s="3" t="s">
        <v>23266</v>
      </c>
      <c r="F7972" s="3" t="str">
        <f>"317-422-5195"</f>
        <v>317-422-5195</v>
      </c>
      <c r="G7972" s="3">
        <v>424910</v>
      </c>
      <c r="H7972" s="3" t="s">
        <v>1636</v>
      </c>
    </row>
    <row r="7973" spans="1:8" ht="90" x14ac:dyDescent="0.25">
      <c r="A7973" s="3" t="s">
        <v>23267</v>
      </c>
      <c r="B7973" s="3"/>
      <c r="C7973" s="3" t="str">
        <f>"Royal Food Products, LLC, is an Indiana business that celebrated it's 100th year anniversary in 2004. Royal manufactures and distributes a complete line of mayonaise, salad dressing, flavored dressings, sauces, marinades, and sour cream."</f>
        <v>Royal Food Products, LLC, is an Indiana business that celebrated it's 100th year anniversary in 2004. Royal manufactures and distributes a complete line of mayonaise, salad dressing, flavored dressings, sauces, marinades, and sour cream.</v>
      </c>
      <c r="D7973" s="3" t="s">
        <v>23268</v>
      </c>
      <c r="E7973" s="3" t="s">
        <v>23269</v>
      </c>
      <c r="F7973" s="3" t="str">
        <f>"(317) 782-2660"</f>
        <v>(317) 782-2660</v>
      </c>
      <c r="G7973" s="3">
        <v>311941</v>
      </c>
      <c r="H7973" s="3" t="s">
        <v>12010</v>
      </c>
    </row>
    <row r="7974" spans="1:8" ht="102.75" x14ac:dyDescent="0.25">
      <c r="A7974" s="3" t="s">
        <v>23270</v>
      </c>
      <c r="B7974" s="3"/>
      <c r="C7974" s="3" t="s">
        <v>23271</v>
      </c>
      <c r="D7974" s="3" t="s">
        <v>23272</v>
      </c>
      <c r="E7974" s="3" t="s">
        <v>23273</v>
      </c>
      <c r="F7974" s="3" t="str">
        <f>"219-980-0070"</f>
        <v>219-980-0070</v>
      </c>
      <c r="G7974" s="3">
        <v>423210</v>
      </c>
      <c r="H7974" s="3" t="s">
        <v>3508</v>
      </c>
    </row>
    <row r="7975" spans="1:8" ht="26.25" x14ac:dyDescent="0.25">
      <c r="A7975" s="3" t="s">
        <v>23274</v>
      </c>
      <c r="B7975" s="3"/>
      <c r="C7975" s="3" t="str">
        <f>"Office Supply Vendor anything from pens to toners to chairs to desks"</f>
        <v>Office Supply Vendor anything from pens to toners to chairs to desks</v>
      </c>
      <c r="D7975" s="3" t="s">
        <v>23275</v>
      </c>
      <c r="E7975" s="3" t="s">
        <v>23276</v>
      </c>
      <c r="F7975" s="3" t="str">
        <f>"317-347-4991"</f>
        <v>317-347-4991</v>
      </c>
      <c r="G7975" s="3">
        <v>42212</v>
      </c>
      <c r="H7975" s="3" t="s">
        <v>23277</v>
      </c>
    </row>
    <row r="7976" spans="1:8" ht="64.5" x14ac:dyDescent="0.25">
      <c r="A7976" s="3" t="s">
        <v>23278</v>
      </c>
      <c r="B7976" s="3"/>
      <c r="C7976" s="3" t="str">
        <f>"We are a painting contractor. We paint any residential, commercial and industrial projects. We are licensed, insured and bonded. We make the ordinary extraordinary."</f>
        <v>We are a painting contractor. We paint any residential, commercial and industrial projects. We are licensed, insured and bonded. We make the ordinary extraordinary.</v>
      </c>
      <c r="D7976" s="3" t="s">
        <v>9</v>
      </c>
      <c r="E7976" s="3" t="s">
        <v>23279</v>
      </c>
      <c r="F7976" s="3" t="str">
        <f>"(765)776-1900"</f>
        <v>(765)776-1900</v>
      </c>
      <c r="G7976" s="3">
        <v>238320</v>
      </c>
      <c r="H7976" s="3" t="s">
        <v>462</v>
      </c>
    </row>
    <row r="7977" spans="1:8" ht="51.75" x14ac:dyDescent="0.25">
      <c r="A7977" s="3" t="s">
        <v>23280</v>
      </c>
      <c r="B7977" s="3"/>
      <c r="C7977" s="3" t="str">
        <f>"Carpet/upholstery cleaning, Air duct cleaning, post construction cleaning, janitorial, pressure washing, water damage dry out/restoration"</f>
        <v>Carpet/upholstery cleaning, Air duct cleaning, post construction cleaning, janitorial, pressure washing, water damage dry out/restoration</v>
      </c>
      <c r="D7977" s="3" t="s">
        <v>9</v>
      </c>
      <c r="E7977" s="3" t="s">
        <v>23281</v>
      </c>
      <c r="F7977" s="3" t="str">
        <f>"317-859-8022"</f>
        <v>317-859-8022</v>
      </c>
      <c r="G7977" s="3">
        <v>561740</v>
      </c>
      <c r="H7977" s="3" t="s">
        <v>241</v>
      </c>
    </row>
    <row r="7978" spans="1:8" ht="90" x14ac:dyDescent="0.25">
      <c r="A7978" s="3" t="s">
        <v>23282</v>
      </c>
      <c r="B7978" s="3"/>
      <c r="C7978" s="3" t="s">
        <v>23283</v>
      </c>
      <c r="D7978" s="3" t="s">
        <v>23284</v>
      </c>
      <c r="E7978" s="3" t="s">
        <v>23285</v>
      </c>
      <c r="F7978" s="3" t="str">
        <f>"812-523-8392"</f>
        <v>812-523-8392</v>
      </c>
      <c r="G7978" s="3">
        <v>2356</v>
      </c>
      <c r="H7978" s="3" t="s">
        <v>365</v>
      </c>
    </row>
    <row r="7979" spans="1:8" ht="128.25" x14ac:dyDescent="0.25">
      <c r="A7979" s="3" t="s">
        <v>23286</v>
      </c>
      <c r="B7979" s="3"/>
      <c r="C7979" s="3" t="s">
        <v>23287</v>
      </c>
      <c r="D7979" s="3" t="s">
        <v>23288</v>
      </c>
      <c r="E7979" s="3" t="s">
        <v>23285</v>
      </c>
      <c r="F7979" s="3" t="str">
        <f>"1-800-303-8392"</f>
        <v>1-800-303-8392</v>
      </c>
      <c r="G7979" s="3">
        <v>2381</v>
      </c>
      <c r="H7979" s="3" t="s">
        <v>6672</v>
      </c>
    </row>
    <row r="7980" spans="1:8" ht="128.25" x14ac:dyDescent="0.25">
      <c r="A7980" s="3" t="s">
        <v>23289</v>
      </c>
      <c r="B7980" s="3"/>
      <c r="C7980" s="3" t="s">
        <v>23290</v>
      </c>
      <c r="D7980" s="3" t="s">
        <v>23284</v>
      </c>
      <c r="E7980" s="3" t="s">
        <v>23285</v>
      </c>
      <c r="F7980" s="3" t="str">
        <f>"812-523-8392"</f>
        <v>812-523-8392</v>
      </c>
      <c r="G7980" s="3">
        <v>238990</v>
      </c>
      <c r="H7980" s="3" t="s">
        <v>481</v>
      </c>
    </row>
    <row r="7981" spans="1:8" ht="26.25" x14ac:dyDescent="0.25">
      <c r="A7981" s="3" t="s">
        <v>23291</v>
      </c>
      <c r="B7981" s="3"/>
      <c r="C7981" s="3" t="str">
        <f>"Retail fertilizer and crop protection"</f>
        <v>Retail fertilizer and crop protection</v>
      </c>
      <c r="D7981" s="3" t="s">
        <v>23292</v>
      </c>
      <c r="E7981" s="3" t="s">
        <v>1892</v>
      </c>
      <c r="F7981" s="3" t="str">
        <f>"765-584-2833"</f>
        <v>765-584-2833</v>
      </c>
      <c r="G7981" s="3">
        <v>11</v>
      </c>
      <c r="H7981" s="3" t="s">
        <v>175</v>
      </c>
    </row>
    <row r="7982" spans="1:8" ht="153.75" x14ac:dyDescent="0.25">
      <c r="A7982" s="3" t="s">
        <v>23293</v>
      </c>
      <c r="B7982" s="3"/>
      <c r="C7982" s="3" t="s">
        <v>23294</v>
      </c>
      <c r="D7982" s="3" t="s">
        <v>23295</v>
      </c>
      <c r="E7982" s="3" t="s">
        <v>23296</v>
      </c>
      <c r="F7982" s="3" t="str">
        <f>"8123751008"</f>
        <v>8123751008</v>
      </c>
      <c r="G7982" s="3">
        <v>541890</v>
      </c>
      <c r="H7982" s="3" t="s">
        <v>401</v>
      </c>
    </row>
    <row r="7983" spans="1:8" ht="51.75" x14ac:dyDescent="0.25">
      <c r="A7983" s="3" t="s">
        <v>23297</v>
      </c>
      <c r="B7983" s="3"/>
      <c r="C7983" s="3" t="str">
        <f>"General Contractor specializing in new construction and remodeling in the residential market. Focus has been on downtown Indy Historical Renovation."</f>
        <v>General Contractor specializing in new construction and remodeling in the residential market. Focus has been on downtown Indy Historical Renovation.</v>
      </c>
      <c r="D7983" s="3" t="s">
        <v>9</v>
      </c>
      <c r="E7983" s="3" t="s">
        <v>23298</v>
      </c>
      <c r="F7983" s="3" t="str">
        <f>"8123278605"</f>
        <v>8123278605</v>
      </c>
      <c r="G7983" s="3">
        <v>23</v>
      </c>
      <c r="H7983" s="3" t="s">
        <v>133</v>
      </c>
    </row>
    <row r="7984" spans="1:8" ht="51.75" x14ac:dyDescent="0.25">
      <c r="A7984" s="3" t="s">
        <v>23299</v>
      </c>
      <c r="B7984" s="3"/>
      <c r="C7984" s="3" t="str">
        <f>"Waste removal and disposal services; recycling collection/processing services; portable toilet services; landfill disposal services; tire processing/disposal services."</f>
        <v>Waste removal and disposal services; recycling collection/processing services; portable toilet services; landfill disposal services; tire processing/disposal services.</v>
      </c>
      <c r="D7984" s="3" t="s">
        <v>23300</v>
      </c>
      <c r="E7984" s="3" t="s">
        <v>23301</v>
      </c>
      <c r="F7984" s="3" t="str">
        <f>"513-851-0122"</f>
        <v>513-851-0122</v>
      </c>
      <c r="G7984" s="3">
        <v>562111</v>
      </c>
      <c r="H7984" s="3" t="s">
        <v>1818</v>
      </c>
    </row>
    <row r="7985" spans="1:8" ht="26.25" x14ac:dyDescent="0.25">
      <c r="A7985" s="3" t="s">
        <v>23302</v>
      </c>
      <c r="B7985" s="3"/>
      <c r="C7985" s="3" t="str">
        <f>"Bridge Inspection and Civil Engineering Services"</f>
        <v>Bridge Inspection and Civil Engineering Services</v>
      </c>
      <c r="D7985" s="3" t="s">
        <v>9</v>
      </c>
      <c r="E7985" s="3" t="s">
        <v>23303</v>
      </c>
      <c r="F7985" s="3" t="str">
        <f>"317-796-5657"</f>
        <v>317-796-5657</v>
      </c>
      <c r="G7985" s="3">
        <v>54133</v>
      </c>
      <c r="H7985" s="3" t="s">
        <v>82</v>
      </c>
    </row>
    <row r="7986" spans="1:8" ht="128.25" x14ac:dyDescent="0.25">
      <c r="A7986" s="3" t="s">
        <v>23304</v>
      </c>
      <c r="B7986" s="3"/>
      <c r="C7986" s="3" t="s">
        <v>23305</v>
      </c>
      <c r="D7986" s="3" t="s">
        <v>23306</v>
      </c>
      <c r="E7986" s="3" t="s">
        <v>23307</v>
      </c>
      <c r="F7986" s="3" t="str">
        <f>"8125994675"</f>
        <v>8125994675</v>
      </c>
      <c r="G7986" s="3">
        <v>8141</v>
      </c>
      <c r="H7986" s="3" t="s">
        <v>23308</v>
      </c>
    </row>
    <row r="7987" spans="1:8" ht="26.25" x14ac:dyDescent="0.25">
      <c r="A7987" s="3" t="s">
        <v>23309</v>
      </c>
      <c r="B7987" s="3"/>
      <c r="C7987" s="3" t="str">
        <f>"Urban Design, Site Architecture, and Landscape Architecture"</f>
        <v>Urban Design, Site Architecture, and Landscape Architecture</v>
      </c>
      <c r="D7987" s="3" t="s">
        <v>23310</v>
      </c>
      <c r="E7987" s="3" t="s">
        <v>23311</v>
      </c>
      <c r="F7987" s="3" t="str">
        <f>"765-747-9737"</f>
        <v>765-747-9737</v>
      </c>
      <c r="G7987" s="3">
        <v>541310</v>
      </c>
      <c r="H7987" s="3" t="s">
        <v>446</v>
      </c>
    </row>
    <row r="7988" spans="1:8" ht="64.5" x14ac:dyDescent="0.25">
      <c r="A7988" s="3" t="s">
        <v>23312</v>
      </c>
      <c r="B7988" s="3"/>
      <c r="C7988" s="3" t="str">
        <f>"Originated in 2005 offering screen printing with no minimum order. Additional services provided: embroidery, indoor and outdoor signing, banners. On-site screen printing for events. Design services provided."</f>
        <v>Originated in 2005 offering screen printing with no minimum order. Additional services provided: embroidery, indoor and outdoor signing, banners. On-site screen printing for events. Design services provided.</v>
      </c>
      <c r="D7988" s="3" t="s">
        <v>23313</v>
      </c>
      <c r="E7988" s="3" t="s">
        <v>23314</v>
      </c>
      <c r="F7988" s="3" t="str">
        <f>"260-248-1216"</f>
        <v>260-248-1216</v>
      </c>
      <c r="G7988" s="3">
        <v>323113</v>
      </c>
      <c r="H7988" s="3" t="s">
        <v>1606</v>
      </c>
    </row>
    <row r="7989" spans="1:8" ht="26.25" x14ac:dyDescent="0.25">
      <c r="A7989" s="3" t="s">
        <v>23315</v>
      </c>
      <c r="B7989" s="3"/>
      <c r="C7989" s="3" t="str">
        <f>" "</f>
        <v xml:space="preserve"> </v>
      </c>
      <c r="D7989" s="3" t="s">
        <v>23316</v>
      </c>
      <c r="E7989" s="3" t="s">
        <v>46</v>
      </c>
      <c r="F7989" s="3" t="str">
        <f>"3175668888"</f>
        <v>3175668888</v>
      </c>
      <c r="G7989" s="3">
        <v>5324</v>
      </c>
      <c r="H7989" s="3" t="s">
        <v>1681</v>
      </c>
    </row>
    <row r="7990" spans="1:8" ht="26.25" x14ac:dyDescent="0.25">
      <c r="A7990" s="3" t="s">
        <v>23317</v>
      </c>
      <c r="B7990" s="3"/>
      <c r="C7990" s="3" t="str">
        <f>"We sell full line farm, landscaping, and lawn equipment."</f>
        <v>We sell full line farm, landscaping, and lawn equipment.</v>
      </c>
      <c r="D7990" s="3" t="s">
        <v>9</v>
      </c>
      <c r="E7990" s="3" t="s">
        <v>23318</v>
      </c>
      <c r="F7990" s="3" t="str">
        <f>"1-260-344-1692"</f>
        <v>1-260-344-1692</v>
      </c>
      <c r="G7990" s="3">
        <v>4442</v>
      </c>
      <c r="H7990" s="3" t="s">
        <v>852</v>
      </c>
    </row>
    <row r="7991" spans="1:8" ht="26.25" x14ac:dyDescent="0.25">
      <c r="A7991" s="3" t="s">
        <v>23319</v>
      </c>
      <c r="B7991" s="3"/>
      <c r="C7991" s="3" t="str">
        <f>" "</f>
        <v xml:space="preserve"> </v>
      </c>
      <c r="D7991" s="3" t="s">
        <v>9</v>
      </c>
      <c r="E7991" s="3" t="s">
        <v>46</v>
      </c>
      <c r="F7991" s="2"/>
      <c r="G7991" s="3">
        <v>611310</v>
      </c>
      <c r="H7991" s="3" t="s">
        <v>2063</v>
      </c>
    </row>
    <row r="7992" spans="1:8" ht="26.25" x14ac:dyDescent="0.25">
      <c r="A7992" s="3" t="s">
        <v>23320</v>
      </c>
      <c r="B7992" s="3"/>
      <c r="C7992" s="3" t="str">
        <f>"Limestone products"</f>
        <v>Limestone products</v>
      </c>
      <c r="D7992" s="3" t="s">
        <v>9</v>
      </c>
      <c r="E7992" s="3" t="s">
        <v>46</v>
      </c>
      <c r="F7992" s="3" t="str">
        <f>"765-629-221"</f>
        <v>765-629-221</v>
      </c>
      <c r="G7992" s="3">
        <v>21</v>
      </c>
      <c r="H7992" s="3" t="s">
        <v>15964</v>
      </c>
    </row>
    <row r="7993" spans="1:8" ht="26.25" x14ac:dyDescent="0.25">
      <c r="A7993" s="3" t="s">
        <v>23321</v>
      </c>
      <c r="B7993" s="3"/>
      <c r="C7993" s="3" t="str">
        <f>"General Acute Care Critical Access Hospital"</f>
        <v>General Acute Care Critical Access Hospital</v>
      </c>
      <c r="D7993" s="3" t="s">
        <v>23322</v>
      </c>
      <c r="E7993" s="3" t="s">
        <v>23323</v>
      </c>
      <c r="F7993" s="3" t="str">
        <f>"765-932-4111"</f>
        <v>765-932-4111</v>
      </c>
      <c r="G7993" s="3">
        <v>622110</v>
      </c>
      <c r="H7993" s="3" t="s">
        <v>3335</v>
      </c>
    </row>
    <row r="7994" spans="1:8" ht="26.25" x14ac:dyDescent="0.25">
      <c r="A7994" s="3" t="s">
        <v>23324</v>
      </c>
      <c r="B7994" s="3"/>
      <c r="C7994" s="3" t="str">
        <f>" "</f>
        <v xml:space="preserve"> </v>
      </c>
      <c r="D7994" s="3" t="s">
        <v>9</v>
      </c>
      <c r="E7994" s="3" t="s">
        <v>46</v>
      </c>
      <c r="F7994" s="2"/>
      <c r="G7994" s="3">
        <v>423110</v>
      </c>
      <c r="H7994" s="3" t="s">
        <v>3324</v>
      </c>
    </row>
    <row r="7995" spans="1:8" ht="115.5" x14ac:dyDescent="0.25">
      <c r="A7995" s="3" t="s">
        <v>23325</v>
      </c>
      <c r="B7995" s="3"/>
      <c r="C7995" s="3" t="s">
        <v>23326</v>
      </c>
      <c r="D7995" s="3" t="s">
        <v>23327</v>
      </c>
      <c r="E7995" s="3" t="s">
        <v>23328</v>
      </c>
      <c r="F7995" s="3" t="str">
        <f>"260-482-9414"</f>
        <v>260-482-9414</v>
      </c>
      <c r="G7995" s="3">
        <v>811113</v>
      </c>
      <c r="H7995" s="3" t="s">
        <v>4727</v>
      </c>
    </row>
    <row r="7996" spans="1:8" ht="141" x14ac:dyDescent="0.25">
      <c r="A7996" s="3" t="s">
        <v>23329</v>
      </c>
      <c r="B7996" s="3"/>
      <c r="C7996" s="3" t="s">
        <v>23330</v>
      </c>
      <c r="D7996" s="3" t="s">
        <v>23331</v>
      </c>
      <c r="E7996" s="3" t="s">
        <v>23332</v>
      </c>
      <c r="F7996" s="3" t="str">
        <f>"317-475-9311"</f>
        <v>317-475-9311</v>
      </c>
      <c r="G7996" s="3">
        <v>541618</v>
      </c>
      <c r="H7996" s="3" t="s">
        <v>3527</v>
      </c>
    </row>
    <row r="7997" spans="1:8" ht="166.5" x14ac:dyDescent="0.25">
      <c r="A7997" s="3" t="s">
        <v>23333</v>
      </c>
      <c r="B7997" s="3"/>
      <c r="C7997" s="3" t="s">
        <v>23334</v>
      </c>
      <c r="D7997" s="3" t="s">
        <v>23335</v>
      </c>
      <c r="E7997" s="3" t="s">
        <v>23336</v>
      </c>
      <c r="F7997" s="3" t="str">
        <f>"5748485650"</f>
        <v>5748485650</v>
      </c>
      <c r="G7997" s="3">
        <v>423990</v>
      </c>
      <c r="H7997" s="3" t="s">
        <v>983</v>
      </c>
    </row>
    <row r="7998" spans="1:8" ht="39" x14ac:dyDescent="0.25">
      <c r="A7998" s="3" t="s">
        <v>23337</v>
      </c>
      <c r="B7998" s="3"/>
      <c r="C7998" s="3" t="str">
        <f>"Installation and maintenance of landscape, mowing, trimming, fertilization/chemical treatment"</f>
        <v>Installation and maintenance of landscape, mowing, trimming, fertilization/chemical treatment</v>
      </c>
      <c r="D7998" s="3" t="s">
        <v>9</v>
      </c>
      <c r="E7998" s="3" t="s">
        <v>23338</v>
      </c>
      <c r="F7998" s="3" t="str">
        <f>"765-342-6726"</f>
        <v>765-342-6726</v>
      </c>
      <c r="G7998" s="3">
        <v>561730</v>
      </c>
      <c r="H7998" s="3" t="s">
        <v>65</v>
      </c>
    </row>
    <row r="7999" spans="1:8" ht="26.25" x14ac:dyDescent="0.25">
      <c r="A7999" s="3" t="s">
        <v>23339</v>
      </c>
      <c r="B7999" s="3"/>
      <c r="C7999" s="3" t="str">
        <f>"Complete Service and Installation of Septic Systems"</f>
        <v>Complete Service and Installation of Septic Systems</v>
      </c>
      <c r="D7999" s="3" t="s">
        <v>9</v>
      </c>
      <c r="E7999" s="3" t="s">
        <v>23340</v>
      </c>
      <c r="F7999" s="3" t="str">
        <f>"765-868-8018"</f>
        <v>765-868-8018</v>
      </c>
      <c r="G7999" s="3">
        <v>562991</v>
      </c>
      <c r="H7999" s="3" t="s">
        <v>468</v>
      </c>
    </row>
    <row r="8000" spans="1:8" ht="39" x14ac:dyDescent="0.25">
      <c r="A8000" s="3" t="s">
        <v>23341</v>
      </c>
      <c r="B8000" s="3"/>
      <c r="C8000" s="3" t="str">
        <f>"land clearing/ grubbing, ROW clearing, tree &amp; stump removal, seeding/ sodding, landscaping"</f>
        <v>land clearing/ grubbing, ROW clearing, tree &amp; stump removal, seeding/ sodding, landscaping</v>
      </c>
      <c r="D8000" s="3" t="s">
        <v>23342</v>
      </c>
      <c r="E8000" s="3" t="s">
        <v>23343</v>
      </c>
      <c r="F8000" s="3" t="str">
        <f>"219-987-4378"</f>
        <v>219-987-4378</v>
      </c>
      <c r="G8000" s="3">
        <v>23599</v>
      </c>
      <c r="H8000" s="3" t="s">
        <v>248</v>
      </c>
    </row>
    <row r="8001" spans="1:8" ht="39" x14ac:dyDescent="0.25">
      <c r="A8001" s="3" t="s">
        <v>23344</v>
      </c>
      <c r="B8001" s="3"/>
      <c r="C8001" s="3" t="str">
        <f>"A heavy constr. business specializing in mass earthmoving, reclamation, landfill cell const. and site developement"</f>
        <v>A heavy constr. business specializing in mass earthmoving, reclamation, landfill cell const. and site developement</v>
      </c>
      <c r="D8001" s="3" t="s">
        <v>9</v>
      </c>
      <c r="E8001" s="3" t="s">
        <v>46</v>
      </c>
      <c r="F8001" s="3" t="str">
        <f>"812-497-2400"</f>
        <v>812-497-2400</v>
      </c>
      <c r="G8001" s="3">
        <v>234</v>
      </c>
      <c r="H8001" s="3" t="s">
        <v>1414</v>
      </c>
    </row>
    <row r="8002" spans="1:8" ht="141" x14ac:dyDescent="0.25">
      <c r="A8002" s="3" t="s">
        <v>23345</v>
      </c>
      <c r="B8002" s="3"/>
      <c r="C8002" s="3" t="s">
        <v>23346</v>
      </c>
      <c r="D8002" s="3" t="s">
        <v>23347</v>
      </c>
      <c r="E8002" s="3" t="s">
        <v>23348</v>
      </c>
      <c r="F8002" s="3" t="str">
        <f>"3172534453"</f>
        <v>3172534453</v>
      </c>
      <c r="G8002" s="3">
        <v>451110</v>
      </c>
      <c r="H8002" s="3" t="s">
        <v>3110</v>
      </c>
    </row>
    <row r="8003" spans="1:8" ht="26.25" x14ac:dyDescent="0.25">
      <c r="A8003" s="3" t="s">
        <v>23349</v>
      </c>
      <c r="B8003" s="3"/>
      <c r="C8003" s="3" t="str">
        <f>"automotive sales and service"</f>
        <v>automotive sales and service</v>
      </c>
      <c r="D8003" s="3" t="s">
        <v>23350</v>
      </c>
      <c r="E8003" s="3" t="s">
        <v>23351</v>
      </c>
      <c r="F8003" s="3" t="str">
        <f>"8124821200"</f>
        <v>8124821200</v>
      </c>
      <c r="G8003" s="3">
        <v>441110</v>
      </c>
      <c r="H8003" s="3" t="s">
        <v>2588</v>
      </c>
    </row>
    <row r="8004" spans="1:8" ht="77.25" x14ac:dyDescent="0.25">
      <c r="A8004" s="3" t="s">
        <v>23352</v>
      </c>
      <c r="B8004" s="3"/>
      <c r="C8004" s="3" t="str">
        <f>"Manufacturer of dental and surgical sharpening equipment. We also provide a sharpening and maintenance service for various dental and surgical instruments. We also supply accessories and parts to the medical field."</f>
        <v>Manufacturer of dental and surgical sharpening equipment. We also provide a sharpening and maintenance service for various dental and surgical instruments. We also supply accessories and parts to the medical field.</v>
      </c>
      <c r="D8004" s="3" t="s">
        <v>23353</v>
      </c>
      <c r="E8004" s="3" t="s">
        <v>23354</v>
      </c>
      <c r="F8004" s="3" t="str">
        <f>"574 259-1606"</f>
        <v>574 259-1606</v>
      </c>
      <c r="G8004" s="3">
        <v>31</v>
      </c>
      <c r="H8004" s="3" t="s">
        <v>999</v>
      </c>
    </row>
    <row r="8005" spans="1:8" ht="77.25" x14ac:dyDescent="0.25">
      <c r="A8005" s="3" t="s">
        <v>23355</v>
      </c>
      <c r="B8005" s="3"/>
      <c r="C8005" s="3" t="str">
        <f>"Prescription Solutions provided Pharmacy Benefit Management services to include: pharmacy network management, claims processing, mail order, specialty pharmacy , rebate management, and all associated services."</f>
        <v>Prescription Solutions provided Pharmacy Benefit Management services to include: pharmacy network management, claims processing, mail order, specialty pharmacy , rebate management, and all associated services.</v>
      </c>
      <c r="D8005" s="3" t="s">
        <v>23356</v>
      </c>
      <c r="E8005" s="3" t="s">
        <v>46</v>
      </c>
      <c r="F8005" s="2"/>
      <c r="G8005" s="3">
        <v>454111</v>
      </c>
      <c r="H8005" s="3" t="s">
        <v>492</v>
      </c>
    </row>
    <row r="8006" spans="1:8" ht="26.25" x14ac:dyDescent="0.25">
      <c r="A8006" s="3" t="s">
        <v>23357</v>
      </c>
      <c r="B8006" s="3"/>
      <c r="C8006" s="3" t="str">
        <f>"Providers of pharmacists, technicians and management services to pharmacies."</f>
        <v>Providers of pharmacists, technicians and management services to pharmacies.</v>
      </c>
      <c r="D8006" s="3" t="s">
        <v>23358</v>
      </c>
      <c r="E8006" s="3" t="s">
        <v>23359</v>
      </c>
      <c r="F8006" s="3" t="str">
        <f>"317-469-6347"</f>
        <v>317-469-6347</v>
      </c>
      <c r="G8006" s="3">
        <v>561320</v>
      </c>
      <c r="H8006" s="3" t="s">
        <v>15</v>
      </c>
    </row>
    <row r="8007" spans="1:8" ht="26.25" x14ac:dyDescent="0.25">
      <c r="A8007" s="3" t="s">
        <v>23357</v>
      </c>
      <c r="B8007" s="3"/>
      <c r="C8007" s="3" t="str">
        <f>"Placement of pharmacists and pharmacy technicians in temporary positions"</f>
        <v>Placement of pharmacists and pharmacy technicians in temporary positions</v>
      </c>
      <c r="D8007" s="3" t="s">
        <v>9</v>
      </c>
      <c r="E8007" s="3" t="s">
        <v>23360</v>
      </c>
      <c r="F8007" s="3" t="str">
        <f>"317-489-8516"</f>
        <v>317-489-8516</v>
      </c>
      <c r="G8007" s="3">
        <v>541612</v>
      </c>
      <c r="H8007" s="3" t="s">
        <v>1923</v>
      </c>
    </row>
    <row r="8008" spans="1:8" ht="26.25" x14ac:dyDescent="0.25">
      <c r="A8008" s="3" t="s">
        <v>23361</v>
      </c>
      <c r="B8008" s="3"/>
      <c r="C8008" s="3" t="str">
        <f>"Residential housing - new, remodeling or development"</f>
        <v>Residential housing - new, remodeling or development</v>
      </c>
      <c r="D8008" s="3" t="s">
        <v>9</v>
      </c>
      <c r="E8008" s="3" t="s">
        <v>23362</v>
      </c>
      <c r="F8008" s="3" t="str">
        <f>"765-886-4122"</f>
        <v>765-886-4122</v>
      </c>
      <c r="G8008" s="3">
        <v>2332</v>
      </c>
      <c r="H8008" s="3" t="s">
        <v>3466</v>
      </c>
    </row>
    <row r="8009" spans="1:8" ht="26.25" x14ac:dyDescent="0.25">
      <c r="A8009" s="3" t="s">
        <v>23363</v>
      </c>
      <c r="B8009" s="3"/>
      <c r="C8009" s="3" t="str">
        <f>"Ryan Fire Protection installs and inspects sprinkler systems."</f>
        <v>Ryan Fire Protection installs and inspects sprinkler systems.</v>
      </c>
      <c r="D8009" s="3" t="s">
        <v>23364</v>
      </c>
      <c r="E8009" s="3" t="s">
        <v>46</v>
      </c>
      <c r="F8009" s="3" t="str">
        <f>"317-770-7100"</f>
        <v>317-770-7100</v>
      </c>
      <c r="G8009" s="3">
        <v>238220</v>
      </c>
      <c r="H8009" s="3" t="s">
        <v>348</v>
      </c>
    </row>
    <row r="8010" spans="1:8" ht="90" x14ac:dyDescent="0.25">
      <c r="A8010" s="3" t="s">
        <v>23365</v>
      </c>
      <c r="B8010" s="3"/>
      <c r="C8010" s="3" t="str">
        <f>"professional cleaning services for commercial and residential properties. Includes deep cleaning services and carpet cleaning with the ability to adapt to the needs of the customer and provide custom services. Owned and manged by Marine Corps veterans"</f>
        <v>professional cleaning services for commercial and residential properties. Includes deep cleaning services and carpet cleaning with the ability to adapt to the needs of the customer and provide custom services. Owned and manged by Marine Corps veterans</v>
      </c>
      <c r="D8010" s="3" t="s">
        <v>9</v>
      </c>
      <c r="E8010" s="3" t="s">
        <v>23366</v>
      </c>
      <c r="F8010" s="3" t="str">
        <f>"812 824 7687"</f>
        <v>812 824 7687</v>
      </c>
      <c r="G8010" s="3">
        <v>561720</v>
      </c>
      <c r="H8010" s="3" t="s">
        <v>222</v>
      </c>
    </row>
    <row r="8011" spans="1:8" ht="90" x14ac:dyDescent="0.25">
      <c r="A8011" s="3" t="s">
        <v>23367</v>
      </c>
      <c r="B8011" s="3"/>
      <c r="C8011" s="3" t="s">
        <v>23368</v>
      </c>
      <c r="D8011" s="3" t="s">
        <v>23369</v>
      </c>
      <c r="E8011" s="3" t="s">
        <v>23370</v>
      </c>
      <c r="F8011" s="3" t="str">
        <f>"317-577-4995"</f>
        <v>317-577-4995</v>
      </c>
      <c r="G8011" s="3">
        <v>424920</v>
      </c>
      <c r="H8011" s="3" t="s">
        <v>13245</v>
      </c>
    </row>
    <row r="8012" spans="1:8" ht="115.5" x14ac:dyDescent="0.25">
      <c r="A8012" s="3" t="s">
        <v>23371</v>
      </c>
      <c r="B8012" s="3"/>
      <c r="C8012" s="3" t="s">
        <v>23372</v>
      </c>
      <c r="D8012" s="3" t="s">
        <v>9</v>
      </c>
      <c r="E8012" s="3" t="s">
        <v>23373</v>
      </c>
      <c r="F8012" s="3" t="str">
        <f>"765-286-5130"</f>
        <v>765-286-5130</v>
      </c>
      <c r="G8012" s="3">
        <v>236</v>
      </c>
      <c r="H8012" s="3" t="s">
        <v>291</v>
      </c>
    </row>
    <row r="8013" spans="1:8" ht="26.25" x14ac:dyDescent="0.25">
      <c r="A8013" s="3" t="s">
        <v>23374</v>
      </c>
      <c r="B8013" s="3"/>
      <c r="C8013" s="3" t="str">
        <f>" "</f>
        <v xml:space="preserve"> </v>
      </c>
      <c r="D8013" s="3" t="s">
        <v>9</v>
      </c>
      <c r="E8013" s="3" t="s">
        <v>46</v>
      </c>
      <c r="F8013" s="2"/>
      <c r="G8013" s="3">
        <v>236220</v>
      </c>
      <c r="H8013" s="3" t="s">
        <v>598</v>
      </c>
    </row>
    <row r="8014" spans="1:8" ht="192" x14ac:dyDescent="0.25">
      <c r="A8014" s="3" t="s">
        <v>23375</v>
      </c>
      <c r="B8014" s="3"/>
      <c r="C8014" s="3" t="s">
        <v>23376</v>
      </c>
      <c r="D8014" s="3" t="s">
        <v>23377</v>
      </c>
      <c r="E8014" s="3" t="s">
        <v>23378</v>
      </c>
      <c r="F8014" s="3" t="str">
        <f>"812-944-9368"</f>
        <v>812-944-9368</v>
      </c>
      <c r="G8014" s="3">
        <v>332710</v>
      </c>
      <c r="H8014" s="3" t="s">
        <v>387</v>
      </c>
    </row>
    <row r="8015" spans="1:8" ht="39" x14ac:dyDescent="0.25">
      <c r="A8015" s="3" t="s">
        <v>23379</v>
      </c>
      <c r="B8015" s="3"/>
      <c r="C8015" s="3" t="str">
        <f>"Serving the water, wastewater and flood contol industries with equipment for the pumping, treatment and transfer of such"</f>
        <v>Serving the water, wastewater and flood contol industries with equipment for the pumping, treatment and transfer of such</v>
      </c>
      <c r="D8015" s="3" t="s">
        <v>23380</v>
      </c>
      <c r="E8015" s="3" t="s">
        <v>23381</v>
      </c>
      <c r="F8015" s="3" t="str">
        <f>"812-886-0245"</f>
        <v>812-886-0245</v>
      </c>
      <c r="G8015" s="3">
        <v>423830</v>
      </c>
      <c r="H8015" s="3" t="s">
        <v>172</v>
      </c>
    </row>
    <row r="8016" spans="1:8" ht="39" x14ac:dyDescent="0.25">
      <c r="A8016" s="3" t="s">
        <v>23382</v>
      </c>
      <c r="B8016" s="3"/>
      <c r="C8016" s="3" t="str">
        <f>"Excavating, septics, water lines, underground electric lines, drains, road bores, &amp; footers"</f>
        <v>Excavating, septics, water lines, underground electric lines, drains, road bores, &amp; footers</v>
      </c>
      <c r="D8016" s="3" t="s">
        <v>9</v>
      </c>
      <c r="E8016" s="3" t="s">
        <v>46</v>
      </c>
      <c r="F8016" s="3" t="str">
        <f>"812-347-2920"</f>
        <v>812-347-2920</v>
      </c>
      <c r="G8016" s="3">
        <v>238990</v>
      </c>
      <c r="H8016" s="3" t="s">
        <v>481</v>
      </c>
    </row>
    <row r="8017" spans="1:8" ht="64.5" x14ac:dyDescent="0.25">
      <c r="A8017" s="3" t="s">
        <v>23383</v>
      </c>
      <c r="B8017" s="3"/>
      <c r="C8017" s="3" t="str">
        <f>"Construction Contractor specializing in; Site Development consisting of Earthwork, Underground utilities, Concrete foundations, Flatwork, Parking, Curbs, and Landscaping."</f>
        <v>Construction Contractor specializing in; Site Development consisting of Earthwork, Underground utilities, Concrete foundations, Flatwork, Parking, Curbs, and Landscaping.</v>
      </c>
      <c r="D8017" s="3" t="s">
        <v>23384</v>
      </c>
      <c r="E8017" s="3" t="s">
        <v>23385</v>
      </c>
      <c r="F8017" s="3" t="str">
        <f>"260-200-1121"</f>
        <v>260-200-1121</v>
      </c>
      <c r="G8017" s="3">
        <v>23</v>
      </c>
      <c r="H8017" s="3" t="s">
        <v>133</v>
      </c>
    </row>
    <row r="8018" spans="1:8" ht="26.25" x14ac:dyDescent="0.25">
      <c r="A8018" s="3" t="s">
        <v>23386</v>
      </c>
      <c r="B8018" s="3"/>
      <c r="C8018" s="3" t="str">
        <f>"Materials/equipment distributor and Contractor Services."</f>
        <v>Materials/equipment distributor and Contractor Services.</v>
      </c>
      <c r="D8018" s="3" t="s">
        <v>23387</v>
      </c>
      <c r="E8018" s="3" t="s">
        <v>23388</v>
      </c>
      <c r="F8018" s="3" t="str">
        <f>"812-457-8836"</f>
        <v>812-457-8836</v>
      </c>
      <c r="G8018" s="3">
        <v>423850</v>
      </c>
      <c r="H8018" s="3" t="s">
        <v>419</v>
      </c>
    </row>
    <row r="8019" spans="1:8" ht="90" x14ac:dyDescent="0.25">
      <c r="A8019" s="3" t="s">
        <v>23389</v>
      </c>
      <c r="B8019" s="3"/>
      <c r="C8019" s="3" t="s">
        <v>23390</v>
      </c>
      <c r="D8019" s="3" t="s">
        <v>9</v>
      </c>
      <c r="E8019" s="3" t="s">
        <v>23391</v>
      </c>
      <c r="F8019" s="3" t="str">
        <f>"574-251-1414"</f>
        <v>574-251-1414</v>
      </c>
      <c r="G8019" s="3">
        <v>5415</v>
      </c>
      <c r="H8019" s="3" t="s">
        <v>188</v>
      </c>
    </row>
    <row r="8020" spans="1:8" ht="77.25" x14ac:dyDescent="0.25">
      <c r="A8020" s="3" t="s">
        <v>23392</v>
      </c>
      <c r="B8020" s="3"/>
      <c r="C8020" s="3" t="str">
        <f>"Commercial, Industrial, Residential Electrical Installations, Upgrades, Audits, Solutions. Energy Efficiency installations and audits, power saver and energy conservation installation for small businesses, homes, farm operations."</f>
        <v>Commercial, Industrial, Residential Electrical Installations, Upgrades, Audits, Solutions. Energy Efficiency installations and audits, power saver and energy conservation installation for small businesses, homes, farm operations.</v>
      </c>
      <c r="D8020" s="3" t="s">
        <v>9</v>
      </c>
      <c r="E8020" s="3" t="s">
        <v>23393</v>
      </c>
      <c r="F8020" s="3" t="str">
        <f>"8128651700"</f>
        <v>8128651700</v>
      </c>
      <c r="G8020" s="3">
        <v>238210</v>
      </c>
      <c r="H8020" s="3" t="s">
        <v>306</v>
      </c>
    </row>
    <row r="8021" spans="1:8" ht="319.5" x14ac:dyDescent="0.25">
      <c r="A8021" s="3" t="s">
        <v>23394</v>
      </c>
      <c r="B8021" s="3"/>
      <c r="C8021" s="3" t="s">
        <v>23395</v>
      </c>
      <c r="D8021" s="3" t="s">
        <v>23396</v>
      </c>
      <c r="E8021" s="3" t="s">
        <v>23397</v>
      </c>
      <c r="F8021" s="3" t="str">
        <f>"317-489-6805"</f>
        <v>317-489-6805</v>
      </c>
      <c r="G8021" s="3">
        <v>518210</v>
      </c>
      <c r="H8021" s="3" t="s">
        <v>3133</v>
      </c>
    </row>
    <row r="8022" spans="1:8" ht="115.5" x14ac:dyDescent="0.25">
      <c r="A8022" s="3" t="s">
        <v>23398</v>
      </c>
      <c r="B8022" s="3"/>
      <c r="C8022" s="3" t="s">
        <v>23399</v>
      </c>
      <c r="D8022" s="3" t="s">
        <v>23400</v>
      </c>
      <c r="E8022" s="3" t="s">
        <v>23401</v>
      </c>
      <c r="F8022" s="3" t="str">
        <f>"317-831-5222"</f>
        <v>317-831-5222</v>
      </c>
      <c r="G8022" s="3">
        <v>81111</v>
      </c>
      <c r="H8022" s="3" t="s">
        <v>96</v>
      </c>
    </row>
    <row r="8023" spans="1:8" ht="64.5" x14ac:dyDescent="0.25">
      <c r="A8023" s="3" t="s">
        <v>23402</v>
      </c>
      <c r="B8023" s="3"/>
      <c r="C8023" s="3" t="str">
        <f>"We have a trucking business along with excavating equipment. We can haul sand, stone, and dirt. We also can so site preperation with excavating equipment that we also have."</f>
        <v>We have a trucking business along with excavating equipment. We can haul sand, stone, and dirt. We also can so site preperation with excavating equipment that we also have.</v>
      </c>
      <c r="D8023" s="3" t="s">
        <v>9</v>
      </c>
      <c r="E8023" s="3" t="s">
        <v>23403</v>
      </c>
      <c r="F8023" s="3" t="str">
        <f>"812-346-7142"</f>
        <v>812-346-7142</v>
      </c>
      <c r="G8023" s="3">
        <v>484220</v>
      </c>
      <c r="H8023" s="3" t="s">
        <v>11</v>
      </c>
    </row>
    <row r="8024" spans="1:8" ht="51.75" x14ac:dyDescent="0.25">
      <c r="A8024" s="3" t="s">
        <v>23404</v>
      </c>
      <c r="B8024" s="3"/>
      <c r="C8024" s="3" t="str">
        <f>"Tree Care Trimming, Grooming, Tree Removal, and Stump Removal Services Residential and Commerical Timber Operations"</f>
        <v>Tree Care Trimming, Grooming, Tree Removal, and Stump Removal Services Residential and Commerical Timber Operations</v>
      </c>
      <c r="D8024" s="3" t="s">
        <v>9</v>
      </c>
      <c r="E8024" s="3" t="s">
        <v>23405</v>
      </c>
      <c r="F8024" s="3" t="str">
        <f>"317 255-4836"</f>
        <v>317 255-4836</v>
      </c>
      <c r="G8024" s="3">
        <v>11311</v>
      </c>
      <c r="H8024" s="3" t="s">
        <v>14766</v>
      </c>
    </row>
    <row r="8025" spans="1:8" ht="115.5" x14ac:dyDescent="0.25">
      <c r="A8025" s="3" t="s">
        <v>23406</v>
      </c>
      <c r="B8025" s="3"/>
      <c r="C8025" s="3" t="s">
        <v>23407</v>
      </c>
      <c r="D8025" s="3" t="s">
        <v>23408</v>
      </c>
      <c r="E8025" s="3" t="s">
        <v>23409</v>
      </c>
      <c r="F8025" s="3" t="str">
        <f>"317-714-4931"</f>
        <v>317-714-4931</v>
      </c>
      <c r="G8025" s="3">
        <v>54181</v>
      </c>
      <c r="H8025" s="3" t="s">
        <v>976</v>
      </c>
    </row>
    <row r="8026" spans="1:8" ht="39" x14ac:dyDescent="0.25">
      <c r="A8026" s="3" t="s">
        <v>23410</v>
      </c>
      <c r="B8026" s="3"/>
      <c r="C8026" s="3" t="str">
        <f>"We are an electrical and industrial wholesale supplier."</f>
        <v>We are an electrical and industrial wholesale supplier.</v>
      </c>
      <c r="D8026" s="3" t="s">
        <v>9</v>
      </c>
      <c r="E8026" s="3" t="s">
        <v>23411</v>
      </c>
      <c r="F8026" s="3" t="str">
        <f>"812-346-7209"</f>
        <v>812-346-7209</v>
      </c>
      <c r="G8026" s="3">
        <v>423610</v>
      </c>
      <c r="H8026" s="3" t="s">
        <v>2414</v>
      </c>
    </row>
    <row r="8027" spans="1:8" x14ac:dyDescent="0.25">
      <c r="A8027" s="3" t="s">
        <v>23412</v>
      </c>
      <c r="B8027" s="3"/>
      <c r="C8027" s="3" t="str">
        <f>" "</f>
        <v xml:space="preserve"> </v>
      </c>
      <c r="D8027" s="3" t="s">
        <v>9</v>
      </c>
      <c r="E8027" s="3" t="s">
        <v>46</v>
      </c>
      <c r="F8027" s="2"/>
      <c r="G8027" s="3">
        <v>425120</v>
      </c>
      <c r="H8027" s="3" t="s">
        <v>58</v>
      </c>
    </row>
    <row r="8028" spans="1:8" ht="115.5" x14ac:dyDescent="0.25">
      <c r="A8028" s="3" t="s">
        <v>23413</v>
      </c>
      <c r="B8028" s="3"/>
      <c r="C8028" s="3" t="s">
        <v>23414</v>
      </c>
      <c r="D8028" s="3" t="s">
        <v>23415</v>
      </c>
      <c r="E8028" s="3" t="s">
        <v>23416</v>
      </c>
      <c r="F8028" s="3" t="str">
        <f>"765-455-1218"</f>
        <v>765-455-1218</v>
      </c>
      <c r="G8028" s="3">
        <v>541611</v>
      </c>
      <c r="H8028" s="3" t="s">
        <v>278</v>
      </c>
    </row>
    <row r="8029" spans="1:8" ht="115.5" x14ac:dyDescent="0.25">
      <c r="A8029" s="3" t="s">
        <v>23417</v>
      </c>
      <c r="B8029" s="3"/>
      <c r="C8029" s="3" t="s">
        <v>23418</v>
      </c>
      <c r="D8029" s="3" t="s">
        <v>23419</v>
      </c>
      <c r="E8029" s="3" t="s">
        <v>23420</v>
      </c>
      <c r="F8029" s="3" t="str">
        <f>"317)887-3813"</f>
        <v>317)887-3813</v>
      </c>
      <c r="G8029" s="3">
        <v>454390</v>
      </c>
      <c r="H8029" s="3" t="s">
        <v>1348</v>
      </c>
    </row>
    <row r="8030" spans="1:8" ht="39" x14ac:dyDescent="0.25">
      <c r="A8030" s="3" t="s">
        <v>23421</v>
      </c>
      <c r="B8030" s="3"/>
      <c r="C8030" s="3" t="str">
        <f>"Towing light and heavy duty hauling, dump trucks ,roll off box service,front end loaders,"</f>
        <v>Towing light and heavy duty hauling, dump trucks ,roll off box service,front end loaders,</v>
      </c>
      <c r="D8030" s="3" t="s">
        <v>9</v>
      </c>
      <c r="E8030" s="3" t="s">
        <v>23422</v>
      </c>
      <c r="F8030" s="3" t="str">
        <f>"219-398-1380"</f>
        <v>219-398-1380</v>
      </c>
      <c r="G8030" s="3">
        <v>81</v>
      </c>
      <c r="H8030" s="3" t="s">
        <v>751</v>
      </c>
    </row>
    <row r="8031" spans="1:8" ht="26.25" x14ac:dyDescent="0.25">
      <c r="A8031" s="3" t="s">
        <v>23423</v>
      </c>
      <c r="B8031" s="3"/>
      <c r="C8031" s="3" t="str">
        <f>"Complete auto body repair"</f>
        <v>Complete auto body repair</v>
      </c>
      <c r="D8031" s="3" t="s">
        <v>9</v>
      </c>
      <c r="E8031" s="3" t="s">
        <v>23424</v>
      </c>
      <c r="F8031" s="3" t="str">
        <f>"260-665-6013"</f>
        <v>260-665-6013</v>
      </c>
      <c r="G8031" s="3">
        <v>81112</v>
      </c>
      <c r="H8031" s="3" t="s">
        <v>3041</v>
      </c>
    </row>
    <row r="8032" spans="1:8" ht="26.25" x14ac:dyDescent="0.25">
      <c r="A8032" s="3" t="s">
        <v>23425</v>
      </c>
      <c r="B8032" s="3"/>
      <c r="C8032" s="3" t="str">
        <f>"Machining and Metal Fabrication"</f>
        <v>Machining and Metal Fabrication</v>
      </c>
      <c r="D8032" s="3" t="s">
        <v>9</v>
      </c>
      <c r="E8032" s="3" t="s">
        <v>23426</v>
      </c>
      <c r="F8032" s="3" t="str">
        <f>"812-793-3506"</f>
        <v>812-793-3506</v>
      </c>
      <c r="G8032" s="3">
        <v>332710</v>
      </c>
      <c r="H8032" s="3" t="s">
        <v>387</v>
      </c>
    </row>
    <row r="8033" spans="1:8" ht="51.75" x14ac:dyDescent="0.25">
      <c r="A8033" s="3" t="s">
        <v>23427</v>
      </c>
      <c r="B8033" s="3"/>
      <c r="C8033" s="3" t="str">
        <f>"We are a unique two in one store selling crafts and hardware. We are located close to major tourist attractions such as Spring Mill State Park, West Baden and French Lick"</f>
        <v>We are a unique two in one store selling crafts and hardware. We are located close to major tourist attractions such as Spring Mill State Park, West Baden and French Lick</v>
      </c>
      <c r="D8033" s="3" t="s">
        <v>9</v>
      </c>
      <c r="E8033" s="3" t="s">
        <v>46</v>
      </c>
      <c r="F8033" s="3" t="str">
        <f>"812-849-2777"</f>
        <v>812-849-2777</v>
      </c>
      <c r="G8033" s="3">
        <v>238</v>
      </c>
      <c r="H8033" s="3" t="s">
        <v>397</v>
      </c>
    </row>
    <row r="8034" spans="1:8" ht="115.5" x14ac:dyDescent="0.25">
      <c r="A8034" s="3" t="s">
        <v>23428</v>
      </c>
      <c r="B8034" s="3"/>
      <c r="C8034" s="3" t="s">
        <v>23429</v>
      </c>
      <c r="D8034" s="3" t="s">
        <v>23430</v>
      </c>
      <c r="E8034" s="3" t="s">
        <v>23431</v>
      </c>
      <c r="F8034" s="3" t="str">
        <f>"317.946.6188"</f>
        <v>317.946.6188</v>
      </c>
      <c r="G8034" s="3">
        <v>561320</v>
      </c>
      <c r="H8034" s="3" t="s">
        <v>15</v>
      </c>
    </row>
    <row r="8035" spans="1:8" ht="51.75" x14ac:dyDescent="0.25">
      <c r="A8035" s="3" t="s">
        <v>23432</v>
      </c>
      <c r="B8035" s="3"/>
      <c r="C8035" s="3" t="str">
        <f>"Provide lawn maintenance services such as mowing and trimming and leaf clearing. Also provide snow removal service and bobcat work."</f>
        <v>Provide lawn maintenance services such as mowing and trimming and leaf clearing. Also provide snow removal service and bobcat work.</v>
      </c>
      <c r="D8035" s="3" t="s">
        <v>9</v>
      </c>
      <c r="E8035" s="3" t="s">
        <v>23433</v>
      </c>
      <c r="F8035" s="3" t="str">
        <f>"(812) 256-4779"</f>
        <v>(812) 256-4779</v>
      </c>
      <c r="G8035" s="3">
        <v>99999</v>
      </c>
      <c r="H8035" s="3" t="s">
        <v>8262</v>
      </c>
    </row>
    <row r="8036" spans="1:8" ht="26.25" x14ac:dyDescent="0.25">
      <c r="A8036" s="3" t="s">
        <v>23434</v>
      </c>
      <c r="B8036" s="3"/>
      <c r="C8036" s="3" t="str">
        <f>"Installers and Providers of Physical and Electronic Security Equipment"</f>
        <v>Installers and Providers of Physical and Electronic Security Equipment</v>
      </c>
      <c r="D8036" s="3" t="s">
        <v>23435</v>
      </c>
      <c r="E8036" s="3" t="s">
        <v>23436</v>
      </c>
      <c r="F8036" s="3" t="str">
        <f>"317-352-1281"</f>
        <v>317-352-1281</v>
      </c>
      <c r="G8036" s="3">
        <v>561621</v>
      </c>
      <c r="H8036" s="3" t="s">
        <v>827</v>
      </c>
    </row>
    <row r="8037" spans="1:8" ht="90" x14ac:dyDescent="0.25">
      <c r="A8037" s="3" t="s">
        <v>23437</v>
      </c>
      <c r="B8037" s="3"/>
      <c r="C8037" s="3" t="str">
        <f>"Serving the mechanical industry by providing heating and controls equipment with a specialty in hydronics. We specifically sell boilers, water heaters, steam specialities, venting equipment, hydronic controls and other heating equipment"</f>
        <v>Serving the mechanical industry by providing heating and controls equipment with a specialty in hydronics. We specifically sell boilers, water heaters, steam specialities, venting equipment, hydronic controls and other heating equipment</v>
      </c>
      <c r="D8037" s="3" t="s">
        <v>23438</v>
      </c>
      <c r="E8037" s="3" t="s">
        <v>23439</v>
      </c>
      <c r="F8037" s="3" t="str">
        <f>"317 228-9775"</f>
        <v>317 228-9775</v>
      </c>
      <c r="G8037" s="3">
        <v>42372</v>
      </c>
      <c r="H8037" s="3" t="s">
        <v>2695</v>
      </c>
    </row>
    <row r="8038" spans="1:8" ht="51.75" x14ac:dyDescent="0.25">
      <c r="A8038" s="3" t="s">
        <v>23440</v>
      </c>
      <c r="B8038" s="3"/>
      <c r="C8038" s="3" t="str">
        <f>"Sale of Janitorial products, plastics, paper goods, office supplies, claening chemicals and floor &amp; carpet equipment for use in business facilities."</f>
        <v>Sale of Janitorial products, plastics, paper goods, office supplies, claening chemicals and floor &amp; carpet equipment for use in business facilities.</v>
      </c>
      <c r="D8038" s="3" t="s">
        <v>23441</v>
      </c>
      <c r="E8038" s="3" t="s">
        <v>23442</v>
      </c>
      <c r="F8038" s="3" t="str">
        <f>"(765)282-1944"</f>
        <v>(765)282-1944</v>
      </c>
      <c r="G8038" s="3">
        <v>4234</v>
      </c>
      <c r="H8038" s="3" t="s">
        <v>4160</v>
      </c>
    </row>
    <row r="8039" spans="1:8" ht="77.25" x14ac:dyDescent="0.25">
      <c r="A8039" s="3" t="s">
        <v>23443</v>
      </c>
      <c r="B8039" s="3"/>
      <c r="C8039" s="3" t="str">
        <f>"Janitorial &amp; Industrial Supplies, Floor Equipment, Absorbents, Paper Products, First Aid Supplies, Food Service Paper Products, Waste Receptacles, Handicap Accessories &amp; Restroom Partitions, &amp; Can Liners."</f>
        <v>Janitorial &amp; Industrial Supplies, Floor Equipment, Absorbents, Paper Products, First Aid Supplies, Food Service Paper Products, Waste Receptacles, Handicap Accessories &amp; Restroom Partitions, &amp; Can Liners.</v>
      </c>
      <c r="D8039" s="3" t="s">
        <v>9</v>
      </c>
      <c r="E8039" s="3" t="s">
        <v>23444</v>
      </c>
      <c r="F8039" s="3" t="str">
        <f>"765-282-1944"</f>
        <v>765-282-1944</v>
      </c>
      <c r="G8039" s="3">
        <v>453998</v>
      </c>
      <c r="H8039" s="3" t="s">
        <v>112</v>
      </c>
    </row>
    <row r="8040" spans="1:8" ht="26.25" x14ac:dyDescent="0.25">
      <c r="A8040" s="3" t="s">
        <v>23445</v>
      </c>
      <c r="B8040" s="3"/>
      <c r="C8040" s="3" t="str">
        <f>"Direct Sales, Marketing, Training &amp; Insurance"</f>
        <v>Direct Sales, Marketing, Training &amp; Insurance</v>
      </c>
      <c r="D8040" s="3" t="s">
        <v>9</v>
      </c>
      <c r="E8040" s="3" t="s">
        <v>46</v>
      </c>
      <c r="F8040" s="2"/>
      <c r="G8040" s="3">
        <v>524210</v>
      </c>
      <c r="H8040" s="3" t="s">
        <v>1183</v>
      </c>
    </row>
    <row r="8041" spans="1:8" ht="26.25" x14ac:dyDescent="0.25">
      <c r="A8041" s="3" t="s">
        <v>23446</v>
      </c>
      <c r="B8041" s="3"/>
      <c r="C8041" s="3" t="str">
        <f>"Residential and Commercial roofing"</f>
        <v>Residential and Commercial roofing</v>
      </c>
      <c r="D8041" s="3" t="s">
        <v>23447</v>
      </c>
      <c r="E8041" s="3" t="s">
        <v>23448</v>
      </c>
      <c r="F8041" s="3" t="str">
        <f>"219-671-7470"</f>
        <v>219-671-7470</v>
      </c>
      <c r="G8041" s="3">
        <v>238160</v>
      </c>
      <c r="H8041" s="3" t="s">
        <v>144</v>
      </c>
    </row>
    <row r="8042" spans="1:8" ht="39" x14ac:dyDescent="0.25">
      <c r="A8042" s="3" t="s">
        <v>23449</v>
      </c>
      <c r="B8042" s="3"/>
      <c r="C8042" s="3" t="str">
        <f>"General contracting for residential, commercial and industrial buildings and facilities."</f>
        <v>General contracting for residential, commercial and industrial buildings and facilities.</v>
      </c>
      <c r="D8042" s="3" t="s">
        <v>9</v>
      </c>
      <c r="E8042" s="3" t="s">
        <v>23450</v>
      </c>
      <c r="F8042" s="3" t="str">
        <f>"(317) 757-6844"</f>
        <v>(317) 757-6844</v>
      </c>
      <c r="G8042" s="3">
        <v>23</v>
      </c>
      <c r="H8042" s="3" t="s">
        <v>133</v>
      </c>
    </row>
    <row r="8043" spans="1:8" ht="77.25" x14ac:dyDescent="0.25">
      <c r="A8043" s="3" t="s">
        <v>23451</v>
      </c>
      <c r="B8043" s="3"/>
      <c r="C8043" s="3" t="str">
        <f>"Safety Corporation celebrated its 50th year as a locally owned and operated business in 2006. We have been helping many of the best companies in Indiana by providing a full line of safety equipment and dedication to excellence in customer service."</f>
        <v>Safety Corporation celebrated its 50th year as a locally owned and operated business in 2006. We have been helping many of the best companies in Indiana by providing a full line of safety equipment and dedication to excellence in customer service.</v>
      </c>
      <c r="D8043" s="3" t="s">
        <v>23452</v>
      </c>
      <c r="E8043" s="3" t="s">
        <v>23453</v>
      </c>
      <c r="F8043" s="3" t="str">
        <f>"317-634-2571"</f>
        <v>317-634-2571</v>
      </c>
      <c r="G8043" s="3">
        <v>424990</v>
      </c>
      <c r="H8043" s="3" t="s">
        <v>1019</v>
      </c>
    </row>
    <row r="8044" spans="1:8" ht="26.25" x14ac:dyDescent="0.25">
      <c r="A8044" s="3" t="s">
        <v>23454</v>
      </c>
      <c r="B8044" s="3"/>
      <c r="C8044" s="3" t="str">
        <f>" "</f>
        <v xml:space="preserve"> </v>
      </c>
      <c r="D8044" s="3" t="s">
        <v>23455</v>
      </c>
      <c r="E8044" s="3" t="s">
        <v>23456</v>
      </c>
      <c r="F8044" s="3" t="str">
        <f>"317-455-9175"</f>
        <v>317-455-9175</v>
      </c>
      <c r="G8044" s="3">
        <v>424340</v>
      </c>
      <c r="H8044" s="3" t="s">
        <v>23457</v>
      </c>
    </row>
    <row r="8045" spans="1:8" ht="26.25" x14ac:dyDescent="0.25">
      <c r="A8045" s="3" t="s">
        <v>23458</v>
      </c>
      <c r="B8045" s="3"/>
      <c r="C8045" s="3" t="str">
        <f>"A 30 minute circuit training fitness facility primarily for women"</f>
        <v>A 30 minute circuit training fitness facility primarily for women</v>
      </c>
      <c r="D8045" s="3" t="s">
        <v>9</v>
      </c>
      <c r="E8045" s="3" t="s">
        <v>23459</v>
      </c>
      <c r="F8045" s="3" t="str">
        <f>"317-475-1300"</f>
        <v>317-475-1300</v>
      </c>
      <c r="G8045" s="3">
        <v>713940</v>
      </c>
      <c r="H8045" s="3" t="s">
        <v>1471</v>
      </c>
    </row>
    <row r="8046" spans="1:8" ht="204.75" x14ac:dyDescent="0.25">
      <c r="A8046" s="3" t="s">
        <v>23460</v>
      </c>
      <c r="B8046" s="3"/>
      <c r="C8046" s="3" t="s">
        <v>23461</v>
      </c>
      <c r="D8046" s="3" t="s">
        <v>23462</v>
      </c>
      <c r="E8046" s="3" t="s">
        <v>23463</v>
      </c>
      <c r="F8046" s="3" t="str">
        <f>"317-222-1048"</f>
        <v>317-222-1048</v>
      </c>
      <c r="G8046" s="3">
        <v>541511</v>
      </c>
      <c r="H8046" s="3" t="s">
        <v>122</v>
      </c>
    </row>
    <row r="8047" spans="1:8" ht="153.75" x14ac:dyDescent="0.25">
      <c r="A8047" s="3" t="s">
        <v>23464</v>
      </c>
      <c r="B8047" s="3"/>
      <c r="C8047" s="3" t="s">
        <v>23465</v>
      </c>
      <c r="D8047" s="3" t="s">
        <v>9</v>
      </c>
      <c r="E8047" s="3" t="s">
        <v>23466</v>
      </c>
      <c r="F8047" s="3" t="str">
        <f>"317-598-9844"</f>
        <v>317-598-9844</v>
      </c>
      <c r="G8047" s="3">
        <v>488510</v>
      </c>
      <c r="H8047" s="3" t="s">
        <v>562</v>
      </c>
    </row>
    <row r="8048" spans="1:8" ht="39" x14ac:dyDescent="0.25">
      <c r="A8048" s="3" t="s">
        <v>23467</v>
      </c>
      <c r="B8048" s="3"/>
      <c r="C8048" s="3" t="str">
        <f>"We specialize in computer/networking, translation/interpretation, notary services and professional organizing"</f>
        <v>We specialize in computer/networking, translation/interpretation, notary services and professional organizing</v>
      </c>
      <c r="D8048" s="3" t="s">
        <v>23468</v>
      </c>
      <c r="E8048" s="3" t="s">
        <v>23469</v>
      </c>
      <c r="F8048" s="3" t="str">
        <f>"(812) 634-7300"</f>
        <v>(812) 634-7300</v>
      </c>
      <c r="G8048" s="3">
        <v>541614</v>
      </c>
      <c r="H8048" s="3" t="s">
        <v>107</v>
      </c>
    </row>
    <row r="8049" spans="1:8" ht="26.25" x14ac:dyDescent="0.25">
      <c r="A8049" s="3" t="s">
        <v>23470</v>
      </c>
      <c r="B8049" s="3"/>
      <c r="C8049" s="3" t="str">
        <f>"Auto Truck Sales Service Repair Trades Welcome"</f>
        <v>Auto Truck Sales Service Repair Trades Welcome</v>
      </c>
      <c r="D8049" s="3" t="s">
        <v>23471</v>
      </c>
      <c r="E8049" s="3" t="s">
        <v>23472</v>
      </c>
      <c r="F8049" s="3" t="str">
        <f>"260-724-3833"</f>
        <v>260-724-3833</v>
      </c>
      <c r="G8049" s="3">
        <v>4411</v>
      </c>
      <c r="H8049" s="3" t="s">
        <v>1015</v>
      </c>
    </row>
    <row r="8050" spans="1:8" ht="26.25" x14ac:dyDescent="0.25">
      <c r="A8050" s="3" t="s">
        <v>23473</v>
      </c>
      <c r="B8050" s="3"/>
      <c r="C8050" s="3" t="str">
        <f>"window cleaning, power washing"</f>
        <v>window cleaning, power washing</v>
      </c>
      <c r="D8050" s="3" t="s">
        <v>9</v>
      </c>
      <c r="E8050" s="3" t="s">
        <v>23474</v>
      </c>
      <c r="F8050" s="3" t="str">
        <f>"317-654-0415"</f>
        <v>317-654-0415</v>
      </c>
      <c r="G8050" s="3">
        <v>238</v>
      </c>
      <c r="H8050" s="3" t="s">
        <v>397</v>
      </c>
    </row>
    <row r="8051" spans="1:8" ht="39" x14ac:dyDescent="0.25">
      <c r="A8051" s="3" t="s">
        <v>23475</v>
      </c>
      <c r="B8051" s="3"/>
      <c r="C8051" s="3" t="str">
        <f>"WBE Certified Local area trucking and Vehicle transport services in the NW Indiana and South Chicago areas"</f>
        <v>WBE Certified Local area trucking and Vehicle transport services in the NW Indiana and South Chicago areas</v>
      </c>
      <c r="D8051" s="3" t="s">
        <v>9</v>
      </c>
      <c r="E8051" s="3" t="s">
        <v>23476</v>
      </c>
      <c r="F8051" s="3" t="str">
        <f>"219-299-6830"</f>
        <v>219-299-6830</v>
      </c>
      <c r="G8051" s="3">
        <v>5613</v>
      </c>
      <c r="H8051" s="3" t="s">
        <v>1882</v>
      </c>
    </row>
    <row r="8052" spans="1:8" ht="319.5" x14ac:dyDescent="0.25">
      <c r="A8052" s="3" t="s">
        <v>23477</v>
      </c>
      <c r="B8052" s="3"/>
      <c r="C8052" s="3" t="s">
        <v>23478</v>
      </c>
      <c r="D8052" s="3" t="s">
        <v>23479</v>
      </c>
      <c r="E8052" s="3" t="s">
        <v>23480</v>
      </c>
      <c r="F8052" s="3" t="str">
        <f>"888.9.SHOW.ME"</f>
        <v>888.9.SHOW.ME</v>
      </c>
      <c r="G8052" s="3">
        <v>237210</v>
      </c>
      <c r="H8052" s="3" t="s">
        <v>3160</v>
      </c>
    </row>
    <row r="8053" spans="1:8" ht="26.25" x14ac:dyDescent="0.25">
      <c r="A8053" s="3" t="s">
        <v>23481</v>
      </c>
      <c r="B8053" s="3"/>
      <c r="C8053" s="3" t="str">
        <f>"SAP O&amp;M, installs, upgrades ECC &amp; SAP BW / BI"</f>
        <v>SAP O&amp;M, installs, upgrades ECC &amp; SAP BW / BI</v>
      </c>
      <c r="D8053" s="3" t="s">
        <v>9</v>
      </c>
      <c r="E8053" s="3" t="s">
        <v>23482</v>
      </c>
      <c r="F8053" s="2"/>
      <c r="G8053" s="3">
        <v>51</v>
      </c>
      <c r="H8053" s="3" t="s">
        <v>252</v>
      </c>
    </row>
    <row r="8054" spans="1:8" ht="153.75" x14ac:dyDescent="0.25">
      <c r="A8054" s="3" t="s">
        <v>23483</v>
      </c>
      <c r="B8054" s="3"/>
      <c r="C8054" s="3" t="s">
        <v>23484</v>
      </c>
      <c r="D8054" s="3" t="s">
        <v>23485</v>
      </c>
      <c r="E8054" s="3" t="s">
        <v>46</v>
      </c>
      <c r="F8054" s="3" t="str">
        <f>"317-842-4777"</f>
        <v>317-842-4777</v>
      </c>
      <c r="G8054" s="3">
        <v>423430</v>
      </c>
      <c r="H8054" s="3" t="s">
        <v>127</v>
      </c>
    </row>
    <row r="8055" spans="1:8" ht="64.5" x14ac:dyDescent="0.25">
      <c r="A8055" s="3" t="s">
        <v>23486</v>
      </c>
      <c r="B8055" s="3"/>
      <c r="C8055" s="3" t="str">
        <f>"Union Sheet Metal Siding and Roofing Contractor, That supplies and installs Metal Siding, Roofing,Composites,Louvers,Sky lights and Column Wraps for Comercial and Industrial applications."</f>
        <v>Union Sheet Metal Siding and Roofing Contractor, That supplies and installs Metal Siding, Roofing,Composites,Louvers,Sky lights and Column Wraps for Comercial and Industrial applications.</v>
      </c>
      <c r="D8055" s="3" t="s">
        <v>9</v>
      </c>
      <c r="E8055" s="3" t="s">
        <v>23487</v>
      </c>
      <c r="F8055" s="3" t="str">
        <f>"260-403-8165"</f>
        <v>260-403-8165</v>
      </c>
      <c r="G8055" s="3">
        <v>238170</v>
      </c>
      <c r="H8055" s="3" t="s">
        <v>21601</v>
      </c>
    </row>
    <row r="8056" spans="1:8" ht="39" x14ac:dyDescent="0.25">
      <c r="A8056" s="3" t="s">
        <v>23488</v>
      </c>
      <c r="B8056" s="3"/>
      <c r="C8056" s="3" t="str">
        <f>"A psychological written test that measures chemical dependency for drugs and alcohol in Adolescents and Adults."</f>
        <v>A psychological written test that measures chemical dependency for drugs and alcohol in Adolescents and Adults.</v>
      </c>
      <c r="D8056" s="3" t="s">
        <v>23489</v>
      </c>
      <c r="E8056" s="3" t="s">
        <v>23490</v>
      </c>
      <c r="F8056" s="3" t="str">
        <f>"812-275-7013"</f>
        <v>812-275-7013</v>
      </c>
      <c r="G8056" s="3">
        <v>238</v>
      </c>
      <c r="H8056" s="3" t="s">
        <v>397</v>
      </c>
    </row>
    <row r="8057" spans="1:8" ht="115.5" x14ac:dyDescent="0.25">
      <c r="A8057" s="3" t="s">
        <v>23491</v>
      </c>
      <c r="B8057" s="3"/>
      <c r="C8057" s="3" t="s">
        <v>23492</v>
      </c>
      <c r="D8057" s="3" t="s">
        <v>23493</v>
      </c>
      <c r="E8057" s="3" t="s">
        <v>23494</v>
      </c>
      <c r="F8057" s="3" t="str">
        <f>"765-642-2200"</f>
        <v>765-642-2200</v>
      </c>
      <c r="G8057" s="3">
        <v>443120</v>
      </c>
      <c r="H8057" s="3" t="s">
        <v>609</v>
      </c>
    </row>
    <row r="8058" spans="1:8" ht="217.5" x14ac:dyDescent="0.25">
      <c r="A8058" s="3" t="s">
        <v>23495</v>
      </c>
      <c r="B8058" s="3"/>
      <c r="C8058" s="3" t="s">
        <v>23496</v>
      </c>
      <c r="D8058" s="3" t="s">
        <v>23497</v>
      </c>
      <c r="E8058" s="3" t="s">
        <v>23498</v>
      </c>
      <c r="F8058" s="3" t="str">
        <f>"317-894-9838"</f>
        <v>317-894-9838</v>
      </c>
      <c r="G8058" s="3">
        <v>221119</v>
      </c>
      <c r="H8058" s="3" t="s">
        <v>12939</v>
      </c>
    </row>
    <row r="8059" spans="1:8" ht="115.5" x14ac:dyDescent="0.25">
      <c r="A8059" s="3" t="s">
        <v>23499</v>
      </c>
      <c r="B8059" s="3"/>
      <c r="C8059" s="3" t="s">
        <v>23500</v>
      </c>
      <c r="D8059" s="3" t="s">
        <v>9</v>
      </c>
      <c r="E8059" s="3" t="s">
        <v>23501</v>
      </c>
      <c r="F8059" s="3" t="str">
        <f>"317 254-0373"</f>
        <v>317 254-0373</v>
      </c>
      <c r="G8059" s="3">
        <v>519190</v>
      </c>
      <c r="H8059" s="3" t="s">
        <v>13512</v>
      </c>
    </row>
    <row r="8060" spans="1:8" ht="64.5" x14ac:dyDescent="0.25">
      <c r="A8060" s="3" t="s">
        <v>23502</v>
      </c>
      <c r="B8060" s="3"/>
      <c r="C8060" s="3" t="str">
        <f>"Marketing Communications; Communications Consulting &amp; Audits,;Writing; Editing; Publication Management; Ad Copy Writing; Graphic Design"</f>
        <v>Marketing Communications; Communications Consulting &amp; Audits,;Writing; Editing; Publication Management; Ad Copy Writing; Graphic Design</v>
      </c>
      <c r="D8060" s="3" t="s">
        <v>9</v>
      </c>
      <c r="E8060" s="3" t="s">
        <v>23503</v>
      </c>
      <c r="F8060" s="3" t="str">
        <f>"765-643-0191"</f>
        <v>765-643-0191</v>
      </c>
      <c r="G8060" s="3">
        <v>541613</v>
      </c>
      <c r="H8060" s="3" t="s">
        <v>558</v>
      </c>
    </row>
    <row r="8061" spans="1:8" ht="77.25" x14ac:dyDescent="0.25">
      <c r="A8061" s="3" t="s">
        <v>23504</v>
      </c>
      <c r="B8061" s="3"/>
      <c r="C8061" s="3" t="str">
        <f>"Single Source Providor of: Wide Format Digital Printing, Project Management, Color Printing Services, Document Management Technology, Wide Format Equipment Sales, Factory Certified Technicians, and Wide Format Printing Supplies."</f>
        <v>Single Source Providor of: Wide Format Digital Printing, Project Management, Color Printing Services, Document Management Technology, Wide Format Equipment Sales, Factory Certified Technicians, and Wide Format Printing Supplies.</v>
      </c>
      <c r="D8061" s="3" t="s">
        <v>23505</v>
      </c>
      <c r="E8061" s="3" t="s">
        <v>23506</v>
      </c>
      <c r="F8061" s="3" t="str">
        <f>"574-287-2944"</f>
        <v>574-287-2944</v>
      </c>
      <c r="G8061" s="3">
        <v>323115</v>
      </c>
      <c r="H8061" s="3" t="s">
        <v>5281</v>
      </c>
    </row>
    <row r="8062" spans="1:8" ht="128.25" x14ac:dyDescent="0.25">
      <c r="A8062" s="3" t="s">
        <v>23507</v>
      </c>
      <c r="B8062" s="3"/>
      <c r="C8062" s="3" t="s">
        <v>23508</v>
      </c>
      <c r="D8062" s="3" t="s">
        <v>23509</v>
      </c>
      <c r="E8062" s="3" t="s">
        <v>23510</v>
      </c>
      <c r="F8062" s="3" t="str">
        <f>"800-640-1843"</f>
        <v>800-640-1843</v>
      </c>
      <c r="G8062" s="3">
        <v>237310</v>
      </c>
      <c r="H8062" s="3" t="s">
        <v>768</v>
      </c>
    </row>
    <row r="8063" spans="1:8" ht="141" x14ac:dyDescent="0.25">
      <c r="A8063" s="3" t="s">
        <v>23511</v>
      </c>
      <c r="B8063" s="3"/>
      <c r="C8063" s="3" t="s">
        <v>23512</v>
      </c>
      <c r="D8063" s="3" t="s">
        <v>23513</v>
      </c>
      <c r="E8063" s="3" t="s">
        <v>23514</v>
      </c>
      <c r="F8063" s="3" t="str">
        <f>"812-549-3593"</f>
        <v>812-549-3593</v>
      </c>
      <c r="G8063" s="3">
        <v>813319</v>
      </c>
      <c r="H8063" s="3" t="s">
        <v>6313</v>
      </c>
    </row>
    <row r="8064" spans="1:8" ht="230.25" x14ac:dyDescent="0.25">
      <c r="A8064" s="3" t="s">
        <v>23515</v>
      </c>
      <c r="B8064" s="3"/>
      <c r="C8064" s="3" t="s">
        <v>23516</v>
      </c>
      <c r="D8064" s="3" t="s">
        <v>23517</v>
      </c>
      <c r="E8064" s="3" t="s">
        <v>23518</v>
      </c>
      <c r="F8064" s="3" t="str">
        <f>"877-722-5359"</f>
        <v>877-722-5359</v>
      </c>
      <c r="G8064" s="3">
        <v>443120</v>
      </c>
      <c r="H8064" s="3" t="s">
        <v>609</v>
      </c>
    </row>
    <row r="8065" spans="1:8" ht="51.75" x14ac:dyDescent="0.25">
      <c r="A8065" s="3" t="s">
        <v>23519</v>
      </c>
      <c r="B8065" s="3"/>
      <c r="C8065" s="3" t="str">
        <f>"Social Service Agency that is a Not-For-Profit organization that helps stop and prevent child abuse and neglect from happening."</f>
        <v>Social Service Agency that is a Not-For-Profit organization that helps stop and prevent child abuse and neglect from happening.</v>
      </c>
      <c r="D8065" s="3" t="s">
        <v>23520</v>
      </c>
      <c r="E8065" s="3" t="s">
        <v>46</v>
      </c>
      <c r="F8065" s="3" t="str">
        <f>"260-421-5000"</f>
        <v>260-421-5000</v>
      </c>
      <c r="G8065" s="3">
        <v>624190</v>
      </c>
      <c r="H8065" s="3" t="s">
        <v>54</v>
      </c>
    </row>
    <row r="8066" spans="1:8" ht="39" x14ac:dyDescent="0.25">
      <c r="A8066" s="3" t="s">
        <v>23521</v>
      </c>
      <c r="B8066" s="3"/>
      <c r="C8066" s="3" t="str">
        <f>"social service agency with the sole purpose of the prevention and elimination of child abuse and neglect."</f>
        <v>social service agency with the sole purpose of the prevention and elimination of child abuse and neglect.</v>
      </c>
      <c r="D8066" s="3" t="s">
        <v>23522</v>
      </c>
      <c r="E8066" s="3" t="s">
        <v>23523</v>
      </c>
      <c r="F8066" s="3" t="str">
        <f>"2604215000"</f>
        <v>2604215000</v>
      </c>
      <c r="G8066" s="3">
        <v>624190</v>
      </c>
      <c r="H8066" s="3" t="s">
        <v>54</v>
      </c>
    </row>
    <row r="8067" spans="1:8" ht="39" x14ac:dyDescent="0.25">
      <c r="A8067" s="3" t="s">
        <v>23524</v>
      </c>
      <c r="B8067" s="3"/>
      <c r="C8067" s="3" t="str">
        <f>"A full service, multi line insurance agency; business, workman's comp, auto, liability, property, health and life"</f>
        <v>A full service, multi line insurance agency; business, workman's comp, auto, liability, property, health and life</v>
      </c>
      <c r="D8067" s="3" t="s">
        <v>9</v>
      </c>
      <c r="E8067" s="3" t="s">
        <v>23525</v>
      </c>
      <c r="F8067" s="3" t="str">
        <f>"812-937-2176"</f>
        <v>812-937-2176</v>
      </c>
      <c r="G8067" s="3">
        <v>52</v>
      </c>
      <c r="H8067" s="3" t="s">
        <v>50</v>
      </c>
    </row>
    <row r="8068" spans="1:8" ht="26.25" x14ac:dyDescent="0.25">
      <c r="A8068" s="3" t="s">
        <v>23526</v>
      </c>
      <c r="B8068" s="3"/>
      <c r="C8068" s="3" t="str">
        <f>"Pasteurize, bottle and disbribute milk and dairy products"</f>
        <v>Pasteurize, bottle and disbribute milk and dairy products</v>
      </c>
      <c r="D8068" s="3" t="s">
        <v>9</v>
      </c>
      <c r="E8068" s="3" t="s">
        <v>46</v>
      </c>
      <c r="F8068" s="3" t="str">
        <f>"260 356-4225"</f>
        <v>260 356-4225</v>
      </c>
      <c r="G8068" s="3">
        <v>112120</v>
      </c>
      <c r="H8068" s="3" t="s">
        <v>23527</v>
      </c>
    </row>
    <row r="8069" spans="1:8" ht="39" x14ac:dyDescent="0.25">
      <c r="A8069" s="3" t="s">
        <v>23528</v>
      </c>
      <c r="B8069" s="3"/>
      <c r="C8069" s="3" t="str">
        <f>"WHOLE DISTRIBUTOR OF JANITORIAL SUPPLIES, DISPOSABLE PAPERS, CAN LINERS, SANITARY CHEMICALS AND THE LIKE"</f>
        <v>WHOLE DISTRIBUTOR OF JANITORIAL SUPPLIES, DISPOSABLE PAPERS, CAN LINERS, SANITARY CHEMICALS AND THE LIKE</v>
      </c>
      <c r="D8069" s="3" t="s">
        <v>23529</v>
      </c>
      <c r="E8069" s="3" t="s">
        <v>23530</v>
      </c>
      <c r="F8069" s="3" t="str">
        <f>"765-742-0280"</f>
        <v>765-742-0280</v>
      </c>
      <c r="G8069" s="3">
        <v>422</v>
      </c>
      <c r="H8069" s="3" t="s">
        <v>16038</v>
      </c>
    </row>
    <row r="8070" spans="1:8" ht="26.25" x14ac:dyDescent="0.25">
      <c r="A8070" s="3" t="s">
        <v>23531</v>
      </c>
      <c r="B8070" s="3"/>
      <c r="C8070" s="2"/>
      <c r="D8070" s="3" t="s">
        <v>23532</v>
      </c>
      <c r="E8070" s="3" t="s">
        <v>23533</v>
      </c>
      <c r="F8070" s="3" t="str">
        <f>"1-260-749-8909"</f>
        <v>1-260-749-8909</v>
      </c>
      <c r="G8070" s="3">
        <v>441210</v>
      </c>
      <c r="H8070" s="3" t="s">
        <v>1742</v>
      </c>
    </row>
    <row r="8071" spans="1:8" ht="77.25" x14ac:dyDescent="0.25">
      <c r="A8071" s="3" t="s">
        <v>23534</v>
      </c>
      <c r="B8071" s="3"/>
      <c r="C8071" s="3" t="str">
        <f>"Providing effective copy for companies and other organizations - a writing business dedicated to developing effective print , online, and grant-related copy that gets results while working with clients in a professional, businesslike manner."</f>
        <v>Providing effective copy for companies and other organizations - a writing business dedicated to developing effective print , online, and grant-related copy that gets results while working with clients in a professional, businesslike manner.</v>
      </c>
      <c r="D8071" s="3" t="s">
        <v>23535</v>
      </c>
      <c r="E8071" s="3" t="s">
        <v>23536</v>
      </c>
      <c r="F8071" s="3" t="str">
        <f>"3178391739"</f>
        <v>3178391739</v>
      </c>
      <c r="G8071" s="3">
        <v>5418</v>
      </c>
      <c r="H8071" s="3" t="s">
        <v>1337</v>
      </c>
    </row>
    <row r="8072" spans="1:8" ht="102.75" x14ac:dyDescent="0.25">
      <c r="A8072" s="3" t="s">
        <v>23537</v>
      </c>
      <c r="B8072" s="3"/>
      <c r="C8072" s="3" t="s">
        <v>23538</v>
      </c>
      <c r="D8072" s="3" t="s">
        <v>23539</v>
      </c>
      <c r="E8072" s="3" t="s">
        <v>23540</v>
      </c>
      <c r="F8072" s="3" t="str">
        <f>"317 253-0851"</f>
        <v>317 253-0851</v>
      </c>
      <c r="G8072" s="3">
        <v>541613</v>
      </c>
      <c r="H8072" s="3" t="s">
        <v>558</v>
      </c>
    </row>
    <row r="8073" spans="1:8" ht="26.25" x14ac:dyDescent="0.25">
      <c r="A8073" s="3" t="s">
        <v>23541</v>
      </c>
      <c r="B8073" s="3"/>
      <c r="C8073" s="3" t="str">
        <f>" "</f>
        <v xml:space="preserve"> </v>
      </c>
      <c r="D8073" s="3" t="s">
        <v>9</v>
      </c>
      <c r="E8073" s="3" t="s">
        <v>23542</v>
      </c>
      <c r="F8073" s="2"/>
      <c r="G8073" s="3">
        <v>236116</v>
      </c>
      <c r="H8073" s="3" t="s">
        <v>438</v>
      </c>
    </row>
    <row r="8074" spans="1:8" ht="26.25" x14ac:dyDescent="0.25">
      <c r="A8074" s="3" t="s">
        <v>23543</v>
      </c>
      <c r="B8074" s="3"/>
      <c r="C8074" s="2"/>
      <c r="D8074" s="3" t="s">
        <v>23544</v>
      </c>
      <c r="E8074" s="3" t="s">
        <v>46</v>
      </c>
      <c r="F8074" s="3" t="str">
        <f>"(800) 473-5358"</f>
        <v>(800) 473-5358</v>
      </c>
      <c r="G8074" s="3">
        <v>541512</v>
      </c>
      <c r="H8074" s="3" t="s">
        <v>19</v>
      </c>
    </row>
    <row r="8075" spans="1:8" ht="39" x14ac:dyDescent="0.25">
      <c r="A8075" s="3" t="s">
        <v>23545</v>
      </c>
      <c r="B8075" s="3"/>
      <c r="C8075" s="3" t="str">
        <f>"We sell and service business telephone systems, we sell and service security cameras, we also do voice and data cabling."</f>
        <v>We sell and service business telephone systems, we sell and service security cameras, we also do voice and data cabling.</v>
      </c>
      <c r="D8075" s="3" t="s">
        <v>23546</v>
      </c>
      <c r="E8075" s="3" t="s">
        <v>23547</v>
      </c>
      <c r="F8075" s="3" t="str">
        <f>"260-244-2708"</f>
        <v>260-244-2708</v>
      </c>
      <c r="G8075" s="3">
        <v>517</v>
      </c>
      <c r="H8075" s="3" t="s">
        <v>682</v>
      </c>
    </row>
    <row r="8076" spans="1:8" ht="26.25" x14ac:dyDescent="0.25">
      <c r="A8076" s="3" t="s">
        <v>23548</v>
      </c>
      <c r="B8076" s="3"/>
      <c r="C8076" s="3" t="str">
        <f>"SECRUE TOWING &amp; STORAGE-"</f>
        <v>SECRUE TOWING &amp; STORAGE-</v>
      </c>
      <c r="D8076" s="3" t="s">
        <v>9</v>
      </c>
      <c r="E8076" s="3" t="s">
        <v>46</v>
      </c>
      <c r="F8076" s="3" t="str">
        <f>"317-254-6545"</f>
        <v>317-254-6545</v>
      </c>
      <c r="G8076" s="3">
        <v>81111</v>
      </c>
      <c r="H8076" s="3" t="s">
        <v>96</v>
      </c>
    </row>
    <row r="8077" spans="1:8" ht="268.5" x14ac:dyDescent="0.25">
      <c r="A8077" s="3" t="s">
        <v>23549</v>
      </c>
      <c r="B8077" s="3"/>
      <c r="C8077" s="3" t="s">
        <v>23550</v>
      </c>
      <c r="D8077" s="3" t="s">
        <v>9</v>
      </c>
      <c r="E8077" s="3" t="s">
        <v>23551</v>
      </c>
      <c r="F8077" s="3" t="str">
        <f>"317-222-1879"</f>
        <v>317-222-1879</v>
      </c>
      <c r="G8077" s="3">
        <v>624120</v>
      </c>
      <c r="H8077" s="3" t="s">
        <v>22</v>
      </c>
    </row>
    <row r="8078" spans="1:8" ht="51.75" x14ac:dyDescent="0.25">
      <c r="A8078" s="3" t="s">
        <v>23552</v>
      </c>
      <c r="B8078" s="3"/>
      <c r="C8078" s="3" t="str">
        <f>"Provide civil, water, wastewater, structural, environmental engineering services as well as planning and economic development finance professional services."</f>
        <v>Provide civil, water, wastewater, structural, environmental engineering services as well as planning and economic development finance professional services.</v>
      </c>
      <c r="D8078" s="3" t="s">
        <v>23553</v>
      </c>
      <c r="E8078" s="3" t="s">
        <v>23554</v>
      </c>
      <c r="F8078" s="3" t="str">
        <f>"219.513.2500"</f>
        <v>219.513.2500</v>
      </c>
      <c r="G8078" s="3">
        <v>54133</v>
      </c>
      <c r="H8078" s="3" t="s">
        <v>82</v>
      </c>
    </row>
    <row r="8079" spans="1:8" ht="128.25" x14ac:dyDescent="0.25">
      <c r="A8079" s="3" t="s">
        <v>23555</v>
      </c>
      <c r="B8079" s="3"/>
      <c r="C8079" s="3" t="s">
        <v>23556</v>
      </c>
      <c r="D8079" s="3" t="s">
        <v>23557</v>
      </c>
      <c r="E8079" s="3" t="s">
        <v>23558</v>
      </c>
      <c r="F8079" s="3" t="str">
        <f>"812-667-5100"</f>
        <v>812-667-5100</v>
      </c>
      <c r="G8079" s="3">
        <v>517110</v>
      </c>
      <c r="H8079" s="3" t="s">
        <v>8574</v>
      </c>
    </row>
    <row r="8080" spans="1:8" ht="26.25" x14ac:dyDescent="0.25">
      <c r="A8080" s="3" t="s">
        <v>23559</v>
      </c>
      <c r="B8080" s="3"/>
      <c r="C8080" s="3" t="str">
        <f>"WHOLESALE CHEMICAL MANUFACTURING &amp; DISTRIBUTION FOR AQUATIC BODIES"</f>
        <v>WHOLESALE CHEMICAL MANUFACTURING &amp; DISTRIBUTION FOR AQUATIC BODIES</v>
      </c>
      <c r="D8080" s="3" t="s">
        <v>23560</v>
      </c>
      <c r="E8080" s="3" t="s">
        <v>23561</v>
      </c>
      <c r="F8080" s="3" t="str">
        <f>"317.580.8282"</f>
        <v>317.580.8282</v>
      </c>
      <c r="G8080" s="3">
        <v>4246</v>
      </c>
      <c r="H8080" s="3" t="s">
        <v>3234</v>
      </c>
    </row>
    <row r="8081" spans="1:8" ht="166.5" x14ac:dyDescent="0.25">
      <c r="A8081" s="3" t="s">
        <v>23562</v>
      </c>
      <c r="B8081" s="3"/>
      <c r="C8081" s="3" t="s">
        <v>23563</v>
      </c>
      <c r="D8081" s="3" t="s">
        <v>23564</v>
      </c>
      <c r="E8081" s="3" t="s">
        <v>23565</v>
      </c>
      <c r="F8081" s="3" t="str">
        <f>"260-497-7645"</f>
        <v>260-497-7645</v>
      </c>
      <c r="G8081" s="3">
        <v>541690</v>
      </c>
      <c r="H8081" s="3" t="s">
        <v>652</v>
      </c>
    </row>
    <row r="8082" spans="1:8" x14ac:dyDescent="0.25">
      <c r="A8082" s="3" t="s">
        <v>23566</v>
      </c>
      <c r="B8082" s="3"/>
      <c r="C8082" s="3" t="str">
        <f>" "</f>
        <v xml:space="preserve"> </v>
      </c>
      <c r="D8082" s="3" t="s">
        <v>9</v>
      </c>
      <c r="E8082" s="3" t="s">
        <v>46</v>
      </c>
      <c r="F8082" s="2"/>
      <c r="G8082" s="3">
        <v>562910</v>
      </c>
      <c r="H8082" s="3" t="s">
        <v>2278</v>
      </c>
    </row>
    <row r="8083" spans="1:8" ht="102.75" x14ac:dyDescent="0.25">
      <c r="A8083" s="3" t="s">
        <v>23567</v>
      </c>
      <c r="B8083" s="3"/>
      <c r="C8083" s="3" t="s">
        <v>23568</v>
      </c>
      <c r="D8083" s="3" t="s">
        <v>23569</v>
      </c>
      <c r="E8083" s="3" t="s">
        <v>23570</v>
      </c>
      <c r="F8083" s="3" t="str">
        <f>"317-912-4227"</f>
        <v>317-912-4227</v>
      </c>
      <c r="G8083" s="3">
        <v>442110</v>
      </c>
      <c r="H8083" s="3" t="s">
        <v>117</v>
      </c>
    </row>
    <row r="8084" spans="1:8" ht="166.5" x14ac:dyDescent="0.25">
      <c r="A8084" s="3" t="s">
        <v>23571</v>
      </c>
      <c r="B8084" s="3"/>
      <c r="C8084" s="3" t="s">
        <v>23572</v>
      </c>
      <c r="D8084" s="3" t="s">
        <v>23573</v>
      </c>
      <c r="E8084" s="3" t="s">
        <v>23574</v>
      </c>
      <c r="F8084" s="3" t="str">
        <f>"317/9259661"</f>
        <v>317/9259661</v>
      </c>
      <c r="G8084" s="3">
        <v>33391</v>
      </c>
      <c r="H8084" s="3" t="s">
        <v>23575</v>
      </c>
    </row>
    <row r="8085" spans="1:8" ht="204.75" x14ac:dyDescent="0.25">
      <c r="A8085" s="3" t="s">
        <v>23576</v>
      </c>
      <c r="B8085" s="3"/>
      <c r="C8085" s="3" t="s">
        <v>23577</v>
      </c>
      <c r="D8085" s="3" t="s">
        <v>23578</v>
      </c>
      <c r="E8085" s="3" t="s">
        <v>23579</v>
      </c>
      <c r="F8085" s="3" t="str">
        <f>"317 545-4008"</f>
        <v>317 545-4008</v>
      </c>
      <c r="G8085" s="3">
        <v>561612</v>
      </c>
      <c r="H8085" s="3" t="s">
        <v>362</v>
      </c>
    </row>
    <row r="8086" spans="1:8" ht="26.25" x14ac:dyDescent="0.25">
      <c r="A8086" s="3" t="s">
        <v>23580</v>
      </c>
      <c r="B8086" s="3"/>
      <c r="C8086" s="3" t="str">
        <f>"OUTSOURCE PROVIDER OF SAND CORES TO FOUNDRIES"</f>
        <v>OUTSOURCE PROVIDER OF SAND CORES TO FOUNDRIES</v>
      </c>
      <c r="D8086" s="3" t="s">
        <v>9</v>
      </c>
      <c r="E8086" s="3" t="s">
        <v>23581</v>
      </c>
      <c r="F8086" s="3" t="str">
        <f>"574-342-2673"</f>
        <v>574-342-2673</v>
      </c>
      <c r="G8086" s="3">
        <v>3279</v>
      </c>
      <c r="H8086" s="3" t="s">
        <v>23582</v>
      </c>
    </row>
    <row r="8087" spans="1:8" x14ac:dyDescent="0.25">
      <c r="A8087" s="3" t="s">
        <v>23583</v>
      </c>
      <c r="B8087" s="3"/>
      <c r="C8087" s="3" t="str">
        <f>" "</f>
        <v xml:space="preserve"> </v>
      </c>
      <c r="D8087" s="3" t="s">
        <v>9</v>
      </c>
      <c r="E8087" s="3" t="s">
        <v>46</v>
      </c>
      <c r="F8087" s="2"/>
      <c r="G8087" s="3">
        <v>922160</v>
      </c>
      <c r="H8087" s="3" t="s">
        <v>2246</v>
      </c>
    </row>
    <row r="8088" spans="1:8" ht="77.25" x14ac:dyDescent="0.25">
      <c r="A8088" s="3" t="s">
        <v>23584</v>
      </c>
      <c r="B8088" s="3"/>
      <c r="C8088" s="3" t="str">
        <f>"We print office stationery and business cards using Thermography, printing, foil stamping, embossing and offset printing. We do business cards, letterheads envelopes, announcements and some 4 color printing."</f>
        <v>We print office stationery and business cards using Thermography, printing, foil stamping, embossing and offset printing. We do business cards, letterheads envelopes, announcements and some 4 color printing.</v>
      </c>
      <c r="D8088" s="3" t="s">
        <v>23585</v>
      </c>
      <c r="E8088" s="3" t="s">
        <v>23586</v>
      </c>
      <c r="F8088" s="3" t="str">
        <f>"317-634-4084"</f>
        <v>317-634-4084</v>
      </c>
      <c r="G8088" s="3">
        <v>323110</v>
      </c>
      <c r="H8088" s="3" t="s">
        <v>1900</v>
      </c>
    </row>
    <row r="8089" spans="1:8" ht="64.5" x14ac:dyDescent="0.25">
      <c r="A8089" s="3" t="s">
        <v>23587</v>
      </c>
      <c r="B8089" s="3"/>
      <c r="C8089" s="3" t="str">
        <f>"We provide on site document destruction, media destruction, and hard drive destruction with mobile shred trucks. We also provide document management with storage facilities and retrieval services."</f>
        <v>We provide on site document destruction, media destruction, and hard drive destruction with mobile shred trucks. We also provide document management with storage facilities and retrieval services.</v>
      </c>
      <c r="D8089" s="3" t="s">
        <v>23588</v>
      </c>
      <c r="E8089" s="3" t="s">
        <v>23589</v>
      </c>
      <c r="F8089" s="3" t="str">
        <f>"812-332-3299"</f>
        <v>812-332-3299</v>
      </c>
      <c r="G8089" s="3">
        <v>561990</v>
      </c>
      <c r="H8089" s="3" t="s">
        <v>219</v>
      </c>
    </row>
    <row r="8090" spans="1:8" ht="39" x14ac:dyDescent="0.25">
      <c r="A8090" s="3" t="s">
        <v>23590</v>
      </c>
      <c r="B8090" s="3"/>
      <c r="C8090" s="3" t="str">
        <f>"PARKING GARAGE @ THE CORNER OF PENNSYLVANIA ST. &amp; MARYLAND ST. IN DOWNTOWN INDIANAPOLIS"</f>
        <v>PARKING GARAGE @ THE CORNER OF PENNSYLVANIA ST. &amp; MARYLAND ST. IN DOWNTOWN INDIANAPOLIS</v>
      </c>
      <c r="D8090" s="3" t="s">
        <v>9</v>
      </c>
      <c r="E8090" s="3" t="s">
        <v>23591</v>
      </c>
      <c r="F8090" s="3" t="str">
        <f>"317-686-0486"</f>
        <v>317-686-0486</v>
      </c>
      <c r="G8090" s="3">
        <v>812930</v>
      </c>
      <c r="H8090" s="3" t="s">
        <v>7920</v>
      </c>
    </row>
    <row r="8091" spans="1:8" ht="115.5" x14ac:dyDescent="0.25">
      <c r="A8091" s="3" t="s">
        <v>23592</v>
      </c>
      <c r="B8091" s="3"/>
      <c r="C8091" s="3" t="s">
        <v>23593</v>
      </c>
      <c r="D8091" s="3" t="s">
        <v>23594</v>
      </c>
      <c r="E8091" s="3" t="s">
        <v>23595</v>
      </c>
      <c r="F8091" s="3" t="str">
        <f>"812-926-1585"</f>
        <v>812-926-1585</v>
      </c>
      <c r="G8091" s="3">
        <v>923130</v>
      </c>
      <c r="H8091" s="3" t="s">
        <v>724</v>
      </c>
    </row>
    <row r="8092" spans="1:8" ht="26.25" x14ac:dyDescent="0.25">
      <c r="A8092" s="3" t="s">
        <v>23596</v>
      </c>
      <c r="B8092" s="3"/>
      <c r="C8092" s="3" t="str">
        <f>" "</f>
        <v xml:space="preserve"> </v>
      </c>
      <c r="D8092" s="3" t="s">
        <v>23597</v>
      </c>
      <c r="E8092" s="3" t="s">
        <v>23598</v>
      </c>
      <c r="F8092" s="3" t="str">
        <f>"317-281-0106"</f>
        <v>317-281-0106</v>
      </c>
      <c r="G8092" s="3">
        <v>541850</v>
      </c>
      <c r="H8092" s="3" t="s">
        <v>9509</v>
      </c>
    </row>
    <row r="8093" spans="1:8" ht="39" x14ac:dyDescent="0.25">
      <c r="A8093" s="3" t="s">
        <v>23599</v>
      </c>
      <c r="B8093" s="3"/>
      <c r="C8093" s="3" t="str">
        <f>"WE ARE A TRANSPORTATION LOGISTICS COMPANY HANDLING FREIGHT MOVEMENT AND PASSENGER TRANSPORTATION."</f>
        <v>WE ARE A TRANSPORTATION LOGISTICS COMPANY HANDLING FREIGHT MOVEMENT AND PASSENGER TRANSPORTATION.</v>
      </c>
      <c r="D8093" s="3" t="s">
        <v>9</v>
      </c>
      <c r="E8093" s="3" t="s">
        <v>23600</v>
      </c>
      <c r="F8093" s="3" t="str">
        <f>"574-307-1442"</f>
        <v>574-307-1442</v>
      </c>
      <c r="G8093" s="3">
        <v>484110</v>
      </c>
      <c r="H8093" s="3" t="s">
        <v>644</v>
      </c>
    </row>
    <row r="8094" spans="1:8" ht="128.25" x14ac:dyDescent="0.25">
      <c r="A8094" s="3" t="s">
        <v>23601</v>
      </c>
      <c r="B8094" s="3"/>
      <c r="C8094" s="3" t="s">
        <v>23602</v>
      </c>
      <c r="D8094" s="3" t="s">
        <v>23603</v>
      </c>
      <c r="E8094" s="3" t="s">
        <v>23604</v>
      </c>
      <c r="F8094" s="3" t="str">
        <f>"(317) 841-9940"</f>
        <v>(317) 841-9940</v>
      </c>
      <c r="G8094" s="3">
        <v>54151</v>
      </c>
      <c r="H8094" s="3" t="s">
        <v>188</v>
      </c>
    </row>
    <row r="8095" spans="1:8" ht="204.75" x14ac:dyDescent="0.25">
      <c r="A8095" s="3" t="s">
        <v>23605</v>
      </c>
      <c r="B8095" s="3"/>
      <c r="C8095" s="3" t="s">
        <v>23606</v>
      </c>
      <c r="D8095" s="3" t="s">
        <v>23607</v>
      </c>
      <c r="E8095" s="3" t="s">
        <v>23608</v>
      </c>
      <c r="F8095" s="3" t="str">
        <f>"317-899-1822"</f>
        <v>317-899-1822</v>
      </c>
      <c r="G8095" s="3">
        <v>454390</v>
      </c>
      <c r="H8095" s="3" t="s">
        <v>1348</v>
      </c>
    </row>
    <row r="8096" spans="1:8" ht="179.25" x14ac:dyDescent="0.25">
      <c r="A8096" s="3" t="s">
        <v>23609</v>
      </c>
      <c r="B8096" s="3"/>
      <c r="C8096" s="3" t="s">
        <v>23610</v>
      </c>
      <c r="D8096" s="3" t="s">
        <v>23611</v>
      </c>
      <c r="E8096" s="3" t="s">
        <v>23612</v>
      </c>
      <c r="F8096" s="3" t="str">
        <f>"317 702-2004"</f>
        <v>317 702-2004</v>
      </c>
      <c r="G8096" s="3">
        <v>236118</v>
      </c>
      <c r="H8096" s="3" t="s">
        <v>465</v>
      </c>
    </row>
    <row r="8097" spans="1:8" ht="64.5" x14ac:dyDescent="0.25">
      <c r="A8097" s="3" t="s">
        <v>23613</v>
      </c>
      <c r="B8097" s="3"/>
      <c r="C8097" s="3" t="str">
        <f>"If your looking for a dependable, honest, and trustworthy company! We're the ones for YOU! We also use GREEN PRODUCTS that are human and environmentally approved! References Available: Insured &amp; Bonded"</f>
        <v>If your looking for a dependable, honest, and trustworthy company! We're the ones for YOU! We also use GREEN PRODUCTS that are human and environmentally approved! References Available: Insured &amp; Bonded</v>
      </c>
      <c r="D8097" s="3" t="s">
        <v>9</v>
      </c>
      <c r="E8097" s="3" t="s">
        <v>23614</v>
      </c>
      <c r="F8097" s="3" t="str">
        <f>"317-329-0759"</f>
        <v>317-329-0759</v>
      </c>
      <c r="G8097" s="3">
        <v>236220</v>
      </c>
      <c r="H8097" s="3" t="s">
        <v>598</v>
      </c>
    </row>
    <row r="8098" spans="1:8" ht="39" x14ac:dyDescent="0.25">
      <c r="A8098" s="3" t="s">
        <v>23615</v>
      </c>
      <c r="B8098" s="3"/>
      <c r="C8098" s="3" t="str">
        <f>"We provide information technology consultation, support, and distribution."</f>
        <v>We provide information technology consultation, support, and distribution.</v>
      </c>
      <c r="D8098" s="3" t="s">
        <v>23616</v>
      </c>
      <c r="E8098" s="3" t="s">
        <v>23617</v>
      </c>
      <c r="F8098" s="3" t="str">
        <f>"812-292-0788"</f>
        <v>812-292-0788</v>
      </c>
      <c r="G8098" s="3">
        <v>42343</v>
      </c>
      <c r="H8098" s="3" t="s">
        <v>127</v>
      </c>
    </row>
    <row r="8099" spans="1:8" ht="102.75" x14ac:dyDescent="0.25">
      <c r="A8099" s="3" t="s">
        <v>23618</v>
      </c>
      <c r="B8099" s="3"/>
      <c r="C8099" s="3" t="s">
        <v>23619</v>
      </c>
      <c r="D8099" s="3" t="s">
        <v>9</v>
      </c>
      <c r="E8099" s="3" t="s">
        <v>23620</v>
      </c>
      <c r="F8099" s="3" t="str">
        <f>"317 360 3639"</f>
        <v>317 360 3639</v>
      </c>
      <c r="G8099" s="3">
        <v>541620</v>
      </c>
      <c r="H8099" s="3" t="s">
        <v>216</v>
      </c>
    </row>
    <row r="8100" spans="1:8" x14ac:dyDescent="0.25">
      <c r="A8100" s="3" t="s">
        <v>23621</v>
      </c>
      <c r="B8100" s="3"/>
      <c r="C8100" s="3" t="str">
        <f>" "</f>
        <v xml:space="preserve"> </v>
      </c>
      <c r="D8100" s="3" t="s">
        <v>9</v>
      </c>
      <c r="E8100" s="3" t="s">
        <v>46</v>
      </c>
      <c r="F8100" s="2"/>
      <c r="G8100" s="3">
        <v>236210</v>
      </c>
      <c r="H8100" s="3" t="s">
        <v>1418</v>
      </c>
    </row>
    <row r="8101" spans="1:8" ht="26.25" x14ac:dyDescent="0.25">
      <c r="A8101" s="3" t="s">
        <v>23622</v>
      </c>
      <c r="B8101" s="3"/>
      <c r="C8101" s="3" t="str">
        <f>"Graphic design services; more than 20 years of experience"</f>
        <v>Graphic design services; more than 20 years of experience</v>
      </c>
      <c r="D8101" s="3" t="s">
        <v>9</v>
      </c>
      <c r="E8101" s="3" t="s">
        <v>23623</v>
      </c>
      <c r="F8101" s="3" t="str">
        <f>"317-810-9221"</f>
        <v>317-810-9221</v>
      </c>
      <c r="G8101" s="3">
        <v>541430</v>
      </c>
      <c r="H8101" s="3" t="s">
        <v>78</v>
      </c>
    </row>
    <row r="8102" spans="1:8" x14ac:dyDescent="0.25">
      <c r="A8102" s="3" t="s">
        <v>23624</v>
      </c>
      <c r="B8102" s="3"/>
      <c r="C8102" s="2"/>
      <c r="D8102" s="3" t="s">
        <v>9</v>
      </c>
      <c r="E8102" s="3" t="s">
        <v>46</v>
      </c>
      <c r="F8102" s="2"/>
      <c r="G8102" s="3">
        <v>531390</v>
      </c>
      <c r="H8102" s="3" t="s">
        <v>623</v>
      </c>
    </row>
    <row r="8103" spans="1:8" ht="39" x14ac:dyDescent="0.25">
      <c r="A8103" s="3" t="s">
        <v>23625</v>
      </c>
      <c r="B8103" s="3"/>
      <c r="C8103" s="3" t="str">
        <f>"Electrical Contractor Design/Build and Service Motor Controls Machine Controls Power Quality Medium Voltage"</f>
        <v>Electrical Contractor Design/Build and Service Motor Controls Machine Controls Power Quality Medium Voltage</v>
      </c>
      <c r="D8103" s="3" t="s">
        <v>9</v>
      </c>
      <c r="E8103" s="3" t="s">
        <v>23626</v>
      </c>
      <c r="F8103" s="3" t="str">
        <f>"260.497.9656"</f>
        <v>260.497.9656</v>
      </c>
      <c r="G8103" s="3">
        <v>541330</v>
      </c>
      <c r="H8103" s="3" t="s">
        <v>82</v>
      </c>
    </row>
    <row r="8104" spans="1:8" ht="26.25" x14ac:dyDescent="0.25">
      <c r="A8104" s="3" t="s">
        <v>23627</v>
      </c>
      <c r="B8104" s="3"/>
      <c r="C8104" s="3" t="str">
        <f>"Real Estate Settlement/Closing Services and Mobile Notary"</f>
        <v>Real Estate Settlement/Closing Services and Mobile Notary</v>
      </c>
      <c r="D8104" s="3" t="s">
        <v>9</v>
      </c>
      <c r="E8104" s="3" t="s">
        <v>23628</v>
      </c>
      <c r="F8104" s="3" t="str">
        <f>"317-716-9105"</f>
        <v>317-716-9105</v>
      </c>
      <c r="G8104" s="3">
        <v>541191</v>
      </c>
      <c r="H8104" s="3" t="s">
        <v>1146</v>
      </c>
    </row>
    <row r="8105" spans="1:8" ht="141" x14ac:dyDescent="0.25">
      <c r="A8105" s="3" t="s">
        <v>23629</v>
      </c>
      <c r="B8105" s="3"/>
      <c r="C8105" s="3" t="s">
        <v>23630</v>
      </c>
      <c r="D8105" s="3" t="s">
        <v>23631</v>
      </c>
      <c r="E8105" s="3" t="s">
        <v>46</v>
      </c>
      <c r="F8105" s="3" t="str">
        <f>"800-428-9250"</f>
        <v>800-428-9250</v>
      </c>
      <c r="G8105" s="3">
        <v>522291</v>
      </c>
      <c r="H8105" s="3" t="s">
        <v>1966</v>
      </c>
    </row>
    <row r="8106" spans="1:8" ht="77.25" x14ac:dyDescent="0.25">
      <c r="A8106" s="3" t="s">
        <v>23632</v>
      </c>
      <c r="B8106" s="3"/>
      <c r="C8106" s="3" t="str">
        <f>"SLM Industries LLC provides a broad range of IT and communications services, including LAN and WAN design and support, application development, PBX and VoIP telephony services, and business consulting."</f>
        <v>SLM Industries LLC provides a broad range of IT and communications services, including LAN and WAN design and support, application development, PBX and VoIP telephony services, and business consulting.</v>
      </c>
      <c r="D8106" s="3" t="s">
        <v>23633</v>
      </c>
      <c r="E8106" s="3" t="s">
        <v>23634</v>
      </c>
      <c r="F8106" s="3" t="str">
        <f>"+1 (317) 333-7990"</f>
        <v>+1 (317) 333-7990</v>
      </c>
      <c r="G8106" s="3">
        <v>541519</v>
      </c>
      <c r="H8106" s="3" t="s">
        <v>898</v>
      </c>
    </row>
    <row r="8107" spans="1:8" ht="90" x14ac:dyDescent="0.25">
      <c r="A8107" s="3" t="s">
        <v>23635</v>
      </c>
      <c r="B8107" s="3"/>
      <c r="C8107" s="3" t="s">
        <v>23636</v>
      </c>
      <c r="D8107" s="3" t="s">
        <v>23637</v>
      </c>
      <c r="E8107" s="3" t="s">
        <v>23638</v>
      </c>
      <c r="F8107" s="3" t="str">
        <f>"812-437-6090"</f>
        <v>812-437-6090</v>
      </c>
      <c r="G8107" s="3">
        <v>323</v>
      </c>
      <c r="H8107" s="3" t="s">
        <v>302</v>
      </c>
    </row>
    <row r="8108" spans="1:8" ht="153.75" x14ac:dyDescent="0.25">
      <c r="A8108" s="3" t="s">
        <v>23639</v>
      </c>
      <c r="B8108" s="3"/>
      <c r="C8108" s="3" t="s">
        <v>23640</v>
      </c>
      <c r="D8108" s="3" t="s">
        <v>23641</v>
      </c>
      <c r="E8108" s="3" t="s">
        <v>23642</v>
      </c>
      <c r="F8108" s="3" t="str">
        <f>"1-844-438-7634"</f>
        <v>1-844-438-7634</v>
      </c>
      <c r="G8108" s="3">
        <v>5418</v>
      </c>
      <c r="H8108" s="3" t="s">
        <v>1337</v>
      </c>
    </row>
    <row r="8109" spans="1:8" ht="39" x14ac:dyDescent="0.25">
      <c r="A8109" s="3" t="s">
        <v>23643</v>
      </c>
      <c r="B8109" s="3"/>
      <c r="C8109" s="3" t="str">
        <f>"we are a John Deere dealer and we sell agriculture ,lawn and garden ,Honda ,STIHL,and small construction equipment."</f>
        <v>we are a John Deere dealer and we sell agriculture ,lawn and garden ,Honda ,STIHL,and small construction equipment.</v>
      </c>
      <c r="D8109" s="3" t="s">
        <v>23644</v>
      </c>
      <c r="E8109" s="3" t="s">
        <v>23645</v>
      </c>
      <c r="F8109" s="3" t="str">
        <f>"1-800487-7033"</f>
        <v>1-800487-7033</v>
      </c>
      <c r="G8109" s="3">
        <v>23595</v>
      </c>
      <c r="H8109" s="3" t="s">
        <v>17529</v>
      </c>
    </row>
    <row r="8110" spans="1:8" ht="90" x14ac:dyDescent="0.25">
      <c r="A8110" s="3" t="s">
        <v>23646</v>
      </c>
      <c r="B8110" s="3"/>
      <c r="C8110" s="3" t="str">
        <f>"SMITTY'S CRD CONCRETE SERVICES INC. is a minority owned business that stresses affordability, quality, loyality to clients wishing to do business with us. Safety First is our motto. We provide services in commercial, residential, and decorative concrete."</f>
        <v>SMITTY'S CRD CONCRETE SERVICES INC. is a minority owned business that stresses affordability, quality, loyality to clients wishing to do business with us. Safety First is our motto. We provide services in commercial, residential, and decorative concrete.</v>
      </c>
      <c r="D8110" s="3" t="s">
        <v>9</v>
      </c>
      <c r="E8110" s="3" t="s">
        <v>23647</v>
      </c>
      <c r="F8110" s="3" t="str">
        <f>"260-602-4884"</f>
        <v>260-602-4884</v>
      </c>
      <c r="G8110" s="3">
        <v>238110</v>
      </c>
      <c r="H8110" s="3" t="s">
        <v>156</v>
      </c>
    </row>
    <row r="8111" spans="1:8" ht="115.5" x14ac:dyDescent="0.25">
      <c r="A8111" s="3" t="s">
        <v>23648</v>
      </c>
      <c r="B8111" s="3"/>
      <c r="C8111" s="3" t="s">
        <v>23649</v>
      </c>
      <c r="D8111" s="3" t="s">
        <v>23650</v>
      </c>
      <c r="E8111" s="3" t="s">
        <v>23651</v>
      </c>
      <c r="F8111" s="3" t="str">
        <f>"224-265-0710"</f>
        <v>224-265-0710</v>
      </c>
      <c r="G8111" s="3">
        <v>811212</v>
      </c>
      <c r="H8111" s="3" t="s">
        <v>1632</v>
      </c>
    </row>
    <row r="8112" spans="1:8" ht="128.25" x14ac:dyDescent="0.25">
      <c r="A8112" s="3" t="s">
        <v>23652</v>
      </c>
      <c r="B8112" s="3"/>
      <c r="C8112" s="3" t="s">
        <v>23653</v>
      </c>
      <c r="D8112" s="3" t="s">
        <v>23654</v>
      </c>
      <c r="E8112" s="3" t="s">
        <v>23655</v>
      </c>
      <c r="F8112" s="3" t="str">
        <f>"317-809-5243"</f>
        <v>317-809-5243</v>
      </c>
      <c r="G8112" s="3">
        <v>541611</v>
      </c>
      <c r="H8112" s="3" t="s">
        <v>278</v>
      </c>
    </row>
    <row r="8113" spans="1:8" ht="102.75" x14ac:dyDescent="0.25">
      <c r="A8113" s="3" t="s">
        <v>23656</v>
      </c>
      <c r="B8113" s="3"/>
      <c r="C8113" s="3" t="s">
        <v>23657</v>
      </c>
      <c r="D8113" s="3" t="s">
        <v>23658</v>
      </c>
      <c r="E8113" s="3" t="s">
        <v>23659</v>
      </c>
      <c r="F8113" s="3" t="str">
        <f>"812-218-8369"</f>
        <v>812-218-8369</v>
      </c>
      <c r="G8113" s="3">
        <v>928120</v>
      </c>
      <c r="H8113" s="3" t="s">
        <v>19698</v>
      </c>
    </row>
    <row r="8114" spans="1:8" ht="90" x14ac:dyDescent="0.25">
      <c r="A8114" s="3" t="s">
        <v>23660</v>
      </c>
      <c r="B8114" s="3"/>
      <c r="C8114" s="3" t="s">
        <v>23661</v>
      </c>
      <c r="D8114" s="3" t="s">
        <v>9</v>
      </c>
      <c r="E8114" s="3" t="s">
        <v>23662</v>
      </c>
      <c r="F8114" s="3" t="str">
        <f>"219-670-0365"</f>
        <v>219-670-0365</v>
      </c>
      <c r="G8114" s="3">
        <v>54161</v>
      </c>
      <c r="H8114" s="3" t="s">
        <v>1221</v>
      </c>
    </row>
    <row r="8115" spans="1:8" ht="153.75" x14ac:dyDescent="0.25">
      <c r="A8115" s="3" t="s">
        <v>23663</v>
      </c>
      <c r="B8115" s="3"/>
      <c r="C8115" s="3" t="s">
        <v>23664</v>
      </c>
      <c r="D8115" s="3" t="s">
        <v>9</v>
      </c>
      <c r="E8115" s="3" t="s">
        <v>23665</v>
      </c>
      <c r="F8115" s="3" t="str">
        <f>"(317) 581-1521"</f>
        <v>(317) 581-1521</v>
      </c>
      <c r="G8115" s="3">
        <v>541330</v>
      </c>
      <c r="H8115" s="3" t="s">
        <v>82</v>
      </c>
    </row>
    <row r="8116" spans="1:8" ht="26.25" x14ac:dyDescent="0.25">
      <c r="A8116" s="3" t="s">
        <v>23666</v>
      </c>
      <c r="B8116" s="3"/>
      <c r="C8116" s="3" t="str">
        <f>"FURNITURE, APPLIANCES, FLOORING SALES &amp; INSTALLATION"</f>
        <v>FURNITURE, APPLIANCES, FLOORING SALES &amp; INSTALLATION</v>
      </c>
      <c r="D8116" s="3" t="s">
        <v>9</v>
      </c>
      <c r="E8116" s="3" t="s">
        <v>46</v>
      </c>
      <c r="F8116" s="3" t="str">
        <f>"260-665-9799"</f>
        <v>260-665-9799</v>
      </c>
      <c r="G8116" s="3">
        <v>442110</v>
      </c>
      <c r="H8116" s="3" t="s">
        <v>117</v>
      </c>
    </row>
    <row r="8117" spans="1:8" ht="319.5" x14ac:dyDescent="0.25">
      <c r="A8117" s="3" t="s">
        <v>23667</v>
      </c>
      <c r="B8117" s="3"/>
      <c r="C8117" s="3" t="s">
        <v>23668</v>
      </c>
      <c r="D8117" s="3" t="s">
        <v>9</v>
      </c>
      <c r="E8117" s="3" t="s">
        <v>23669</v>
      </c>
      <c r="F8117" s="3" t="str">
        <f>"317-652-7008"</f>
        <v>317-652-7008</v>
      </c>
      <c r="G8117" s="3">
        <v>561790</v>
      </c>
      <c r="H8117" s="3" t="s">
        <v>2113</v>
      </c>
    </row>
    <row r="8118" spans="1:8" ht="102.75" x14ac:dyDescent="0.25">
      <c r="A8118" s="3" t="s">
        <v>23670</v>
      </c>
      <c r="B8118" s="3"/>
      <c r="C8118" s="3" t="s">
        <v>23671</v>
      </c>
      <c r="D8118" s="3" t="s">
        <v>9</v>
      </c>
      <c r="E8118" s="3" t="s">
        <v>23672</v>
      </c>
      <c r="F8118" s="3" t="str">
        <f>"765-354-9890"</f>
        <v>765-354-9890</v>
      </c>
      <c r="G8118" s="3">
        <v>45399</v>
      </c>
      <c r="H8118" s="3" t="s">
        <v>3215</v>
      </c>
    </row>
    <row r="8119" spans="1:8" ht="51.75" x14ac:dyDescent="0.25">
      <c r="A8119" s="3" t="s">
        <v>23673</v>
      </c>
      <c r="B8119" s="3"/>
      <c r="C8119" s="3" t="str">
        <f>"Our primary business is building plastic injection molds for the healthcare industry, appliances, consumer electronics, pet products and infant products."</f>
        <v>Our primary business is building plastic injection molds for the healthcare industry, appliances, consumer electronics, pet products and infant products.</v>
      </c>
      <c r="D8119" s="3" t="s">
        <v>23674</v>
      </c>
      <c r="E8119" s="3" t="s">
        <v>23675</v>
      </c>
      <c r="F8119" s="3" t="str">
        <f>"(812) 346-2622"</f>
        <v>(812) 346-2622</v>
      </c>
      <c r="G8119" s="3">
        <v>333511</v>
      </c>
      <c r="H8119" s="3" t="s">
        <v>3016</v>
      </c>
    </row>
    <row r="8120" spans="1:8" ht="90" x14ac:dyDescent="0.25">
      <c r="A8120" s="3" t="s">
        <v>23676</v>
      </c>
      <c r="B8120" s="3"/>
      <c r="C8120" s="3" t="str">
        <f>"Southlake Center for Mental Health provides mental health care and interventions for substance abuse. We provide comprehensive and community based mental health and substance abuse treatment for adults, adolescents and children."</f>
        <v>Southlake Center for Mental Health provides mental health care and interventions for substance abuse. We provide comprehensive and community based mental health and substance abuse treatment for adults, adolescents and children.</v>
      </c>
      <c r="D8120" s="3" t="s">
        <v>23677</v>
      </c>
      <c r="E8120" s="3" t="s">
        <v>46</v>
      </c>
      <c r="F8120" s="3" t="str">
        <f>"219-769-4005"</f>
        <v>219-769-4005</v>
      </c>
      <c r="G8120" s="3">
        <v>622210</v>
      </c>
      <c r="H8120" s="3" t="s">
        <v>9815</v>
      </c>
    </row>
    <row r="8121" spans="1:8" ht="26.25" x14ac:dyDescent="0.25">
      <c r="A8121" s="3" t="s">
        <v>23678</v>
      </c>
      <c r="B8121" s="3"/>
      <c r="C8121" s="3" t="str">
        <f>"Full service fire and safety equipment distributor."</f>
        <v>Full service fire and safety equipment distributor.</v>
      </c>
      <c r="D8121" s="3" t="s">
        <v>23679</v>
      </c>
      <c r="E8121" s="3" t="s">
        <v>23680</v>
      </c>
      <c r="F8121" s="3" t="str">
        <f>"812-665-9172"</f>
        <v>812-665-9172</v>
      </c>
      <c r="G8121" s="3">
        <v>441229</v>
      </c>
      <c r="H8121" s="3" t="s">
        <v>3721</v>
      </c>
    </row>
    <row r="8122" spans="1:8" ht="26.25" x14ac:dyDescent="0.25">
      <c r="A8122" s="3" t="s">
        <v>23681</v>
      </c>
      <c r="B8122" s="3"/>
      <c r="C8122" s="3" t="str">
        <f>"Commercial property management, Dearborn County, Indiana"</f>
        <v>Commercial property management, Dearborn County, Indiana</v>
      </c>
      <c r="D8122" s="3" t="s">
        <v>9</v>
      </c>
      <c r="E8122" s="3" t="s">
        <v>23682</v>
      </c>
      <c r="F8122" s="3" t="str">
        <f>"812-537-2200"</f>
        <v>812-537-2200</v>
      </c>
      <c r="G8122" s="3">
        <v>531312</v>
      </c>
      <c r="H8122" s="3" t="s">
        <v>136</v>
      </c>
    </row>
    <row r="8123" spans="1:8" ht="26.25" x14ac:dyDescent="0.25">
      <c r="A8123" s="3" t="s">
        <v>23683</v>
      </c>
      <c r="B8123" s="3"/>
      <c r="C8123" s="2"/>
      <c r="D8123" s="3" t="s">
        <v>23684</v>
      </c>
      <c r="E8123" s="3" t="s">
        <v>23685</v>
      </c>
      <c r="F8123" s="3" t="str">
        <f>"765-522-1126"</f>
        <v>765-522-1126</v>
      </c>
      <c r="G8123" s="3">
        <v>238990</v>
      </c>
      <c r="H8123" s="3" t="s">
        <v>481</v>
      </c>
    </row>
    <row r="8124" spans="1:8" ht="204.75" x14ac:dyDescent="0.25">
      <c r="A8124" s="3" t="s">
        <v>23686</v>
      </c>
      <c r="B8124" s="3"/>
      <c r="C8124" s="3" t="s">
        <v>23687</v>
      </c>
      <c r="D8124" s="3" t="s">
        <v>23688</v>
      </c>
      <c r="E8124" s="3" t="s">
        <v>23689</v>
      </c>
      <c r="F8124" s="3" t="str">
        <f>"317-787-0608"</f>
        <v>317-787-0608</v>
      </c>
      <c r="G8124" s="3">
        <v>492110</v>
      </c>
      <c r="H8124" s="3" t="s">
        <v>11632</v>
      </c>
    </row>
    <row r="8125" spans="1:8" ht="204.75" x14ac:dyDescent="0.25">
      <c r="A8125" s="3" t="s">
        <v>23690</v>
      </c>
      <c r="B8125" s="3"/>
      <c r="C8125" s="3" t="s">
        <v>23687</v>
      </c>
      <c r="D8125" s="3" t="s">
        <v>23688</v>
      </c>
      <c r="E8125" s="3" t="s">
        <v>23689</v>
      </c>
      <c r="F8125" s="3" t="str">
        <f>"317-787-0608"</f>
        <v>317-787-0608</v>
      </c>
      <c r="G8125" s="3">
        <v>48</v>
      </c>
      <c r="H8125" s="3" t="s">
        <v>104</v>
      </c>
    </row>
    <row r="8126" spans="1:8" ht="39" x14ac:dyDescent="0.25">
      <c r="A8126" s="3" t="s">
        <v>23691</v>
      </c>
      <c r="B8126" s="3"/>
      <c r="C8126" s="3" t="str">
        <f>"commercial printer with capabilities from electronic website through mail &amp; fulfillment"</f>
        <v>commercial printer with capabilities from electronic website through mail &amp; fulfillment</v>
      </c>
      <c r="D8126" s="3" t="s">
        <v>23692</v>
      </c>
      <c r="E8126" s="3" t="s">
        <v>23693</v>
      </c>
      <c r="F8126" s="3" t="str">
        <f>"317-876-3355"</f>
        <v>317-876-3355</v>
      </c>
      <c r="G8126" s="3">
        <v>32311</v>
      </c>
      <c r="H8126" s="3" t="s">
        <v>531</v>
      </c>
    </row>
    <row r="8127" spans="1:8" ht="51.75" x14ac:dyDescent="0.25">
      <c r="A8127" s="3" t="s">
        <v>23694</v>
      </c>
      <c r="B8127" s="3"/>
      <c r="C8127" s="3" t="str">
        <f>"Distributor of industrial, MRO, spill containment, spill cleanup, safety, janitorial, material handling, decon, hazmat, training and absorbent supplies."</f>
        <v>Distributor of industrial, MRO, spill containment, spill cleanup, safety, janitorial, material handling, decon, hazmat, training and absorbent supplies.</v>
      </c>
      <c r="D8127" s="3" t="s">
        <v>23695</v>
      </c>
      <c r="E8127" s="3" t="s">
        <v>23696</v>
      </c>
      <c r="F8127" s="3" t="str">
        <f>"800-474-5911"</f>
        <v>800-474-5911</v>
      </c>
      <c r="G8127" s="3">
        <v>423840</v>
      </c>
      <c r="H8127" s="3" t="s">
        <v>553</v>
      </c>
    </row>
    <row r="8128" spans="1:8" ht="64.5" x14ac:dyDescent="0.25">
      <c r="A8128" s="3" t="s">
        <v>23697</v>
      </c>
      <c r="B8128" s="3"/>
      <c r="C8128" s="3" t="str">
        <f>"SPIRE Interactive is a full service internet solution provider specializing in website design, technology consulting, online education development, internet marketing and search engine optimization (SEO/SEM)."</f>
        <v>SPIRE Interactive is a full service internet solution provider specializing in website design, technology consulting, online education development, internet marketing and search engine optimization (SEO/SEM).</v>
      </c>
      <c r="D8128" s="3" t="s">
        <v>23698</v>
      </c>
      <c r="E8128" s="3" t="s">
        <v>23699</v>
      </c>
      <c r="F8128" s="2"/>
      <c r="G8128" s="3">
        <v>541511</v>
      </c>
      <c r="H8128" s="3" t="s">
        <v>122</v>
      </c>
    </row>
    <row r="8129" spans="1:8" ht="26.25" x14ac:dyDescent="0.25">
      <c r="A8129" s="3" t="s">
        <v>23700</v>
      </c>
      <c r="B8129" s="3"/>
      <c r="C8129" s="3" t="str">
        <f>" "</f>
        <v xml:space="preserve"> </v>
      </c>
      <c r="D8129" s="3" t="s">
        <v>9</v>
      </c>
      <c r="E8129" s="3" t="s">
        <v>23701</v>
      </c>
      <c r="F8129" s="3" t="str">
        <f>"317-801-2721"</f>
        <v>317-801-2721</v>
      </c>
      <c r="G8129" s="3">
        <v>561720</v>
      </c>
      <c r="H8129" s="3" t="s">
        <v>222</v>
      </c>
    </row>
    <row r="8130" spans="1:8" ht="51.75" x14ac:dyDescent="0.25">
      <c r="A8130" s="3" t="s">
        <v>23702</v>
      </c>
      <c r="B8130" s="3"/>
      <c r="C8130" s="3" t="str">
        <f>"Providing marketing and consulting services to start up and established businesses and health care organizations. Over 20 years experience."</f>
        <v>Providing marketing and consulting services to start up and established businesses and health care organizations. Over 20 years experience.</v>
      </c>
      <c r="D8130" s="3" t="s">
        <v>9</v>
      </c>
      <c r="E8130" s="3" t="s">
        <v>23703</v>
      </c>
      <c r="F8130" s="3" t="str">
        <f>"317-514-5318"</f>
        <v>317-514-5318</v>
      </c>
      <c r="G8130" s="3">
        <v>541613</v>
      </c>
      <c r="H8130" s="3" t="s">
        <v>558</v>
      </c>
    </row>
    <row r="8131" spans="1:8" ht="26.25" x14ac:dyDescent="0.25">
      <c r="A8131" s="3" t="s">
        <v>23704</v>
      </c>
      <c r="B8131" s="3"/>
      <c r="C8131" s="3" t="str">
        <f>"We offer full service catering and food service management."</f>
        <v>We offer full service catering and food service management.</v>
      </c>
      <c r="D8131" s="3" t="s">
        <v>23705</v>
      </c>
      <c r="E8131" s="3" t="s">
        <v>23706</v>
      </c>
      <c r="F8131" s="3" t="str">
        <f>"317-829-1902"</f>
        <v>317-829-1902</v>
      </c>
      <c r="G8131" s="3">
        <v>722320</v>
      </c>
      <c r="H8131" s="3" t="s">
        <v>266</v>
      </c>
    </row>
    <row r="8132" spans="1:8" ht="64.5" x14ac:dyDescent="0.25">
      <c r="A8132" s="3" t="s">
        <v>23707</v>
      </c>
      <c r="B8132" s="3"/>
      <c r="C8132" s="3" t="str">
        <f>"National distributor/supplier offering distribution of office supplies, medical &amp; laboratory products, industrial &amp; MRO supplies, security/safety equipment and more..."</f>
        <v>National distributor/supplier offering distribution of office supplies, medical &amp; laboratory products, industrial &amp; MRO supplies, security/safety equipment and more...</v>
      </c>
      <c r="D8132" s="3" t="s">
        <v>23708</v>
      </c>
      <c r="E8132" s="3" t="s">
        <v>23709</v>
      </c>
      <c r="F8132" s="3" t="str">
        <f>"(574) 607-4499"</f>
        <v>(574) 607-4499</v>
      </c>
      <c r="G8132" s="3">
        <v>423420</v>
      </c>
      <c r="H8132" s="3" t="s">
        <v>521</v>
      </c>
    </row>
    <row r="8133" spans="1:8" ht="64.5" x14ac:dyDescent="0.25">
      <c r="A8133" s="3" t="s">
        <v>23710</v>
      </c>
      <c r="B8133" s="3"/>
      <c r="C8133" s="3" t="str">
        <f>"Trucking business in southern Indiana for over 45 years. Fleet of dump trucks for hauling stone, blacktop, sand, dirt, etc. Excavation equipment for site preparation, demolition, ponds, waterways, etc."</f>
        <v>Trucking business in southern Indiana for over 45 years. Fleet of dump trucks for hauling stone, blacktop, sand, dirt, etc. Excavation equipment for site preparation, demolition, ponds, waterways, etc.</v>
      </c>
      <c r="D8133" s="3" t="s">
        <v>9</v>
      </c>
      <c r="E8133" s="3" t="s">
        <v>23711</v>
      </c>
      <c r="F8133" s="3" t="str">
        <f>"812-346-4824"</f>
        <v>812-346-4824</v>
      </c>
      <c r="G8133" s="3">
        <v>484110</v>
      </c>
      <c r="H8133" s="3" t="s">
        <v>644</v>
      </c>
    </row>
    <row r="8134" spans="1:8" ht="102.75" x14ac:dyDescent="0.25">
      <c r="A8134" s="3" t="s">
        <v>23712</v>
      </c>
      <c r="B8134" s="3"/>
      <c r="C8134" s="3" t="s">
        <v>23713</v>
      </c>
      <c r="D8134" s="3" t="s">
        <v>9</v>
      </c>
      <c r="E8134" s="3" t="s">
        <v>23714</v>
      </c>
      <c r="F8134" s="3" t="str">
        <f>"812-794-2620"</f>
        <v>812-794-2620</v>
      </c>
      <c r="G8134" s="3">
        <v>541219</v>
      </c>
      <c r="H8134" s="3" t="s">
        <v>2010</v>
      </c>
    </row>
    <row r="8135" spans="1:8" ht="64.5" x14ac:dyDescent="0.25">
      <c r="A8135" s="3" t="s">
        <v>23715</v>
      </c>
      <c r="B8135" s="3"/>
      <c r="C8135" s="3" t="str">
        <f>"STANDARD VENDING LLC IS AN INDIANA BUSINESS DEDICATED TO SERVING THE NEEDS OF OTHER INDIANA BUSINESS. WE HAVE A WIDE RANGE OF PRODUCTS AVAILABLE FROM PAPER TO JANITORIAL AND ICE MELT."</f>
        <v>STANDARD VENDING LLC IS AN INDIANA BUSINESS DEDICATED TO SERVING THE NEEDS OF OTHER INDIANA BUSINESS. WE HAVE A WIDE RANGE OF PRODUCTS AVAILABLE FROM PAPER TO JANITORIAL AND ICE MELT.</v>
      </c>
      <c r="D8135" s="3" t="s">
        <v>9</v>
      </c>
      <c r="E8135" s="3" t="s">
        <v>23716</v>
      </c>
      <c r="F8135" s="3" t="str">
        <f>"574-946-7016"</f>
        <v>574-946-7016</v>
      </c>
      <c r="G8135" s="3">
        <v>4241</v>
      </c>
      <c r="H8135" s="3" t="s">
        <v>19996</v>
      </c>
    </row>
    <row r="8136" spans="1:8" ht="90" x14ac:dyDescent="0.25">
      <c r="A8136" s="3" t="s">
        <v>23715</v>
      </c>
      <c r="B8136" s="3"/>
      <c r="C8136" s="3" t="str">
        <f>"KB SUPPLY LLC IS A COMPANY FOUNDED IN 2010 WITH THE GOAL OF PROVIDING EXCELLENT SERVICE AND PRICES TO BUSINESSES IN INDIANA. WE HAVE FULL LINE OF PERSONAL PAPER AND JANITORIAL SUPPLIES. WE HAVE ACCESS TO MANY OTHER PRODUCTS AS WELL."</f>
        <v>KB SUPPLY LLC IS A COMPANY FOUNDED IN 2010 WITH THE GOAL OF PROVIDING EXCELLENT SERVICE AND PRICES TO BUSINESSES IN INDIANA. WE HAVE FULL LINE OF PERSONAL PAPER AND JANITORIAL SUPPLIES. WE HAVE ACCESS TO MANY OTHER PRODUCTS AS WELL.</v>
      </c>
      <c r="D8136" s="3" t="s">
        <v>9</v>
      </c>
      <c r="E8136" s="3" t="s">
        <v>23717</v>
      </c>
      <c r="F8136" s="3" t="str">
        <f>"574-242-2242"</f>
        <v>574-242-2242</v>
      </c>
      <c r="G8136" s="3">
        <v>424130</v>
      </c>
      <c r="H8136" s="3" t="s">
        <v>602</v>
      </c>
    </row>
    <row r="8137" spans="1:8" ht="192" x14ac:dyDescent="0.25">
      <c r="A8137" s="3" t="s">
        <v>23718</v>
      </c>
      <c r="B8137" s="3"/>
      <c r="C8137" s="3" t="s">
        <v>23719</v>
      </c>
      <c r="D8137" s="3" t="s">
        <v>23720</v>
      </c>
      <c r="E8137" s="3" t="s">
        <v>23721</v>
      </c>
      <c r="F8137" s="3" t="str">
        <f>"812-834-5255"</f>
        <v>812-834-5255</v>
      </c>
      <c r="G8137" s="3">
        <v>3323</v>
      </c>
      <c r="H8137" s="3" t="s">
        <v>23722</v>
      </c>
    </row>
    <row r="8138" spans="1:8" x14ac:dyDescent="0.25">
      <c r="A8138" s="3" t="s">
        <v>23723</v>
      </c>
      <c r="B8138" s="3"/>
      <c r="C8138" s="2"/>
      <c r="D8138" s="3" t="s">
        <v>23724</v>
      </c>
      <c r="E8138" s="3" t="s">
        <v>46</v>
      </c>
      <c r="F8138" s="2"/>
      <c r="G8138" s="3">
        <v>551111</v>
      </c>
      <c r="H8138" s="3" t="s">
        <v>23725</v>
      </c>
    </row>
    <row r="8139" spans="1:8" ht="26.25" x14ac:dyDescent="0.25">
      <c r="A8139" s="3" t="s">
        <v>23726</v>
      </c>
      <c r="B8139" s="3"/>
      <c r="C8139" s="2"/>
      <c r="D8139" s="3" t="s">
        <v>9</v>
      </c>
      <c r="E8139" s="3" t="s">
        <v>23727</v>
      </c>
      <c r="F8139" s="3" t="str">
        <f>"812-385-5628"</f>
        <v>812-385-5628</v>
      </c>
      <c r="G8139" s="3">
        <v>484220</v>
      </c>
      <c r="H8139" s="3" t="s">
        <v>11</v>
      </c>
    </row>
    <row r="8140" spans="1:8" ht="26.25" x14ac:dyDescent="0.25">
      <c r="A8140" s="3" t="s">
        <v>23728</v>
      </c>
      <c r="B8140" s="3"/>
      <c r="C8140" s="3" t="str">
        <f>"Nurse Staffing Agency."</f>
        <v>Nurse Staffing Agency.</v>
      </c>
      <c r="D8140" s="3" t="s">
        <v>9</v>
      </c>
      <c r="E8140" s="3" t="s">
        <v>46</v>
      </c>
      <c r="F8140" s="3" t="str">
        <f>"877-STAT-122"</f>
        <v>877-STAT-122</v>
      </c>
      <c r="G8140" s="3">
        <v>561320</v>
      </c>
      <c r="H8140" s="3" t="s">
        <v>15</v>
      </c>
    </row>
    <row r="8141" spans="1:8" ht="39" x14ac:dyDescent="0.25">
      <c r="A8141" s="3" t="s">
        <v>23729</v>
      </c>
      <c r="B8141" s="3"/>
      <c r="C8141" s="3" t="str">
        <f>"Represent governmental agency in the purchase of right-of-ways, easements and parcels of land."</f>
        <v>Represent governmental agency in the purchase of right-of-ways, easements and parcels of land.</v>
      </c>
      <c r="D8141" s="3" t="s">
        <v>9</v>
      </c>
      <c r="E8141" s="3" t="s">
        <v>46</v>
      </c>
      <c r="F8141" s="2"/>
      <c r="G8141" s="3">
        <v>531390</v>
      </c>
      <c r="H8141" s="3" t="s">
        <v>623</v>
      </c>
    </row>
    <row r="8142" spans="1:8" ht="26.25" x14ac:dyDescent="0.25">
      <c r="A8142" s="3" t="s">
        <v>23730</v>
      </c>
      <c r="B8142" s="3"/>
      <c r="C8142" s="3" t="str">
        <f>"State Safety &amp; Compliance is a distributor of safety supplies products to industry."</f>
        <v>State Safety &amp; Compliance is a distributor of safety supplies products to industry.</v>
      </c>
      <c r="D8142" s="3" t="s">
        <v>23731</v>
      </c>
      <c r="E8142" s="3" t="s">
        <v>23732</v>
      </c>
      <c r="F8142" s="3" t="str">
        <f>"317-423-7724"</f>
        <v>317-423-7724</v>
      </c>
      <c r="G8142" s="3">
        <v>422</v>
      </c>
      <c r="H8142" s="3" t="s">
        <v>16038</v>
      </c>
    </row>
    <row r="8143" spans="1:8" x14ac:dyDescent="0.25">
      <c r="A8143" s="3" t="s">
        <v>23733</v>
      </c>
      <c r="B8143" s="3"/>
      <c r="C8143" s="3" t="str">
        <f>"REAL STATE"</f>
        <v>REAL STATE</v>
      </c>
      <c r="D8143" s="3" t="s">
        <v>9</v>
      </c>
      <c r="E8143" s="3" t="s">
        <v>46</v>
      </c>
      <c r="F8143" s="2"/>
      <c r="G8143" s="3">
        <v>531</v>
      </c>
      <c r="H8143" s="3" t="s">
        <v>74</v>
      </c>
    </row>
    <row r="8144" spans="1:8" ht="26.25" x14ac:dyDescent="0.25">
      <c r="A8144" s="3" t="s">
        <v>23734</v>
      </c>
      <c r="B8144" s="3"/>
      <c r="C8144" s="3" t="str">
        <f>" "</f>
        <v xml:space="preserve"> </v>
      </c>
      <c r="D8144" s="3" t="s">
        <v>9</v>
      </c>
      <c r="E8144" s="3" t="s">
        <v>23735</v>
      </c>
      <c r="F8144" s="3" t="str">
        <f>"765-832-3136"</f>
        <v>765-832-3136</v>
      </c>
      <c r="G8144" s="3">
        <v>444130</v>
      </c>
      <c r="H8144" s="3" t="s">
        <v>2597</v>
      </c>
    </row>
    <row r="8145" spans="1:8" ht="51.75" x14ac:dyDescent="0.25">
      <c r="A8145" s="3" t="s">
        <v>23736</v>
      </c>
      <c r="B8145" s="3"/>
      <c r="C8145" s="3" t="str">
        <f>"Steel Cities Steels, Inc. is a general line steel service center which sells and processes steel plate, bar, structurals, tubing, sheet, stainless steel and industrial supplies."</f>
        <v>Steel Cities Steels, Inc. is a general line steel service center which sells and processes steel plate, bar, structurals, tubing, sheet, stainless steel and industrial supplies.</v>
      </c>
      <c r="D8145" s="3" t="s">
        <v>23737</v>
      </c>
      <c r="E8145" s="3" t="s">
        <v>23738</v>
      </c>
      <c r="F8145" s="3" t="str">
        <f>"800-228-2026"</f>
        <v>800-228-2026</v>
      </c>
      <c r="G8145" s="3">
        <v>423510</v>
      </c>
      <c r="H8145" s="3" t="s">
        <v>10869</v>
      </c>
    </row>
    <row r="8146" spans="1:8" ht="26.25" x14ac:dyDescent="0.25">
      <c r="A8146" s="3" t="s">
        <v>23739</v>
      </c>
      <c r="B8146" s="3"/>
      <c r="C8146" s="3" t="str">
        <f>"HAVC"</f>
        <v>HAVC</v>
      </c>
      <c r="D8146" s="3" t="s">
        <v>23740</v>
      </c>
      <c r="E8146" s="3" t="s">
        <v>23741</v>
      </c>
      <c r="F8146" s="3" t="str">
        <f>"812-866-2400"</f>
        <v>812-866-2400</v>
      </c>
      <c r="G8146" s="3">
        <v>238220</v>
      </c>
      <c r="H8146" s="3" t="s">
        <v>348</v>
      </c>
    </row>
    <row r="8147" spans="1:8" ht="64.5" x14ac:dyDescent="0.25">
      <c r="A8147" s="3" t="s">
        <v>23742</v>
      </c>
      <c r="B8147" s="3"/>
      <c r="C8147" s="3" t="str">
        <f>"Step-Up is a non-profit agency that believes in providing education, training, advocacy and technical assistance to promote health and well-being; with a focus on HIV/STD prevention and diversity."</f>
        <v>Step-Up is a non-profit agency that believes in providing education, training, advocacy and technical assistance to promote health and well-being; with a focus on HIV/STD prevention and diversity.</v>
      </c>
      <c r="D8147" s="3" t="s">
        <v>23743</v>
      </c>
      <c r="E8147" s="3" t="s">
        <v>23744</v>
      </c>
      <c r="F8147" s="3" t="str">
        <f>"317-259-7013"</f>
        <v>317-259-7013</v>
      </c>
      <c r="G8147" s="3">
        <v>611710</v>
      </c>
      <c r="H8147" s="3" t="s">
        <v>508</v>
      </c>
    </row>
    <row r="8148" spans="1:8" ht="115.5" x14ac:dyDescent="0.25">
      <c r="A8148" s="3" t="s">
        <v>23745</v>
      </c>
      <c r="B8148" s="3"/>
      <c r="C8148" s="3" t="s">
        <v>23746</v>
      </c>
      <c r="D8148" s="3" t="s">
        <v>23747</v>
      </c>
      <c r="E8148" s="3" t="s">
        <v>23748</v>
      </c>
      <c r="F8148" s="3" t="str">
        <f>"812-634-1717"</f>
        <v>812-634-1717</v>
      </c>
      <c r="G8148" s="3">
        <v>11</v>
      </c>
      <c r="H8148" s="3" t="s">
        <v>175</v>
      </c>
    </row>
    <row r="8149" spans="1:8" ht="26.25" x14ac:dyDescent="0.25">
      <c r="A8149" s="3" t="s">
        <v>23749</v>
      </c>
      <c r="B8149" s="3"/>
      <c r="C8149" s="3" t="str">
        <f>"I provide enclosed and outside storage units"</f>
        <v>I provide enclosed and outside storage units</v>
      </c>
      <c r="D8149" s="3" t="s">
        <v>9</v>
      </c>
      <c r="E8149" s="3" t="s">
        <v>23750</v>
      </c>
      <c r="F8149" s="2"/>
      <c r="G8149" s="3">
        <v>493110</v>
      </c>
      <c r="H8149" s="3" t="s">
        <v>16497</v>
      </c>
    </row>
    <row r="8150" spans="1:8" ht="64.5" x14ac:dyDescent="0.25">
      <c r="A8150" s="3" t="s">
        <v>23751</v>
      </c>
      <c r="B8150" s="3"/>
      <c r="C8150" s="3" t="str">
        <f>"Communications (Voice, Data &amp; Fiber Solutions) - Sales &amp; Service Phone Systems - Sales &amp; Service Underground ""Quality Services, On Time, Every Time"" 317-784-9404"</f>
        <v>Communications (Voice, Data &amp; Fiber Solutions) - Sales &amp; Service Phone Systems - Sales &amp; Service Underground "Quality Services, On Time, Every Time" 317-784-9404</v>
      </c>
      <c r="D8150" s="3" t="s">
        <v>23752</v>
      </c>
      <c r="E8150" s="3" t="s">
        <v>23753</v>
      </c>
      <c r="F8150" s="3" t="str">
        <f>"317-784-9404"</f>
        <v>317-784-9404</v>
      </c>
      <c r="G8150" s="3">
        <v>238210</v>
      </c>
      <c r="H8150" s="3" t="s">
        <v>306</v>
      </c>
    </row>
    <row r="8151" spans="1:8" ht="26.25" x14ac:dyDescent="0.25">
      <c r="A8151" s="3" t="s">
        <v>23754</v>
      </c>
      <c r="B8151" s="3"/>
      <c r="C8151" s="2"/>
      <c r="D8151" s="3" t="s">
        <v>9</v>
      </c>
      <c r="E8151" s="3" t="s">
        <v>23755</v>
      </c>
      <c r="F8151" s="3" t="str">
        <f>"317-250-5521"</f>
        <v>317-250-5521</v>
      </c>
      <c r="G8151" s="3">
        <v>23521</v>
      </c>
      <c r="H8151" s="3" t="s">
        <v>462</v>
      </c>
    </row>
    <row r="8152" spans="1:8" ht="77.25" x14ac:dyDescent="0.25">
      <c r="A8152" s="3" t="s">
        <v>23756</v>
      </c>
      <c r="B8152" s="3"/>
      <c r="C8152" s="3" t="str">
        <f>"Manufacturer &amp; printer, of signs, labels, wire markers, tags, barricade tapes, letters &amp; numbers, reflective numbers &amp; letters, thermal transfer labels. Also Lockout/Tagout manufacturer of Circuit -Safe lockout devices."</f>
        <v>Manufacturer &amp; printer, of signs, labels, wire markers, tags, barricade tapes, letters &amp; numbers, reflective numbers &amp; letters, thermal transfer labels. Also Lockout/Tagout manufacturer of Circuit -Safe lockout devices.</v>
      </c>
      <c r="D8152" s="3" t="s">
        <v>23757</v>
      </c>
      <c r="E8152" s="3" t="s">
        <v>23758</v>
      </c>
      <c r="F8152" s="3" t="str">
        <f>"800-348-3217"</f>
        <v>800-348-3217</v>
      </c>
      <c r="G8152" s="3">
        <v>32311</v>
      </c>
      <c r="H8152" s="3" t="s">
        <v>531</v>
      </c>
    </row>
    <row r="8153" spans="1:8" ht="26.25" x14ac:dyDescent="0.25">
      <c r="A8153" s="3" t="s">
        <v>23759</v>
      </c>
      <c r="B8153" s="3"/>
      <c r="C8153" s="3" t="str">
        <f>"Consulting services in the area of planning, management and research."</f>
        <v>Consulting services in the area of planning, management and research.</v>
      </c>
      <c r="D8153" s="3" t="s">
        <v>23760</v>
      </c>
      <c r="E8153" s="3" t="s">
        <v>23761</v>
      </c>
      <c r="F8153" s="3" t="str">
        <f>"812-331-1282"</f>
        <v>812-331-1282</v>
      </c>
      <c r="G8153" s="3">
        <v>5416</v>
      </c>
      <c r="H8153" s="3" t="s">
        <v>194</v>
      </c>
    </row>
    <row r="8154" spans="1:8" ht="115.5" x14ac:dyDescent="0.25">
      <c r="A8154" s="3" t="s">
        <v>23762</v>
      </c>
      <c r="B8154" s="3"/>
      <c r="C8154" s="3" t="s">
        <v>23763</v>
      </c>
      <c r="D8154" s="3" t="s">
        <v>23764</v>
      </c>
      <c r="E8154" s="3" t="s">
        <v>23765</v>
      </c>
      <c r="F8154" s="3" t="str">
        <f>"219-756-7800"</f>
        <v>219-756-7800</v>
      </c>
      <c r="G8154" s="3">
        <v>621999</v>
      </c>
      <c r="H8154" s="3" t="s">
        <v>3480</v>
      </c>
    </row>
    <row r="8155" spans="1:8" ht="102.75" x14ac:dyDescent="0.25">
      <c r="A8155" s="3" t="s">
        <v>23766</v>
      </c>
      <c r="B8155" s="3"/>
      <c r="C8155" s="3" t="s">
        <v>23767</v>
      </c>
      <c r="D8155" s="3" t="s">
        <v>23768</v>
      </c>
      <c r="E8155" s="3" t="s">
        <v>23769</v>
      </c>
      <c r="F8155" s="3" t="str">
        <f>"219-873-1735"</f>
        <v>219-873-1735</v>
      </c>
      <c r="G8155" s="3">
        <v>541990</v>
      </c>
      <c r="H8155" s="3" t="s">
        <v>378</v>
      </c>
    </row>
    <row r="8156" spans="1:8" ht="26.25" x14ac:dyDescent="0.25">
      <c r="A8156" s="3" t="s">
        <v>23770</v>
      </c>
      <c r="B8156" s="3"/>
      <c r="C8156" s="3" t="str">
        <f>" "</f>
        <v xml:space="preserve"> </v>
      </c>
      <c r="D8156" s="3" t="s">
        <v>23771</v>
      </c>
      <c r="E8156" s="3" t="s">
        <v>46</v>
      </c>
      <c r="F8156" s="3" t="str">
        <f>"312-285-7339"</f>
        <v>312-285-7339</v>
      </c>
      <c r="G8156" s="3">
        <v>5415</v>
      </c>
      <c r="H8156" s="3" t="s">
        <v>188</v>
      </c>
    </row>
    <row r="8157" spans="1:8" ht="115.5" x14ac:dyDescent="0.25">
      <c r="A8157" s="3" t="s">
        <v>23772</v>
      </c>
      <c r="B8157" s="3"/>
      <c r="C8157" s="3" t="s">
        <v>23773</v>
      </c>
      <c r="D8157" s="3" t="s">
        <v>23774</v>
      </c>
      <c r="E8157" s="3" t="s">
        <v>23775</v>
      </c>
      <c r="F8157" s="3" t="str">
        <f>"800-877-3555"</f>
        <v>800-877-3555</v>
      </c>
      <c r="G8157" s="3">
        <v>423450</v>
      </c>
      <c r="H8157" s="3" t="s">
        <v>1406</v>
      </c>
    </row>
    <row r="8158" spans="1:8" ht="26.25" x14ac:dyDescent="0.25">
      <c r="A8158" s="3" t="s">
        <v>23776</v>
      </c>
      <c r="B8158" s="3"/>
      <c r="C8158" s="3" t="str">
        <f>"LAUNDRY EQUIPMENT DISTRIBUTOR-SALES, SERVICE, SUPPLIES"</f>
        <v>LAUNDRY EQUIPMENT DISTRIBUTOR-SALES, SERVICE, SUPPLIES</v>
      </c>
      <c r="D8158" s="3" t="s">
        <v>9</v>
      </c>
      <c r="E8158" s="3" t="s">
        <v>46</v>
      </c>
      <c r="F8158" s="3" t="str">
        <f>"317-783-6175"</f>
        <v>317-783-6175</v>
      </c>
      <c r="G8158" s="3">
        <v>8123</v>
      </c>
      <c r="H8158" s="3" t="s">
        <v>11008</v>
      </c>
    </row>
    <row r="8159" spans="1:8" ht="77.25" x14ac:dyDescent="0.25">
      <c r="A8159" s="3" t="s">
        <v>23777</v>
      </c>
      <c r="B8159" s="3"/>
      <c r="C8159" s="3" t="str">
        <f>"We are a dealer of handicapped accessible vehicles and lifts for vehicles. We sell lowered floor mini-vans. We are able to install lifts for wheelchairs in certain vehicles. We help physically handicapped people become independent."</f>
        <v>We are a dealer of handicapped accessible vehicles and lifts for vehicles. We sell lowered floor mini-vans. We are able to install lifts for wheelchairs in certain vehicles. We help physically handicapped people become independent.</v>
      </c>
      <c r="D8159" s="3" t="s">
        <v>23778</v>
      </c>
      <c r="E8159" s="3" t="s">
        <v>23779</v>
      </c>
      <c r="F8159" s="3" t="str">
        <f>"18005088267"</f>
        <v>18005088267</v>
      </c>
      <c r="G8159" s="3">
        <v>441229</v>
      </c>
      <c r="H8159" s="3" t="s">
        <v>3721</v>
      </c>
    </row>
    <row r="8160" spans="1:8" ht="319.5" x14ac:dyDescent="0.25">
      <c r="A8160" s="3" t="s">
        <v>23780</v>
      </c>
      <c r="B8160" s="3"/>
      <c r="C8160" s="3" t="s">
        <v>23781</v>
      </c>
      <c r="D8160" s="3" t="s">
        <v>23782</v>
      </c>
      <c r="E8160" s="3" t="s">
        <v>23783</v>
      </c>
      <c r="F8160" s="2"/>
      <c r="G8160" s="3">
        <v>923120</v>
      </c>
      <c r="H8160" s="3" t="s">
        <v>611</v>
      </c>
    </row>
    <row r="8161" spans="1:8" ht="319.5" x14ac:dyDescent="0.25">
      <c r="A8161" s="3" t="s">
        <v>23780</v>
      </c>
      <c r="B8161" s="3"/>
      <c r="C8161" s="3" t="s">
        <v>23781</v>
      </c>
      <c r="D8161" s="3" t="s">
        <v>23782</v>
      </c>
      <c r="E8161" s="3" t="s">
        <v>23783</v>
      </c>
      <c r="F8161" s="2"/>
      <c r="G8161" s="3">
        <v>923120</v>
      </c>
      <c r="H8161" s="3" t="s">
        <v>611</v>
      </c>
    </row>
    <row r="8162" spans="1:8" ht="39" x14ac:dyDescent="0.25">
      <c r="A8162" s="3" t="s">
        <v>23784</v>
      </c>
      <c r="B8162" s="3"/>
      <c r="C8162" s="3" t="str">
        <f>"Emergency vehicle and amber lighting retailer. Emergency and amber vehicle equipment installation."</f>
        <v>Emergency vehicle and amber lighting retailer. Emergency and amber vehicle equipment installation.</v>
      </c>
      <c r="D8162" s="3" t="s">
        <v>9</v>
      </c>
      <c r="E8162" s="3" t="s">
        <v>23785</v>
      </c>
      <c r="F8162" s="3" t="str">
        <f>"812-939-2760"</f>
        <v>812-939-2760</v>
      </c>
      <c r="G8162" s="3">
        <v>811118</v>
      </c>
      <c r="H8162" s="3" t="s">
        <v>7678</v>
      </c>
    </row>
    <row r="8163" spans="1:8" ht="51.75" x14ac:dyDescent="0.25">
      <c r="A8163" s="3" t="s">
        <v>23786</v>
      </c>
      <c r="B8163" s="3"/>
      <c r="C8163" s="3" t="str">
        <f>"We design, manufacture, install and maintain communications towers including radio, television, microwave, radar, RCAG, RCL, RTR, and may other types."</f>
        <v>We design, manufacture, install and maintain communications towers including radio, television, microwave, radar, RCAG, RCL, RTR, and may other types.</v>
      </c>
      <c r="D8163" s="3" t="s">
        <v>23787</v>
      </c>
      <c r="E8163" s="3" t="s">
        <v>23788</v>
      </c>
      <c r="F8163" s="3" t="str">
        <f>"260-495-2515"</f>
        <v>260-495-2515</v>
      </c>
      <c r="G8163" s="3">
        <v>23492</v>
      </c>
      <c r="H8163" s="3" t="s">
        <v>23789</v>
      </c>
    </row>
    <row r="8164" spans="1:8" ht="26.25" x14ac:dyDescent="0.25">
      <c r="A8164" s="3" t="s">
        <v>23790</v>
      </c>
      <c r="B8164" s="3"/>
      <c r="C8164" s="3" t="str">
        <f>"Pest control and termite control i"</f>
        <v>Pest control and termite control i</v>
      </c>
      <c r="D8164" s="3" t="s">
        <v>23791</v>
      </c>
      <c r="E8164" s="3" t="s">
        <v>23792</v>
      </c>
      <c r="F8164" s="3" t="str">
        <f>"812-476-9708"</f>
        <v>812-476-9708</v>
      </c>
      <c r="G8164" s="3">
        <v>56171</v>
      </c>
      <c r="H8164" s="3" t="s">
        <v>946</v>
      </c>
    </row>
    <row r="8165" spans="1:8" ht="64.5" x14ac:dyDescent="0.25">
      <c r="A8165" s="3" t="s">
        <v>23793</v>
      </c>
      <c r="B8165" s="3"/>
      <c r="C8165" s="3" t="str">
        <f>"Specialized in Data Warehouse/BI,SOA,BPEL,Reporting,Application Development,Data Management,Data Migration,Data Conversion,Data Integration etc."</f>
        <v>Specialized in Data Warehouse/BI,SOA,BPEL,Reporting,Application Development,Data Management,Data Migration,Data Conversion,Data Integration etc.</v>
      </c>
      <c r="D8165" s="3" t="s">
        <v>23794</v>
      </c>
      <c r="E8165" s="3" t="s">
        <v>23795</v>
      </c>
      <c r="F8165" s="3" t="str">
        <f>"317-828-8248"</f>
        <v>317-828-8248</v>
      </c>
      <c r="G8165" s="3">
        <v>541511</v>
      </c>
      <c r="H8165" s="3" t="s">
        <v>122</v>
      </c>
    </row>
    <row r="8166" spans="1:8" ht="166.5" x14ac:dyDescent="0.25">
      <c r="A8166" s="3" t="s">
        <v>23796</v>
      </c>
      <c r="B8166" s="3"/>
      <c r="C8166" s="3" t="s">
        <v>23797</v>
      </c>
      <c r="D8166" s="3" t="s">
        <v>23798</v>
      </c>
      <c r="E8166" s="3" t="s">
        <v>23799</v>
      </c>
      <c r="F8166" s="3" t="str">
        <f>"317-745-4715"</f>
        <v>317-745-4715</v>
      </c>
      <c r="G8166" s="3">
        <v>621399</v>
      </c>
      <c r="H8166" s="3" t="s">
        <v>2306</v>
      </c>
    </row>
    <row r="8167" spans="1:8" ht="230.25" x14ac:dyDescent="0.25">
      <c r="A8167" s="3" t="s">
        <v>23800</v>
      </c>
      <c r="B8167" s="3"/>
      <c r="C8167" s="3" t="s">
        <v>23801</v>
      </c>
      <c r="D8167" s="3" t="s">
        <v>23802</v>
      </c>
      <c r="E8167" s="3" t="s">
        <v>23803</v>
      </c>
      <c r="F8167" s="3" t="str">
        <f>"(317) 229-6031"</f>
        <v>(317) 229-6031</v>
      </c>
      <c r="G8167" s="3">
        <v>62</v>
      </c>
      <c r="H8167" s="3" t="s">
        <v>1168</v>
      </c>
    </row>
    <row r="8168" spans="1:8" ht="51.75" x14ac:dyDescent="0.25">
      <c r="A8168" s="3" t="s">
        <v>23804</v>
      </c>
      <c r="B8168" s="3"/>
      <c r="C8168" s="3" t="str">
        <f>"We are a General Contractor. We self-perform all carpentry, rough framing, steel studs, trim carpentry, shingle roofs, doors and windows, ceiling systems."</f>
        <v>We are a General Contractor. We self-perform all carpentry, rough framing, steel studs, trim carpentry, shingle roofs, doors and windows, ceiling systems.</v>
      </c>
      <c r="D8168" s="3" t="s">
        <v>23805</v>
      </c>
      <c r="E8168" s="3" t="s">
        <v>23806</v>
      </c>
      <c r="F8168" s="3" t="str">
        <f>"260-469-4700"</f>
        <v>260-469-4700</v>
      </c>
      <c r="G8168" s="3">
        <v>23551</v>
      </c>
      <c r="H8168" s="3" t="s">
        <v>3583</v>
      </c>
    </row>
    <row r="8169" spans="1:8" ht="332.25" x14ac:dyDescent="0.25">
      <c r="A8169" s="3" t="s">
        <v>23807</v>
      </c>
      <c r="B8169" s="3"/>
      <c r="C8169" s="3" t="s">
        <v>23808</v>
      </c>
      <c r="D8169" s="3" t="s">
        <v>23809</v>
      </c>
      <c r="E8169" s="3" t="s">
        <v>23810</v>
      </c>
      <c r="F8169" s="3" t="str">
        <f>"800-201-7590"</f>
        <v>800-201-7590</v>
      </c>
      <c r="G8169" s="3">
        <v>517310</v>
      </c>
      <c r="H8169" s="3" t="s">
        <v>540</v>
      </c>
    </row>
    <row r="8170" spans="1:8" ht="192" x14ac:dyDescent="0.25">
      <c r="A8170" s="3" t="s">
        <v>23811</v>
      </c>
      <c r="B8170" s="3"/>
      <c r="C8170" s="3" t="s">
        <v>23812</v>
      </c>
      <c r="D8170" s="3" t="s">
        <v>23813</v>
      </c>
      <c r="E8170" s="3" t="s">
        <v>23814</v>
      </c>
      <c r="F8170" s="3" t="str">
        <f>"765-448-1847"</f>
        <v>765-448-1847</v>
      </c>
      <c r="G8170" s="3">
        <v>511210</v>
      </c>
      <c r="H8170" s="3" t="s">
        <v>315</v>
      </c>
    </row>
    <row r="8171" spans="1:8" ht="115.5" x14ac:dyDescent="0.25">
      <c r="A8171" s="3" t="s">
        <v>23815</v>
      </c>
      <c r="B8171" s="3"/>
      <c r="C8171" s="3" t="s">
        <v>23816</v>
      </c>
      <c r="D8171" s="3" t="s">
        <v>23817</v>
      </c>
      <c r="E8171" s="3" t="s">
        <v>23818</v>
      </c>
      <c r="F8171" s="3" t="str">
        <f>"812-936-9800"</f>
        <v>812-936-9800</v>
      </c>
      <c r="G8171" s="3">
        <v>541511</v>
      </c>
      <c r="H8171" s="3" t="s">
        <v>122</v>
      </c>
    </row>
    <row r="8172" spans="1:8" ht="26.25" x14ac:dyDescent="0.25">
      <c r="A8172" s="3" t="s">
        <v>23819</v>
      </c>
      <c r="B8172" s="3"/>
      <c r="C8172" s="3" t="str">
        <f>"Demolition and environmental remediation contractor"</f>
        <v>Demolition and environmental remediation contractor</v>
      </c>
      <c r="D8172" s="3" t="s">
        <v>23820</v>
      </c>
      <c r="E8172" s="3" t="s">
        <v>23821</v>
      </c>
      <c r="F8172" s="3" t="str">
        <f>"317-272-1128"</f>
        <v>317-272-1128</v>
      </c>
      <c r="G8172" s="3">
        <v>235</v>
      </c>
      <c r="H8172" s="3" t="s">
        <v>259</v>
      </c>
    </row>
    <row r="8173" spans="1:8" ht="39" x14ac:dyDescent="0.25">
      <c r="A8173" s="3" t="s">
        <v>23822</v>
      </c>
      <c r="B8173" s="3"/>
      <c r="C8173" s="3" t="str">
        <f>"copper sulfate manufacturer representative costume &amp; fine jewerly manufacturer representative"</f>
        <v>copper sulfate manufacturer representative costume &amp; fine jewerly manufacturer representative</v>
      </c>
      <c r="D8173" s="3" t="s">
        <v>23823</v>
      </c>
      <c r="E8173" s="3" t="s">
        <v>23824</v>
      </c>
      <c r="F8173" s="3" t="str">
        <f>"(847) 233-9501"</f>
        <v>(847) 233-9501</v>
      </c>
      <c r="G8173" s="3">
        <v>325188</v>
      </c>
      <c r="H8173" s="3" t="s">
        <v>23825</v>
      </c>
    </row>
    <row r="8174" spans="1:8" ht="26.25" x14ac:dyDescent="0.25">
      <c r="A8174" s="3" t="s">
        <v>23826</v>
      </c>
      <c r="B8174" s="3"/>
      <c r="C8174" s="3" t="str">
        <f>" "</f>
        <v xml:space="preserve"> </v>
      </c>
      <c r="D8174" s="3" t="s">
        <v>9</v>
      </c>
      <c r="E8174" s="3" t="s">
        <v>46</v>
      </c>
      <c r="F8174" s="3" t="str">
        <f>"219-552-1528"</f>
        <v>219-552-1528</v>
      </c>
      <c r="G8174" s="3">
        <v>532299</v>
      </c>
      <c r="H8174" s="3" t="s">
        <v>1379</v>
      </c>
    </row>
    <row r="8175" spans="1:8" x14ac:dyDescent="0.25">
      <c r="A8175" s="3" t="s">
        <v>23827</v>
      </c>
      <c r="B8175" s="3"/>
      <c r="C8175" s="3" t="str">
        <f>"Complete Construction Cleaning"</f>
        <v>Complete Construction Cleaning</v>
      </c>
      <c r="D8175" s="3" t="s">
        <v>9</v>
      </c>
      <c r="E8175" s="3" t="s">
        <v>46</v>
      </c>
      <c r="F8175" s="2"/>
      <c r="G8175" s="3">
        <v>238130</v>
      </c>
      <c r="H8175" s="3" t="s">
        <v>10568</v>
      </c>
    </row>
    <row r="8176" spans="1:8" ht="26.25" x14ac:dyDescent="0.25">
      <c r="A8176" s="3" t="s">
        <v>23828</v>
      </c>
      <c r="B8176" s="3"/>
      <c r="C8176" s="3" t="str">
        <f>" "</f>
        <v xml:space="preserve"> </v>
      </c>
      <c r="D8176" s="3" t="s">
        <v>23829</v>
      </c>
      <c r="E8176" s="3" t="s">
        <v>23830</v>
      </c>
      <c r="F8176" s="3" t="str">
        <f>"3177219214"</f>
        <v>3177219214</v>
      </c>
      <c r="G8176" s="3">
        <v>54111</v>
      </c>
      <c r="H8176" s="3" t="s">
        <v>2978</v>
      </c>
    </row>
    <row r="8177" spans="1:8" ht="90" x14ac:dyDescent="0.25">
      <c r="A8177" s="3" t="s">
        <v>23831</v>
      </c>
      <c r="B8177" s="3"/>
      <c r="C8177" s="3" t="s">
        <v>23832</v>
      </c>
      <c r="D8177" s="3" t="s">
        <v>9</v>
      </c>
      <c r="E8177" s="3" t="s">
        <v>23833</v>
      </c>
      <c r="F8177" s="3" t="str">
        <f>"574-387-0327"</f>
        <v>574-387-0327</v>
      </c>
      <c r="G8177" s="3">
        <v>56172</v>
      </c>
      <c r="H8177" s="3" t="s">
        <v>222</v>
      </c>
    </row>
    <row r="8178" spans="1:8" ht="51.75" x14ac:dyDescent="0.25">
      <c r="A8178" s="3" t="s">
        <v>23834</v>
      </c>
      <c r="B8178" s="3"/>
      <c r="C8178" s="3" t="str">
        <f>"Supplier of health and safety products and services including OSHA compliance audits, air and noise monitoring, construction management services, and safety staffing."</f>
        <v>Supplier of health and safety products and services including OSHA compliance audits, air and noise monitoring, construction management services, and safety staffing.</v>
      </c>
      <c r="D8178" s="3" t="s">
        <v>23835</v>
      </c>
      <c r="E8178" s="3" t="s">
        <v>23836</v>
      </c>
      <c r="F8178" s="3" t="str">
        <f>"317-650-0187"</f>
        <v>317-650-0187</v>
      </c>
      <c r="G8178" s="3">
        <v>541690</v>
      </c>
      <c r="H8178" s="3" t="s">
        <v>652</v>
      </c>
    </row>
    <row r="8179" spans="1:8" ht="51.75" x14ac:dyDescent="0.25">
      <c r="A8179" s="3" t="s">
        <v>23837</v>
      </c>
      <c r="B8179" s="3"/>
      <c r="C8179" s="3" t="str">
        <f>"Commercial and Residential Security: CCTV, Burglar Alarms, Fire Systems, Access Controls, Wired/Wireless Camera Systems, Mobile Backup"</f>
        <v>Commercial and Residential Security: CCTV, Burglar Alarms, Fire Systems, Access Controls, Wired/Wireless Camera Systems, Mobile Backup</v>
      </c>
      <c r="D8179" s="3" t="s">
        <v>23838</v>
      </c>
      <c r="E8179" s="3" t="s">
        <v>23839</v>
      </c>
      <c r="F8179" s="3" t="str">
        <f>"317-567-2120"</f>
        <v>317-567-2120</v>
      </c>
      <c r="G8179" s="3">
        <v>561621</v>
      </c>
      <c r="H8179" s="3" t="s">
        <v>827</v>
      </c>
    </row>
    <row r="8180" spans="1:8" ht="192" x14ac:dyDescent="0.25">
      <c r="A8180" s="3" t="s">
        <v>23840</v>
      </c>
      <c r="B8180" s="3"/>
      <c r="C8180" s="3" t="s">
        <v>23841</v>
      </c>
      <c r="D8180" s="3" t="s">
        <v>23842</v>
      </c>
      <c r="E8180" s="3" t="s">
        <v>23843</v>
      </c>
      <c r="F8180" s="3" t="str">
        <f>"260-434-4002"</f>
        <v>260-434-4002</v>
      </c>
      <c r="G8180" s="3">
        <v>541690</v>
      </c>
      <c r="H8180" s="3" t="s">
        <v>652</v>
      </c>
    </row>
    <row r="8181" spans="1:8" ht="90" x14ac:dyDescent="0.25">
      <c r="A8181" s="3" t="s">
        <v>23844</v>
      </c>
      <c r="B8181" s="3"/>
      <c r="C8181" s="3" t="str">
        <f>"Occupational safety and health training, driver improvement classroom training, traffic flagger certification training. Occupational safety and health consulting services such as on site audits, written program review, in-house training development."</f>
        <v>Occupational safety and health training, driver improvement classroom training, traffic flagger certification training. Occupational safety and health consulting services such as on site audits, written program review, in-house training development.</v>
      </c>
      <c r="D8181" s="3" t="s">
        <v>23845</v>
      </c>
      <c r="E8181" s="3" t="s">
        <v>23846</v>
      </c>
      <c r="F8181" s="3" t="str">
        <f>"812-294-3897"</f>
        <v>812-294-3897</v>
      </c>
      <c r="G8181" s="3">
        <v>812990</v>
      </c>
      <c r="H8181" s="3" t="s">
        <v>294</v>
      </c>
    </row>
    <row r="8182" spans="1:8" ht="64.5" x14ac:dyDescent="0.25">
      <c r="A8182" s="3" t="s">
        <v>23847</v>
      </c>
      <c r="B8182" s="3"/>
      <c r="C8182" s="3" t="str">
        <f>"Safety Management Group is a nationally recognized professional service organization that provides workplace safety consulting, training, staffing, program planning and implementation."</f>
        <v>Safety Management Group is a nationally recognized professional service organization that provides workplace safety consulting, training, staffing, program planning and implementation.</v>
      </c>
      <c r="D8182" s="3" t="s">
        <v>23848</v>
      </c>
      <c r="E8182" s="3" t="s">
        <v>23849</v>
      </c>
      <c r="F8182" s="3" t="str">
        <f>"317-873-8365"</f>
        <v>317-873-8365</v>
      </c>
      <c r="G8182" s="3">
        <v>524291</v>
      </c>
      <c r="H8182" s="3" t="s">
        <v>15223</v>
      </c>
    </row>
    <row r="8183" spans="1:8" ht="217.5" x14ac:dyDescent="0.25">
      <c r="A8183" s="3" t="s">
        <v>23850</v>
      </c>
      <c r="B8183" s="3"/>
      <c r="C8183" s="3" t="s">
        <v>23851</v>
      </c>
      <c r="D8183" s="3" t="s">
        <v>23852</v>
      </c>
      <c r="E8183" s="3" t="s">
        <v>23853</v>
      </c>
      <c r="F8183" s="3" t="str">
        <f>"502-609-3339"</f>
        <v>502-609-3339</v>
      </c>
      <c r="G8183" s="3">
        <v>611699</v>
      </c>
      <c r="H8183" s="3" t="s">
        <v>2136</v>
      </c>
    </row>
    <row r="8184" spans="1:8" ht="39" x14ac:dyDescent="0.25">
      <c r="A8184" s="3" t="s">
        <v>23854</v>
      </c>
      <c r="B8184" s="3"/>
      <c r="C8184" s="3" t="str">
        <f>"Installation and removal of OSHA certified safety rails/guards for residential and commercial construction sites."</f>
        <v>Installation and removal of OSHA certified safety rails/guards for residential and commercial construction sites.</v>
      </c>
      <c r="D8184" s="3" t="s">
        <v>9</v>
      </c>
      <c r="E8184" s="3" t="s">
        <v>23855</v>
      </c>
      <c r="F8184" s="3" t="str">
        <f>"(317) 843-1099"</f>
        <v>(317) 843-1099</v>
      </c>
      <c r="G8184" s="3">
        <v>23</v>
      </c>
      <c r="H8184" s="3" t="s">
        <v>133</v>
      </c>
    </row>
    <row r="8185" spans="1:8" ht="115.5" x14ac:dyDescent="0.25">
      <c r="A8185" s="3" t="s">
        <v>23856</v>
      </c>
      <c r="B8185" s="3"/>
      <c r="C8185" s="3" t="s">
        <v>23857</v>
      </c>
      <c r="D8185" s="3" t="s">
        <v>23858</v>
      </c>
      <c r="E8185" s="3" t="s">
        <v>23859</v>
      </c>
      <c r="F8185" s="3" t="str">
        <f>"800.641.5990"</f>
        <v>800.641.5990</v>
      </c>
      <c r="G8185" s="3">
        <v>541690</v>
      </c>
      <c r="H8185" s="3" t="s">
        <v>652</v>
      </c>
    </row>
    <row r="8186" spans="1:8" ht="115.5" x14ac:dyDescent="0.25">
      <c r="A8186" s="3" t="s">
        <v>23860</v>
      </c>
      <c r="B8186" s="3"/>
      <c r="C8186" s="3" t="s">
        <v>23861</v>
      </c>
      <c r="D8186" s="3" t="s">
        <v>23862</v>
      </c>
      <c r="E8186" s="3" t="s">
        <v>23863</v>
      </c>
      <c r="F8186" s="3" t="str">
        <f>"219-554-2180"</f>
        <v>219-554-2180</v>
      </c>
      <c r="G8186" s="3">
        <v>541690</v>
      </c>
      <c r="H8186" s="3" t="s">
        <v>652</v>
      </c>
    </row>
    <row r="8187" spans="1:8" ht="90" x14ac:dyDescent="0.25">
      <c r="A8187" s="3" t="s">
        <v>23864</v>
      </c>
      <c r="B8187" s="3"/>
      <c r="C8187" s="3" t="s">
        <v>23865</v>
      </c>
      <c r="D8187" s="3" t="s">
        <v>9</v>
      </c>
      <c r="E8187" s="3" t="s">
        <v>46</v>
      </c>
      <c r="F8187" s="3" t="str">
        <f>"765-962-0108"</f>
        <v>765-962-0108</v>
      </c>
      <c r="G8187" s="3">
        <v>488490</v>
      </c>
      <c r="H8187" s="3" t="s">
        <v>4862</v>
      </c>
    </row>
    <row r="8188" spans="1:8" ht="26.25" x14ac:dyDescent="0.25">
      <c r="A8188" s="3" t="s">
        <v>23866</v>
      </c>
      <c r="B8188" s="3"/>
      <c r="C8188" s="3" t="str">
        <f>"Ready Mix Concrete Producer"</f>
        <v>Ready Mix Concrete Producer</v>
      </c>
      <c r="D8188" s="3" t="s">
        <v>23867</v>
      </c>
      <c r="E8188" s="3" t="s">
        <v>46</v>
      </c>
      <c r="F8188" s="3" t="str">
        <f>"317-570-6201"</f>
        <v>317-570-6201</v>
      </c>
      <c r="G8188" s="3">
        <v>327320</v>
      </c>
      <c r="H8188" s="3" t="s">
        <v>5501</v>
      </c>
    </row>
    <row r="8189" spans="1:8" ht="64.5" x14ac:dyDescent="0.25">
      <c r="A8189" s="3" t="s">
        <v>23868</v>
      </c>
      <c r="B8189" s="3"/>
      <c r="C8189" s="3" t="str">
        <f>"Sahasra Technologies Microsoft Gold Certified Partner Consulting » Business Intelligence » SHAREPOINT » SAP Services » Quality Assurance Software development IT Infrastructure Staff Augmentation"</f>
        <v>Sahasra Technologies Microsoft Gold Certified Partner Consulting » Business Intelligence » SHAREPOINT » SAP Services » Quality Assurance Software development IT Infrastructure Staff Augmentation</v>
      </c>
      <c r="D8189" s="3" t="s">
        <v>23869</v>
      </c>
      <c r="E8189" s="3" t="s">
        <v>23870</v>
      </c>
      <c r="F8189" s="3" t="str">
        <f>"317-845-5326"</f>
        <v>317-845-5326</v>
      </c>
      <c r="G8189" s="3">
        <v>541511</v>
      </c>
      <c r="H8189" s="3" t="s">
        <v>122</v>
      </c>
    </row>
    <row r="8190" spans="1:8" ht="26.25" x14ac:dyDescent="0.25">
      <c r="A8190" s="3" t="s">
        <v>23871</v>
      </c>
      <c r="B8190" s="3"/>
      <c r="C8190" s="3" t="str">
        <f>" "</f>
        <v xml:space="preserve"> </v>
      </c>
      <c r="D8190" s="3" t="s">
        <v>9</v>
      </c>
      <c r="E8190" s="3" t="s">
        <v>46</v>
      </c>
      <c r="F8190" s="3" t="str">
        <f>"219-877-1469"</f>
        <v>219-877-1469</v>
      </c>
      <c r="G8190" s="3">
        <v>622110</v>
      </c>
      <c r="H8190" s="3" t="s">
        <v>3335</v>
      </c>
    </row>
    <row r="8191" spans="1:8" ht="26.25" x14ac:dyDescent="0.25">
      <c r="A8191" s="3" t="s">
        <v>23872</v>
      </c>
      <c r="B8191" s="3"/>
      <c r="C8191" s="3" t="str">
        <f>"Public Health Not for profit"</f>
        <v>Public Health Not for profit</v>
      </c>
      <c r="D8191" s="3" t="s">
        <v>23873</v>
      </c>
      <c r="E8191" s="3" t="s">
        <v>23874</v>
      </c>
      <c r="F8191" s="3" t="str">
        <f>"574-232-4234"</f>
        <v>574-232-4234</v>
      </c>
      <c r="G8191" s="3">
        <v>923120</v>
      </c>
      <c r="H8191" s="3" t="s">
        <v>611</v>
      </c>
    </row>
    <row r="8192" spans="1:8" ht="102.75" x14ac:dyDescent="0.25">
      <c r="A8192" s="3" t="s">
        <v>23875</v>
      </c>
      <c r="B8192" s="3"/>
      <c r="C8192" s="3" t="s">
        <v>23876</v>
      </c>
      <c r="D8192" s="3" t="s">
        <v>9</v>
      </c>
      <c r="E8192" s="3" t="s">
        <v>23877</v>
      </c>
      <c r="F8192" s="3" t="str">
        <f>"812-268-0346"</f>
        <v>812-268-0346</v>
      </c>
      <c r="G8192" s="3">
        <v>441229</v>
      </c>
      <c r="H8192" s="3" t="s">
        <v>3721</v>
      </c>
    </row>
    <row r="8193" spans="1:8" ht="115.5" x14ac:dyDescent="0.25">
      <c r="A8193" s="3" t="s">
        <v>23878</v>
      </c>
      <c r="B8193" s="3"/>
      <c r="C8193" s="3" t="s">
        <v>23879</v>
      </c>
      <c r="D8193" s="3" t="s">
        <v>9</v>
      </c>
      <c r="E8193" s="3" t="s">
        <v>46</v>
      </c>
      <c r="F8193" s="3" t="str">
        <f>"812-692-5288"</f>
        <v>812-692-5288</v>
      </c>
      <c r="G8193" s="3">
        <v>441229</v>
      </c>
      <c r="H8193" s="3" t="s">
        <v>3721</v>
      </c>
    </row>
    <row r="8194" spans="1:8" ht="141" x14ac:dyDescent="0.25">
      <c r="A8194" s="3" t="s">
        <v>23880</v>
      </c>
      <c r="B8194" s="3"/>
      <c r="C8194" s="3" t="s">
        <v>23881</v>
      </c>
      <c r="D8194" s="3" t="s">
        <v>9</v>
      </c>
      <c r="E8194" s="3" t="s">
        <v>23882</v>
      </c>
      <c r="F8194" s="3" t="str">
        <f>"260-475-5511"</f>
        <v>260-475-5511</v>
      </c>
      <c r="G8194" s="3">
        <v>922160</v>
      </c>
      <c r="H8194" s="3" t="s">
        <v>2246</v>
      </c>
    </row>
    <row r="8195" spans="1:8" ht="141" x14ac:dyDescent="0.25">
      <c r="A8195" s="3" t="s">
        <v>23883</v>
      </c>
      <c r="B8195" s="3"/>
      <c r="C8195" s="3" t="s">
        <v>23884</v>
      </c>
      <c r="D8195" s="3" t="s">
        <v>9</v>
      </c>
      <c r="E8195" s="3" t="s">
        <v>23885</v>
      </c>
      <c r="F8195" s="3" t="str">
        <f>"812 883 3607"</f>
        <v>812 883 3607</v>
      </c>
      <c r="G8195" s="3">
        <v>444110</v>
      </c>
      <c r="H8195" s="3" t="s">
        <v>3072</v>
      </c>
    </row>
    <row r="8196" spans="1:8" ht="281.25" x14ac:dyDescent="0.25">
      <c r="A8196" s="3" t="s">
        <v>23886</v>
      </c>
      <c r="B8196" s="3"/>
      <c r="C8196" s="3" t="s">
        <v>23887</v>
      </c>
      <c r="D8196" s="3" t="s">
        <v>23888</v>
      </c>
      <c r="E8196" s="3" t="s">
        <v>23889</v>
      </c>
      <c r="F8196" s="3" t="str">
        <f>"317 578 8696"</f>
        <v>317 578 8696</v>
      </c>
      <c r="G8196" s="3">
        <v>44813</v>
      </c>
      <c r="H8196" s="3" t="s">
        <v>23890</v>
      </c>
    </row>
    <row r="8197" spans="1:8" ht="26.25" x14ac:dyDescent="0.25">
      <c r="A8197" s="3" t="s">
        <v>23891</v>
      </c>
      <c r="B8197" s="3"/>
      <c r="C8197" s="3" t="str">
        <f>"Tri-axle dump truck hauling stone, sand, gravel, etc."</f>
        <v>Tri-axle dump truck hauling stone, sand, gravel, etc.</v>
      </c>
      <c r="D8197" s="3" t="s">
        <v>9</v>
      </c>
      <c r="E8197" s="3" t="s">
        <v>23892</v>
      </c>
      <c r="F8197" s="3" t="str">
        <f>"260-693-6297"</f>
        <v>260-693-6297</v>
      </c>
      <c r="G8197" s="3">
        <v>4842</v>
      </c>
      <c r="H8197" s="3" t="s">
        <v>1884</v>
      </c>
    </row>
    <row r="8198" spans="1:8" ht="77.25" x14ac:dyDescent="0.25">
      <c r="A8198" s="3" t="s">
        <v>23893</v>
      </c>
      <c r="B8198" s="3"/>
      <c r="C8198" s="3" t="str">
        <f>"The company is formed for the principal purpose of Geographic consulting and services; including project planning, management, client liaison, geographic/geospatial analysis, and work related to geographic information systems."</f>
        <v>The company is formed for the principal purpose of Geographic consulting and services; including project planning, management, client liaison, geographic/geospatial analysis, and work related to geographic information systems.</v>
      </c>
      <c r="D8198" s="3" t="s">
        <v>9</v>
      </c>
      <c r="E8198" s="3" t="s">
        <v>23894</v>
      </c>
      <c r="F8198" s="2"/>
      <c r="G8198" s="3">
        <v>541370</v>
      </c>
      <c r="H8198" s="3" t="s">
        <v>160</v>
      </c>
    </row>
    <row r="8199" spans="1:8" ht="77.25" x14ac:dyDescent="0.25">
      <c r="A8199" s="3" t="s">
        <v>23895</v>
      </c>
      <c r="B8199" s="3"/>
      <c r="C8199" s="3" t="str">
        <f>"Group purchasing organization servicing long-term healthcare entities. Provides Dietary, Medical, Pharmacy, Therapy, Natural Gas, Office Supply, Consulting and other necessary services for long-term healthcare entities."</f>
        <v>Group purchasing organization servicing long-term healthcare entities. Provides Dietary, Medical, Pharmacy, Therapy, Natural Gas, Office Supply, Consulting and other necessary services for long-term healthcare entities.</v>
      </c>
      <c r="D8199" s="3" t="s">
        <v>23896</v>
      </c>
      <c r="E8199" s="3" t="s">
        <v>23897</v>
      </c>
      <c r="F8199" s="3" t="str">
        <f>"812-935-8100"</f>
        <v>812-935-8100</v>
      </c>
      <c r="G8199" s="3">
        <v>5416</v>
      </c>
      <c r="H8199" s="3" t="s">
        <v>194</v>
      </c>
    </row>
    <row r="8200" spans="1:8" ht="39" x14ac:dyDescent="0.25">
      <c r="A8200" s="3" t="s">
        <v>23898</v>
      </c>
      <c r="B8200" s="3"/>
      <c r="C8200" s="3" t="str">
        <f>"We are a small Italian Restaurant and catering service dedicated to great food at a great price."</f>
        <v>We are a small Italian Restaurant and catering service dedicated to great food at a great price.</v>
      </c>
      <c r="D8200" s="3" t="s">
        <v>9</v>
      </c>
      <c r="E8200" s="3" t="s">
        <v>23899</v>
      </c>
      <c r="F8200" s="3" t="str">
        <f>"317-546-3020"</f>
        <v>317-546-3020</v>
      </c>
      <c r="G8200" s="3">
        <v>722320</v>
      </c>
      <c r="H8200" s="3" t="s">
        <v>266</v>
      </c>
    </row>
    <row r="8201" spans="1:8" ht="51.75" x14ac:dyDescent="0.25">
      <c r="A8201" s="3" t="s">
        <v>23900</v>
      </c>
      <c r="B8201" s="3"/>
      <c r="C8201" s="3" t="str">
        <f>"Won Promotions provides specialty advertising products; screen printed apparel, embroidery, embellished pens, key fobs, magnets, tradshow bags, etc."</f>
        <v>Won Promotions provides specialty advertising products; screen printed apparel, embroidery, embellished pens, key fobs, magnets, tradshow bags, etc.</v>
      </c>
      <c r="D8201" s="3" t="s">
        <v>5592</v>
      </c>
      <c r="E8201" s="3" t="s">
        <v>23901</v>
      </c>
      <c r="F8201" s="3" t="str">
        <f>"317-300-4504"</f>
        <v>317-300-4504</v>
      </c>
      <c r="G8201" s="3">
        <v>541890</v>
      </c>
      <c r="H8201" s="3" t="s">
        <v>401</v>
      </c>
    </row>
    <row r="8202" spans="1:8" ht="90" x14ac:dyDescent="0.25">
      <c r="A8202" s="3" t="s">
        <v>23902</v>
      </c>
      <c r="B8202" s="3"/>
      <c r="C8202" s="3" t="str">
        <f>"Publisher of books related to consumer electronics, sports &amp; sports personalities and transportation/automotive topics; as well as the publisher of Photofact Repair Manuals. Sams also does custom publishing work for businesses and government agencies."</f>
        <v>Publisher of books related to consumer electronics, sports &amp; sports personalities and transportation/automotive topics; as well as the publisher of Photofact Repair Manuals. Sams also does custom publishing work for businesses and government agencies.</v>
      </c>
      <c r="D8202" s="3" t="s">
        <v>23903</v>
      </c>
      <c r="E8202" s="3" t="s">
        <v>23904</v>
      </c>
      <c r="F8202" s="3" t="str">
        <f>"8004287267"</f>
        <v>8004287267</v>
      </c>
      <c r="G8202" s="3">
        <v>511130</v>
      </c>
      <c r="H8202" s="3" t="s">
        <v>3146</v>
      </c>
    </row>
    <row r="8203" spans="1:8" ht="141" x14ac:dyDescent="0.25">
      <c r="A8203" s="3" t="s">
        <v>23905</v>
      </c>
      <c r="B8203" s="3"/>
      <c r="C8203" s="3" t="s">
        <v>23906</v>
      </c>
      <c r="D8203" s="3" t="s">
        <v>9</v>
      </c>
      <c r="E8203" s="3" t="s">
        <v>46</v>
      </c>
      <c r="F8203" s="3" t="str">
        <f>"317-248-9870"</f>
        <v>317-248-9870</v>
      </c>
      <c r="G8203" s="3">
        <v>484121</v>
      </c>
      <c r="H8203" s="3" t="s">
        <v>342</v>
      </c>
    </row>
    <row r="8204" spans="1:8" ht="26.25" x14ac:dyDescent="0.25">
      <c r="A8204" s="3" t="s">
        <v>23907</v>
      </c>
      <c r="B8204" s="3"/>
      <c r="C8204" s="3" t="str">
        <f>"Commercial HVAC/Refrigeration Mechanical Contractor"</f>
        <v>Commercial HVAC/Refrigeration Mechanical Contractor</v>
      </c>
      <c r="D8204" s="3" t="s">
        <v>23908</v>
      </c>
      <c r="E8204" s="3" t="s">
        <v>23909</v>
      </c>
      <c r="F8204" s="3" t="str">
        <f>"317-545-0968"</f>
        <v>317-545-0968</v>
      </c>
      <c r="G8204" s="3">
        <v>238290</v>
      </c>
      <c r="H8204" s="3" t="s">
        <v>237</v>
      </c>
    </row>
    <row r="8205" spans="1:8" ht="26.25" x14ac:dyDescent="0.25">
      <c r="A8205" s="3" t="s">
        <v>23910</v>
      </c>
      <c r="B8205" s="3"/>
      <c r="C8205" s="3" t="str">
        <f>"Governmental Affairs (State Lobbying) and Public Relations"</f>
        <v>Governmental Affairs (State Lobbying) and Public Relations</v>
      </c>
      <c r="D8205" s="3" t="s">
        <v>9</v>
      </c>
      <c r="E8205" s="3" t="s">
        <v>23911</v>
      </c>
      <c r="F8205" s="3" t="str">
        <f>"317-403-2339"</f>
        <v>317-403-2339</v>
      </c>
      <c r="G8205" s="3">
        <v>54182</v>
      </c>
      <c r="H8205" s="3" t="s">
        <v>795</v>
      </c>
    </row>
    <row r="8206" spans="1:8" ht="115.5" x14ac:dyDescent="0.25">
      <c r="A8206" s="3" t="s">
        <v>23912</v>
      </c>
      <c r="B8206" s="3"/>
      <c r="C8206" s="3" t="s">
        <v>23913</v>
      </c>
      <c r="D8206" s="3" t="s">
        <v>23914</v>
      </c>
      <c r="E8206" s="3" t="s">
        <v>23915</v>
      </c>
      <c r="F8206" s="3" t="str">
        <f>"2199387118"</f>
        <v>2199387118</v>
      </c>
      <c r="G8206" s="3">
        <v>511</v>
      </c>
      <c r="H8206" s="3" t="s">
        <v>13595</v>
      </c>
    </row>
    <row r="8207" spans="1:8" ht="26.25" x14ac:dyDescent="0.25">
      <c r="A8207" s="3" t="s">
        <v>23916</v>
      </c>
      <c r="B8207" s="3"/>
      <c r="C8207" s="3" t="str">
        <f>" "</f>
        <v xml:space="preserve"> </v>
      </c>
      <c r="D8207" s="3" t="s">
        <v>9</v>
      </c>
      <c r="E8207" s="3" t="s">
        <v>23917</v>
      </c>
      <c r="F8207" s="3" t="str">
        <f>"765-448-3330"</f>
        <v>765-448-3330</v>
      </c>
      <c r="G8207" s="3">
        <v>444190</v>
      </c>
      <c r="H8207" s="3" t="s">
        <v>1188</v>
      </c>
    </row>
    <row r="8208" spans="1:8" ht="128.25" x14ac:dyDescent="0.25">
      <c r="A8208" s="3" t="s">
        <v>23918</v>
      </c>
      <c r="B8208" s="3"/>
      <c r="C8208" s="3" t="s">
        <v>23919</v>
      </c>
      <c r="D8208" s="3" t="s">
        <v>23920</v>
      </c>
      <c r="E8208" s="3" t="s">
        <v>23921</v>
      </c>
      <c r="F8208" s="3" t="str">
        <f>"317-260-0628"</f>
        <v>317-260-0628</v>
      </c>
      <c r="G8208" s="3">
        <v>56173</v>
      </c>
      <c r="H8208" s="3" t="s">
        <v>65</v>
      </c>
    </row>
    <row r="8209" spans="1:8" ht="77.25" x14ac:dyDescent="0.25">
      <c r="A8209" s="3" t="s">
        <v>23922</v>
      </c>
      <c r="B8209" s="3"/>
      <c r="C8209" s="3" t="str">
        <f>"Safely providing local commercial and residential tri-axle dump truck services including hauling sand, gravel, topsoil, etc., working toward women owned business certification with the City of Indianapolis and State of Indiana"</f>
        <v>Safely providing local commercial and residential tri-axle dump truck services including hauling sand, gravel, topsoil, etc., working toward women owned business certification with the City of Indianapolis and State of Indiana</v>
      </c>
      <c r="D8209" s="3" t="s">
        <v>9</v>
      </c>
      <c r="E8209" s="3" t="s">
        <v>23923</v>
      </c>
      <c r="F8209" s="3" t="str">
        <f>"317-341-0528"</f>
        <v>317-341-0528</v>
      </c>
      <c r="G8209" s="3">
        <v>484220</v>
      </c>
      <c r="H8209" s="3" t="s">
        <v>11</v>
      </c>
    </row>
    <row r="8210" spans="1:8" ht="39" x14ac:dyDescent="0.25">
      <c r="A8210" s="3" t="s">
        <v>23924</v>
      </c>
      <c r="B8210" s="3"/>
      <c r="C8210" s="3" t="str">
        <f>"We provide drinking water and wastewater treatment plant operations as well as laboratory analysis of water samples."</f>
        <v>We provide drinking water and wastewater treatment plant operations as well as laboratory analysis of water samples.</v>
      </c>
      <c r="D8210" s="3" t="s">
        <v>23925</v>
      </c>
      <c r="E8210" s="3" t="s">
        <v>23926</v>
      </c>
      <c r="F8210" s="3" t="str">
        <f>"260-624-2401"</f>
        <v>260-624-2401</v>
      </c>
      <c r="G8210" s="3">
        <v>541380</v>
      </c>
      <c r="H8210" s="3" t="s">
        <v>226</v>
      </c>
    </row>
    <row r="8211" spans="1:8" ht="64.5" x14ac:dyDescent="0.25">
      <c r="A8211" s="3" t="s">
        <v>23927</v>
      </c>
      <c r="B8211" s="3"/>
      <c r="C8211" s="3" t="str">
        <f>"I take photographs of places, landscapes and things that grab my attention and remind me of ""vacations"" I take, that many others would enjoy as well. I also do people and pet sessions by appointment."</f>
        <v>I take photographs of places, landscapes and things that grab my attention and remind me of "vacations" I take, that many others would enjoy as well. I also do people and pet sessions by appointment.</v>
      </c>
      <c r="D8211" s="3" t="s">
        <v>23928</v>
      </c>
      <c r="E8211" s="3" t="s">
        <v>23929</v>
      </c>
      <c r="F8211" s="3" t="str">
        <f>"8122164480"</f>
        <v>8122164480</v>
      </c>
      <c r="G8211" s="3">
        <v>711510</v>
      </c>
      <c r="H8211" s="3" t="s">
        <v>1980</v>
      </c>
    </row>
    <row r="8212" spans="1:8" ht="115.5" x14ac:dyDescent="0.25">
      <c r="A8212" s="3" t="s">
        <v>23930</v>
      </c>
      <c r="B8212" s="3"/>
      <c r="C8212" s="3" t="s">
        <v>23931</v>
      </c>
      <c r="D8212" s="3" t="s">
        <v>9</v>
      </c>
      <c r="E8212" s="3" t="s">
        <v>23932</v>
      </c>
      <c r="F8212" s="3" t="str">
        <f>"812-402-4832"</f>
        <v>812-402-4832</v>
      </c>
      <c r="G8212" s="3">
        <v>23</v>
      </c>
      <c r="H8212" s="3" t="s">
        <v>133</v>
      </c>
    </row>
    <row r="8213" spans="1:8" ht="115.5" x14ac:dyDescent="0.25">
      <c r="A8213" s="3" t="s">
        <v>23933</v>
      </c>
      <c r="B8213" s="3"/>
      <c r="C8213" s="3" t="s">
        <v>23934</v>
      </c>
      <c r="D8213" s="3" t="s">
        <v>23935</v>
      </c>
      <c r="E8213" s="3" t="s">
        <v>23936</v>
      </c>
      <c r="F8213" s="3" t="str">
        <f>"3177236410"</f>
        <v>3177236410</v>
      </c>
      <c r="G8213" s="3">
        <v>561720</v>
      </c>
      <c r="H8213" s="3" t="s">
        <v>222</v>
      </c>
    </row>
    <row r="8214" spans="1:8" ht="77.25" x14ac:dyDescent="0.25">
      <c r="A8214" s="3" t="s">
        <v>23937</v>
      </c>
      <c r="B8214" s="3"/>
      <c r="C8214" s="3" t="str">
        <f>"Services provided: Installation, alteration, repair, upgrade, and add-ons of premises wiring, residential and commercial. Including but not limited to any associated raceway, devices, and/or outlets for temporary and permanent wiring systems."</f>
        <v>Services provided: Installation, alteration, repair, upgrade, and add-ons of premises wiring, residential and commercial. Including but not limited to any associated raceway, devices, and/or outlets for temporary and permanent wiring systems.</v>
      </c>
      <c r="D8214" s="3" t="s">
        <v>9</v>
      </c>
      <c r="E8214" s="3" t="s">
        <v>23938</v>
      </c>
      <c r="F8214" s="3" t="str">
        <f>"773-640-2352"</f>
        <v>773-640-2352</v>
      </c>
      <c r="G8214" s="3">
        <v>23531</v>
      </c>
      <c r="H8214" s="3" t="s">
        <v>306</v>
      </c>
    </row>
    <row r="8215" spans="1:8" x14ac:dyDescent="0.25">
      <c r="A8215" s="3" t="s">
        <v>23939</v>
      </c>
      <c r="B8215" s="3"/>
      <c r="C8215" s="2"/>
      <c r="D8215" s="3" t="s">
        <v>9</v>
      </c>
      <c r="E8215" s="3" t="s">
        <v>46</v>
      </c>
      <c r="F8215" s="2"/>
      <c r="G8215" s="3">
        <v>922160</v>
      </c>
      <c r="H8215" s="3" t="s">
        <v>2246</v>
      </c>
    </row>
    <row r="8216" spans="1:8" ht="39" x14ac:dyDescent="0.25">
      <c r="A8216" s="3" t="s">
        <v>23940</v>
      </c>
      <c r="B8216" s="3"/>
      <c r="C8216" s="3" t="str">
        <f>"We are an environmental consulting firm that specializes in clean water supply for both public and private sectors."</f>
        <v>We are an environmental consulting firm that specializes in clean water supply for both public and private sectors.</v>
      </c>
      <c r="D8216" s="3" t="s">
        <v>23941</v>
      </c>
      <c r="E8216" s="3" t="s">
        <v>23942</v>
      </c>
      <c r="F8216" s="2"/>
      <c r="G8216" s="3">
        <v>541620</v>
      </c>
      <c r="H8216" s="3" t="s">
        <v>216</v>
      </c>
    </row>
    <row r="8217" spans="1:8" ht="90" x14ac:dyDescent="0.25">
      <c r="A8217" s="3" t="s">
        <v>23943</v>
      </c>
      <c r="B8217" s="3"/>
      <c r="C8217" s="3" t="str">
        <f>"I provide curriculum and literacy-related services to Indiana residents and businesses. I am a certified English Language Arts, Gifted &amp;Talented, ESL, and Reading teacher in Indiana. In addition, I have an educational administrative license in Indiana."</f>
        <v>I provide curriculum and literacy-related services to Indiana residents and businesses. I am a certified English Language Arts, Gifted &amp;Talented, ESL, and Reading teacher in Indiana. In addition, I have an educational administrative license in Indiana.</v>
      </c>
      <c r="D8217" s="3" t="s">
        <v>9</v>
      </c>
      <c r="E8217" s="3" t="s">
        <v>46</v>
      </c>
      <c r="F8217" s="2"/>
      <c r="G8217" s="3">
        <v>611</v>
      </c>
      <c r="H8217" s="3" t="s">
        <v>140</v>
      </c>
    </row>
    <row r="8218" spans="1:8" ht="26.25" x14ac:dyDescent="0.25">
      <c r="A8218" s="3" t="s">
        <v>23944</v>
      </c>
      <c r="B8218" s="3"/>
      <c r="C8218" s="3" t="str">
        <f>" "</f>
        <v xml:space="preserve"> </v>
      </c>
      <c r="D8218" s="3" t="s">
        <v>23945</v>
      </c>
      <c r="E8218" s="3" t="s">
        <v>23946</v>
      </c>
      <c r="F8218" s="2"/>
      <c r="G8218" s="3">
        <v>541</v>
      </c>
      <c r="H8218" s="3" t="s">
        <v>179</v>
      </c>
    </row>
    <row r="8219" spans="1:8" ht="255.75" x14ac:dyDescent="0.25">
      <c r="A8219" s="3" t="s">
        <v>23947</v>
      </c>
      <c r="B8219" s="3"/>
      <c r="C8219" s="3" t="s">
        <v>23948</v>
      </c>
      <c r="D8219" s="3" t="s">
        <v>23949</v>
      </c>
      <c r="E8219" s="3" t="s">
        <v>23950</v>
      </c>
      <c r="F8219" s="3" t="str">
        <f>"3178469500"</f>
        <v>3178469500</v>
      </c>
      <c r="G8219" s="3">
        <v>5415</v>
      </c>
      <c r="H8219" s="3" t="s">
        <v>188</v>
      </c>
    </row>
    <row r="8220" spans="1:8" ht="243" x14ac:dyDescent="0.25">
      <c r="A8220" s="3" t="s">
        <v>23951</v>
      </c>
      <c r="B8220" s="3"/>
      <c r="C8220" s="3" t="s">
        <v>23952</v>
      </c>
      <c r="D8220" s="3" t="s">
        <v>23953</v>
      </c>
      <c r="E8220" s="3" t="s">
        <v>23954</v>
      </c>
      <c r="F8220" s="3" t="str">
        <f>"219-310-8435"</f>
        <v>219-310-8435</v>
      </c>
      <c r="G8220" s="3">
        <v>541720</v>
      </c>
      <c r="H8220" s="3" t="s">
        <v>1123</v>
      </c>
    </row>
    <row r="8221" spans="1:8" ht="332.25" x14ac:dyDescent="0.25">
      <c r="A8221" s="3" t="s">
        <v>23955</v>
      </c>
      <c r="B8221" s="3"/>
      <c r="C8221" s="3" t="s">
        <v>23956</v>
      </c>
      <c r="D8221" s="3" t="s">
        <v>9</v>
      </c>
      <c r="E8221" s="3" t="s">
        <v>46</v>
      </c>
      <c r="F8221" s="2"/>
      <c r="G8221" s="3">
        <v>541620</v>
      </c>
      <c r="H8221" s="3" t="s">
        <v>216</v>
      </c>
    </row>
    <row r="8222" spans="1:8" ht="51.75" x14ac:dyDescent="0.25">
      <c r="A8222" s="3" t="s">
        <v>23957</v>
      </c>
      <c r="B8222" s="3"/>
      <c r="C8222" s="3" t="str">
        <f>"Providing entertainment for large or small functions and obtaining show production needs including backline, sound, staging and lighting."</f>
        <v>Providing entertainment for large or small functions and obtaining show production needs including backline, sound, staging and lighting.</v>
      </c>
      <c r="D8222" s="3" t="s">
        <v>9</v>
      </c>
      <c r="E8222" s="3" t="s">
        <v>23958</v>
      </c>
      <c r="F8222" s="3" t="str">
        <f>"502-751-8880"</f>
        <v>502-751-8880</v>
      </c>
      <c r="G8222" s="3">
        <v>711510</v>
      </c>
      <c r="H8222" s="3" t="s">
        <v>1980</v>
      </c>
    </row>
    <row r="8223" spans="1:8" ht="77.25" x14ac:dyDescent="0.25">
      <c r="A8223" s="3" t="s">
        <v>23959</v>
      </c>
      <c r="B8223" s="3"/>
      <c r="C8223" s="3" t="str">
        <f>"Established in 1979, we are a full service, independent insurance agency writing all types of insurance including business insurance (including builders risks), home, auto, life and health insurance as well as bid and performance bonds."</f>
        <v>Established in 1979, we are a full service, independent insurance agency writing all types of insurance including business insurance (including builders risks), home, auto, life and health insurance as well as bid and performance bonds.</v>
      </c>
      <c r="D8223" s="3" t="s">
        <v>23960</v>
      </c>
      <c r="E8223" s="3" t="s">
        <v>23961</v>
      </c>
      <c r="F8223" s="3" t="str">
        <f>"3175433133"</f>
        <v>3175433133</v>
      </c>
      <c r="G8223" s="3">
        <v>52421</v>
      </c>
      <c r="H8223" s="3" t="s">
        <v>1183</v>
      </c>
    </row>
    <row r="8224" spans="1:8" ht="102.75" x14ac:dyDescent="0.25">
      <c r="A8224" s="3" t="s">
        <v>23962</v>
      </c>
      <c r="B8224" s="3"/>
      <c r="C8224" s="3" t="s">
        <v>23963</v>
      </c>
      <c r="D8224" s="3" t="s">
        <v>23964</v>
      </c>
      <c r="E8224" s="3" t="s">
        <v>23965</v>
      </c>
      <c r="F8224" s="3" t="str">
        <f>"3177761399"</f>
        <v>3177761399</v>
      </c>
      <c r="G8224" s="3">
        <v>488510</v>
      </c>
      <c r="H8224" s="3" t="s">
        <v>562</v>
      </c>
    </row>
    <row r="8225" spans="1:8" ht="26.25" x14ac:dyDescent="0.25">
      <c r="A8225" s="3" t="s">
        <v>23966</v>
      </c>
      <c r="B8225" s="3"/>
      <c r="C8225" s="3" t="str">
        <f>" "</f>
        <v xml:space="preserve"> </v>
      </c>
      <c r="D8225" s="3" t="s">
        <v>9</v>
      </c>
      <c r="E8225" s="3" t="s">
        <v>23967</v>
      </c>
      <c r="F8225" s="3" t="str">
        <f>"317-541-9014"</f>
        <v>317-541-9014</v>
      </c>
      <c r="G8225" s="3">
        <v>238220</v>
      </c>
      <c r="H8225" s="3" t="s">
        <v>348</v>
      </c>
    </row>
    <row r="8226" spans="1:8" ht="153.75" x14ac:dyDescent="0.25">
      <c r="A8226" s="3" t="s">
        <v>23968</v>
      </c>
      <c r="B8226" s="3"/>
      <c r="C8226" s="3" t="s">
        <v>23969</v>
      </c>
      <c r="D8226" s="3" t="s">
        <v>9</v>
      </c>
      <c r="E8226" s="3" t="s">
        <v>46</v>
      </c>
      <c r="F8226" s="3" t="str">
        <f>"574-269-1596"</f>
        <v>574-269-1596</v>
      </c>
      <c r="G8226" s="3">
        <v>541310</v>
      </c>
      <c r="H8226" s="3" t="s">
        <v>446</v>
      </c>
    </row>
    <row r="8227" spans="1:8" ht="51.75" x14ac:dyDescent="0.25">
      <c r="A8227" s="3" t="s">
        <v>23970</v>
      </c>
      <c r="B8227" s="3"/>
      <c r="C8227" s="3" t="str">
        <f>"servicing magazine subscriptions for schools, colleges/universities, public libraries and governmental agencies throughout the U.S."</f>
        <v>servicing magazine subscriptions for schools, colleges/universities, public libraries and governmental agencies throughout the U.S.</v>
      </c>
      <c r="D8227" s="3" t="s">
        <v>23971</v>
      </c>
      <c r="E8227" s="3" t="s">
        <v>23972</v>
      </c>
      <c r="F8227" s="3" t="str">
        <f>"812-466-1258"</f>
        <v>812-466-1258</v>
      </c>
      <c r="G8227" s="3">
        <v>424920</v>
      </c>
      <c r="H8227" s="3" t="s">
        <v>13245</v>
      </c>
    </row>
    <row r="8228" spans="1:8" ht="128.25" x14ac:dyDescent="0.25">
      <c r="A8228" s="3" t="s">
        <v>23973</v>
      </c>
      <c r="B8228" s="3"/>
      <c r="C8228" s="3" t="s">
        <v>23974</v>
      </c>
      <c r="D8228" s="3" t="s">
        <v>9</v>
      </c>
      <c r="E8228" s="3" t="s">
        <v>23975</v>
      </c>
      <c r="F8228" s="3" t="str">
        <f>"260-637-4545"</f>
        <v>260-637-4545</v>
      </c>
      <c r="G8228" s="3">
        <v>23593</v>
      </c>
      <c r="H8228" s="3" t="s">
        <v>71</v>
      </c>
    </row>
    <row r="8229" spans="1:8" ht="141" x14ac:dyDescent="0.25">
      <c r="A8229" s="3" t="s">
        <v>23976</v>
      </c>
      <c r="B8229" s="3"/>
      <c r="C8229" s="3" t="s">
        <v>23977</v>
      </c>
      <c r="D8229" s="3" t="s">
        <v>23978</v>
      </c>
      <c r="E8229" s="3" t="s">
        <v>23979</v>
      </c>
      <c r="F8229" s="3" t="str">
        <f>"317-251-3424"</f>
        <v>317-251-3424</v>
      </c>
      <c r="G8229" s="3">
        <v>541613</v>
      </c>
      <c r="H8229" s="3" t="s">
        <v>558</v>
      </c>
    </row>
    <row r="8230" spans="1:8" ht="39" x14ac:dyDescent="0.25">
      <c r="A8230" s="3" t="s">
        <v>23980</v>
      </c>
      <c r="B8230" s="3"/>
      <c r="C8230" s="3" t="str">
        <f>"Oaklandon Lawn &amp; Garden is a small family owned &amp; operated business. We offer Sales and Service of Outdoor Power Equipment."</f>
        <v>Oaklandon Lawn &amp; Garden is a small family owned &amp; operated business. We offer Sales and Service of Outdoor Power Equipment.</v>
      </c>
      <c r="D8230" s="3" t="s">
        <v>9</v>
      </c>
      <c r="E8230" s="3" t="s">
        <v>46</v>
      </c>
      <c r="F8230" s="3" t="str">
        <f>"317-823-0088"</f>
        <v>317-823-0088</v>
      </c>
      <c r="G8230" s="3">
        <v>444210</v>
      </c>
      <c r="H8230" s="3" t="s">
        <v>392</v>
      </c>
    </row>
    <row r="8231" spans="1:8" ht="39" x14ac:dyDescent="0.25">
      <c r="A8231" s="3" t="s">
        <v>23981</v>
      </c>
      <c r="B8231" s="3"/>
      <c r="C8231" s="3" t="str">
        <f>"Sod Farm selling Bluegrass, Turf Type Tall Fescue, and Meyer Zoysiagrass. Also selling 40 by 48 4-way pallets."</f>
        <v>Sod Farm selling Bluegrass, Turf Type Tall Fescue, and Meyer Zoysiagrass. Also selling 40 by 48 4-way pallets.</v>
      </c>
      <c r="D8231" s="3" t="s">
        <v>9</v>
      </c>
      <c r="E8231" s="3" t="s">
        <v>46</v>
      </c>
      <c r="F8231" s="3" t="str">
        <f>"812-882-4640"</f>
        <v>812-882-4640</v>
      </c>
      <c r="G8231" s="3">
        <v>1114</v>
      </c>
      <c r="H8231" s="3" t="s">
        <v>3283</v>
      </c>
    </row>
    <row r="8232" spans="1:8" ht="77.25" x14ac:dyDescent="0.25">
      <c r="A8232" s="3" t="s">
        <v>23982</v>
      </c>
      <c r="B8232" s="3"/>
      <c r="C8232" s="3" t="str">
        <f>"Publishing: print, web, video. Fulfilment. Promotional, training, infomercial, vocational dvd / video production. Website design and management. Social media services. Photography. Internet broadcast and publishing."</f>
        <v>Publishing: print, web, video. Fulfilment. Promotional, training, infomercial, vocational dvd / video production. Website design and management. Social media services. Photography. Internet broadcast and publishing.</v>
      </c>
      <c r="D8232" s="3" t="s">
        <v>23983</v>
      </c>
      <c r="E8232" s="3" t="s">
        <v>23984</v>
      </c>
      <c r="F8232" s="3" t="str">
        <f>"2608972697"</f>
        <v>2608972697</v>
      </c>
      <c r="G8232" s="3">
        <v>511110</v>
      </c>
      <c r="H8232" s="3" t="s">
        <v>8225</v>
      </c>
    </row>
    <row r="8233" spans="1:8" ht="39" x14ac:dyDescent="0.25">
      <c r="A8233" s="3" t="s">
        <v>23985</v>
      </c>
      <c r="B8233" s="3"/>
      <c r="C8233" s="3" t="str">
        <f>"We fabricate structural steel for new and existing buildings such as churches, schools, single and multi story units."</f>
        <v>We fabricate structural steel for new and existing buildings such as churches, schools, single and multi story units.</v>
      </c>
      <c r="D8233" s="3" t="s">
        <v>9</v>
      </c>
      <c r="E8233" s="3" t="s">
        <v>46</v>
      </c>
      <c r="F8233" s="3" t="str">
        <f>"219.865.1700"</f>
        <v>219.865.1700</v>
      </c>
      <c r="G8233" s="3">
        <v>332312</v>
      </c>
      <c r="H8233" s="3" t="s">
        <v>2180</v>
      </c>
    </row>
    <row r="8234" spans="1:8" ht="115.5" x14ac:dyDescent="0.25">
      <c r="A8234" s="3" t="s">
        <v>23986</v>
      </c>
      <c r="B8234" s="3"/>
      <c r="C8234" s="3" t="s">
        <v>23987</v>
      </c>
      <c r="D8234" s="3" t="s">
        <v>23988</v>
      </c>
      <c r="E8234" s="3" t="s">
        <v>23989</v>
      </c>
      <c r="F8234" s="3" t="str">
        <f>"317-987-2043"</f>
        <v>317-987-2043</v>
      </c>
      <c r="G8234" s="3">
        <v>561730</v>
      </c>
      <c r="H8234" s="3" t="s">
        <v>65</v>
      </c>
    </row>
    <row r="8235" spans="1:8" ht="64.5" x14ac:dyDescent="0.25">
      <c r="A8235" s="3" t="s">
        <v>23990</v>
      </c>
      <c r="B8235" s="3"/>
      <c r="C8235" s="3" t="str">
        <f>"Work Base consists of Jigs &amp; Fixtures; Precision Machine Parts; Special Machinery; Tool &amp; Die Components; 4 and 5-Axis Machining; Heat Treating; Wire EDM; Mastercam; Production Machining."</f>
        <v>Work Base consists of Jigs &amp; Fixtures; Precision Machine Parts; Special Machinery; Tool &amp; Die Components; 4 and 5-Axis Machining; Heat Treating; Wire EDM; Mastercam; Production Machining.</v>
      </c>
      <c r="D8235" s="3" t="s">
        <v>23991</v>
      </c>
      <c r="E8235" s="3" t="s">
        <v>23992</v>
      </c>
      <c r="F8235" s="3" t="str">
        <f>"812-835-2043"</f>
        <v>812-835-2043</v>
      </c>
      <c r="G8235" s="3">
        <v>33</v>
      </c>
      <c r="H8235" s="3" t="s">
        <v>999</v>
      </c>
    </row>
    <row r="8236" spans="1:8" ht="39" x14ac:dyDescent="0.25">
      <c r="A8236" s="3" t="s">
        <v>23993</v>
      </c>
      <c r="B8236" s="3"/>
      <c r="C8236" s="3" t="str">
        <f>"Multidisciplinary engineering firm providing site/civil, transportation, and architectural services."</f>
        <v>Multidisciplinary engineering firm providing site/civil, transportation, and architectural services.</v>
      </c>
      <c r="D8236" s="3" t="s">
        <v>23994</v>
      </c>
      <c r="E8236" s="3" t="s">
        <v>23995</v>
      </c>
      <c r="F8236" s="3" t="str">
        <f>"8125770662"</f>
        <v>8125770662</v>
      </c>
      <c r="G8236" s="3">
        <v>541330</v>
      </c>
      <c r="H8236" s="3" t="s">
        <v>82</v>
      </c>
    </row>
    <row r="8237" spans="1:8" ht="64.5" x14ac:dyDescent="0.25">
      <c r="A8237" s="3" t="s">
        <v>23996</v>
      </c>
      <c r="B8237" s="3"/>
      <c r="C8237" s="3" t="str">
        <f>"architecture, engineering, technology design, strategic planning, community consensus building, construction management, interior design, landscape architecture, and urban planning"</f>
        <v>architecture, engineering, technology design, strategic planning, community consensus building, construction management, interior design, landscape architecture, and urban planning</v>
      </c>
      <c r="D8237" s="3" t="s">
        <v>23997</v>
      </c>
      <c r="E8237" s="3" t="s">
        <v>23998</v>
      </c>
      <c r="F8237" s="3" t="str">
        <f>"317-263-6226"</f>
        <v>317-263-6226</v>
      </c>
      <c r="G8237" s="3">
        <v>541310</v>
      </c>
      <c r="H8237" s="3" t="s">
        <v>446</v>
      </c>
    </row>
    <row r="8238" spans="1:8" ht="90" x14ac:dyDescent="0.25">
      <c r="A8238" s="3" t="s">
        <v>23999</v>
      </c>
      <c r="B8238" s="3"/>
      <c r="C8238" s="3" t="str">
        <f>"Schmidt Cabinet Co Inc provides wood kitchen cabinets, office furniture, bathroom cabinets, file cabinets, bookcases, wall units, entertainment centers, hutch cabinets, end tables, dressers, solid surface and laminate countertops, and design services"</f>
        <v>Schmidt Cabinet Co Inc provides wood kitchen cabinets, office furniture, bathroom cabinets, file cabinets, bookcases, wall units, entertainment centers, hutch cabinets, end tables, dressers, solid surface and laminate countertops, and design services</v>
      </c>
      <c r="D8238" s="3" t="s">
        <v>9</v>
      </c>
      <c r="E8238" s="3" t="s">
        <v>24000</v>
      </c>
      <c r="F8238" s="3" t="str">
        <f>"812-347-2434"</f>
        <v>812-347-2434</v>
      </c>
      <c r="G8238" s="3">
        <v>337110</v>
      </c>
      <c r="H8238" s="3" t="s">
        <v>6044</v>
      </c>
    </row>
    <row r="8239" spans="1:8" ht="102.75" x14ac:dyDescent="0.25">
      <c r="A8239" s="3" t="s">
        <v>24001</v>
      </c>
      <c r="B8239" s="3"/>
      <c r="C8239" s="3" t="s">
        <v>24002</v>
      </c>
      <c r="D8239" s="3" t="s">
        <v>24003</v>
      </c>
      <c r="E8239" s="3" t="s">
        <v>24004</v>
      </c>
      <c r="F8239" s="3" t="str">
        <f>"260-484-0313"</f>
        <v>260-484-0313</v>
      </c>
      <c r="G8239" s="3">
        <v>238210</v>
      </c>
      <c r="H8239" s="3" t="s">
        <v>306</v>
      </c>
    </row>
    <row r="8240" spans="1:8" ht="26.25" x14ac:dyDescent="0.25">
      <c r="A8240" s="3" t="s">
        <v>24005</v>
      </c>
      <c r="B8240" s="3"/>
      <c r="C8240" s="3" t="str">
        <f>"We are a Hearing Aid Provider with a lot of free benefits"</f>
        <v>We are a Hearing Aid Provider with a lot of free benefits</v>
      </c>
      <c r="D8240" s="3" t="s">
        <v>9</v>
      </c>
      <c r="E8240" s="3" t="s">
        <v>24006</v>
      </c>
      <c r="F8240" s="3" t="str">
        <f>"765-478-4765"</f>
        <v>765-478-4765</v>
      </c>
      <c r="G8240" s="3">
        <v>4461</v>
      </c>
      <c r="H8240" s="3" t="s">
        <v>1202</v>
      </c>
    </row>
    <row r="8241" spans="1:8" ht="51.75" x14ac:dyDescent="0.25">
      <c r="A8241" s="3" t="s">
        <v>24007</v>
      </c>
      <c r="B8241" s="3"/>
      <c r="C8241" s="3" t="str">
        <f>"HVAC, commercial refrigeration, ice machines, labratory equipment, environmental chambers, ULT's, commercial kitchen equipment"</f>
        <v>HVAC, commercial refrigeration, ice machines, labratory equipment, environmental chambers, ULT's, commercial kitchen equipment</v>
      </c>
      <c r="D8241" s="3" t="s">
        <v>24008</v>
      </c>
      <c r="E8241" s="3" t="s">
        <v>24009</v>
      </c>
      <c r="F8241" s="3" t="str">
        <f>"8124245878"</f>
        <v>8124245878</v>
      </c>
      <c r="G8241" s="3">
        <v>238220</v>
      </c>
      <c r="H8241" s="3" t="s">
        <v>348</v>
      </c>
    </row>
    <row r="8242" spans="1:8" ht="51.75" x14ac:dyDescent="0.25">
      <c r="A8242" s="3" t="s">
        <v>24010</v>
      </c>
      <c r="B8242" s="3"/>
      <c r="C8242" s="3" t="str">
        <f>"Independent WBE dealer that provides office supplies, office furniture (and installation), office machines, business printing, promotional products"</f>
        <v>Independent WBE dealer that provides office supplies, office furniture (and installation), office machines, business printing, promotional products</v>
      </c>
      <c r="D8242" s="3" t="s">
        <v>24011</v>
      </c>
      <c r="E8242" s="3" t="s">
        <v>24012</v>
      </c>
      <c r="F8242" s="3" t="str">
        <f>"317-403-8454"</f>
        <v>317-403-8454</v>
      </c>
      <c r="G8242" s="3">
        <v>424120</v>
      </c>
      <c r="H8242" s="3" t="s">
        <v>411</v>
      </c>
    </row>
    <row r="8243" spans="1:8" ht="26.25" x14ac:dyDescent="0.25">
      <c r="A8243" s="3" t="s">
        <v>24013</v>
      </c>
      <c r="B8243" s="3"/>
      <c r="C8243" s="3" t="str">
        <f>"Electrical contracting and Custom Electronics sales and service."</f>
        <v>Electrical contracting and Custom Electronics sales and service.</v>
      </c>
      <c r="D8243" s="3" t="s">
        <v>24014</v>
      </c>
      <c r="E8243" s="3" t="s">
        <v>24015</v>
      </c>
      <c r="F8243" s="3" t="str">
        <f>"812-838-0125"</f>
        <v>812-838-0125</v>
      </c>
      <c r="G8243" s="3">
        <v>238210</v>
      </c>
      <c r="H8243" s="3" t="s">
        <v>306</v>
      </c>
    </row>
    <row r="8244" spans="1:8" ht="217.5" x14ac:dyDescent="0.25">
      <c r="A8244" s="3" t="s">
        <v>24016</v>
      </c>
      <c r="B8244" s="3"/>
      <c r="C8244" s="3" t="s">
        <v>24017</v>
      </c>
      <c r="D8244" s="3" t="s">
        <v>24018</v>
      </c>
      <c r="E8244" s="3" t="s">
        <v>24019</v>
      </c>
      <c r="F8244" s="3" t="str">
        <f>"317-826-7100"</f>
        <v>317-826-7100</v>
      </c>
      <c r="G8244" s="3">
        <v>541330</v>
      </c>
      <c r="H8244" s="3" t="s">
        <v>82</v>
      </c>
    </row>
    <row r="8245" spans="1:8" ht="77.25" x14ac:dyDescent="0.25">
      <c r="A8245" s="3" t="s">
        <v>24020</v>
      </c>
      <c r="B8245" s="3"/>
      <c r="C8245" s="3" t="str">
        <f>"We are a full truck load carrier. we service all 48 states and canada, and mexico. We have about 25 terminals across North America. We are North America's largest full load truck carrier. Our drivers drive over 3million miles combine each day."</f>
        <v>We are a full truck load carrier. we service all 48 states and canada, and mexico. We have about 25 terminals across North America. We are North America's largest full load truck carrier. Our drivers drive over 3million miles combine each day.</v>
      </c>
      <c r="D8245" s="3" t="s">
        <v>24021</v>
      </c>
      <c r="E8245" s="3" t="s">
        <v>46</v>
      </c>
      <c r="F8245" s="3" t="str">
        <f>"18004477433"</f>
        <v>18004477433</v>
      </c>
      <c r="G8245" s="3">
        <v>484121</v>
      </c>
      <c r="H8245" s="3" t="s">
        <v>342</v>
      </c>
    </row>
    <row r="8246" spans="1:8" ht="26.25" x14ac:dyDescent="0.25">
      <c r="A8246" s="3" t="s">
        <v>24022</v>
      </c>
      <c r="B8246" s="3"/>
      <c r="C8246" s="3" t="str">
        <f>"Trucking, Long-Distance, Truckload"</f>
        <v>Trucking, Long-Distance, Truckload</v>
      </c>
      <c r="D8246" s="3" t="s">
        <v>9</v>
      </c>
      <c r="E8246" s="3" t="s">
        <v>24023</v>
      </c>
      <c r="F8246" s="3" t="str">
        <f>"219-944-4026"</f>
        <v>219-944-4026</v>
      </c>
      <c r="G8246" s="3">
        <v>484121</v>
      </c>
      <c r="H8246" s="3" t="s">
        <v>342</v>
      </c>
    </row>
    <row r="8247" spans="1:8" ht="64.5" x14ac:dyDescent="0.25">
      <c r="A8247" s="3" t="s">
        <v>24024</v>
      </c>
      <c r="B8247" s="3"/>
      <c r="C8247" s="3" t="str">
        <f>"Industrial, Commercial, Municipalities, Residential. Historic Restorations. Painting &amp; Remodeling. . Serving Indiana for over 25 years. Quality Work by Skilled Craftsmen. Professional People...Professional Results..."</f>
        <v>Industrial, Commercial, Municipalities, Residential. Historic Restorations. Painting &amp; Remodeling. . Serving Indiana for over 25 years. Quality Work by Skilled Craftsmen. Professional People...Professional Results...</v>
      </c>
      <c r="D8247" s="3" t="s">
        <v>24025</v>
      </c>
      <c r="E8247" s="3" t="s">
        <v>24026</v>
      </c>
      <c r="F8247" s="3" t="str">
        <f>"5749365857"</f>
        <v>5749365857</v>
      </c>
      <c r="G8247" s="3">
        <v>238320</v>
      </c>
      <c r="H8247" s="3" t="s">
        <v>462</v>
      </c>
    </row>
    <row r="8248" spans="1:8" ht="90" x14ac:dyDescent="0.25">
      <c r="A8248" s="3" t="s">
        <v>24027</v>
      </c>
      <c r="B8248" s="3"/>
      <c r="C8248" s="3" t="s">
        <v>24028</v>
      </c>
      <c r="D8248" s="3" t="s">
        <v>24029</v>
      </c>
      <c r="E8248" s="3" t="s">
        <v>24030</v>
      </c>
      <c r="F8248" s="3" t="str">
        <f>"260.704.1223"</f>
        <v>260.704.1223</v>
      </c>
      <c r="G8248" s="3">
        <v>611710</v>
      </c>
      <c r="H8248" s="3" t="s">
        <v>508</v>
      </c>
    </row>
    <row r="8249" spans="1:8" ht="166.5" x14ac:dyDescent="0.25">
      <c r="A8249" s="3" t="s">
        <v>24031</v>
      </c>
      <c r="B8249" s="3"/>
      <c r="C8249" s="3" t="s">
        <v>24032</v>
      </c>
      <c r="D8249" s="3" t="s">
        <v>24033</v>
      </c>
      <c r="E8249" s="3" t="s">
        <v>24034</v>
      </c>
      <c r="F8249" s="3" t="str">
        <f>"574-271-8584"</f>
        <v>574-271-8584</v>
      </c>
      <c r="G8249" s="3">
        <v>424920</v>
      </c>
      <c r="H8249" s="3" t="s">
        <v>13245</v>
      </c>
    </row>
    <row r="8250" spans="1:8" ht="153.75" x14ac:dyDescent="0.25">
      <c r="A8250" s="3" t="s">
        <v>24035</v>
      </c>
      <c r="B8250" s="3"/>
      <c r="C8250" s="3" t="s">
        <v>24036</v>
      </c>
      <c r="D8250" s="3" t="s">
        <v>24037</v>
      </c>
      <c r="E8250" s="3" t="s">
        <v>24038</v>
      </c>
      <c r="F8250" s="3" t="str">
        <f>"260-244-7606"</f>
        <v>260-244-7606</v>
      </c>
      <c r="G8250" s="3">
        <v>561990</v>
      </c>
      <c r="H8250" s="3" t="s">
        <v>219</v>
      </c>
    </row>
    <row r="8251" spans="1:8" ht="26.25" x14ac:dyDescent="0.25">
      <c r="A8251" s="3" t="s">
        <v>24039</v>
      </c>
      <c r="B8251" s="3"/>
      <c r="C8251" s="3" t="str">
        <f>"Automotive Repair"</f>
        <v>Automotive Repair</v>
      </c>
      <c r="D8251" s="3" t="s">
        <v>9</v>
      </c>
      <c r="E8251" s="3" t="s">
        <v>24040</v>
      </c>
      <c r="F8251" s="3" t="str">
        <f>"317-357-8726"</f>
        <v>317-357-8726</v>
      </c>
      <c r="G8251" s="3">
        <v>811113</v>
      </c>
      <c r="H8251" s="3" t="s">
        <v>4727</v>
      </c>
    </row>
    <row r="8252" spans="1:8" ht="26.25" x14ac:dyDescent="0.25">
      <c r="A8252" s="3" t="s">
        <v>24041</v>
      </c>
      <c r="B8252" s="3"/>
      <c r="C8252" s="3" t="str">
        <f>"AWARDS"</f>
        <v>AWARDS</v>
      </c>
      <c r="D8252" s="3" t="s">
        <v>9</v>
      </c>
      <c r="E8252" s="3" t="s">
        <v>24042</v>
      </c>
      <c r="F8252" s="3" t="str">
        <f>"765-474-0002"</f>
        <v>765-474-0002</v>
      </c>
      <c r="G8252" s="3">
        <v>339911</v>
      </c>
      <c r="H8252" s="3" t="s">
        <v>24043</v>
      </c>
    </row>
    <row r="8253" spans="1:8" ht="26.25" x14ac:dyDescent="0.25">
      <c r="A8253" s="3" t="s">
        <v>24044</v>
      </c>
      <c r="B8253" s="3"/>
      <c r="C8253" s="3" t="str">
        <f>"Schwartz Construction does construction on both residential and commercial buildings."</f>
        <v>Schwartz Construction does construction on both residential and commercial buildings.</v>
      </c>
      <c r="D8253" s="3" t="s">
        <v>9</v>
      </c>
      <c r="E8253" s="3" t="s">
        <v>46</v>
      </c>
      <c r="F8253" s="3" t="str">
        <f>"260-768-3234"</f>
        <v>260-768-3234</v>
      </c>
      <c r="G8253" s="3">
        <v>23611</v>
      </c>
      <c r="H8253" s="3" t="s">
        <v>3466</v>
      </c>
    </row>
    <row r="8254" spans="1:8" ht="51.75" x14ac:dyDescent="0.25">
      <c r="A8254" s="3" t="s">
        <v>24045</v>
      </c>
      <c r="B8254" s="3"/>
      <c r="C8254" s="3" t="str">
        <f>"We restore rotted wood windows. We are an alternatives to window replacement. Complete restoration of all types of wood windows"</f>
        <v>We restore rotted wood windows. We are an alternatives to window replacement. Complete restoration of all types of wood windows</v>
      </c>
      <c r="D8254" s="3" t="s">
        <v>24046</v>
      </c>
      <c r="E8254" s="3" t="s">
        <v>24047</v>
      </c>
      <c r="F8254" s="3" t="str">
        <f>"317-577-1822"</f>
        <v>317-577-1822</v>
      </c>
      <c r="G8254" s="3">
        <v>23819</v>
      </c>
      <c r="H8254" s="3" t="s">
        <v>1072</v>
      </c>
    </row>
    <row r="8255" spans="1:8" ht="166.5" x14ac:dyDescent="0.25">
      <c r="A8255" s="3" t="s">
        <v>24048</v>
      </c>
      <c r="B8255" s="3"/>
      <c r="C8255" s="3" t="s">
        <v>24049</v>
      </c>
      <c r="D8255" s="3" t="s">
        <v>24050</v>
      </c>
      <c r="E8255" s="3" t="s">
        <v>24051</v>
      </c>
      <c r="F8255" s="3" t="str">
        <f>"765-420-0813"</f>
        <v>765-420-0813</v>
      </c>
      <c r="G8255" s="3">
        <v>44131</v>
      </c>
      <c r="H8255" s="3" t="s">
        <v>1699</v>
      </c>
    </row>
    <row r="8256" spans="1:8" ht="115.5" x14ac:dyDescent="0.25">
      <c r="A8256" s="3" t="s">
        <v>24052</v>
      </c>
      <c r="B8256" s="3"/>
      <c r="C8256" s="3" t="s">
        <v>24053</v>
      </c>
      <c r="D8256" s="3" t="s">
        <v>24054</v>
      </c>
      <c r="E8256" s="3" t="s">
        <v>24055</v>
      </c>
      <c r="F8256" s="3" t="str">
        <f>"812-422-6094"</f>
        <v>812-422-6094</v>
      </c>
      <c r="G8256" s="3">
        <v>32311</v>
      </c>
      <c r="H8256" s="3" t="s">
        <v>531</v>
      </c>
    </row>
    <row r="8257" spans="1:8" ht="153.75" x14ac:dyDescent="0.25">
      <c r="A8257" s="3" t="s">
        <v>24056</v>
      </c>
      <c r="B8257" s="3"/>
      <c r="C8257" s="3" t="s">
        <v>24057</v>
      </c>
      <c r="D8257" s="3" t="s">
        <v>24058</v>
      </c>
      <c r="E8257" s="3" t="s">
        <v>24059</v>
      </c>
      <c r="F8257" s="3" t="str">
        <f>"812-863-3204"</f>
        <v>812-863-3204</v>
      </c>
      <c r="G8257" s="3">
        <v>54133</v>
      </c>
      <c r="H8257" s="3" t="s">
        <v>82</v>
      </c>
    </row>
    <row r="8258" spans="1:8" ht="115.5" x14ac:dyDescent="0.25">
      <c r="A8258" s="3" t="s">
        <v>24060</v>
      </c>
      <c r="B8258" s="3"/>
      <c r="C8258" s="3" t="s">
        <v>24061</v>
      </c>
      <c r="D8258" s="3" t="s">
        <v>24062</v>
      </c>
      <c r="E8258" s="3" t="s">
        <v>24063</v>
      </c>
      <c r="F8258" s="3" t="str">
        <f>"574.277.4078"</f>
        <v>574.277.4078</v>
      </c>
      <c r="G8258" s="3">
        <v>5417</v>
      </c>
      <c r="H8258" s="3" t="s">
        <v>101</v>
      </c>
    </row>
    <row r="8259" spans="1:8" ht="64.5" x14ac:dyDescent="0.25">
      <c r="A8259" s="3" t="s">
        <v>24064</v>
      </c>
      <c r="B8259" s="3"/>
      <c r="C8259" s="3" t="str">
        <f>"We help professionals present and communicate their ideas. The company facilitates workshops, presentations and conducts individual training to give them these skills."</f>
        <v>We help professionals present and communicate their ideas. The company facilitates workshops, presentations and conducts individual training to give them these skills.</v>
      </c>
      <c r="D8259" s="3" t="s">
        <v>24065</v>
      </c>
      <c r="E8259" s="3" t="s">
        <v>24066</v>
      </c>
      <c r="F8259" s="3" t="str">
        <f>"317-459-2156"</f>
        <v>317-459-2156</v>
      </c>
      <c r="G8259" s="3">
        <v>611430</v>
      </c>
      <c r="H8259" s="3" t="s">
        <v>1224</v>
      </c>
    </row>
    <row r="8260" spans="1:8" ht="166.5" x14ac:dyDescent="0.25">
      <c r="A8260" s="3" t="s">
        <v>24067</v>
      </c>
      <c r="B8260" s="3"/>
      <c r="C8260" s="3" t="s">
        <v>24068</v>
      </c>
      <c r="D8260" s="3" t="s">
        <v>24069</v>
      </c>
      <c r="E8260" s="3" t="s">
        <v>24070</v>
      </c>
      <c r="F8260" s="3" t="str">
        <f>"765-966-6893"</f>
        <v>765-966-6893</v>
      </c>
      <c r="G8260" s="3">
        <v>337110</v>
      </c>
      <c r="H8260" s="3" t="s">
        <v>6044</v>
      </c>
    </row>
    <row r="8261" spans="1:8" ht="77.25" x14ac:dyDescent="0.25">
      <c r="A8261" s="3" t="s">
        <v>24071</v>
      </c>
      <c r="B8261" s="3"/>
      <c r="C8261" s="3" t="str">
        <f>"Scofield Editorial provides production services, including videotaping, editorial, animation (2D and 3D), DVD authoring, and duplication. We have been in business since 1982 and have a long list of commercial, corporate, and web clients."</f>
        <v>Scofield Editorial provides production services, including videotaping, editorial, animation (2D and 3D), DVD authoring, and duplication. We have been in business since 1982 and have a long list of commercial, corporate, and web clients.</v>
      </c>
      <c r="D8261" s="3" t="s">
        <v>24072</v>
      </c>
      <c r="E8261" s="3" t="s">
        <v>24073</v>
      </c>
      <c r="F8261" s="3" t="str">
        <f>"317-466-2066"</f>
        <v>317-466-2066</v>
      </c>
      <c r="G8261" s="3">
        <v>541990</v>
      </c>
      <c r="H8261" s="3" t="s">
        <v>378</v>
      </c>
    </row>
    <row r="8262" spans="1:8" ht="64.5" x14ac:dyDescent="0.25">
      <c r="A8262" s="3" t="s">
        <v>24074</v>
      </c>
      <c r="B8262" s="3"/>
      <c r="C8262" s="3" t="str">
        <f>"Manufactures and distributes a sprayed on polyurethane coating that is applied to truck beds or marine applications. Applied with simple, inexpensive equipment. Product is tough and UV stable."</f>
        <v>Manufactures and distributes a sprayed on polyurethane coating that is applied to truck beds or marine applications. Applied with simple, inexpensive equipment. Product is tough and UV stable.</v>
      </c>
      <c r="D8262" s="3" t="s">
        <v>24075</v>
      </c>
      <c r="E8262" s="3" t="s">
        <v>24076</v>
      </c>
      <c r="F8262" s="3" t="str">
        <f>"765 653-1736"</f>
        <v>765 653-1736</v>
      </c>
      <c r="G8262" s="3">
        <v>811198</v>
      </c>
      <c r="H8262" s="3" t="s">
        <v>2171</v>
      </c>
    </row>
    <row r="8263" spans="1:8" ht="26.25" x14ac:dyDescent="0.25">
      <c r="A8263" s="3" t="s">
        <v>24077</v>
      </c>
      <c r="B8263" s="3"/>
      <c r="C8263" s="3" t="str">
        <f>" "</f>
        <v xml:space="preserve"> </v>
      </c>
      <c r="D8263" s="3" t="s">
        <v>24078</v>
      </c>
      <c r="E8263" s="3" t="s">
        <v>46</v>
      </c>
      <c r="F8263" s="3" t="str">
        <f>"502-267-4080"</f>
        <v>502-267-4080</v>
      </c>
      <c r="G8263" s="3">
        <v>532420</v>
      </c>
      <c r="H8263" s="3" t="s">
        <v>5166</v>
      </c>
    </row>
    <row r="8264" spans="1:8" ht="26.25" x14ac:dyDescent="0.25">
      <c r="A8264" s="3" t="s">
        <v>24079</v>
      </c>
      <c r="B8264" s="3"/>
      <c r="C8264" s="3" t="str">
        <f>"Economic development in a small rural community."</f>
        <v>Economic development in a small rural community.</v>
      </c>
      <c r="D8264" s="3" t="s">
        <v>24080</v>
      </c>
      <c r="E8264" s="3" t="s">
        <v>24081</v>
      </c>
      <c r="F8264" s="3" t="str">
        <f>"8127527268"</f>
        <v>8127527268</v>
      </c>
      <c r="G8264" s="3">
        <v>928120</v>
      </c>
      <c r="H8264" s="3" t="s">
        <v>19698</v>
      </c>
    </row>
    <row r="8265" spans="1:8" ht="26.25" x14ac:dyDescent="0.25">
      <c r="A8265" s="3" t="s">
        <v>24082</v>
      </c>
      <c r="B8265" s="3"/>
      <c r="C8265" s="3" t="str">
        <f>"Lease office buildings to government entities"</f>
        <v>Lease office buildings to government entities</v>
      </c>
      <c r="D8265" s="3" t="s">
        <v>9</v>
      </c>
      <c r="E8265" s="3" t="s">
        <v>19545</v>
      </c>
      <c r="F8265" s="3" t="str">
        <f>"812 883-6602"</f>
        <v>812 883-6602</v>
      </c>
      <c r="G8265" s="3">
        <v>531120</v>
      </c>
      <c r="H8265" s="3" t="s">
        <v>2926</v>
      </c>
    </row>
    <row r="8266" spans="1:8" x14ac:dyDescent="0.25">
      <c r="A8266" s="3" t="s">
        <v>24083</v>
      </c>
      <c r="B8266" s="3"/>
      <c r="C8266" s="3" t="str">
        <f>" "</f>
        <v xml:space="preserve"> </v>
      </c>
      <c r="D8266" s="3" t="s">
        <v>9</v>
      </c>
      <c r="E8266" s="3" t="s">
        <v>46</v>
      </c>
      <c r="F8266" s="2"/>
      <c r="G8266" s="3">
        <v>622110</v>
      </c>
      <c r="H8266" s="3" t="s">
        <v>3335</v>
      </c>
    </row>
    <row r="8267" spans="1:8" ht="26.25" x14ac:dyDescent="0.25">
      <c r="A8267" s="3" t="s">
        <v>24084</v>
      </c>
      <c r="B8267" s="3"/>
      <c r="C8267" s="3" t="str">
        <f>"Contract Transportation Service into, out of, and through the state of Indiana"</f>
        <v>Contract Transportation Service into, out of, and through the state of Indiana</v>
      </c>
      <c r="D8267" s="3" t="s">
        <v>24085</v>
      </c>
      <c r="E8267" s="3" t="s">
        <v>24086</v>
      </c>
      <c r="F8267" s="3" t="str">
        <f>"317-535-9499"</f>
        <v>317-535-9499</v>
      </c>
      <c r="G8267" s="3">
        <v>48</v>
      </c>
      <c r="H8267" s="3" t="s">
        <v>104</v>
      </c>
    </row>
    <row r="8268" spans="1:8" ht="26.25" x14ac:dyDescent="0.25">
      <c r="A8268" s="3" t="s">
        <v>24087</v>
      </c>
      <c r="B8268" s="3"/>
      <c r="C8268" s="3" t="str">
        <f>"One Stop Hardware Store"</f>
        <v>One Stop Hardware Store</v>
      </c>
      <c r="D8268" s="3" t="s">
        <v>9</v>
      </c>
      <c r="E8268" s="3" t="s">
        <v>46</v>
      </c>
      <c r="F8268" s="3" t="str">
        <f>"812-752-2991"</f>
        <v>812-752-2991</v>
      </c>
      <c r="G8268" s="3">
        <v>444130</v>
      </c>
      <c r="H8268" s="3" t="s">
        <v>2597</v>
      </c>
    </row>
    <row r="8269" spans="1:8" ht="192" x14ac:dyDescent="0.25">
      <c r="A8269" s="3" t="s">
        <v>24088</v>
      </c>
      <c r="B8269" s="3"/>
      <c r="C8269" s="3" t="s">
        <v>24089</v>
      </c>
      <c r="D8269" s="3" t="s">
        <v>24090</v>
      </c>
      <c r="E8269" s="3" t="s">
        <v>24091</v>
      </c>
      <c r="F8269" s="3" t="str">
        <f>"317-596-7830"</f>
        <v>317-596-7830</v>
      </c>
      <c r="G8269" s="3">
        <v>561730</v>
      </c>
      <c r="H8269" s="3" t="s">
        <v>65</v>
      </c>
    </row>
    <row r="8270" spans="1:8" ht="51.75" x14ac:dyDescent="0.25">
      <c r="A8270" s="3" t="s">
        <v>24092</v>
      </c>
      <c r="B8270" s="3"/>
      <c r="C8270" s="3" t="str">
        <f>"Scottsburg Winnelson Co. is a wholesale distributor of plumbing, HVAC, and custom cabinets/countertops to contractors and retail walk-in business."</f>
        <v>Scottsburg Winnelson Co. is a wholesale distributor of plumbing, HVAC, and custom cabinets/countertops to contractors and retail walk-in business.</v>
      </c>
      <c r="D8270" s="3" t="s">
        <v>24093</v>
      </c>
      <c r="E8270" s="3" t="s">
        <v>46</v>
      </c>
      <c r="F8270" s="3" t="str">
        <f>"812-752-1199"</f>
        <v>812-752-1199</v>
      </c>
      <c r="G8270" s="3">
        <v>423720</v>
      </c>
      <c r="H8270" s="3" t="s">
        <v>2695</v>
      </c>
    </row>
    <row r="8271" spans="1:8" ht="39" x14ac:dyDescent="0.25">
      <c r="A8271" s="3" t="s">
        <v>24094</v>
      </c>
      <c r="B8271" s="3"/>
      <c r="C8271" s="3" t="str">
        <f>"Residential, and Commercial Trash Collection, Roll-off Container Services, and Portable Restroom Service"</f>
        <v>Residential, and Commercial Trash Collection, Roll-off Container Services, and Portable Restroom Service</v>
      </c>
      <c r="D8271" s="3" t="s">
        <v>24095</v>
      </c>
      <c r="E8271" s="3" t="s">
        <v>24096</v>
      </c>
      <c r="F8271" s="3" t="str">
        <f>"812-967-2711"</f>
        <v>812-967-2711</v>
      </c>
      <c r="G8271" s="3">
        <v>56211</v>
      </c>
      <c r="H8271" s="3" t="s">
        <v>501</v>
      </c>
    </row>
    <row r="8272" spans="1:8" ht="64.5" x14ac:dyDescent="0.25">
      <c r="A8272" s="3" t="s">
        <v>24097</v>
      </c>
      <c r="B8272" s="3"/>
      <c r="C8272" s="3" t="str">
        <f>"Scout Enterprises, LLC is a veteran owned business focused on supplying repair parts, equipment, and supplies for the construction, industrial, agriculture, and governmental markets."</f>
        <v>Scout Enterprises, LLC is a veteran owned business focused on supplying repair parts, equipment, and supplies for the construction, industrial, agriculture, and governmental markets.</v>
      </c>
      <c r="D8272" s="3" t="s">
        <v>9</v>
      </c>
      <c r="E8272" s="3" t="s">
        <v>24098</v>
      </c>
      <c r="F8272" s="3" t="str">
        <f>"317-874-6468"</f>
        <v>317-874-6468</v>
      </c>
      <c r="G8272" s="3">
        <v>441229</v>
      </c>
      <c r="H8272" s="3" t="s">
        <v>3721</v>
      </c>
    </row>
    <row r="8273" spans="1:8" ht="306.75" x14ac:dyDescent="0.25">
      <c r="A8273" s="3" t="s">
        <v>24099</v>
      </c>
      <c r="B8273" s="3"/>
      <c r="C8273" s="3" t="s">
        <v>24100</v>
      </c>
      <c r="D8273" s="3" t="s">
        <v>24101</v>
      </c>
      <c r="E8273" s="3" t="s">
        <v>24102</v>
      </c>
      <c r="F8273" s="3" t="str">
        <f>"1.866.484.0611"</f>
        <v>1.866.484.0611</v>
      </c>
      <c r="G8273" s="3">
        <v>323119</v>
      </c>
      <c r="H8273" s="3" t="s">
        <v>6229</v>
      </c>
    </row>
    <row r="8274" spans="1:8" ht="39" x14ac:dyDescent="0.25">
      <c r="A8274" s="3" t="s">
        <v>24103</v>
      </c>
      <c r="B8274" s="3"/>
      <c r="C8274" s="3" t="str">
        <f>"Provides Photo ID, Scanning, and Custom solutions for capturing and storing photos, images and documents."</f>
        <v>Provides Photo ID, Scanning, and Custom solutions for capturing and storing photos, images and documents.</v>
      </c>
      <c r="D8274" s="3" t="s">
        <v>24101</v>
      </c>
      <c r="E8274" s="3" t="s">
        <v>24102</v>
      </c>
      <c r="F8274" s="3" t="str">
        <f>"260-484-0611"</f>
        <v>260-484-0611</v>
      </c>
      <c r="G8274" s="3">
        <v>323115</v>
      </c>
      <c r="H8274" s="3" t="s">
        <v>5281</v>
      </c>
    </row>
    <row r="8275" spans="1:8" ht="179.25" x14ac:dyDescent="0.25">
      <c r="A8275" s="3" t="s">
        <v>24104</v>
      </c>
      <c r="B8275" s="3"/>
      <c r="C8275" s="3" t="s">
        <v>24105</v>
      </c>
      <c r="D8275" s="3" t="s">
        <v>9</v>
      </c>
      <c r="E8275" s="3" t="s">
        <v>24106</v>
      </c>
      <c r="F8275" s="3" t="str">
        <f>"(317) 570-4919"</f>
        <v>(317) 570-4919</v>
      </c>
      <c r="G8275" s="3">
        <v>562910</v>
      </c>
      <c r="H8275" s="3" t="s">
        <v>2278</v>
      </c>
    </row>
    <row r="8276" spans="1:8" ht="141" x14ac:dyDescent="0.25">
      <c r="A8276" s="3" t="s">
        <v>24107</v>
      </c>
      <c r="B8276" s="3"/>
      <c r="C8276" s="3" t="s">
        <v>24108</v>
      </c>
      <c r="D8276" s="3" t="s">
        <v>24109</v>
      </c>
      <c r="E8276" s="3" t="s">
        <v>24110</v>
      </c>
      <c r="F8276" s="3" t="str">
        <f>"765-705-4048"</f>
        <v>765-705-4048</v>
      </c>
      <c r="G8276" s="3">
        <v>237310</v>
      </c>
      <c r="H8276" s="3" t="s">
        <v>768</v>
      </c>
    </row>
    <row r="8277" spans="1:8" ht="64.5" x14ac:dyDescent="0.25">
      <c r="A8277" s="3" t="s">
        <v>24111</v>
      </c>
      <c r="B8277" s="3"/>
      <c r="C8277" s="3" t="str">
        <f>"Seals Ambulance Service provides emergency and non-emergency medical transportation. Our services include paramedic, EMT, Critical Care, Bariatric and event stand-by."</f>
        <v>Seals Ambulance Service provides emergency and non-emergency medical transportation. Our services include paramedic, EMT, Critical Care, Bariatric and event stand-by.</v>
      </c>
      <c r="D8277" s="3" t="s">
        <v>24112</v>
      </c>
      <c r="E8277" s="3" t="s">
        <v>24113</v>
      </c>
      <c r="F8277" s="3" t="str">
        <f>"(317)541-1200"</f>
        <v>(317)541-1200</v>
      </c>
      <c r="G8277" s="3">
        <v>62191</v>
      </c>
      <c r="H8277" s="3" t="s">
        <v>18321</v>
      </c>
    </row>
    <row r="8278" spans="1:8" ht="26.25" x14ac:dyDescent="0.25">
      <c r="A8278" s="3" t="s">
        <v>24114</v>
      </c>
      <c r="B8278" s="3"/>
      <c r="C8278" s="3" t="str">
        <f>"Sell and service business telephone systems and data networks."</f>
        <v>Sell and service business telephone systems and data networks.</v>
      </c>
      <c r="D8278" s="3" t="s">
        <v>24115</v>
      </c>
      <c r="E8278" s="3" t="s">
        <v>24116</v>
      </c>
      <c r="F8278" s="3" t="str">
        <f>"1-800-234-0001"</f>
        <v>1-800-234-0001</v>
      </c>
      <c r="G8278" s="3">
        <v>3342</v>
      </c>
      <c r="H8278" s="3" t="s">
        <v>4205</v>
      </c>
    </row>
    <row r="8279" spans="1:8" ht="51.75" x14ac:dyDescent="0.25">
      <c r="A8279" s="3" t="s">
        <v>24117</v>
      </c>
      <c r="B8279" s="3"/>
      <c r="C8279" s="3" t="str">
        <f>"public relations, communications, management consultant, speech writing, crisis management, media training, grass root campaigns"</f>
        <v>public relations, communications, management consultant, speech writing, crisis management, media training, grass root campaigns</v>
      </c>
      <c r="D8279" s="3" t="s">
        <v>24118</v>
      </c>
      <c r="E8279" s="3" t="s">
        <v>24119</v>
      </c>
      <c r="F8279" s="3" t="str">
        <f>"1-317-634-1171"</f>
        <v>1-317-634-1171</v>
      </c>
      <c r="G8279" s="3">
        <v>5416</v>
      </c>
      <c r="H8279" s="3" t="s">
        <v>194</v>
      </c>
    </row>
    <row r="8280" spans="1:8" ht="51.75" x14ac:dyDescent="0.25">
      <c r="A8280" s="3" t="s">
        <v>24120</v>
      </c>
      <c r="B8280" s="3"/>
      <c r="C8280" s="3" t="str">
        <f>"Seasonal Design, Inc is a full scale lawnservice and landscaping company that serves commercial and residential clients. We also do snow removal.."</f>
        <v>Seasonal Design, Inc is a full scale lawnservice and landscaping company that serves commercial and residential clients. We also do snow removal..</v>
      </c>
      <c r="D8280" s="3" t="s">
        <v>9</v>
      </c>
      <c r="E8280" s="3" t="s">
        <v>24121</v>
      </c>
      <c r="F8280" s="3" t="str">
        <f>"317-873-3196"</f>
        <v>317-873-3196</v>
      </c>
      <c r="G8280" s="3">
        <v>561730</v>
      </c>
      <c r="H8280" s="3" t="s">
        <v>65</v>
      </c>
    </row>
    <row r="8281" spans="1:8" ht="51.75" x14ac:dyDescent="0.25">
      <c r="A8281" s="3" t="s">
        <v>24122</v>
      </c>
      <c r="B8281" s="3"/>
      <c r="C8281" s="3" t="str">
        <f>"Providing professional architectural design services. Licensed to practice architecture in 23 states. Please see our website for markets and services."</f>
        <v>Providing professional architectural design services. Licensed to practice architecture in 23 states. Please see our website for markets and services.</v>
      </c>
      <c r="D8281" s="3" t="s">
        <v>24123</v>
      </c>
      <c r="E8281" s="3" t="s">
        <v>24124</v>
      </c>
      <c r="F8281" s="3" t="str">
        <f>"317-272-7800"</f>
        <v>317-272-7800</v>
      </c>
      <c r="G8281" s="3">
        <v>541310</v>
      </c>
      <c r="H8281" s="3" t="s">
        <v>446</v>
      </c>
    </row>
    <row r="8282" spans="1:8" ht="51.75" x14ac:dyDescent="0.25">
      <c r="A8282" s="3" t="s">
        <v>24125</v>
      </c>
      <c r="B8282" s="3"/>
      <c r="C8282" s="3" t="str">
        <f>"We are your one stop shop for Virtualization, MIcrosoft Technologies, Storage, VoIP Soluations. We are ""Where Your Business and Technology Connect""."</f>
        <v>We are your one stop shop for Virtualization, MIcrosoft Technologies, Storage, VoIP Soluations. We are "Where Your Business and Technology Connect".</v>
      </c>
      <c r="D8282" s="3" t="s">
        <v>24126</v>
      </c>
      <c r="E8282" s="3" t="s">
        <v>24127</v>
      </c>
      <c r="F8282" s="3" t="str">
        <f>"(317) 808-4949"</f>
        <v>(317) 808-4949</v>
      </c>
      <c r="G8282" s="3">
        <v>54151</v>
      </c>
      <c r="H8282" s="3" t="s">
        <v>188</v>
      </c>
    </row>
    <row r="8283" spans="1:8" ht="230.25" x14ac:dyDescent="0.25">
      <c r="A8283" s="3" t="s">
        <v>24128</v>
      </c>
      <c r="B8283" s="3"/>
      <c r="C8283" s="3" t="s">
        <v>24129</v>
      </c>
      <c r="D8283" s="3" t="s">
        <v>9</v>
      </c>
      <c r="E8283" s="3" t="s">
        <v>24130</v>
      </c>
      <c r="F8283" s="3" t="str">
        <f>"765-828-2578"</f>
        <v>765-828-2578</v>
      </c>
      <c r="G8283" s="3">
        <v>238210</v>
      </c>
      <c r="H8283" s="3" t="s">
        <v>306</v>
      </c>
    </row>
    <row r="8284" spans="1:8" ht="64.5" x14ac:dyDescent="0.25">
      <c r="A8284" s="3" t="s">
        <v>24131</v>
      </c>
      <c r="B8284" s="3"/>
      <c r="C8284" s="3" t="str">
        <f>"Second Harvest is a member of America's Second Harvest, the nation's food bank network. We solicit food donations to distribute to pantries and meal programs for hunger relief in east central Indiana."</f>
        <v>Second Harvest is a member of America's Second Harvest, the nation's food bank network. We solicit food donations to distribute to pantries and meal programs for hunger relief in east central Indiana.</v>
      </c>
      <c r="D8284" s="3" t="s">
        <v>24132</v>
      </c>
      <c r="E8284" s="3" t="s">
        <v>24133</v>
      </c>
      <c r="F8284" s="3" t="str">
        <f>"765-649-0292"</f>
        <v>765-649-0292</v>
      </c>
      <c r="G8284" s="3">
        <v>624210</v>
      </c>
      <c r="H8284" s="3" t="s">
        <v>2017</v>
      </c>
    </row>
    <row r="8285" spans="1:8" ht="77.25" x14ac:dyDescent="0.25">
      <c r="A8285" s="3" t="s">
        <v>24134</v>
      </c>
      <c r="B8285" s="3"/>
      <c r="C8285" s="3" t="str">
        <f>"Specializing in security solutions including x-ray screening, metal detection, trace detection for explosives, chemical and biological agents, and narcotics; bullet resistant equipment, portable buildings, access control, and defensive barriers."</f>
        <v>Specializing in security solutions including x-ray screening, metal detection, trace detection for explosives, chemical and biological agents, and narcotics; bullet resistant equipment, portable buildings, access control, and defensive barriers.</v>
      </c>
      <c r="D8285" s="3" t="s">
        <v>24135</v>
      </c>
      <c r="E8285" s="3" t="s">
        <v>24136</v>
      </c>
      <c r="F8285" s="3" t="str">
        <f>"219-661-8964"</f>
        <v>219-661-8964</v>
      </c>
      <c r="G8285" s="3">
        <v>423610</v>
      </c>
      <c r="H8285" s="3" t="s">
        <v>2414</v>
      </c>
    </row>
    <row r="8286" spans="1:8" ht="39" x14ac:dyDescent="0.25">
      <c r="A8286" s="3" t="s">
        <v>24137</v>
      </c>
      <c r="B8286" s="3"/>
      <c r="C8286" s="3" t="str">
        <f>"Uniformed security guarding and mobile patrol services as well as remote monitoring and security systems integration"</f>
        <v>Uniformed security guarding and mobile patrol services as well as remote monitoring and security systems integration</v>
      </c>
      <c r="D8286" s="3" t="s">
        <v>24138</v>
      </c>
      <c r="E8286" s="3" t="s">
        <v>24139</v>
      </c>
      <c r="F8286" s="3" t="str">
        <f>"317-568-1790"</f>
        <v>317-568-1790</v>
      </c>
      <c r="G8286" s="3">
        <v>561612</v>
      </c>
      <c r="H8286" s="3" t="s">
        <v>362</v>
      </c>
    </row>
    <row r="8287" spans="1:8" ht="128.25" x14ac:dyDescent="0.25">
      <c r="A8287" s="3" t="s">
        <v>24140</v>
      </c>
      <c r="B8287" s="3"/>
      <c r="C8287" s="3" t="s">
        <v>24141</v>
      </c>
      <c r="D8287" s="3" t="s">
        <v>24142</v>
      </c>
      <c r="E8287" s="3" t="s">
        <v>24143</v>
      </c>
      <c r="F8287" s="3" t="str">
        <f>"317-489-9621"</f>
        <v>317-489-9621</v>
      </c>
      <c r="G8287" s="3">
        <v>561621</v>
      </c>
      <c r="H8287" s="3" t="s">
        <v>827</v>
      </c>
    </row>
    <row r="8288" spans="1:8" ht="77.25" x14ac:dyDescent="0.25">
      <c r="A8288" s="3" t="s">
        <v>24144</v>
      </c>
      <c r="B8288" s="3"/>
      <c r="C8288" s="3" t="str">
        <f>"We make security boxes primarily for the offender population. They have the combination lock embedded in the molding to alleviate the growing problem of offenders using regular combination locks as weapons when used in socks."</f>
        <v>We make security boxes primarily for the offender population. They have the combination lock embedded in the molding to alleviate the growing problem of offenders using regular combination locks as weapons when used in socks.</v>
      </c>
      <c r="D8288" s="3" t="s">
        <v>9</v>
      </c>
      <c r="E8288" s="3" t="s">
        <v>24145</v>
      </c>
      <c r="F8288" s="3" t="str">
        <f>"765-432-4830"</f>
        <v>765-432-4830</v>
      </c>
      <c r="G8288" s="3">
        <v>337215</v>
      </c>
      <c r="H8288" s="3" t="s">
        <v>24146</v>
      </c>
    </row>
    <row r="8289" spans="1:8" ht="39" x14ac:dyDescent="0.25">
      <c r="A8289" s="3" t="s">
        <v>24147</v>
      </c>
      <c r="B8289" s="3"/>
      <c r="C8289" s="3" t="str">
        <f>"Installation and service of commercial and Industrial fence, doors, and access controls."</f>
        <v>Installation and service of commercial and Industrial fence, doors, and access controls.</v>
      </c>
      <c r="D8289" s="3" t="s">
        <v>9</v>
      </c>
      <c r="E8289" s="3" t="s">
        <v>24148</v>
      </c>
      <c r="F8289" s="3" t="str">
        <f>"219-942-9447"</f>
        <v>219-942-9447</v>
      </c>
      <c r="G8289" s="3">
        <v>238990</v>
      </c>
      <c r="H8289" s="3" t="s">
        <v>481</v>
      </c>
    </row>
    <row r="8290" spans="1:8" ht="64.5" x14ac:dyDescent="0.25">
      <c r="A8290" s="3" t="s">
        <v>24149</v>
      </c>
      <c r="B8290" s="3"/>
      <c r="C8290" s="3" t="str">
        <f>"Security Labs is a manufacturer of professional video security equipment. Security labs has someone on call Mon-Fri 7 A.M.– 9 P.M. as well as Saturday 10 A.M-4 P.M ."</f>
        <v>Security Labs is a manufacturer of professional video security equipment. Security labs has someone on call Mon-Fri 7 A.M.– 9 P.M. as well as Saturday 10 A.M-4 P.M .</v>
      </c>
      <c r="D8290" s="3" t="s">
        <v>24150</v>
      </c>
      <c r="E8290" s="3" t="s">
        <v>24151</v>
      </c>
      <c r="F8290" s="3" t="str">
        <f>"800-774-0284"</f>
        <v>800-774-0284</v>
      </c>
      <c r="G8290" s="3">
        <v>334310</v>
      </c>
      <c r="H8290" s="3" t="s">
        <v>2776</v>
      </c>
    </row>
    <row r="8291" spans="1:8" ht="39" x14ac:dyDescent="0.25">
      <c r="A8291" s="3" t="s">
        <v>24152</v>
      </c>
      <c r="B8291" s="3"/>
      <c r="C8291" s="3" t="str">
        <f>"Security Systems - CCTV, Alarms, Access Control, Monitoring. In business for over 22 years."</f>
        <v>Security Systems - CCTV, Alarms, Access Control, Monitoring. In business for over 22 years.</v>
      </c>
      <c r="D8291" s="3" t="s">
        <v>24153</v>
      </c>
      <c r="E8291" s="3" t="s">
        <v>24154</v>
      </c>
      <c r="F8291" s="3" t="str">
        <f>"3178567440"</f>
        <v>3178567440</v>
      </c>
      <c r="G8291" s="3">
        <v>561621</v>
      </c>
      <c r="H8291" s="3" t="s">
        <v>827</v>
      </c>
    </row>
    <row r="8292" spans="1:8" ht="26.25" x14ac:dyDescent="0.25">
      <c r="A8292" s="3" t="s">
        <v>24155</v>
      </c>
      <c r="B8292" s="3"/>
      <c r="C8292" s="3" t="str">
        <f>"Security guard and patrol service. Court appointed Process Servers."</f>
        <v>Security guard and patrol service. Court appointed Process Servers.</v>
      </c>
      <c r="D8292" s="3" t="s">
        <v>24156</v>
      </c>
      <c r="E8292" s="3" t="s">
        <v>24157</v>
      </c>
      <c r="F8292" s="3" t="str">
        <f>"260-458-8200"</f>
        <v>260-458-8200</v>
      </c>
      <c r="G8292" s="3">
        <v>541990</v>
      </c>
      <c r="H8292" s="3" t="s">
        <v>378</v>
      </c>
    </row>
    <row r="8293" spans="1:8" ht="243" x14ac:dyDescent="0.25">
      <c r="A8293" s="3" t="s">
        <v>24158</v>
      </c>
      <c r="B8293" s="3"/>
      <c r="C8293" s="3" t="s">
        <v>24159</v>
      </c>
      <c r="D8293" s="3" t="s">
        <v>24160</v>
      </c>
      <c r="E8293" s="3" t="s">
        <v>46</v>
      </c>
      <c r="F8293" s="3" t="str">
        <f>"(800) 844-6591"</f>
        <v>(800) 844-6591</v>
      </c>
      <c r="G8293" s="3">
        <v>517</v>
      </c>
      <c r="H8293" s="3" t="s">
        <v>682</v>
      </c>
    </row>
    <row r="8294" spans="1:8" ht="26.25" x14ac:dyDescent="0.25">
      <c r="A8294" s="3" t="s">
        <v>24161</v>
      </c>
      <c r="B8294" s="3"/>
      <c r="C8294" s="3" t="str">
        <f>"we are a asphalt paving, site utility and site excavation contractor"</f>
        <v>we are a asphalt paving, site utility and site excavation contractor</v>
      </c>
      <c r="D8294" s="3" t="s">
        <v>9</v>
      </c>
      <c r="E8294" s="3" t="s">
        <v>24162</v>
      </c>
      <c r="F8294" s="3" t="str">
        <f>"812-866-5607"</f>
        <v>812-866-5607</v>
      </c>
      <c r="G8294" s="3">
        <v>2213</v>
      </c>
      <c r="H8294" s="3" t="s">
        <v>2486</v>
      </c>
    </row>
    <row r="8295" spans="1:8" ht="102.75" x14ac:dyDescent="0.25">
      <c r="A8295" s="3" t="s">
        <v>24163</v>
      </c>
      <c r="B8295" s="3"/>
      <c r="C8295" s="3" t="s">
        <v>24164</v>
      </c>
      <c r="D8295" s="3" t="s">
        <v>9</v>
      </c>
      <c r="E8295" s="3" t="s">
        <v>24165</v>
      </c>
      <c r="F8295" s="3" t="str">
        <f>"317-679-7758"</f>
        <v>317-679-7758</v>
      </c>
      <c r="G8295" s="3">
        <v>541340</v>
      </c>
      <c r="H8295" s="3" t="s">
        <v>4040</v>
      </c>
    </row>
    <row r="8296" spans="1:8" ht="51.75" x14ac:dyDescent="0.25">
      <c r="A8296" s="3" t="s">
        <v>24166</v>
      </c>
      <c r="B8296" s="3"/>
      <c r="C8296" s="3" t="str">
        <f>"We are a Indiana based independent office supply and furniture dealer. We have 13 years of background and already do business with numerous state agencies."</f>
        <v>We are a Indiana based independent office supply and furniture dealer. We have 13 years of background and already do business with numerous state agencies.</v>
      </c>
      <c r="D8296" s="3" t="s">
        <v>9</v>
      </c>
      <c r="E8296" s="3" t="s">
        <v>24167</v>
      </c>
      <c r="F8296" s="3" t="str">
        <f>"260-969-4999"</f>
        <v>260-969-4999</v>
      </c>
      <c r="G8296" s="3">
        <v>453210</v>
      </c>
      <c r="H8296" s="3" t="s">
        <v>431</v>
      </c>
    </row>
    <row r="8297" spans="1:8" ht="217.5" x14ac:dyDescent="0.25">
      <c r="A8297" s="3" t="s">
        <v>24168</v>
      </c>
      <c r="B8297" s="3"/>
      <c r="C8297" s="3" t="s">
        <v>24169</v>
      </c>
      <c r="D8297" s="3" t="s">
        <v>24170</v>
      </c>
      <c r="E8297" s="3" t="s">
        <v>24171</v>
      </c>
      <c r="F8297" s="3" t="str">
        <f>"8123300264"</f>
        <v>8123300264</v>
      </c>
      <c r="G8297" s="3">
        <v>5415</v>
      </c>
      <c r="H8297" s="3" t="s">
        <v>188</v>
      </c>
    </row>
    <row r="8298" spans="1:8" ht="102.75" x14ac:dyDescent="0.25">
      <c r="A8298" s="3" t="s">
        <v>24172</v>
      </c>
      <c r="B8298" s="3"/>
      <c r="C8298" s="3" t="s">
        <v>24173</v>
      </c>
      <c r="D8298" s="3" t="s">
        <v>24174</v>
      </c>
      <c r="E8298" s="3" t="s">
        <v>24175</v>
      </c>
      <c r="F8298" s="3" t="str">
        <f>"(317) 917-9314"</f>
        <v>(317) 917-9314</v>
      </c>
      <c r="G8298" s="3">
        <v>512110</v>
      </c>
      <c r="H8298" s="3" t="s">
        <v>406</v>
      </c>
    </row>
    <row r="8299" spans="1:8" ht="204.75" x14ac:dyDescent="0.25">
      <c r="A8299" s="3" t="s">
        <v>24176</v>
      </c>
      <c r="B8299" s="3"/>
      <c r="C8299" s="3" t="s">
        <v>24177</v>
      </c>
      <c r="D8299" s="3" t="s">
        <v>24178</v>
      </c>
      <c r="E8299" s="3" t="s">
        <v>24179</v>
      </c>
      <c r="F8299" s="3" t="str">
        <f>"317-569-0879"</f>
        <v>317-569-0879</v>
      </c>
      <c r="G8299" s="3">
        <v>487110</v>
      </c>
      <c r="H8299" s="3" t="s">
        <v>24180</v>
      </c>
    </row>
    <row r="8300" spans="1:8" ht="77.25" x14ac:dyDescent="0.25">
      <c r="A8300" s="3" t="s">
        <v>24181</v>
      </c>
      <c r="B8300" s="3"/>
      <c r="C8300" s="3" t="str">
        <f>"Selah Academy provides day treatment and outpatient services to children and families experiencing a range of concerns such as trauma, loss, sexual abuse, violence, emotional and behavioral disorders, and other mental health conditions."</f>
        <v>Selah Academy provides day treatment and outpatient services to children and families experiencing a range of concerns such as trauma, loss, sexual abuse, violence, emotional and behavioral disorders, and other mental health conditions.</v>
      </c>
      <c r="D8300" s="3" t="s">
        <v>9</v>
      </c>
      <c r="E8300" s="3" t="s">
        <v>46</v>
      </c>
      <c r="F8300" s="3" t="str">
        <f>"219-980-7919"</f>
        <v>219-980-7919</v>
      </c>
      <c r="G8300" s="3">
        <v>621420</v>
      </c>
      <c r="H8300" s="3" t="s">
        <v>990</v>
      </c>
    </row>
    <row r="8301" spans="1:8" ht="192" x14ac:dyDescent="0.25">
      <c r="A8301" s="3" t="s">
        <v>24182</v>
      </c>
      <c r="B8301" s="3"/>
      <c r="C8301" s="3" t="s">
        <v>24183</v>
      </c>
      <c r="D8301" s="3" t="s">
        <v>24184</v>
      </c>
      <c r="E8301" s="3" t="s">
        <v>24185</v>
      </c>
      <c r="F8301" s="3" t="str">
        <f>"765-459-5191"</f>
        <v>765-459-5191</v>
      </c>
      <c r="G8301" s="3">
        <v>423610</v>
      </c>
      <c r="H8301" s="3" t="s">
        <v>2414</v>
      </c>
    </row>
    <row r="8302" spans="1:8" ht="26.25" x14ac:dyDescent="0.25">
      <c r="A8302" s="3" t="s">
        <v>24186</v>
      </c>
      <c r="B8302" s="3"/>
      <c r="C8302" s="3" t="str">
        <f>"Select Mechanical is a HVAC service company serving the state of Indiana"</f>
        <v>Select Mechanical is a HVAC service company serving the state of Indiana</v>
      </c>
      <c r="D8302" s="3" t="s">
        <v>9</v>
      </c>
      <c r="E8302" s="3" t="s">
        <v>24187</v>
      </c>
      <c r="F8302" s="3" t="str">
        <f>"317-602-7800"</f>
        <v>317-602-7800</v>
      </c>
      <c r="G8302" s="3">
        <v>238220</v>
      </c>
      <c r="H8302" s="3" t="s">
        <v>348</v>
      </c>
    </row>
    <row r="8303" spans="1:8" ht="39" x14ac:dyDescent="0.25">
      <c r="A8303" s="3" t="s">
        <v>24188</v>
      </c>
      <c r="B8303" s="3"/>
      <c r="C8303" s="3" t="str">
        <f>"Select Seed Hybrids is a privately held company that produces hybrid seed corn,for the American Farmer."</f>
        <v>Select Seed Hybrids is a privately held company that produces hybrid seed corn,for the American Farmer.</v>
      </c>
      <c r="D8303" s="3" t="s">
        <v>24189</v>
      </c>
      <c r="E8303" s="3" t="s">
        <v>24190</v>
      </c>
      <c r="F8303" s="3" t="str">
        <f>"574-686-2743"</f>
        <v>574-686-2743</v>
      </c>
      <c r="G8303" s="3">
        <v>111150</v>
      </c>
      <c r="H8303" s="3" t="s">
        <v>7468</v>
      </c>
    </row>
    <row r="8304" spans="1:8" ht="51.75" x14ac:dyDescent="0.25">
      <c r="A8304" s="3" t="s">
        <v>24191</v>
      </c>
      <c r="B8304" s="3"/>
      <c r="C8304" s="3" t="str">
        <f>"Precision CNC turning &amp; milling, All grinding. EDM and Ram machines. Builders of special machines. In business since 1988."</f>
        <v>Precision CNC turning &amp; milling, All grinding. EDM and Ram machines. Builders of special machines. In business since 1988.</v>
      </c>
      <c r="D8304" s="3" t="s">
        <v>9</v>
      </c>
      <c r="E8304" s="3" t="s">
        <v>46</v>
      </c>
      <c r="F8304" s="2"/>
      <c r="G8304" s="3">
        <v>333512</v>
      </c>
      <c r="H8304" s="3" t="s">
        <v>10487</v>
      </c>
    </row>
    <row r="8305" spans="1:8" ht="26.25" x14ac:dyDescent="0.25">
      <c r="A8305" s="3" t="s">
        <v>24192</v>
      </c>
      <c r="B8305" s="3"/>
      <c r="C8305" s="3" t="str">
        <f>" "</f>
        <v xml:space="preserve"> </v>
      </c>
      <c r="D8305" s="3" t="s">
        <v>24193</v>
      </c>
      <c r="E8305" s="3" t="s">
        <v>24194</v>
      </c>
      <c r="F8305" s="3" t="str">
        <f>"1 317 594 8600"</f>
        <v>1 317 594 8600</v>
      </c>
      <c r="G8305" s="3">
        <v>511210</v>
      </c>
      <c r="H8305" s="3" t="s">
        <v>315</v>
      </c>
    </row>
    <row r="8306" spans="1:8" ht="77.25" x14ac:dyDescent="0.25">
      <c r="A8306" s="3" t="s">
        <v>24195</v>
      </c>
      <c r="B8306" s="3"/>
      <c r="C8306" s="3" t="str">
        <f>"Employee recognition programs featuring brand name merchandise. Tweleve price collections of merchandise from $15 to $1000. Safety programs and Incentive programs. Online catalogs and programs with custom sites as well as paper catalogs."</f>
        <v>Employee recognition programs featuring brand name merchandise. Tweleve price collections of merchandise from $15 to $1000. Safety programs and Incentive programs. Online catalogs and programs with custom sites as well as paper catalogs.</v>
      </c>
      <c r="D8306" s="3" t="s">
        <v>24196</v>
      </c>
      <c r="E8306" s="3" t="s">
        <v>24197</v>
      </c>
      <c r="F8306" s="3" t="str">
        <f>"877-324-0088"</f>
        <v>877-324-0088</v>
      </c>
      <c r="G8306" s="3">
        <v>541990</v>
      </c>
      <c r="H8306" s="3" t="s">
        <v>378</v>
      </c>
    </row>
    <row r="8307" spans="1:8" ht="115.5" x14ac:dyDescent="0.25">
      <c r="A8307" s="3" t="s">
        <v>24198</v>
      </c>
      <c r="B8307" s="3"/>
      <c r="C8307" s="3" t="s">
        <v>24199</v>
      </c>
      <c r="D8307" s="3" t="s">
        <v>24200</v>
      </c>
      <c r="E8307" s="3" t="s">
        <v>24201</v>
      </c>
      <c r="F8307" s="3" t="str">
        <f>"317-783-0077"</f>
        <v>317-783-0077</v>
      </c>
      <c r="G8307" s="3">
        <v>517510</v>
      </c>
      <c r="H8307" s="3" t="s">
        <v>24202</v>
      </c>
    </row>
    <row r="8308" spans="1:8" ht="294" x14ac:dyDescent="0.25">
      <c r="A8308" s="3" t="s">
        <v>24203</v>
      </c>
      <c r="B8308" s="3"/>
      <c r="C8308" s="3" t="s">
        <v>24204</v>
      </c>
      <c r="D8308" s="3" t="s">
        <v>24205</v>
      </c>
      <c r="E8308" s="3" t="s">
        <v>24206</v>
      </c>
      <c r="F8308" s="3" t="str">
        <f>"812-484-6356"</f>
        <v>812-484-6356</v>
      </c>
      <c r="G8308" s="3">
        <v>238140</v>
      </c>
      <c r="H8308" s="3" t="s">
        <v>1830</v>
      </c>
    </row>
    <row r="8309" spans="1:8" ht="51.75" x14ac:dyDescent="0.25">
      <c r="A8309" s="3" t="s">
        <v>24207</v>
      </c>
      <c r="B8309" s="3"/>
      <c r="C8309" s="3" t="str">
        <f>"Vinyl Signage Banners, Truck Lettering, Business Signs, Graphic Designs, Caricature, Politcal Signs, Vehicle Graphics, Magnetics"</f>
        <v>Vinyl Signage Banners, Truck Lettering, Business Signs, Graphic Designs, Caricature, Politcal Signs, Vehicle Graphics, Magnetics</v>
      </c>
      <c r="D8309" s="3" t="s">
        <v>9</v>
      </c>
      <c r="E8309" s="3" t="s">
        <v>24208</v>
      </c>
      <c r="F8309" s="3" t="str">
        <f>"765-569-6119"</f>
        <v>765-569-6119</v>
      </c>
      <c r="G8309" s="3">
        <v>453220</v>
      </c>
      <c r="H8309" s="3" t="s">
        <v>274</v>
      </c>
    </row>
    <row r="8310" spans="1:8" ht="102.75" x14ac:dyDescent="0.25">
      <c r="A8310" s="3" t="s">
        <v>24209</v>
      </c>
      <c r="B8310" s="3"/>
      <c r="C8310" s="3" t="s">
        <v>24210</v>
      </c>
      <c r="D8310" s="3" t="s">
        <v>24211</v>
      </c>
      <c r="E8310" s="3" t="s">
        <v>24212</v>
      </c>
      <c r="F8310" s="3" t="str">
        <f>"765-379-2600"</f>
        <v>765-379-2600</v>
      </c>
      <c r="G8310" s="3">
        <v>561790</v>
      </c>
      <c r="H8310" s="3" t="s">
        <v>2113</v>
      </c>
    </row>
    <row r="8311" spans="1:8" ht="64.5" x14ac:dyDescent="0.25">
      <c r="A8311" s="3" t="s">
        <v>24213</v>
      </c>
      <c r="B8311" s="3"/>
      <c r="C8311" s="3" t="str">
        <f>"Senergeo works with small and medium-sized business to deliver technology solutions including server/workstation/network installation and maintenance."</f>
        <v>Senergeo works with small and medium-sized business to deliver technology solutions including server/workstation/network installation and maintenance.</v>
      </c>
      <c r="D8311" s="3" t="s">
        <v>9</v>
      </c>
      <c r="E8311" s="3" t="s">
        <v>24214</v>
      </c>
      <c r="F8311" s="3" t="str">
        <f>"317-578-2393"</f>
        <v>317-578-2393</v>
      </c>
      <c r="G8311" s="3">
        <v>541519</v>
      </c>
      <c r="H8311" s="3" t="s">
        <v>898</v>
      </c>
    </row>
    <row r="8312" spans="1:8" ht="102.75" x14ac:dyDescent="0.25">
      <c r="A8312" s="3" t="s">
        <v>24215</v>
      </c>
      <c r="B8312" s="3"/>
      <c r="C8312" s="3" t="s">
        <v>24216</v>
      </c>
      <c r="D8312" s="3" t="s">
        <v>24217</v>
      </c>
      <c r="E8312" s="3" t="s">
        <v>24218</v>
      </c>
      <c r="F8312" s="3" t="str">
        <f>"317-334-0079"</f>
        <v>317-334-0079</v>
      </c>
      <c r="G8312" s="3">
        <v>54162</v>
      </c>
      <c r="H8312" s="3" t="s">
        <v>216</v>
      </c>
    </row>
    <row r="8313" spans="1:8" ht="51.75" x14ac:dyDescent="0.25">
      <c r="A8313" s="3" t="s">
        <v>24219</v>
      </c>
      <c r="B8313" s="3"/>
      <c r="C8313" s="3" t="str">
        <f>"Sales and service of portable gas detection and underground line location products. We manufacture products under the Sensit, Trak-It, and Ultra Trac brand names."</f>
        <v>Sales and service of portable gas detection and underground line location products. We manufacture products under the Sensit, Trak-It, and Ultra Trac brand names.</v>
      </c>
      <c r="D8313" s="3" t="s">
        <v>14256</v>
      </c>
      <c r="E8313" s="3" t="s">
        <v>24220</v>
      </c>
      <c r="F8313" s="3" t="str">
        <f>"219-465-2700"</f>
        <v>219-465-2700</v>
      </c>
      <c r="G8313" s="3">
        <v>334516</v>
      </c>
      <c r="H8313" s="3" t="s">
        <v>11564</v>
      </c>
    </row>
    <row r="8314" spans="1:8" ht="166.5" x14ac:dyDescent="0.25">
      <c r="A8314" s="3" t="s">
        <v>24221</v>
      </c>
      <c r="B8314" s="3"/>
      <c r="C8314" s="3" t="s">
        <v>24222</v>
      </c>
      <c r="D8314" s="3" t="s">
        <v>24223</v>
      </c>
      <c r="E8314" s="3" t="s">
        <v>24224</v>
      </c>
      <c r="F8314" s="3" t="str">
        <f>"800-213-3820"</f>
        <v>800-213-3820</v>
      </c>
      <c r="G8314" s="3">
        <v>3359</v>
      </c>
      <c r="H8314" s="3" t="s">
        <v>24225</v>
      </c>
    </row>
    <row r="8315" spans="1:8" ht="26.25" x14ac:dyDescent="0.25">
      <c r="A8315" s="3" t="s">
        <v>24226</v>
      </c>
      <c r="B8315" s="3"/>
      <c r="C8315" s="3" t="str">
        <f>"Public safety/homeland security software system"</f>
        <v>Public safety/homeland security software system</v>
      </c>
      <c r="D8315" s="3" t="s">
        <v>24227</v>
      </c>
      <c r="E8315" s="3" t="s">
        <v>24228</v>
      </c>
      <c r="F8315" s="3" t="str">
        <f>"260-469-4411"</f>
        <v>260-469-4411</v>
      </c>
      <c r="G8315" s="3">
        <v>5112</v>
      </c>
      <c r="H8315" s="3" t="s">
        <v>315</v>
      </c>
    </row>
    <row r="8316" spans="1:8" ht="26.25" x14ac:dyDescent="0.25">
      <c r="A8316" s="3" t="s">
        <v>24229</v>
      </c>
      <c r="B8316" s="3"/>
      <c r="C8316" s="3" t="str">
        <f>"We specialize in commercial and industrial flat roofing."</f>
        <v>We specialize in commercial and industrial flat roofing.</v>
      </c>
      <c r="D8316" s="3" t="s">
        <v>9</v>
      </c>
      <c r="E8316" s="3" t="s">
        <v>46</v>
      </c>
      <c r="F8316" s="3" t="str">
        <f>"217-446-2133"</f>
        <v>217-446-2133</v>
      </c>
      <c r="G8316" s="3">
        <v>238160</v>
      </c>
      <c r="H8316" s="3" t="s">
        <v>144</v>
      </c>
    </row>
    <row r="8317" spans="1:8" ht="39" x14ac:dyDescent="0.25">
      <c r="A8317" s="3" t="s">
        <v>24230</v>
      </c>
      <c r="B8317" s="3"/>
      <c r="C8317" s="3" t="str">
        <f>"Public Sector Consulting including Cost Allocation, Rate Setting, Program Services and Human Services Consulting"</f>
        <v>Public Sector Consulting including Cost Allocation, Rate Setting, Program Services and Human Services Consulting</v>
      </c>
      <c r="D8317" s="3" t="s">
        <v>24231</v>
      </c>
      <c r="E8317" s="3" t="s">
        <v>24232</v>
      </c>
      <c r="F8317" s="3" t="str">
        <f>"317-272-7011"</f>
        <v>317-272-7011</v>
      </c>
      <c r="G8317" s="3">
        <v>541219</v>
      </c>
      <c r="H8317" s="3" t="s">
        <v>2010</v>
      </c>
    </row>
    <row r="8318" spans="1:8" ht="51.75" x14ac:dyDescent="0.25">
      <c r="A8318" s="3" t="s">
        <v>24233</v>
      </c>
      <c r="B8318" s="3"/>
      <c r="C8318" s="3" t="str">
        <f>"We provide landscaping, landscape maintenance and snowplowing services for commercial and residential. Additional services landscape lighting."</f>
        <v>We provide landscaping, landscape maintenance and snowplowing services for commercial and residential. Additional services landscape lighting.</v>
      </c>
      <c r="D8318" s="3" t="s">
        <v>9</v>
      </c>
      <c r="E8318" s="3" t="s">
        <v>24234</v>
      </c>
      <c r="F8318" s="3" t="str">
        <f>"219-677-5263"</f>
        <v>219-677-5263</v>
      </c>
      <c r="G8318" s="3">
        <v>56173</v>
      </c>
      <c r="H8318" s="3" t="s">
        <v>65</v>
      </c>
    </row>
    <row r="8319" spans="1:8" ht="26.25" x14ac:dyDescent="0.25">
      <c r="A8319" s="3" t="s">
        <v>24235</v>
      </c>
      <c r="B8319" s="3"/>
      <c r="C8319" s="3" t="str">
        <f>"Medical test strip manufacturer"</f>
        <v>Medical test strip manufacturer</v>
      </c>
      <c r="D8319" s="3" t="s">
        <v>24236</v>
      </c>
      <c r="E8319" s="3" t="s">
        <v>24237</v>
      </c>
      <c r="F8319" s="3" t="str">
        <f>"574-264-3440"</f>
        <v>574-264-3440</v>
      </c>
      <c r="G8319" s="3">
        <v>334519</v>
      </c>
      <c r="H8319" s="3" t="s">
        <v>702</v>
      </c>
    </row>
    <row r="8320" spans="1:8" ht="179.25" x14ac:dyDescent="0.25">
      <c r="A8320" s="3" t="s">
        <v>24238</v>
      </c>
      <c r="B8320" s="3"/>
      <c r="C8320" s="3" t="s">
        <v>24239</v>
      </c>
      <c r="D8320" s="3" t="s">
        <v>24240</v>
      </c>
      <c r="E8320" s="3" t="s">
        <v>24241</v>
      </c>
      <c r="F8320" s="3" t="str">
        <f>"317-487-2270"</f>
        <v>317-487-2270</v>
      </c>
      <c r="G8320" s="3">
        <v>454390</v>
      </c>
      <c r="H8320" s="3" t="s">
        <v>1348</v>
      </c>
    </row>
    <row r="8321" spans="1:8" ht="77.25" x14ac:dyDescent="0.25">
      <c r="A8321" s="3" t="s">
        <v>24242</v>
      </c>
      <c r="B8321" s="3"/>
      <c r="C8321" s="3" t="str">
        <f>"Provide custom metal cabinets, stands and carts to Casino's, OEM's and Institutional Users. Provide Door locks &amp; Hardware, Security locks, key locks and cam locks to OEM's, Institutions, Gaming and Vending Industries. Serving Clients for over 22 years."</f>
        <v>Provide custom metal cabinets, stands and carts to Casino's, OEM's and Institutional Users. Provide Door locks &amp; Hardware, Security locks, key locks and cam locks to OEM's, Institutions, Gaming and Vending Industries. Serving Clients for over 22 years.</v>
      </c>
      <c r="D8321" s="3" t="s">
        <v>24243</v>
      </c>
      <c r="E8321" s="3" t="s">
        <v>24244</v>
      </c>
      <c r="F8321" s="3" t="str">
        <f>"708 / 756-0900"</f>
        <v>708 / 756-0900</v>
      </c>
      <c r="G8321" s="3">
        <v>332510</v>
      </c>
      <c r="H8321" s="3" t="s">
        <v>24245</v>
      </c>
    </row>
    <row r="8322" spans="1:8" ht="39" x14ac:dyDescent="0.25">
      <c r="A8322" s="3" t="s">
        <v>24246</v>
      </c>
      <c r="B8322" s="3"/>
      <c r="C8322" s="3" t="str">
        <f>"Service Connections provides comprehensive mystery shopping services and conducts market research."</f>
        <v>Service Connections provides comprehensive mystery shopping services and conducts market research.</v>
      </c>
      <c r="D8322" s="3" t="s">
        <v>24247</v>
      </c>
      <c r="E8322" s="3" t="s">
        <v>24248</v>
      </c>
      <c r="F8322" s="3" t="str">
        <f>"800-582-8281"</f>
        <v>800-582-8281</v>
      </c>
      <c r="G8322" s="3">
        <v>541613</v>
      </c>
      <c r="H8322" s="3" t="s">
        <v>558</v>
      </c>
    </row>
    <row r="8323" spans="1:8" ht="39" x14ac:dyDescent="0.25">
      <c r="A8323" s="3" t="s">
        <v>24249</v>
      </c>
      <c r="B8323" s="3"/>
      <c r="C8323" s="3" t="str">
        <f>"Gates Industrial Belt, Hose and Hydraulics Distributor"</f>
        <v>Gates Industrial Belt, Hose and Hydraulics Distributor</v>
      </c>
      <c r="D8323" s="3" t="s">
        <v>24250</v>
      </c>
      <c r="E8323" s="3" t="s">
        <v>24251</v>
      </c>
      <c r="F8323" s="3" t="str">
        <f>"574-267-7522"</f>
        <v>574-267-7522</v>
      </c>
      <c r="G8323" s="3">
        <v>8113</v>
      </c>
      <c r="H8323" s="3" t="s">
        <v>1895</v>
      </c>
    </row>
    <row r="8324" spans="1:8" ht="141" x14ac:dyDescent="0.25">
      <c r="A8324" s="3" t="s">
        <v>24252</v>
      </c>
      <c r="B8324" s="3"/>
      <c r="C8324" s="3" t="s">
        <v>24253</v>
      </c>
      <c r="D8324" s="3" t="s">
        <v>24254</v>
      </c>
      <c r="E8324" s="3" t="s">
        <v>24255</v>
      </c>
      <c r="F8324" s="3" t="str">
        <f>"317-322-1700"</f>
        <v>317-322-1700</v>
      </c>
      <c r="G8324" s="3">
        <v>238150</v>
      </c>
      <c r="H8324" s="3" t="s">
        <v>2530</v>
      </c>
    </row>
    <row r="8325" spans="1:8" ht="51.75" x14ac:dyDescent="0.25">
      <c r="A8325" s="3" t="s">
        <v>24256</v>
      </c>
      <c r="B8325" s="3"/>
      <c r="C8325" s="3" t="str">
        <f>"Service Plus is a heating and air conditioning company that does service and installation for personal residences and commercial properties."</f>
        <v>Service Plus is a heating and air conditioning company that does service and installation for personal residences and commercial properties.</v>
      </c>
      <c r="D8325" s="3" t="s">
        <v>24257</v>
      </c>
      <c r="E8325" s="3" t="s">
        <v>24258</v>
      </c>
      <c r="F8325" s="3" t="str">
        <f>"317-938-2999"</f>
        <v>317-938-2999</v>
      </c>
      <c r="G8325" s="3">
        <v>238220</v>
      </c>
      <c r="H8325" s="3" t="s">
        <v>348</v>
      </c>
    </row>
    <row r="8326" spans="1:8" ht="26.25" x14ac:dyDescent="0.25">
      <c r="A8326" s="3" t="s">
        <v>24259</v>
      </c>
      <c r="B8326" s="3"/>
      <c r="C8326" s="3" t="str">
        <f>"Fabricator of strucutral and miscellaneous steel"</f>
        <v>Fabricator of strucutral and miscellaneous steel</v>
      </c>
      <c r="D8326" s="3" t="s">
        <v>24260</v>
      </c>
      <c r="E8326" s="3" t="s">
        <v>46</v>
      </c>
      <c r="F8326" s="3" t="str">
        <f>"260-838-5853"</f>
        <v>260-838-5853</v>
      </c>
      <c r="G8326" s="3">
        <v>3312</v>
      </c>
      <c r="H8326" s="3" t="s">
        <v>1251</v>
      </c>
    </row>
    <row r="8327" spans="1:8" ht="39" x14ac:dyDescent="0.25">
      <c r="A8327" s="3" t="s">
        <v>24261</v>
      </c>
      <c r="B8327" s="3"/>
      <c r="C8327" s="3" t="str">
        <f>"Commercial janitorial services. Carpet cleaning, tile floor refinishing, window washing, construction cleanup."</f>
        <v>Commercial janitorial services. Carpet cleaning, tile floor refinishing, window washing, construction cleanup.</v>
      </c>
      <c r="D8327" s="3" t="s">
        <v>9</v>
      </c>
      <c r="E8327" s="3" t="s">
        <v>46</v>
      </c>
      <c r="F8327" s="3" t="str">
        <f>"574-243-1658"</f>
        <v>574-243-1658</v>
      </c>
      <c r="G8327" s="3">
        <v>56172</v>
      </c>
      <c r="H8327" s="3" t="s">
        <v>222</v>
      </c>
    </row>
    <row r="8328" spans="1:8" ht="64.5" x14ac:dyDescent="0.25">
      <c r="A8328" s="3" t="s">
        <v>24262</v>
      </c>
      <c r="B8328" s="3"/>
      <c r="C8328" s="3" t="str">
        <f>"International Health Insurance, Third Party Administration of Insurance Funds. Hospital/Medical Services Direct without providing health care services. Stragegic planning and consulting."</f>
        <v>International Health Insurance, Third Party Administration of Insurance Funds. Hospital/Medical Services Direct without providing health care services. Stragegic planning and consulting.</v>
      </c>
      <c r="D8328" s="3" t="s">
        <v>24263</v>
      </c>
      <c r="E8328" s="3" t="s">
        <v>24264</v>
      </c>
      <c r="F8328" s="3" t="str">
        <f>"317-575-2652"</f>
        <v>317-575-2652</v>
      </c>
      <c r="G8328" s="3">
        <v>524114</v>
      </c>
      <c r="H8328" s="3" t="s">
        <v>678</v>
      </c>
    </row>
    <row r="8329" spans="1:8" ht="64.5" x14ac:dyDescent="0.25">
      <c r="A8329" s="3" t="s">
        <v>24265</v>
      </c>
      <c r="B8329" s="3"/>
      <c r="C8329" s="3" t="str">
        <f>"Embroidery work- company logo's, name's, monogram's Press On's/Iron On's-company names &amp; designs repair and alter clothing: hemming, shortening sleeves/jackets attaching patches"</f>
        <v>Embroidery work- company logo's, name's, monogram's Press On's/Iron On's-company names &amp; designs repair and alter clothing: hemming, shortening sleeves/jackets attaching patches</v>
      </c>
      <c r="D8329" s="3" t="s">
        <v>24266</v>
      </c>
      <c r="E8329" s="3" t="s">
        <v>24267</v>
      </c>
      <c r="F8329" s="3" t="str">
        <f>"260-632-5063"</f>
        <v>260-632-5063</v>
      </c>
      <c r="G8329" s="3">
        <v>812990</v>
      </c>
      <c r="H8329" s="3" t="s">
        <v>294</v>
      </c>
    </row>
    <row r="8330" spans="1:8" ht="51.75" x14ac:dyDescent="0.25">
      <c r="A8330" s="3" t="s">
        <v>24268</v>
      </c>
      <c r="B8330" s="3"/>
      <c r="C8330" s="3" t="str">
        <f>"Custom design, sewing and alteration services including: garment design/sewing, window treatments, alterations, consultation services."</f>
        <v>Custom design, sewing and alteration services including: garment design/sewing, window treatments, alterations, consultation services.</v>
      </c>
      <c r="D8330" s="3" t="s">
        <v>9</v>
      </c>
      <c r="E8330" s="3" t="s">
        <v>24269</v>
      </c>
      <c r="F8330" s="3" t="str">
        <f>"219-707-7108"</f>
        <v>219-707-7108</v>
      </c>
      <c r="G8330" s="3">
        <v>812990</v>
      </c>
      <c r="H8330" s="3" t="s">
        <v>294</v>
      </c>
    </row>
    <row r="8331" spans="1:8" ht="39" x14ac:dyDescent="0.25">
      <c r="A8331" s="3" t="s">
        <v>24270</v>
      </c>
      <c r="B8331" s="3"/>
      <c r="C8331" s="3" t="str">
        <f>"Provider of contract sewing, custom upholstery, window treatments, boat upholstery, and replacement awnings."</f>
        <v>Provider of contract sewing, custom upholstery, window treatments, boat upholstery, and replacement awnings.</v>
      </c>
      <c r="D8331" s="3" t="s">
        <v>24271</v>
      </c>
      <c r="E8331" s="3" t="s">
        <v>24272</v>
      </c>
      <c r="F8331" s="3" t="str">
        <f>"2606277600"</f>
        <v>2606277600</v>
      </c>
      <c r="G8331" s="3">
        <v>3399</v>
      </c>
      <c r="H8331" s="3" t="s">
        <v>2236</v>
      </c>
    </row>
    <row r="8332" spans="1:8" ht="26.25" x14ac:dyDescent="0.25">
      <c r="A8332" s="3" t="s">
        <v>24273</v>
      </c>
      <c r="B8332" s="3"/>
      <c r="C8332" s="2"/>
      <c r="D8332" s="3" t="s">
        <v>9</v>
      </c>
      <c r="E8332" s="3" t="s">
        <v>46</v>
      </c>
      <c r="F8332" s="3" t="str">
        <f>"317-773-4978"</f>
        <v>317-773-4978</v>
      </c>
      <c r="G8332" s="3">
        <v>23491</v>
      </c>
      <c r="H8332" s="3" t="s">
        <v>1107</v>
      </c>
    </row>
    <row r="8333" spans="1:8" ht="26.25" x14ac:dyDescent="0.25">
      <c r="A8333" s="3" t="s">
        <v>24274</v>
      </c>
      <c r="B8333" s="3"/>
      <c r="C8333" s="2"/>
      <c r="D8333" s="3" t="s">
        <v>9</v>
      </c>
      <c r="E8333" s="3" t="s">
        <v>24275</v>
      </c>
      <c r="F8333" s="3" t="str">
        <f>"765-432-6293"</f>
        <v>765-432-6293</v>
      </c>
      <c r="G8333" s="3">
        <v>541990</v>
      </c>
      <c r="H8333" s="3" t="s">
        <v>378</v>
      </c>
    </row>
    <row r="8334" spans="1:8" ht="26.25" x14ac:dyDescent="0.25">
      <c r="A8334" s="3" t="s">
        <v>24276</v>
      </c>
      <c r="B8334" s="3"/>
      <c r="C8334" s="3" t="str">
        <f>"manufacturing of women's, men's and children's clothing"</f>
        <v>manufacturing of women's, men's and children's clothing</v>
      </c>
      <c r="D8334" s="3" t="s">
        <v>9</v>
      </c>
      <c r="E8334" s="3" t="s">
        <v>24277</v>
      </c>
      <c r="F8334" s="3" t="str">
        <f>"586-879-3112"</f>
        <v>586-879-3112</v>
      </c>
      <c r="G8334" s="3">
        <v>315212</v>
      </c>
      <c r="H8334" s="3" t="s">
        <v>14930</v>
      </c>
    </row>
    <row r="8335" spans="1:8" ht="90" x14ac:dyDescent="0.25">
      <c r="A8335" s="3" t="s">
        <v>24278</v>
      </c>
      <c r="B8335" s="3"/>
      <c r="C8335" s="3" t="s">
        <v>24279</v>
      </c>
      <c r="D8335" s="3" t="s">
        <v>9</v>
      </c>
      <c r="E8335" s="3" t="s">
        <v>12988</v>
      </c>
      <c r="F8335" s="3" t="str">
        <f>"317-884-0010"</f>
        <v>317-884-0010</v>
      </c>
      <c r="G8335" s="3">
        <v>238220</v>
      </c>
      <c r="H8335" s="3" t="s">
        <v>348</v>
      </c>
    </row>
    <row r="8336" spans="1:8" ht="26.25" x14ac:dyDescent="0.25">
      <c r="A8336" s="3" t="s">
        <v>24280</v>
      </c>
      <c r="B8336" s="3"/>
      <c r="C8336" s="3" t="str">
        <f>"Process various oils into biodiesel"</f>
        <v>Process various oils into biodiesel</v>
      </c>
      <c r="D8336" s="3" t="s">
        <v>9</v>
      </c>
      <c r="E8336" s="3" t="s">
        <v>24281</v>
      </c>
      <c r="F8336" s="3" t="str">
        <f>"8123583534"</f>
        <v>8123583534</v>
      </c>
      <c r="G8336" s="3">
        <v>324110</v>
      </c>
      <c r="H8336" s="3" t="s">
        <v>24282</v>
      </c>
    </row>
    <row r="8337" spans="1:8" ht="51.75" x14ac:dyDescent="0.25">
      <c r="A8337" s="3" t="s">
        <v>24283</v>
      </c>
      <c r="B8337" s="3"/>
      <c r="C8337" s="3" t="str">
        <f>"We provided consulting services by addressing behavioral habits that focus on financial management and business management through strategic planning."</f>
        <v>We provided consulting services by addressing behavioral habits that focus on financial management and business management through strategic planning.</v>
      </c>
      <c r="D8337" s="3" t="s">
        <v>24284</v>
      </c>
      <c r="E8337" s="3" t="s">
        <v>24285</v>
      </c>
      <c r="F8337" s="3" t="str">
        <f>"800-756-1958"</f>
        <v>800-756-1958</v>
      </c>
      <c r="G8337" s="3">
        <v>54161</v>
      </c>
      <c r="H8337" s="3" t="s">
        <v>1221</v>
      </c>
    </row>
    <row r="8338" spans="1:8" ht="26.25" x14ac:dyDescent="0.25">
      <c r="A8338" s="3" t="s">
        <v>24286</v>
      </c>
      <c r="B8338" s="3"/>
      <c r="C8338" s="3" t="str">
        <f>" "</f>
        <v xml:space="preserve"> </v>
      </c>
      <c r="D8338" s="3" t="s">
        <v>24287</v>
      </c>
      <c r="E8338" s="3" t="s">
        <v>24288</v>
      </c>
      <c r="F8338" s="3" t="str">
        <f>"3173521231"</f>
        <v>3173521231</v>
      </c>
      <c r="G8338" s="3">
        <v>721110</v>
      </c>
      <c r="H8338" s="3" t="s">
        <v>872</v>
      </c>
    </row>
    <row r="8339" spans="1:8" ht="51.75" x14ac:dyDescent="0.25">
      <c r="A8339" s="3" t="s">
        <v>24289</v>
      </c>
      <c r="B8339" s="3"/>
      <c r="C8339" s="3" t="str">
        <f>"Shaffer Distributing Company is a leading distributor of vending machines, digital download phonographs and amusement equipment,"</f>
        <v>Shaffer Distributing Company is a leading distributor of vending machines, digital download phonographs and amusement equipment,</v>
      </c>
      <c r="D8339" s="3" t="s">
        <v>24290</v>
      </c>
      <c r="E8339" s="3" t="s">
        <v>24291</v>
      </c>
      <c r="F8339" s="3" t="str">
        <f>"(800)-282-0194"</f>
        <v>(800)-282-0194</v>
      </c>
      <c r="G8339" s="3">
        <v>423440</v>
      </c>
      <c r="H8339" s="3" t="s">
        <v>12364</v>
      </c>
    </row>
    <row r="8340" spans="1:8" ht="39" x14ac:dyDescent="0.25">
      <c r="A8340" s="3" t="s">
        <v>24292</v>
      </c>
      <c r="B8340" s="3"/>
      <c r="C8340" s="3" t="str">
        <f>"My company hauls dirt, stone, gravel, rock, coal, or solid waste using tri axle and quad axle trucks."</f>
        <v>My company hauls dirt, stone, gravel, rock, coal, or solid waste using tri axle and quad axle trucks.</v>
      </c>
      <c r="D8340" s="3" t="s">
        <v>9</v>
      </c>
      <c r="E8340" s="3" t="s">
        <v>24293</v>
      </c>
      <c r="F8340" s="3" t="str">
        <f>"3175347728"</f>
        <v>3175347728</v>
      </c>
      <c r="G8340" s="3">
        <v>484220</v>
      </c>
      <c r="H8340" s="3" t="s">
        <v>11</v>
      </c>
    </row>
    <row r="8341" spans="1:8" ht="102.75" x14ac:dyDescent="0.25">
      <c r="A8341" s="3" t="s">
        <v>24294</v>
      </c>
      <c r="B8341" s="3"/>
      <c r="C8341" s="3" t="s">
        <v>24295</v>
      </c>
      <c r="D8341" s="3" t="s">
        <v>24296</v>
      </c>
      <c r="E8341" s="3" t="s">
        <v>46</v>
      </c>
      <c r="F8341" s="3" t="str">
        <f>"(317) 291-7422"</f>
        <v>(317) 291-7422</v>
      </c>
      <c r="G8341" s="3">
        <v>62</v>
      </c>
      <c r="H8341" s="3" t="s">
        <v>1168</v>
      </c>
    </row>
    <row r="8342" spans="1:8" ht="26.25" x14ac:dyDescent="0.25">
      <c r="A8342" s="3" t="s">
        <v>24297</v>
      </c>
      <c r="B8342" s="3"/>
      <c r="C8342" s="2"/>
      <c r="D8342" s="3" t="s">
        <v>24298</v>
      </c>
      <c r="E8342" s="3" t="s">
        <v>46</v>
      </c>
      <c r="F8342" s="3" t="str">
        <f>"(260)487-7777"</f>
        <v>(260)487-7777</v>
      </c>
      <c r="G8342" s="3">
        <v>238220</v>
      </c>
      <c r="H8342" s="3" t="s">
        <v>348</v>
      </c>
    </row>
    <row r="8343" spans="1:8" ht="77.25" x14ac:dyDescent="0.25">
      <c r="A8343" s="3" t="s">
        <v>24299</v>
      </c>
      <c r="B8343" s="3"/>
      <c r="C8343" s="3" t="str">
        <f>"A full-service public relations company providing strategic management counseling, crisis management, social media, video, brochures, annual reports, media relations, community affairs and special events, community outreach and public education."</f>
        <v>A full-service public relations company providing strategic management counseling, crisis management, social media, video, brochures, annual reports, media relations, community affairs and special events, community outreach and public education.</v>
      </c>
      <c r="D8343" s="3" t="s">
        <v>24300</v>
      </c>
      <c r="E8343" s="3" t="s">
        <v>24301</v>
      </c>
      <c r="F8343" s="3" t="str">
        <f>"3172935590"</f>
        <v>3172935590</v>
      </c>
      <c r="G8343" s="3">
        <v>541820</v>
      </c>
      <c r="H8343" s="3" t="s">
        <v>795</v>
      </c>
    </row>
    <row r="8344" spans="1:8" ht="102.75" x14ac:dyDescent="0.25">
      <c r="A8344" s="3" t="s">
        <v>24302</v>
      </c>
      <c r="B8344" s="3"/>
      <c r="C8344" s="3" t="s">
        <v>24303</v>
      </c>
      <c r="D8344" s="3" t="s">
        <v>24304</v>
      </c>
      <c r="E8344" s="3" t="s">
        <v>24305</v>
      </c>
      <c r="F8344" s="3" t="str">
        <f>"317 652-6300"</f>
        <v>317 652-6300</v>
      </c>
      <c r="G8344" s="3">
        <v>448150</v>
      </c>
      <c r="H8344" s="3" t="s">
        <v>2040</v>
      </c>
    </row>
    <row r="8345" spans="1:8" ht="141" x14ac:dyDescent="0.25">
      <c r="A8345" s="3" t="s">
        <v>24306</v>
      </c>
      <c r="B8345" s="3"/>
      <c r="C8345" s="3" t="s">
        <v>24307</v>
      </c>
      <c r="D8345" s="3" t="s">
        <v>24308</v>
      </c>
      <c r="E8345" s="3" t="s">
        <v>24309</v>
      </c>
      <c r="F8345" s="3" t="str">
        <f>"317-837-8677"</f>
        <v>317-837-8677</v>
      </c>
      <c r="G8345" s="3">
        <v>621610</v>
      </c>
      <c r="H8345" s="3" t="s">
        <v>328</v>
      </c>
    </row>
    <row r="8346" spans="1:8" ht="102.75" x14ac:dyDescent="0.25">
      <c r="A8346" s="3" t="s">
        <v>24310</v>
      </c>
      <c r="B8346" s="3"/>
      <c r="C8346" s="3" t="s">
        <v>24311</v>
      </c>
      <c r="D8346" s="3" t="s">
        <v>24312</v>
      </c>
      <c r="E8346" s="3" t="s">
        <v>24313</v>
      </c>
      <c r="F8346" s="3" t="str">
        <f>"317-398-8218"</f>
        <v>317-398-8218</v>
      </c>
      <c r="G8346" s="3">
        <v>561990</v>
      </c>
      <c r="H8346" s="3" t="s">
        <v>219</v>
      </c>
    </row>
    <row r="8347" spans="1:8" ht="115.5" x14ac:dyDescent="0.25">
      <c r="A8347" s="3" t="s">
        <v>24314</v>
      </c>
      <c r="B8347" s="3"/>
      <c r="C8347" s="3" t="s">
        <v>24315</v>
      </c>
      <c r="D8347" s="3" t="s">
        <v>24316</v>
      </c>
      <c r="E8347" s="3" t="s">
        <v>24317</v>
      </c>
      <c r="F8347" s="3" t="str">
        <f>"317-339-6205"</f>
        <v>317-339-6205</v>
      </c>
      <c r="G8347" s="3">
        <v>711320</v>
      </c>
      <c r="H8347" s="3" t="s">
        <v>22809</v>
      </c>
    </row>
    <row r="8348" spans="1:8" ht="64.5" x14ac:dyDescent="0.25">
      <c r="A8348" s="3" t="s">
        <v>24318</v>
      </c>
      <c r="B8348" s="3"/>
      <c r="C8348" s="3" t="str">
        <f>"Accounting, bookkeeping and payroll services, for Individuals, Partnerships, Corporations and LLCs. Income tax preparation 1040, 1120, 1065, 1041. Electronic Filing Service."</f>
        <v>Accounting, bookkeeping and payroll services, for Individuals, Partnerships, Corporations and LLCs. Income tax preparation 1040, 1120, 1065, 1041. Electronic Filing Service.</v>
      </c>
      <c r="D8348" s="3" t="s">
        <v>9</v>
      </c>
      <c r="E8348" s="3" t="s">
        <v>24319</v>
      </c>
      <c r="F8348" s="3" t="str">
        <f>"765-675-2747"</f>
        <v>765-675-2747</v>
      </c>
      <c r="G8348" s="3">
        <v>541211</v>
      </c>
      <c r="H8348" s="3" t="s">
        <v>337</v>
      </c>
    </row>
    <row r="8349" spans="1:8" ht="64.5" x14ac:dyDescent="0.25">
      <c r="A8349" s="3" t="s">
        <v>24320</v>
      </c>
      <c r="B8349" s="3"/>
      <c r="C8349" s="3" t="str">
        <f>"Sharp Bioclean LLC is a woman-owned, fully insured CTS DECON company. We specialize in the decontamination and removal of blood, gross filth, hoarding, and animal infestation."</f>
        <v>Sharp Bioclean LLC is a woman-owned, fully insured CTS DECON company. We specialize in the decontamination and removal of blood, gross filth, hoarding, and animal infestation.</v>
      </c>
      <c r="D8349" s="3" t="s">
        <v>24321</v>
      </c>
      <c r="E8349" s="3" t="s">
        <v>46</v>
      </c>
      <c r="F8349" s="3" t="str">
        <f>"3174107558"</f>
        <v>3174107558</v>
      </c>
      <c r="G8349" s="3">
        <v>56221</v>
      </c>
      <c r="H8349" s="3" t="s">
        <v>24322</v>
      </c>
    </row>
    <row r="8350" spans="1:8" ht="204.75" x14ac:dyDescent="0.25">
      <c r="A8350" s="3" t="s">
        <v>24323</v>
      </c>
      <c r="B8350" s="3"/>
      <c r="C8350" s="3" t="s">
        <v>24324</v>
      </c>
      <c r="D8350" s="3" t="s">
        <v>24325</v>
      </c>
      <c r="E8350" s="3" t="s">
        <v>46</v>
      </c>
      <c r="F8350" s="3" t="str">
        <f>"201-529-8200"</f>
        <v>201-529-8200</v>
      </c>
      <c r="G8350" s="3">
        <v>42342</v>
      </c>
      <c r="H8350" s="3" t="s">
        <v>521</v>
      </c>
    </row>
    <row r="8351" spans="1:8" ht="64.5" x14ac:dyDescent="0.25">
      <c r="A8351" s="3" t="s">
        <v>24326</v>
      </c>
      <c r="B8351" s="3"/>
      <c r="C8351" s="3" t="str">
        <f>"We provide American Sign Language interpreting service, case management services, and workshops/training/classes for ASL interpreters and for the Deaf community in Indiana."</f>
        <v>We provide American Sign Language interpreting service, case management services, and workshops/training/classes for ASL interpreters and for the Deaf community in Indiana.</v>
      </c>
      <c r="D8351" s="3" t="s">
        <v>24327</v>
      </c>
      <c r="E8351" s="3" t="s">
        <v>24328</v>
      </c>
      <c r="F8351" s="3" t="str">
        <f>"317-608-0397"</f>
        <v>317-608-0397</v>
      </c>
      <c r="G8351" s="3">
        <v>624120</v>
      </c>
      <c r="H8351" s="3" t="s">
        <v>22</v>
      </c>
    </row>
    <row r="8352" spans="1:8" ht="115.5" x14ac:dyDescent="0.25">
      <c r="A8352" s="3" t="s">
        <v>24329</v>
      </c>
      <c r="B8352" s="3"/>
      <c r="C8352" s="3" t="s">
        <v>24330</v>
      </c>
      <c r="D8352" s="3" t="s">
        <v>9</v>
      </c>
      <c r="E8352" s="3" t="s">
        <v>24331</v>
      </c>
      <c r="F8352" s="2"/>
      <c r="G8352" s="3">
        <v>23</v>
      </c>
      <c r="H8352" s="3" t="s">
        <v>133</v>
      </c>
    </row>
    <row r="8353" spans="1:8" ht="141" x14ac:dyDescent="0.25">
      <c r="A8353" s="3" t="s">
        <v>24332</v>
      </c>
      <c r="B8353" s="3"/>
      <c r="C8353" s="3" t="s">
        <v>24333</v>
      </c>
      <c r="D8353" s="3" t="s">
        <v>14367</v>
      </c>
      <c r="E8353" s="3" t="s">
        <v>24334</v>
      </c>
      <c r="F8353" s="3" t="str">
        <f>"317-897-4277"</f>
        <v>317-897-4277</v>
      </c>
      <c r="G8353" s="3">
        <v>453998</v>
      </c>
      <c r="H8353" s="3" t="s">
        <v>112</v>
      </c>
    </row>
    <row r="8354" spans="1:8" ht="39" x14ac:dyDescent="0.25">
      <c r="A8354" s="3" t="s">
        <v>24335</v>
      </c>
      <c r="B8354" s="3"/>
      <c r="C8354" s="3" t="str">
        <f>"Security contractor providing protection for Indiana businesses' property and assets, against crime, e.g. theft and vadalism."</f>
        <v>Security contractor providing protection for Indiana businesses' property and assets, against crime, e.g. theft and vadalism.</v>
      </c>
      <c r="D8354" s="3" t="s">
        <v>9</v>
      </c>
      <c r="E8354" s="3" t="s">
        <v>24336</v>
      </c>
      <c r="F8354" s="3" t="str">
        <f>"3175081037"</f>
        <v>3175081037</v>
      </c>
      <c r="G8354" s="3">
        <v>561612</v>
      </c>
      <c r="H8354" s="3" t="s">
        <v>362</v>
      </c>
    </row>
    <row r="8355" spans="1:8" ht="26.25" x14ac:dyDescent="0.25">
      <c r="A8355" s="3" t="s">
        <v>24337</v>
      </c>
      <c r="B8355" s="3"/>
      <c r="C8355" s="3" t="str">
        <f>"The practice of law."</f>
        <v>The practice of law.</v>
      </c>
      <c r="D8355" s="3" t="s">
        <v>24338</v>
      </c>
      <c r="E8355" s="3" t="s">
        <v>24339</v>
      </c>
      <c r="F8355" s="3" t="str">
        <f>"812-372-1553"</f>
        <v>812-372-1553</v>
      </c>
      <c r="G8355" s="3">
        <v>541110</v>
      </c>
      <c r="H8355" s="3" t="s">
        <v>2978</v>
      </c>
    </row>
    <row r="8356" spans="1:8" ht="39" x14ac:dyDescent="0.25">
      <c r="A8356" s="3" t="s">
        <v>24340</v>
      </c>
      <c r="B8356" s="3"/>
      <c r="C8356" s="3" t="str">
        <f>"Retailer, installer and servicer of truck and SUV accessories, snow plows, and dump beds."</f>
        <v>Retailer, installer and servicer of truck and SUV accessories, snow plows, and dump beds.</v>
      </c>
      <c r="D8356" s="3" t="s">
        <v>9</v>
      </c>
      <c r="E8356" s="3" t="s">
        <v>24341</v>
      </c>
      <c r="F8356" s="3" t="str">
        <f>"574-272-5201"</f>
        <v>574-272-5201</v>
      </c>
      <c r="G8356" s="3">
        <v>4413</v>
      </c>
      <c r="H8356" s="3" t="s">
        <v>1210</v>
      </c>
    </row>
    <row r="8357" spans="1:8" ht="77.25" x14ac:dyDescent="0.25">
      <c r="A8357" s="3" t="s">
        <v>24342</v>
      </c>
      <c r="B8357" s="3"/>
      <c r="C8357" s="3" t="str">
        <f>"Electrical construction base; motor shop sales and repair of motors, hoists and drives; also, generator sales of portables, and emergency stand-bys for residential and commercial use, as well as service of units."</f>
        <v>Electrical construction base; motor shop sales and repair of motors, hoists and drives; also, generator sales of portables, and emergency stand-bys for residential and commercial use, as well as service of units.</v>
      </c>
      <c r="D8357" s="3" t="s">
        <v>24343</v>
      </c>
      <c r="E8357" s="3" t="s">
        <v>24344</v>
      </c>
      <c r="F8357" s="3" t="str">
        <f>"5742644189"</f>
        <v>5742644189</v>
      </c>
      <c r="G8357" s="3">
        <v>238210</v>
      </c>
      <c r="H8357" s="3" t="s">
        <v>306</v>
      </c>
    </row>
    <row r="8358" spans="1:8" ht="90" x14ac:dyDescent="0.25">
      <c r="A8358" s="3" t="s">
        <v>24345</v>
      </c>
      <c r="B8358" s="3"/>
      <c r="C8358" s="3" t="s">
        <v>24346</v>
      </c>
      <c r="D8358" s="3" t="s">
        <v>24347</v>
      </c>
      <c r="E8358" s="3" t="s">
        <v>24348</v>
      </c>
      <c r="F8358" s="3" t="str">
        <f>"317-841-8966"</f>
        <v>317-841-8966</v>
      </c>
      <c r="G8358" s="3">
        <v>23599</v>
      </c>
      <c r="H8358" s="3" t="s">
        <v>248</v>
      </c>
    </row>
    <row r="8359" spans="1:8" ht="39" x14ac:dyDescent="0.25">
      <c r="A8359" s="3" t="s">
        <v>24349</v>
      </c>
      <c r="B8359" s="3"/>
      <c r="C8359" s="3" t="str">
        <f>"We are a full DJ service serving southern Indiana and the Tri-State area. Book now as dates fill quickly!"</f>
        <v>We are a full DJ service serving southern Indiana and the Tri-State area. Book now as dates fill quickly!</v>
      </c>
      <c r="D8359" s="3" t="s">
        <v>9</v>
      </c>
      <c r="E8359" s="3" t="s">
        <v>24350</v>
      </c>
      <c r="F8359" s="3" t="str">
        <f>"(812)873-0097"</f>
        <v>(812)873-0097</v>
      </c>
      <c r="G8359" s="3">
        <v>71113</v>
      </c>
      <c r="H8359" s="3" t="s">
        <v>4353</v>
      </c>
    </row>
    <row r="8360" spans="1:8" ht="51.75" x14ac:dyDescent="0.25">
      <c r="A8360" s="3" t="s">
        <v>24351</v>
      </c>
      <c r="B8360" s="3"/>
      <c r="C8360" s="3" t="str">
        <f>"General contractor for non-residential construction. Service work, remodels, new construction; Industrial repair work; asbestos removal"</f>
        <v>General contractor for non-residential construction. Service work, remodels, new construction; Industrial repair work; asbestos removal</v>
      </c>
      <c r="D8360" s="3" t="s">
        <v>24352</v>
      </c>
      <c r="E8360" s="3" t="s">
        <v>24353</v>
      </c>
      <c r="F8360" s="3" t="str">
        <f>"260-489-1234"</f>
        <v>260-489-1234</v>
      </c>
      <c r="G8360" s="3">
        <v>2362</v>
      </c>
      <c r="H8360" s="3" t="s">
        <v>423</v>
      </c>
    </row>
    <row r="8361" spans="1:8" ht="319.5" x14ac:dyDescent="0.25">
      <c r="A8361" s="3" t="s">
        <v>24354</v>
      </c>
      <c r="B8361" s="3"/>
      <c r="C8361" s="3" t="s">
        <v>24355</v>
      </c>
      <c r="D8361" s="3" t="s">
        <v>24356</v>
      </c>
      <c r="E8361" s="3" t="s">
        <v>24357</v>
      </c>
      <c r="F8361" s="3" t="str">
        <f>"800-890-1428"</f>
        <v>800-890-1428</v>
      </c>
      <c r="G8361" s="3">
        <v>541512</v>
      </c>
      <c r="H8361" s="3" t="s">
        <v>19</v>
      </c>
    </row>
    <row r="8362" spans="1:8" ht="64.5" x14ac:dyDescent="0.25">
      <c r="A8362" s="3" t="s">
        <v>24358</v>
      </c>
      <c r="B8362" s="3"/>
      <c r="C8362" s="3" t="str">
        <f>"Water well drillling Water well rehabilitation Well pump sales service and repair Water treatment sales Underground lawn sprinklers Public water supply operation and consultation"</f>
        <v>Water well drillling Water well rehabilitation Well pump sales service and repair Water treatment sales Underground lawn sprinklers Public water supply operation and consultation</v>
      </c>
      <c r="D8362" s="3" t="s">
        <v>24359</v>
      </c>
      <c r="E8362" s="3" t="s">
        <v>24360</v>
      </c>
      <c r="F8362" s="3" t="str">
        <f>"219-696-0455"</f>
        <v>219-696-0455</v>
      </c>
      <c r="G8362" s="3">
        <v>238290</v>
      </c>
      <c r="H8362" s="3" t="s">
        <v>237</v>
      </c>
    </row>
    <row r="8363" spans="1:8" ht="64.5" x14ac:dyDescent="0.25">
      <c r="A8363" s="3" t="s">
        <v>24361</v>
      </c>
      <c r="B8363" s="3"/>
      <c r="C8363" s="3" t="str">
        <f>"Interior decorating with emphasis on custom window treatments, e.g. draperies, blinds, &amp; shades. We also supply miscellaneous items such as interior finishes for construction"</f>
        <v>Interior decorating with emphasis on custom window treatments, e.g. draperies, blinds, &amp; shades. We also supply miscellaneous items such as interior finishes for construction</v>
      </c>
      <c r="D8363" s="3" t="s">
        <v>24362</v>
      </c>
      <c r="E8363" s="3" t="s">
        <v>24363</v>
      </c>
      <c r="F8363" s="3" t="str">
        <f>"812-331-9190"</f>
        <v>812-331-9190</v>
      </c>
      <c r="G8363" s="3">
        <v>238390</v>
      </c>
      <c r="H8363" s="3" t="s">
        <v>2109</v>
      </c>
    </row>
    <row r="8364" spans="1:8" ht="115.5" x14ac:dyDescent="0.25">
      <c r="A8364" s="3" t="s">
        <v>24364</v>
      </c>
      <c r="B8364" s="3"/>
      <c r="C8364" s="3" t="s">
        <v>24365</v>
      </c>
      <c r="D8364" s="3" t="s">
        <v>24366</v>
      </c>
      <c r="E8364" s="3" t="s">
        <v>24367</v>
      </c>
      <c r="F8364" s="3" t="str">
        <f>"219-844-2520"</f>
        <v>219-844-2520</v>
      </c>
      <c r="G8364" s="3">
        <v>323110</v>
      </c>
      <c r="H8364" s="3" t="s">
        <v>1900</v>
      </c>
    </row>
    <row r="8365" spans="1:8" ht="51.75" x14ac:dyDescent="0.25">
      <c r="A8365" s="3" t="s">
        <v>24368</v>
      </c>
      <c r="B8365" s="3"/>
      <c r="C8365" s="3" t="str">
        <f>"collection of monies, cable converter boxes, and modems from customers of cable companies. Deliver equipment to cable companies warehouses."</f>
        <v>collection of monies, cable converter boxes, and modems from customers of cable companies. Deliver equipment to cable companies warehouses.</v>
      </c>
      <c r="D8365" s="3" t="s">
        <v>9</v>
      </c>
      <c r="E8365" s="3" t="s">
        <v>24369</v>
      </c>
      <c r="F8365" s="3" t="str">
        <f>"219/921-4656"</f>
        <v>219/921-4656</v>
      </c>
      <c r="G8365" s="3">
        <v>561440</v>
      </c>
      <c r="H8365" s="3" t="s">
        <v>473</v>
      </c>
    </row>
    <row r="8366" spans="1:8" ht="39" x14ac:dyDescent="0.25">
      <c r="A8366" s="3" t="s">
        <v>24370</v>
      </c>
      <c r="B8366" s="3"/>
      <c r="C8366" s="2"/>
      <c r="D8366" s="3" t="s">
        <v>24371</v>
      </c>
      <c r="E8366" s="3" t="s">
        <v>46</v>
      </c>
      <c r="F8366" s="3" t="str">
        <f>"317-398-6655"</f>
        <v>317-398-6655</v>
      </c>
      <c r="G8366" s="3">
        <v>813990</v>
      </c>
      <c r="H8366" s="3" t="s">
        <v>24372</v>
      </c>
    </row>
    <row r="8367" spans="1:8" ht="39" x14ac:dyDescent="0.25">
      <c r="A8367" s="3" t="s">
        <v>24373</v>
      </c>
      <c r="B8367" s="3"/>
      <c r="C8367" s="3" t="str">
        <f>"To provide educational opportunities for the purpose of Human Development in Shelby County."</f>
        <v>To provide educational opportunities for the purpose of Human Development in Shelby County.</v>
      </c>
      <c r="D8367" s="3" t="s">
        <v>24374</v>
      </c>
      <c r="E8367" s="3" t="s">
        <v>24375</v>
      </c>
      <c r="F8367" s="3" t="str">
        <f>"317-398-1332"</f>
        <v>317-398-1332</v>
      </c>
      <c r="G8367" s="3">
        <v>611710</v>
      </c>
      <c r="H8367" s="3" t="s">
        <v>508</v>
      </c>
    </row>
    <row r="8368" spans="1:8" ht="26.25" x14ac:dyDescent="0.25">
      <c r="A8368" s="3" t="s">
        <v>24376</v>
      </c>
      <c r="B8368" s="3"/>
      <c r="C8368" s="3" t="str">
        <f>"School Corporation"</f>
        <v>School Corporation</v>
      </c>
      <c r="D8368" s="3" t="s">
        <v>24377</v>
      </c>
      <c r="E8368" s="3" t="s">
        <v>46</v>
      </c>
      <c r="F8368" s="3" t="str">
        <f>"7655442246"</f>
        <v>7655442246</v>
      </c>
      <c r="G8368" s="3">
        <v>611110</v>
      </c>
      <c r="H8368" s="3" t="s">
        <v>3876</v>
      </c>
    </row>
    <row r="8369" spans="1:8" ht="77.25" x14ac:dyDescent="0.25">
      <c r="A8369" s="3" t="s">
        <v>24378</v>
      </c>
      <c r="B8369" s="3"/>
      <c r="C8369" s="3" t="str">
        <f>"Shelby Materials is a Ready Mixed Concrete producer operating 8 fixed site and 2 portable ready mixed concrete batch plants. Shelby operates 2 sand and gravel mines providing specialty aggregates and fill materials."</f>
        <v>Shelby Materials is a Ready Mixed Concrete producer operating 8 fixed site and 2 portable ready mixed concrete batch plants. Shelby operates 2 sand and gravel mines providing specialty aggregates and fill materials.</v>
      </c>
      <c r="D8369" s="3" t="s">
        <v>24379</v>
      </c>
      <c r="E8369" s="3" t="s">
        <v>24380</v>
      </c>
      <c r="F8369" s="3" t="str">
        <f>"317-398-4485"</f>
        <v>317-398-4485</v>
      </c>
      <c r="G8369" s="3">
        <v>327320</v>
      </c>
      <c r="H8369" s="3" t="s">
        <v>5501</v>
      </c>
    </row>
    <row r="8370" spans="1:8" ht="90" x14ac:dyDescent="0.25">
      <c r="A8370" s="3" t="s">
        <v>24381</v>
      </c>
      <c r="B8370" s="3"/>
      <c r="C8370" s="3" t="s">
        <v>24382</v>
      </c>
      <c r="D8370" s="3" t="s">
        <v>24383</v>
      </c>
      <c r="E8370" s="3" t="s">
        <v>24384</v>
      </c>
      <c r="F8370" s="3" t="str">
        <f>"202-470-6243"</f>
        <v>202-470-6243</v>
      </c>
      <c r="G8370" s="3">
        <v>238390</v>
      </c>
      <c r="H8370" s="3" t="s">
        <v>2109</v>
      </c>
    </row>
    <row r="8371" spans="1:8" ht="153.75" x14ac:dyDescent="0.25">
      <c r="A8371" s="3" t="s">
        <v>24385</v>
      </c>
      <c r="B8371" s="3"/>
      <c r="C8371" s="3" t="s">
        <v>24386</v>
      </c>
      <c r="D8371" s="3" t="s">
        <v>24387</v>
      </c>
      <c r="E8371" s="3" t="s">
        <v>24388</v>
      </c>
      <c r="F8371" s="3" t="str">
        <f>"(812) 618-6585"</f>
        <v>(812) 618-6585</v>
      </c>
      <c r="G8371" s="3">
        <v>514</v>
      </c>
      <c r="H8371" s="3" t="s">
        <v>322</v>
      </c>
    </row>
    <row r="8372" spans="1:8" ht="77.25" x14ac:dyDescent="0.25">
      <c r="A8372" s="3" t="s">
        <v>24389</v>
      </c>
      <c r="B8372" s="3"/>
      <c r="C8372" s="3" t="str">
        <f>"SOF Holdings, Inc. is a holding company for several companies that service the Indiana community in the areas of affordable housing, construction general contractor services, janitorial services, and home ownership."</f>
        <v>SOF Holdings, Inc. is a holding company for several companies that service the Indiana community in the areas of affordable housing, construction general contractor services, janitorial services, and home ownership.</v>
      </c>
      <c r="D8372" s="3" t="s">
        <v>9</v>
      </c>
      <c r="E8372" s="3" t="s">
        <v>46</v>
      </c>
      <c r="F8372" s="3" t="str">
        <f>"317-225-1238"</f>
        <v>317-225-1238</v>
      </c>
      <c r="G8372" s="3">
        <v>551112</v>
      </c>
      <c r="H8372" s="3" t="s">
        <v>1243</v>
      </c>
    </row>
    <row r="8373" spans="1:8" x14ac:dyDescent="0.25">
      <c r="A8373" s="3" t="s">
        <v>24390</v>
      </c>
      <c r="B8373" s="3"/>
      <c r="C8373" s="2"/>
      <c r="D8373" s="3" t="s">
        <v>9</v>
      </c>
      <c r="E8373" s="3" t="s">
        <v>46</v>
      </c>
      <c r="F8373" s="2"/>
      <c r="G8373" s="3">
        <v>561720</v>
      </c>
      <c r="H8373" s="3" t="s">
        <v>222</v>
      </c>
    </row>
    <row r="8374" spans="1:8" ht="26.25" x14ac:dyDescent="0.25">
      <c r="A8374" s="3" t="s">
        <v>24391</v>
      </c>
      <c r="B8374" s="3"/>
      <c r="C8374" s="3" t="str">
        <f>"General Contractor - we do new construction and remodel work."</f>
        <v>General Contractor - we do new construction and remodel work.</v>
      </c>
      <c r="D8374" s="3" t="s">
        <v>24392</v>
      </c>
      <c r="E8374" s="3" t="s">
        <v>46</v>
      </c>
      <c r="F8374" s="3" t="str">
        <f>"574-722-6690"</f>
        <v>574-722-6690</v>
      </c>
      <c r="G8374" s="3">
        <v>23</v>
      </c>
      <c r="H8374" s="3" t="s">
        <v>133</v>
      </c>
    </row>
    <row r="8375" spans="1:8" ht="26.25" x14ac:dyDescent="0.25">
      <c r="A8375" s="3" t="s">
        <v>24393</v>
      </c>
      <c r="B8375" s="3"/>
      <c r="C8375" s="3" t="str">
        <f>"General excavating and grain reclamation."</f>
        <v>General excavating and grain reclamation.</v>
      </c>
      <c r="D8375" s="3" t="s">
        <v>9</v>
      </c>
      <c r="E8375" s="3" t="s">
        <v>24394</v>
      </c>
      <c r="F8375" s="3" t="str">
        <f>"574-946-6074"</f>
        <v>574-946-6074</v>
      </c>
      <c r="G8375" s="3">
        <v>238910</v>
      </c>
      <c r="H8375" s="3" t="s">
        <v>886</v>
      </c>
    </row>
    <row r="8376" spans="1:8" ht="102.75" x14ac:dyDescent="0.25">
      <c r="A8376" s="3" t="s">
        <v>24395</v>
      </c>
      <c r="B8376" s="3"/>
      <c r="C8376" s="3" t="s">
        <v>24396</v>
      </c>
      <c r="D8376" s="3" t="s">
        <v>24397</v>
      </c>
      <c r="E8376" s="3" t="s">
        <v>24398</v>
      </c>
      <c r="F8376" s="3" t="str">
        <f>"812-265-5312"</f>
        <v>812-265-5312</v>
      </c>
      <c r="G8376" s="3">
        <v>541211</v>
      </c>
      <c r="H8376" s="3" t="s">
        <v>337</v>
      </c>
    </row>
    <row r="8377" spans="1:8" ht="51.75" x14ac:dyDescent="0.25">
      <c r="A8377" s="3" t="s">
        <v>24399</v>
      </c>
      <c r="B8377" s="3"/>
      <c r="C8377" s="3" t="str">
        <f>"Specialty Sales Company - can provide any giveaway (clothing, pens, koozies, cups) with custom Company logo. Also develop and run Corporate Catalogs."</f>
        <v>Specialty Sales Company - can provide any giveaway (clothing, pens, koozies, cups) with custom Company logo. Also develop and run Corporate Catalogs.</v>
      </c>
      <c r="D8377" s="3" t="s">
        <v>24400</v>
      </c>
      <c r="E8377" s="3" t="s">
        <v>24401</v>
      </c>
      <c r="F8377" s="3" t="str">
        <f>"260-426-2626"</f>
        <v>260-426-2626</v>
      </c>
      <c r="G8377" s="3">
        <v>238</v>
      </c>
      <c r="H8377" s="3" t="s">
        <v>397</v>
      </c>
    </row>
    <row r="8378" spans="1:8" ht="51.75" x14ac:dyDescent="0.25">
      <c r="A8378" s="3" t="s">
        <v>24402</v>
      </c>
      <c r="B8378" s="3"/>
      <c r="C8378" s="3" t="str">
        <f>"Specializing and commercial and residential property management. We provide lawn care services, snow removal, office cleaning and janitorial services."</f>
        <v>Specializing and commercial and residential property management. We provide lawn care services, snow removal, office cleaning and janitorial services.</v>
      </c>
      <c r="D8378" s="3" t="s">
        <v>9</v>
      </c>
      <c r="E8378" s="3" t="s">
        <v>46</v>
      </c>
      <c r="F8378" s="3" t="str">
        <f>"317-549-8990"</f>
        <v>317-549-8990</v>
      </c>
      <c r="G8378" s="3">
        <v>561730</v>
      </c>
      <c r="H8378" s="3" t="s">
        <v>65</v>
      </c>
    </row>
    <row r="8379" spans="1:8" ht="26.25" x14ac:dyDescent="0.25">
      <c r="A8379" s="3" t="s">
        <v>24403</v>
      </c>
      <c r="B8379" s="3"/>
      <c r="C8379" s="3" t="str">
        <f>"Final Clean for New Construction Projects"</f>
        <v>Final Clean for New Construction Projects</v>
      </c>
      <c r="D8379" s="3" t="s">
        <v>9</v>
      </c>
      <c r="E8379" s="3" t="s">
        <v>24404</v>
      </c>
      <c r="F8379" s="3" t="str">
        <f>"317-402-8284"</f>
        <v>317-402-8284</v>
      </c>
      <c r="G8379" s="3">
        <v>561210</v>
      </c>
      <c r="H8379" s="3" t="s">
        <v>1697</v>
      </c>
    </row>
    <row r="8380" spans="1:8" ht="26.25" x14ac:dyDescent="0.25">
      <c r="A8380" s="3" t="s">
        <v>24405</v>
      </c>
      <c r="B8380" s="3"/>
      <c r="C8380" s="3" t="str">
        <f>" "</f>
        <v xml:space="preserve"> </v>
      </c>
      <c r="D8380" s="3" t="s">
        <v>24406</v>
      </c>
      <c r="E8380" s="3" t="s">
        <v>24407</v>
      </c>
      <c r="F8380" s="3" t="str">
        <f>"765-349-9040"</f>
        <v>765-349-9040</v>
      </c>
      <c r="G8380" s="3">
        <v>332710</v>
      </c>
      <c r="H8380" s="3" t="s">
        <v>387</v>
      </c>
    </row>
    <row r="8381" spans="1:8" ht="204.75" x14ac:dyDescent="0.25">
      <c r="A8381" s="3" t="s">
        <v>24408</v>
      </c>
      <c r="B8381" s="3"/>
      <c r="C8381" s="3" t="s">
        <v>24409</v>
      </c>
      <c r="D8381" s="3" t="s">
        <v>24410</v>
      </c>
      <c r="E8381" s="3" t="s">
        <v>24411</v>
      </c>
      <c r="F8381" s="3" t="str">
        <f>"219-464-8220"</f>
        <v>219-464-8220</v>
      </c>
      <c r="G8381" s="3">
        <v>448190</v>
      </c>
      <c r="H8381" s="3" t="s">
        <v>12557</v>
      </c>
    </row>
    <row r="8382" spans="1:8" ht="51.75" x14ac:dyDescent="0.25">
      <c r="A8382" s="3" t="s">
        <v>24412</v>
      </c>
      <c r="B8382" s="3"/>
      <c r="C8382" s="3" t="str">
        <f>"Screenprinting Textile . Embroidery service textile. Graphic design for printing textile. Lettering press. CD CUT.Corporate wear sportswear. Imprinted sportswear."</f>
        <v>Screenprinting Textile . Embroidery service textile. Graphic design for printing textile. Lettering press. CD CUT.Corporate wear sportswear. Imprinted sportswear.</v>
      </c>
      <c r="D8382" s="3" t="s">
        <v>24413</v>
      </c>
      <c r="E8382" s="3" t="s">
        <v>24414</v>
      </c>
      <c r="F8382" s="3" t="str">
        <f>"317-271-3515"</f>
        <v>317-271-3515</v>
      </c>
      <c r="G8382" s="3">
        <v>323113</v>
      </c>
      <c r="H8382" s="3" t="s">
        <v>1606</v>
      </c>
    </row>
    <row r="8383" spans="1:8" ht="64.5" x14ac:dyDescent="0.25">
      <c r="A8383" s="3" t="s">
        <v>24415</v>
      </c>
      <c r="B8383" s="3"/>
      <c r="C8383" s="3" t="str">
        <f>"Family owned Dump Trucking company hauling stone, sand, gravel, aggregate and other materials throughout Northern Indiana, Southern Michigan and Western Ohio."</f>
        <v>Family owned Dump Trucking company hauling stone, sand, gravel, aggregate and other materials throughout Northern Indiana, Southern Michigan and Western Ohio.</v>
      </c>
      <c r="D8383" s="3" t="s">
        <v>9</v>
      </c>
      <c r="E8383" s="3" t="s">
        <v>24416</v>
      </c>
      <c r="F8383" s="3" t="str">
        <f>"260-747-0044"</f>
        <v>260-747-0044</v>
      </c>
      <c r="G8383" s="3">
        <v>484220</v>
      </c>
      <c r="H8383" s="3" t="s">
        <v>11</v>
      </c>
    </row>
    <row r="8384" spans="1:8" ht="51.75" x14ac:dyDescent="0.25">
      <c r="A8384" s="3" t="s">
        <v>24417</v>
      </c>
      <c r="B8384" s="3"/>
      <c r="C8384" s="3" t="str">
        <f>"Shoemaker Farms is an Indiana business that specializes in the production of beef, and grain/fiber crops (corn, soybeans, wheat, hay and straw)."</f>
        <v>Shoemaker Farms is an Indiana business that specializes in the production of beef, and grain/fiber crops (corn, soybeans, wheat, hay and straw).</v>
      </c>
      <c r="D8384" s="3" t="s">
        <v>9</v>
      </c>
      <c r="E8384" s="3" t="s">
        <v>24418</v>
      </c>
      <c r="F8384" s="3" t="str">
        <f>"(812) 521-9560"</f>
        <v>(812) 521-9560</v>
      </c>
      <c r="G8384" s="3">
        <v>111</v>
      </c>
      <c r="H8384" s="3" t="s">
        <v>6077</v>
      </c>
    </row>
    <row r="8385" spans="1:8" ht="255.75" x14ac:dyDescent="0.25">
      <c r="A8385" s="3" t="s">
        <v>24419</v>
      </c>
      <c r="B8385" s="3"/>
      <c r="C8385" s="3" t="s">
        <v>24420</v>
      </c>
      <c r="D8385" s="3" t="s">
        <v>24421</v>
      </c>
      <c r="E8385" s="3" t="s">
        <v>24422</v>
      </c>
      <c r="F8385" s="3" t="str">
        <f>"317-547-8000"</f>
        <v>317-547-8000</v>
      </c>
      <c r="G8385" s="3">
        <v>238290</v>
      </c>
      <c r="H8385" s="3" t="s">
        <v>237</v>
      </c>
    </row>
    <row r="8386" spans="1:8" ht="26.25" x14ac:dyDescent="0.25">
      <c r="A8386" s="3" t="s">
        <v>24423</v>
      </c>
      <c r="B8386" s="3"/>
      <c r="C8386" s="3" t="str">
        <f>" "</f>
        <v xml:space="preserve"> </v>
      </c>
      <c r="D8386" s="3" t="s">
        <v>24424</v>
      </c>
      <c r="E8386" s="3" t="s">
        <v>24425</v>
      </c>
      <c r="F8386" s="3" t="str">
        <f>"317-849-6066"</f>
        <v>317-849-6066</v>
      </c>
      <c r="G8386" s="3">
        <v>236220</v>
      </c>
      <c r="H8386" s="3" t="s">
        <v>598</v>
      </c>
    </row>
    <row r="8387" spans="1:8" ht="26.25" x14ac:dyDescent="0.25">
      <c r="A8387" s="3" t="s">
        <v>24426</v>
      </c>
      <c r="B8387" s="3"/>
      <c r="C8387" s="3" t="str">
        <f>"Plumbing, Mechanical piping, Steam, gas,air, HVAC"</f>
        <v>Plumbing, Mechanical piping, Steam, gas,air, HVAC</v>
      </c>
      <c r="D8387" s="3" t="s">
        <v>9</v>
      </c>
      <c r="E8387" s="3" t="s">
        <v>24427</v>
      </c>
      <c r="F8387" s="3" t="str">
        <f>"812-346-5179"</f>
        <v>812-346-5179</v>
      </c>
      <c r="G8387" s="3">
        <v>238220</v>
      </c>
      <c r="H8387" s="3" t="s">
        <v>348</v>
      </c>
    </row>
    <row r="8388" spans="1:8" ht="115.5" x14ac:dyDescent="0.25">
      <c r="A8388" s="3" t="s">
        <v>24428</v>
      </c>
      <c r="B8388" s="3"/>
      <c r="C8388" s="3" t="s">
        <v>24429</v>
      </c>
      <c r="D8388" s="3" t="s">
        <v>24430</v>
      </c>
      <c r="E8388" s="3" t="s">
        <v>24431</v>
      </c>
      <c r="F8388" s="3" t="str">
        <f>"765-654-5626"</f>
        <v>765-654-5626</v>
      </c>
      <c r="G8388" s="3">
        <v>445299</v>
      </c>
      <c r="H8388" s="3" t="s">
        <v>7899</v>
      </c>
    </row>
    <row r="8389" spans="1:8" ht="26.25" x14ac:dyDescent="0.25">
      <c r="A8389" s="3" t="s">
        <v>24432</v>
      </c>
      <c r="B8389" s="3"/>
      <c r="C8389" s="3" t="str">
        <f>"General contracting; Ceramic and hardwood flooring"</f>
        <v>General contracting; Ceramic and hardwood flooring</v>
      </c>
      <c r="D8389" s="3" t="s">
        <v>9</v>
      </c>
      <c r="E8389" s="3" t="s">
        <v>24433</v>
      </c>
      <c r="F8389" s="2"/>
      <c r="G8389" s="3">
        <v>238330</v>
      </c>
      <c r="H8389" s="3" t="s">
        <v>2995</v>
      </c>
    </row>
    <row r="8390" spans="1:8" x14ac:dyDescent="0.25">
      <c r="A8390" s="3" t="s">
        <v>24434</v>
      </c>
      <c r="B8390" s="3"/>
      <c r="C8390" s="3" t="str">
        <f>"Lawn Maintenance and installation"</f>
        <v>Lawn Maintenance and installation</v>
      </c>
      <c r="D8390" s="3" t="s">
        <v>9</v>
      </c>
      <c r="E8390" s="3" t="s">
        <v>46</v>
      </c>
      <c r="F8390" s="2"/>
      <c r="G8390" s="3">
        <v>115112</v>
      </c>
      <c r="H8390" s="3" t="s">
        <v>24435</v>
      </c>
    </row>
    <row r="8391" spans="1:8" ht="77.25" x14ac:dyDescent="0.25">
      <c r="A8391" s="3" t="s">
        <v>24436</v>
      </c>
      <c r="B8391" s="3"/>
      <c r="C8391" s="3" t="str">
        <f>"Shred Surgeon provides a full line of Dahle and Fellowes paper shredders and supplies. We also service all makes and models of paper shredders. Bob Medows is an authorized service tech for Fellowes. Service agreements are also available."</f>
        <v>Shred Surgeon provides a full line of Dahle and Fellowes paper shredders and supplies. We also service all makes and models of paper shredders. Bob Medows is an authorized service tech for Fellowes. Service agreements are also available.</v>
      </c>
      <c r="D8391" s="3" t="s">
        <v>9</v>
      </c>
      <c r="E8391" s="3" t="s">
        <v>24437</v>
      </c>
      <c r="F8391" s="3" t="str">
        <f>"866-262-8903"</f>
        <v>866-262-8903</v>
      </c>
      <c r="G8391" s="3">
        <v>4543</v>
      </c>
      <c r="H8391" s="3" t="s">
        <v>22920</v>
      </c>
    </row>
    <row r="8392" spans="1:8" ht="255.75" x14ac:dyDescent="0.25">
      <c r="A8392" s="3" t="s">
        <v>24438</v>
      </c>
      <c r="B8392" s="3"/>
      <c r="C8392" s="3" t="s">
        <v>24439</v>
      </c>
      <c r="D8392" s="3" t="s">
        <v>24440</v>
      </c>
      <c r="E8392" s="3" t="s">
        <v>46</v>
      </c>
      <c r="F8392" s="3" t="str">
        <f>"3178763477"</f>
        <v>3178763477</v>
      </c>
      <c r="G8392" s="3">
        <v>5614</v>
      </c>
      <c r="H8392" s="3" t="s">
        <v>847</v>
      </c>
    </row>
    <row r="8393" spans="1:8" ht="77.25" x14ac:dyDescent="0.25">
      <c r="A8393" s="3" t="s">
        <v>24441</v>
      </c>
      <c r="B8393" s="3"/>
      <c r="C8393" s="3" t="str">
        <f>"98 Room Hotel with Hot Breakfast, Fitness Center, Business Center, Outdoor pool Located off Interstate 465 and U.S. Highway 31, the 100 percent smoke-free Comfort Inn® South hotel is five miles from the excitement of downtown Indianapolis."</f>
        <v>98 Room Hotel with Hot Breakfast, Fitness Center, Business Center, Outdoor pool Located off Interstate 465 and U.S. Highway 31, the 100 percent smoke-free Comfort Inn® South hotel is five miles from the excitement of downtown Indianapolis.</v>
      </c>
      <c r="D8393" s="3" t="s">
        <v>9</v>
      </c>
      <c r="E8393" s="3" t="s">
        <v>24442</v>
      </c>
      <c r="F8393" s="3" t="str">
        <f>"317-783-6711"</f>
        <v>317-783-6711</v>
      </c>
      <c r="G8393" s="3">
        <v>72111</v>
      </c>
      <c r="H8393" s="3" t="s">
        <v>872</v>
      </c>
    </row>
    <row r="8394" spans="1:8" ht="345" x14ac:dyDescent="0.25">
      <c r="A8394" s="3" t="s">
        <v>24443</v>
      </c>
      <c r="B8394" s="3"/>
      <c r="C8394" s="3" t="s">
        <v>24444</v>
      </c>
      <c r="D8394" s="3" t="s">
        <v>24445</v>
      </c>
      <c r="E8394" s="3" t="s">
        <v>24446</v>
      </c>
      <c r="F8394" s="3" t="str">
        <f>"(317) 841-4799"</f>
        <v>(317) 841-4799</v>
      </c>
      <c r="G8394" s="3">
        <v>541620</v>
      </c>
      <c r="H8394" s="3" t="s">
        <v>216</v>
      </c>
    </row>
    <row r="8395" spans="1:8" ht="26.25" x14ac:dyDescent="0.25">
      <c r="A8395" s="3" t="s">
        <v>24447</v>
      </c>
      <c r="B8395" s="3"/>
      <c r="C8395" s="3" t="str">
        <f>"Mowing of grasses residential and commercial"</f>
        <v>Mowing of grasses residential and commercial</v>
      </c>
      <c r="D8395" s="3" t="s">
        <v>9</v>
      </c>
      <c r="E8395" s="3" t="s">
        <v>24448</v>
      </c>
      <c r="F8395" s="3" t="str">
        <f>"765-649-0510"</f>
        <v>765-649-0510</v>
      </c>
      <c r="G8395" s="3">
        <v>561730</v>
      </c>
      <c r="H8395" s="3" t="s">
        <v>65</v>
      </c>
    </row>
    <row r="8396" spans="1:8" ht="39" x14ac:dyDescent="0.25">
      <c r="A8396" s="3" t="s">
        <v>24449</v>
      </c>
      <c r="B8396" s="3"/>
      <c r="C8396" s="3" t="str">
        <f>"General repair and maintenance of gas &amp; diesel powerd; cars, light &amp; heavy truck, boats, and off road eguipment."</f>
        <v>General repair and maintenance of gas &amp; diesel powerd; cars, light &amp; heavy truck, boats, and off road eguipment.</v>
      </c>
      <c r="D8396" s="3" t="s">
        <v>9</v>
      </c>
      <c r="E8396" s="3" t="s">
        <v>24450</v>
      </c>
      <c r="F8396" s="3" t="str">
        <f>"574-269-2288"</f>
        <v>574-269-2288</v>
      </c>
      <c r="G8396" s="3">
        <v>81111</v>
      </c>
      <c r="H8396" s="3" t="s">
        <v>96</v>
      </c>
    </row>
    <row r="8397" spans="1:8" ht="51.75" x14ac:dyDescent="0.25">
      <c r="A8397" s="3" t="s">
        <v>24451</v>
      </c>
      <c r="B8397" s="3"/>
      <c r="C8397" s="3" t="str">
        <f>"SideFX is one of the oldest and largest installers of fiber cement siding and exterior products in the state of Indiana. We have been in business since 1989."</f>
        <v>SideFX is one of the oldest and largest installers of fiber cement siding and exterior products in the state of Indiana. We have been in business since 1989.</v>
      </c>
      <c r="D8397" s="3" t="s">
        <v>24452</v>
      </c>
      <c r="E8397" s="3" t="s">
        <v>24453</v>
      </c>
      <c r="F8397" s="3" t="str">
        <f>"317-228-9085"</f>
        <v>317-228-9085</v>
      </c>
      <c r="G8397" s="3">
        <v>23817</v>
      </c>
      <c r="H8397" s="3" t="s">
        <v>21601</v>
      </c>
    </row>
    <row r="8398" spans="1:8" ht="39" x14ac:dyDescent="0.25">
      <c r="A8398" s="3" t="s">
        <v>24454</v>
      </c>
      <c r="B8398" s="3"/>
      <c r="C8398" s="3" t="str">
        <f>"public safety uniforms, police supplies, shoes and boots,bullit proof vests, embroidery"</f>
        <v>public safety uniforms, police supplies, shoes and boots,bullit proof vests, embroidery</v>
      </c>
      <c r="D8398" s="3" t="s">
        <v>24455</v>
      </c>
      <c r="E8398" s="3" t="s">
        <v>24456</v>
      </c>
      <c r="F8398" s="3" t="str">
        <f>"812-425-2268"</f>
        <v>812-425-2268</v>
      </c>
      <c r="G8398" s="3">
        <v>448190</v>
      </c>
      <c r="H8398" s="3" t="s">
        <v>12557</v>
      </c>
    </row>
    <row r="8399" spans="1:8" ht="268.5" x14ac:dyDescent="0.25">
      <c r="A8399" s="3" t="s">
        <v>24457</v>
      </c>
      <c r="B8399" s="3"/>
      <c r="C8399" s="3" t="s">
        <v>24458</v>
      </c>
      <c r="D8399" s="3" t="s">
        <v>24459</v>
      </c>
      <c r="E8399" s="3" t="s">
        <v>24460</v>
      </c>
      <c r="F8399" s="3" t="str">
        <f>"3178423740"</f>
        <v>3178423740</v>
      </c>
      <c r="G8399" s="3">
        <v>541310</v>
      </c>
      <c r="H8399" s="3" t="s">
        <v>446</v>
      </c>
    </row>
    <row r="8400" spans="1:8" ht="64.5" x14ac:dyDescent="0.25">
      <c r="A8400" s="3" t="s">
        <v>24461</v>
      </c>
      <c r="B8400" s="3"/>
      <c r="C8400" s="3" t="str">
        <f>"We sell guitars, drums, keyboards, banjos, mandolins, amplifiers, music stands, guitar stands, and most other music-related equipment and supplies from our retail location in Muncie."</f>
        <v>We sell guitars, drums, keyboards, banjos, mandolins, amplifiers, music stands, guitar stands, and most other music-related equipment and supplies from our retail location in Muncie.</v>
      </c>
      <c r="D8400" s="3" t="s">
        <v>24462</v>
      </c>
      <c r="E8400" s="3" t="s">
        <v>24463</v>
      </c>
      <c r="F8400" s="3" t="str">
        <f>"765-213-6085"</f>
        <v>765-213-6085</v>
      </c>
      <c r="G8400" s="3">
        <v>451140</v>
      </c>
      <c r="H8400" s="3" t="s">
        <v>10414</v>
      </c>
    </row>
    <row r="8401" spans="1:8" ht="26.25" x14ac:dyDescent="0.25">
      <c r="A8401" s="3" t="s">
        <v>24464</v>
      </c>
      <c r="B8401" s="3"/>
      <c r="C8401" s="2"/>
      <c r="D8401" s="3" t="s">
        <v>9</v>
      </c>
      <c r="E8401" s="3" t="s">
        <v>24465</v>
      </c>
      <c r="F8401" s="3" t="str">
        <f>"574-271-4203"</f>
        <v>574-271-4203</v>
      </c>
      <c r="G8401" s="3">
        <v>23531</v>
      </c>
      <c r="H8401" s="3" t="s">
        <v>306</v>
      </c>
    </row>
    <row r="8402" spans="1:8" ht="77.25" x14ac:dyDescent="0.25">
      <c r="A8402" s="3" t="s">
        <v>24466</v>
      </c>
      <c r="B8402" s="3"/>
      <c r="C8402" s="3" t="str">
        <f>"Sigma Advanced Solution Inc. can help companies with process and procedure, staffing and training to bring standard up to six sigma standards. These types of standards will help with you profit and consistency."</f>
        <v>Sigma Advanced Solution Inc. can help companies with process and procedure, staffing and training to bring standard up to six sigma standards. These types of standards will help with you profit and consistency.</v>
      </c>
      <c r="D8402" s="3" t="s">
        <v>9</v>
      </c>
      <c r="E8402" s="3" t="s">
        <v>24467</v>
      </c>
      <c r="F8402" s="3" t="str">
        <f>"3122332136"</f>
        <v>3122332136</v>
      </c>
      <c r="G8402" s="3">
        <v>541611</v>
      </c>
      <c r="H8402" s="3" t="s">
        <v>278</v>
      </c>
    </row>
    <row r="8403" spans="1:8" ht="39" x14ac:dyDescent="0.25">
      <c r="A8403" s="3" t="s">
        <v>24468</v>
      </c>
      <c r="B8403" s="3"/>
      <c r="C8403" s="3" t="str">
        <f>"Full service in-house manufacturing &amp; installation capabilities as well as sign service &amp; repair."</f>
        <v>Full service in-house manufacturing &amp; installation capabilities as well as sign service &amp; repair.</v>
      </c>
      <c r="D8403" s="3" t="s">
        <v>24469</v>
      </c>
      <c r="E8403" s="3" t="s">
        <v>24470</v>
      </c>
      <c r="F8403" s="3" t="str">
        <f>"317-84208664"</f>
        <v>317-84208664</v>
      </c>
      <c r="G8403" s="3">
        <v>33995</v>
      </c>
      <c r="H8403" s="3" t="s">
        <v>68</v>
      </c>
    </row>
    <row r="8404" spans="1:8" ht="39" x14ac:dyDescent="0.25">
      <c r="A8404" s="3" t="s">
        <v>24471</v>
      </c>
      <c r="B8404" s="3"/>
      <c r="C8404" s="3" t="str">
        <f>"Sign and banner fabrication, digital print, screen printing, video signage, wide format framing systems, sign service"</f>
        <v>Sign and banner fabrication, digital print, screen printing, video signage, wide format framing systems, sign service</v>
      </c>
      <c r="D8404" s="3" t="s">
        <v>24472</v>
      </c>
      <c r="E8404" s="3" t="s">
        <v>24473</v>
      </c>
      <c r="F8404" s="3" t="str">
        <f>"317 856 2600"</f>
        <v>317 856 2600</v>
      </c>
      <c r="G8404" s="3">
        <v>339950</v>
      </c>
      <c r="H8404" s="3" t="s">
        <v>68</v>
      </c>
    </row>
    <row r="8405" spans="1:8" ht="102.75" x14ac:dyDescent="0.25">
      <c r="A8405" s="3" t="s">
        <v>24474</v>
      </c>
      <c r="B8405" s="3"/>
      <c r="C8405" s="3" t="s">
        <v>24475</v>
      </c>
      <c r="D8405" s="3" t="s">
        <v>9</v>
      </c>
      <c r="E8405" s="3" t="s">
        <v>24476</v>
      </c>
      <c r="F8405" s="3" t="str">
        <f>"812-981-0991"</f>
        <v>812-981-0991</v>
      </c>
      <c r="G8405" s="3">
        <v>339950</v>
      </c>
      <c r="H8405" s="3" t="s">
        <v>68</v>
      </c>
    </row>
    <row r="8406" spans="1:8" ht="39" x14ac:dyDescent="0.25">
      <c r="A8406" s="3" t="s">
        <v>24477</v>
      </c>
      <c r="B8406" s="3"/>
      <c r="C8406" s="3" t="str">
        <f>"Design, Manufacture, Service and Install Electrical &amp; Non- Electrical Signs- Permit Procurement ."</f>
        <v>Design, Manufacture, Service and Install Electrical &amp; Non- Electrical Signs- Permit Procurement .</v>
      </c>
      <c r="D8406" s="3" t="s">
        <v>24478</v>
      </c>
      <c r="E8406" s="3" t="s">
        <v>24479</v>
      </c>
      <c r="F8406" s="3" t="str">
        <f>"317-996-2839"</f>
        <v>317-996-2839</v>
      </c>
      <c r="G8406" s="3">
        <v>33995</v>
      </c>
      <c r="H8406" s="3" t="s">
        <v>68</v>
      </c>
    </row>
    <row r="8407" spans="1:8" ht="51.75" x14ac:dyDescent="0.25">
      <c r="A8407" s="3" t="s">
        <v>24480</v>
      </c>
      <c r="B8407" s="3"/>
      <c r="C8407" s="3" t="str">
        <f>"Signal Learning is a Microsoft Certified Partner in Learning Solutions and has been providing IT Training to Indiana government agencies and companies since 1995."</f>
        <v>Signal Learning is a Microsoft Certified Partner in Learning Solutions and has been providing IT Training to Indiana government agencies and companies since 1995.</v>
      </c>
      <c r="D8407" s="3" t="s">
        <v>24481</v>
      </c>
      <c r="E8407" s="3" t="s">
        <v>24482</v>
      </c>
      <c r="F8407" s="3" t="str">
        <f>"317-573-2320"</f>
        <v>317-573-2320</v>
      </c>
      <c r="G8407" s="3">
        <v>611420</v>
      </c>
      <c r="H8407" s="3" t="s">
        <v>39</v>
      </c>
    </row>
    <row r="8408" spans="1:8" ht="192" x14ac:dyDescent="0.25">
      <c r="A8408" s="3" t="s">
        <v>24483</v>
      </c>
      <c r="B8408" s="3"/>
      <c r="C8408" s="3" t="s">
        <v>24484</v>
      </c>
      <c r="D8408" s="3" t="s">
        <v>24485</v>
      </c>
      <c r="E8408" s="3" t="s">
        <v>46</v>
      </c>
      <c r="F8408" s="3" t="str">
        <f>"3175751805"</f>
        <v>3175751805</v>
      </c>
      <c r="G8408" s="3">
        <v>23599</v>
      </c>
      <c r="H8408" s="3" t="s">
        <v>248</v>
      </c>
    </row>
    <row r="8409" spans="1:8" ht="204.75" x14ac:dyDescent="0.25">
      <c r="A8409" s="3" t="s">
        <v>24486</v>
      </c>
      <c r="B8409" s="3"/>
      <c r="C8409" s="3" t="s">
        <v>24487</v>
      </c>
      <c r="D8409" s="3" t="s">
        <v>24488</v>
      </c>
      <c r="E8409" s="3" t="s">
        <v>24489</v>
      </c>
      <c r="F8409" s="3" t="str">
        <f>"260-625-4403"</f>
        <v>260-625-4403</v>
      </c>
      <c r="G8409" s="3">
        <v>541310</v>
      </c>
      <c r="H8409" s="3" t="s">
        <v>446</v>
      </c>
    </row>
    <row r="8410" spans="1:8" ht="39" x14ac:dyDescent="0.25">
      <c r="A8410" s="3" t="s">
        <v>24490</v>
      </c>
      <c r="B8410" s="3"/>
      <c r="C8410" s="3" t="str">
        <f>"Signature Lawn Solutions is a full service landscape company servicing centeral Indiana."</f>
        <v>Signature Lawn Solutions is a full service landscape company servicing centeral Indiana.</v>
      </c>
      <c r="D8410" s="3" t="s">
        <v>24491</v>
      </c>
      <c r="E8410" s="3" t="s">
        <v>24492</v>
      </c>
      <c r="F8410" s="3" t="str">
        <f>"317-840-3300"</f>
        <v>317-840-3300</v>
      </c>
      <c r="G8410" s="3">
        <v>11142</v>
      </c>
      <c r="H8410" s="3" t="s">
        <v>3858</v>
      </c>
    </row>
    <row r="8411" spans="1:8" ht="64.5" x14ac:dyDescent="0.25">
      <c r="A8411" s="3" t="s">
        <v>24493</v>
      </c>
      <c r="B8411" s="3"/>
      <c r="C8411" s="3" t="str">
        <f>"We manufacture custom signs and graphics including site signs, dimensional signs, ADA signs, point-of-sale signs, banners, vehicle graphics, window graphics, ready-to-apply lettering, exhibits and displays"</f>
        <v>We manufacture custom signs and graphics including site signs, dimensional signs, ADA signs, point-of-sale signs, banners, vehicle graphics, window graphics, ready-to-apply lettering, exhibits and displays</v>
      </c>
      <c r="D8411" s="3" t="s">
        <v>24494</v>
      </c>
      <c r="E8411" s="3" t="s">
        <v>24495</v>
      </c>
      <c r="F8411" s="3" t="str">
        <f>"317-898-6118"</f>
        <v>317-898-6118</v>
      </c>
      <c r="G8411" s="3">
        <v>33995</v>
      </c>
      <c r="H8411" s="3" t="s">
        <v>68</v>
      </c>
    </row>
    <row r="8412" spans="1:8" ht="77.25" x14ac:dyDescent="0.25">
      <c r="A8412" s="3" t="s">
        <v>24496</v>
      </c>
      <c r="B8412" s="3"/>
      <c r="C8412" s="3" t="str">
        <f>"We offer a variety of signage for you business or home needs. This includes portable sign sales and rentals, permanent signs, digital signs, magnetics, banners, letters, and other sign needs including sign removal and installation."</f>
        <v>We offer a variety of signage for you business or home needs. This includes portable sign sales and rentals, permanent signs, digital signs, magnetics, banners, letters, and other sign needs including sign removal and installation.</v>
      </c>
      <c r="D8412" s="3" t="s">
        <v>9</v>
      </c>
      <c r="E8412" s="3" t="s">
        <v>24497</v>
      </c>
      <c r="F8412" s="3" t="str">
        <f>"765-883-6026"</f>
        <v>765-883-6026</v>
      </c>
      <c r="G8412" s="3">
        <v>423440</v>
      </c>
      <c r="H8412" s="3" t="s">
        <v>12364</v>
      </c>
    </row>
    <row r="8413" spans="1:8" ht="115.5" x14ac:dyDescent="0.25">
      <c r="A8413" s="3" t="s">
        <v>24498</v>
      </c>
      <c r="B8413" s="3"/>
      <c r="C8413" s="3" t="s">
        <v>24499</v>
      </c>
      <c r="D8413" s="3" t="s">
        <v>24500</v>
      </c>
      <c r="E8413" s="3" t="s">
        <v>24501</v>
      </c>
      <c r="F8413" s="2"/>
      <c r="G8413" s="3">
        <v>311920</v>
      </c>
      <c r="H8413" s="3" t="s">
        <v>7015</v>
      </c>
    </row>
    <row r="8414" spans="1:8" ht="306.75" x14ac:dyDescent="0.25">
      <c r="A8414" s="3" t="s">
        <v>24502</v>
      </c>
      <c r="B8414" s="3"/>
      <c r="C8414" s="3" t="s">
        <v>24503</v>
      </c>
      <c r="D8414" s="3" t="s">
        <v>24504</v>
      </c>
      <c r="E8414" s="3" t="s">
        <v>24505</v>
      </c>
      <c r="F8414" s="3" t="str">
        <f>"1-888-846-5550"</f>
        <v>1-888-846-5550</v>
      </c>
      <c r="G8414" s="3">
        <v>541512</v>
      </c>
      <c r="H8414" s="3" t="s">
        <v>19</v>
      </c>
    </row>
    <row r="8415" spans="1:8" ht="51.75" x14ac:dyDescent="0.25">
      <c r="A8415" s="3" t="s">
        <v>24506</v>
      </c>
      <c r="B8415" s="3"/>
      <c r="C8415" s="3" t="str">
        <f>"New and Used Automobile Dealer Provide service to all makes and models of vehicles Provide new Toyota vehicles for rental services"</f>
        <v>New and Used Automobile Dealer Provide service to all makes and models of vehicles Provide new Toyota vehicles for rental services</v>
      </c>
      <c r="D8415" s="3" t="s">
        <v>24507</v>
      </c>
      <c r="E8415" s="3" t="s">
        <v>24508</v>
      </c>
      <c r="F8415" s="3" t="str">
        <f>"765-289-0201"</f>
        <v>765-289-0201</v>
      </c>
      <c r="G8415" s="3">
        <v>4411</v>
      </c>
      <c r="H8415" s="3" t="s">
        <v>1015</v>
      </c>
    </row>
    <row r="8416" spans="1:8" ht="26.25" x14ac:dyDescent="0.25">
      <c r="A8416" s="3" t="s">
        <v>24509</v>
      </c>
      <c r="B8416" s="3"/>
      <c r="C8416" s="3" t="str">
        <f>"We are a volunteer fire department"</f>
        <v>We are a volunteer fire department</v>
      </c>
      <c r="D8416" s="3" t="s">
        <v>9</v>
      </c>
      <c r="E8416" s="3" t="s">
        <v>24510</v>
      </c>
      <c r="F8416" s="3" t="str">
        <f>"260-352-3245"</f>
        <v>260-352-3245</v>
      </c>
      <c r="G8416" s="3">
        <v>92216</v>
      </c>
      <c r="H8416" s="3" t="s">
        <v>2246</v>
      </c>
    </row>
    <row r="8417" spans="1:8" ht="26.25" x14ac:dyDescent="0.25">
      <c r="A8417" s="3" t="s">
        <v>24511</v>
      </c>
      <c r="B8417" s="3"/>
      <c r="C8417" s="3" t="str">
        <f>"Computer LAN and WAN networks Wireless networks Outsourcing for special projects"</f>
        <v>Computer LAN and WAN networks Wireless networks Outsourcing for special projects</v>
      </c>
      <c r="D8417" s="3" t="s">
        <v>24512</v>
      </c>
      <c r="E8417" s="3" t="s">
        <v>24513</v>
      </c>
      <c r="F8417" s="3" t="str">
        <f>"317-822-3430"</f>
        <v>317-822-3430</v>
      </c>
      <c r="G8417" s="3">
        <v>541512</v>
      </c>
      <c r="H8417" s="3" t="s">
        <v>19</v>
      </c>
    </row>
    <row r="8418" spans="1:8" ht="77.25" x14ac:dyDescent="0.25">
      <c r="A8418" s="3" t="s">
        <v>24514</v>
      </c>
      <c r="B8418" s="3"/>
      <c r="C8418" s="3" t="str">
        <f>"We offer streamlined kitting and fulfillment solutions. We can provide everything from design and assembly to fulfillment and distribution for a variety of industries including the hospitality industry, and retail or wholesale businesses."</f>
        <v>We offer streamlined kitting and fulfillment solutions. We can provide everything from design and assembly to fulfillment and distribution for a variety of industries including the hospitality industry, and retail or wholesale businesses.</v>
      </c>
      <c r="D8418" s="3" t="s">
        <v>9</v>
      </c>
      <c r="E8418" s="3" t="s">
        <v>24515</v>
      </c>
      <c r="F8418" s="3" t="str">
        <f>"317-753-8602"</f>
        <v>317-753-8602</v>
      </c>
      <c r="G8418" s="3">
        <v>488991</v>
      </c>
      <c r="H8418" s="3" t="s">
        <v>6811</v>
      </c>
    </row>
    <row r="8419" spans="1:8" ht="141" x14ac:dyDescent="0.25">
      <c r="A8419" s="3" t="s">
        <v>24516</v>
      </c>
      <c r="B8419" s="3"/>
      <c r="C8419" s="3" t="s">
        <v>24517</v>
      </c>
      <c r="D8419" s="3" t="s">
        <v>9</v>
      </c>
      <c r="E8419" s="3" t="s">
        <v>24518</v>
      </c>
      <c r="F8419" s="2"/>
      <c r="G8419" s="3">
        <v>541519</v>
      </c>
      <c r="H8419" s="3" t="s">
        <v>898</v>
      </c>
    </row>
    <row r="8420" spans="1:8" ht="51.75" x14ac:dyDescent="0.25">
      <c r="A8420" s="3" t="s">
        <v>24519</v>
      </c>
      <c r="B8420" s="3"/>
      <c r="C8420" s="3" t="str">
        <f>"We provide quality janitorial / cleaning services using environmental friendly products and procedures. ""Your Green Cleaning Specialist"""</f>
        <v>We provide quality janitorial / cleaning services using environmental friendly products and procedures. "Your Green Cleaning Specialist"</v>
      </c>
      <c r="D8420" s="3" t="s">
        <v>24520</v>
      </c>
      <c r="E8420" s="3" t="s">
        <v>24521</v>
      </c>
      <c r="F8420" s="3" t="str">
        <f>"812-386-9105"</f>
        <v>812-386-9105</v>
      </c>
      <c r="G8420" s="3">
        <v>561720</v>
      </c>
      <c r="H8420" s="3" t="s">
        <v>222</v>
      </c>
    </row>
    <row r="8421" spans="1:8" ht="26.25" x14ac:dyDescent="0.25">
      <c r="A8421" s="3" t="s">
        <v>24522</v>
      </c>
      <c r="B8421" s="3"/>
      <c r="C8421" s="3" t="str">
        <f>"We make custom made puzzles for gifts and fund raisers from digital photographs."</f>
        <v>We make custom made puzzles for gifts and fund raisers from digital photographs.</v>
      </c>
      <c r="D8421" s="3" t="s">
        <v>9</v>
      </c>
      <c r="E8421" s="3" t="s">
        <v>24523</v>
      </c>
      <c r="F8421" s="3" t="str">
        <f>"765-437-8975"</f>
        <v>765-437-8975</v>
      </c>
      <c r="G8421" s="3">
        <v>453220</v>
      </c>
      <c r="H8421" s="3" t="s">
        <v>274</v>
      </c>
    </row>
    <row r="8422" spans="1:8" ht="26.25" x14ac:dyDescent="0.25">
      <c r="A8422" s="3" t="s">
        <v>24524</v>
      </c>
      <c r="B8422" s="3"/>
      <c r="C8422" s="3" t="str">
        <f>"Wedding and Event Planning"</f>
        <v>Wedding and Event Planning</v>
      </c>
      <c r="D8422" s="3" t="s">
        <v>24525</v>
      </c>
      <c r="E8422" s="3" t="s">
        <v>24526</v>
      </c>
      <c r="F8422" s="3" t="str">
        <f>"317-508-2171"</f>
        <v>317-508-2171</v>
      </c>
      <c r="G8422" s="3">
        <v>812990</v>
      </c>
      <c r="H8422" s="3" t="s">
        <v>294</v>
      </c>
    </row>
    <row r="8423" spans="1:8" ht="51.75" x14ac:dyDescent="0.25">
      <c r="A8423" s="3" t="s">
        <v>24527</v>
      </c>
      <c r="B8423" s="3"/>
      <c r="C8423" s="3" t="str">
        <f>"Simple Security Solutions provides complete installation of low voltage control systems, including but not limited to access control, CCTV, intrustion, and temperature control."</f>
        <v>Simple Security Solutions provides complete installation of low voltage control systems, including but not limited to access control, CCTV, intrustion, and temperature control.</v>
      </c>
      <c r="D8423" s="3" t="s">
        <v>9</v>
      </c>
      <c r="E8423" s="3" t="s">
        <v>24528</v>
      </c>
      <c r="F8423" s="3" t="str">
        <f>"317-341-5829"</f>
        <v>317-341-5829</v>
      </c>
      <c r="G8423" s="3">
        <v>56162</v>
      </c>
      <c r="H8423" s="3" t="s">
        <v>1276</v>
      </c>
    </row>
    <row r="8424" spans="1:8" ht="26.25" x14ac:dyDescent="0.25">
      <c r="A8424" s="3" t="s">
        <v>24529</v>
      </c>
      <c r="B8424" s="3"/>
      <c r="C8424" s="3" t="str">
        <f>"System Integrator of Automatic Data Collection and Weighing systems."</f>
        <v>System Integrator of Automatic Data Collection and Weighing systems.</v>
      </c>
      <c r="D8424" s="3" t="s">
        <v>24530</v>
      </c>
      <c r="E8424" s="3" t="s">
        <v>24531</v>
      </c>
      <c r="F8424" s="3" t="str">
        <f>"317-228-9045"</f>
        <v>317-228-9045</v>
      </c>
      <c r="G8424" s="3">
        <v>541512</v>
      </c>
      <c r="H8424" s="3" t="s">
        <v>19</v>
      </c>
    </row>
    <row r="8425" spans="1:8" ht="128.25" x14ac:dyDescent="0.25">
      <c r="A8425" s="3" t="s">
        <v>24532</v>
      </c>
      <c r="B8425" s="3"/>
      <c r="C8425" s="3" t="s">
        <v>24533</v>
      </c>
      <c r="D8425" s="3" t="s">
        <v>24534</v>
      </c>
      <c r="E8425" s="3" t="s">
        <v>24535</v>
      </c>
      <c r="F8425" s="3" t="str">
        <f>"574.968.3600"</f>
        <v>574.968.3600</v>
      </c>
      <c r="G8425" s="3">
        <v>56131</v>
      </c>
      <c r="H8425" s="3" t="s">
        <v>1720</v>
      </c>
    </row>
    <row r="8426" spans="1:8" ht="77.25" x14ac:dyDescent="0.25">
      <c r="A8426" s="3" t="s">
        <v>24536</v>
      </c>
      <c r="B8426" s="3"/>
      <c r="C8426" s="3" t="str">
        <f>"We are a personal chef business located in Pittsboro, IN. Our business caters to individuals and businesses through-out central Indiana. We also cater events and business functions for 100 people and under."</f>
        <v>We are a personal chef business located in Pittsboro, IN. Our business caters to individuals and businesses through-out central Indiana. We also cater events and business functions for 100 people and under.</v>
      </c>
      <c r="D8426" s="3" t="s">
        <v>24537</v>
      </c>
      <c r="E8426" s="3" t="s">
        <v>24538</v>
      </c>
      <c r="F8426" s="3" t="str">
        <f>"317-417-8574"</f>
        <v>317-417-8574</v>
      </c>
      <c r="G8426" s="3">
        <v>722320</v>
      </c>
      <c r="H8426" s="3" t="s">
        <v>266</v>
      </c>
    </row>
    <row r="8427" spans="1:8" ht="115.5" x14ac:dyDescent="0.25">
      <c r="A8427" s="3" t="s">
        <v>24539</v>
      </c>
      <c r="B8427" s="3"/>
      <c r="C8427" s="3" t="s">
        <v>24540</v>
      </c>
      <c r="D8427" s="3" t="s">
        <v>24541</v>
      </c>
      <c r="E8427" s="3" t="s">
        <v>24542</v>
      </c>
      <c r="F8427" s="3" t="str">
        <f>"765-412-2099"</f>
        <v>765-412-2099</v>
      </c>
      <c r="G8427" s="3">
        <v>541614</v>
      </c>
      <c r="H8427" s="3" t="s">
        <v>107</v>
      </c>
    </row>
    <row r="8428" spans="1:8" ht="306.75" x14ac:dyDescent="0.25">
      <c r="A8428" s="3" t="s">
        <v>24543</v>
      </c>
      <c r="B8428" s="3"/>
      <c r="C8428" s="3" t="s">
        <v>24544</v>
      </c>
      <c r="D8428" s="3" t="s">
        <v>24545</v>
      </c>
      <c r="E8428" s="3" t="s">
        <v>24546</v>
      </c>
      <c r="F8428" s="3" t="str">
        <f>"317-492-9001"</f>
        <v>317-492-9001</v>
      </c>
      <c r="G8428" s="3">
        <v>53</v>
      </c>
      <c r="H8428" s="3" t="s">
        <v>2336</v>
      </c>
    </row>
    <row r="8429" spans="1:8" ht="26.25" x14ac:dyDescent="0.25">
      <c r="A8429" s="3" t="s">
        <v>24547</v>
      </c>
      <c r="B8429" s="3"/>
      <c r="C8429" s="3" t="str">
        <f>" "</f>
        <v xml:space="preserve"> </v>
      </c>
      <c r="D8429" s="3" t="s">
        <v>9</v>
      </c>
      <c r="E8429" s="3" t="s">
        <v>46</v>
      </c>
      <c r="F8429" s="3" t="str">
        <f>"812-969-2766"</f>
        <v>812-969-2766</v>
      </c>
      <c r="G8429" s="3">
        <v>33299</v>
      </c>
      <c r="H8429" s="3" t="s">
        <v>8211</v>
      </c>
    </row>
    <row r="8430" spans="1:8" ht="39" x14ac:dyDescent="0.25">
      <c r="A8430" s="3" t="s">
        <v>24548</v>
      </c>
      <c r="B8430" s="3"/>
      <c r="C8430" s="3" t="str">
        <f>"Education, information technology, procurement and workforce development consulting services"</f>
        <v>Education, information technology, procurement and workforce development consulting services</v>
      </c>
      <c r="D8430" s="3" t="s">
        <v>9</v>
      </c>
      <c r="E8430" s="3" t="s">
        <v>24549</v>
      </c>
      <c r="F8430" s="3" t="str">
        <f>"812-599-0990"</f>
        <v>812-599-0990</v>
      </c>
      <c r="G8430" s="3">
        <v>611710</v>
      </c>
      <c r="H8430" s="3" t="s">
        <v>508</v>
      </c>
    </row>
    <row r="8431" spans="1:8" ht="90" x14ac:dyDescent="0.25">
      <c r="A8431" s="3" t="s">
        <v>24550</v>
      </c>
      <c r="B8431" s="3"/>
      <c r="C8431" s="3" t="s">
        <v>24551</v>
      </c>
      <c r="D8431" s="3" t="s">
        <v>24552</v>
      </c>
      <c r="E8431" s="3" t="s">
        <v>24553</v>
      </c>
      <c r="F8431" s="3" t="str">
        <f>"765-374-3845"</f>
        <v>765-374-3845</v>
      </c>
      <c r="G8431" s="3">
        <v>238210</v>
      </c>
      <c r="H8431" s="3" t="s">
        <v>306</v>
      </c>
    </row>
    <row r="8432" spans="1:8" ht="39" x14ac:dyDescent="0.25">
      <c r="A8432" s="3" t="s">
        <v>24554</v>
      </c>
      <c r="B8432" s="3"/>
      <c r="C8432" s="3" t="str">
        <f>"Manufacture Steel Rule Dies. Die cutting, scoring, folding, gluing, and other forms of paper processing."</f>
        <v>Manufacture Steel Rule Dies. Die cutting, scoring, folding, gluing, and other forms of paper processing.</v>
      </c>
      <c r="D8432" s="3" t="s">
        <v>9</v>
      </c>
      <c r="E8432" s="3" t="s">
        <v>24555</v>
      </c>
      <c r="F8432" s="3" t="str">
        <f>"260-632-5650"</f>
        <v>260-632-5650</v>
      </c>
      <c r="G8432" s="3">
        <v>322231</v>
      </c>
      <c r="H8432" s="3" t="s">
        <v>20004</v>
      </c>
    </row>
    <row r="8433" spans="1:8" ht="51.75" x14ac:dyDescent="0.25">
      <c r="A8433" s="3" t="s">
        <v>24556</v>
      </c>
      <c r="B8433" s="3"/>
      <c r="C8433" s="3" t="str">
        <f>"We are an automotive repair shop that services all makes and models. We can cover all automotive needs from a basic oil change to and engine exchange or rebuild."</f>
        <v>We are an automotive repair shop that services all makes and models. We can cover all automotive needs from a basic oil change to and engine exchange or rebuild.</v>
      </c>
      <c r="D8433" s="3" t="s">
        <v>9</v>
      </c>
      <c r="E8433" s="3" t="s">
        <v>46</v>
      </c>
      <c r="F8433" s="3" t="str">
        <f>"812-234-6900"</f>
        <v>812-234-6900</v>
      </c>
      <c r="G8433" s="3">
        <v>81111</v>
      </c>
      <c r="H8433" s="3" t="s">
        <v>96</v>
      </c>
    </row>
    <row r="8434" spans="1:8" ht="90" x14ac:dyDescent="0.25">
      <c r="A8434" s="3" t="s">
        <v>24557</v>
      </c>
      <c r="B8434" s="3"/>
      <c r="C8434" s="3" t="s">
        <v>24558</v>
      </c>
      <c r="D8434" s="3" t="s">
        <v>24559</v>
      </c>
      <c r="E8434" s="3" t="s">
        <v>24560</v>
      </c>
      <c r="F8434" s="3" t="str">
        <f>"317.657.6401"</f>
        <v>317.657.6401</v>
      </c>
      <c r="G8434" s="3">
        <v>624110</v>
      </c>
      <c r="H8434" s="3" t="s">
        <v>628</v>
      </c>
    </row>
    <row r="8435" spans="1:8" ht="77.25" x14ac:dyDescent="0.25">
      <c r="A8435" s="3" t="s">
        <v>24561</v>
      </c>
      <c r="B8435" s="3"/>
      <c r="C8435" s="3" t="str">
        <f>"Sister's Sanitation Services provides portable restrooms, standard and handicap units, and portable hand wash stations. Units can be rented for short or long term use. Weekly cleanings and stocking of materials is included in the rental price."</f>
        <v>Sister's Sanitation Services provides portable restrooms, standard and handicap units, and portable hand wash stations. Units can be rented for short or long term use. Weekly cleanings and stocking of materials is included in the rental price.</v>
      </c>
      <c r="D8435" s="3" t="s">
        <v>9</v>
      </c>
      <c r="E8435" s="3" t="s">
        <v>4744</v>
      </c>
      <c r="F8435" s="3" t="str">
        <f>"765-763-0332"</f>
        <v>765-763-0332</v>
      </c>
      <c r="G8435" s="3">
        <v>5621</v>
      </c>
      <c r="H8435" s="3" t="s">
        <v>501</v>
      </c>
    </row>
    <row r="8436" spans="1:8" x14ac:dyDescent="0.25">
      <c r="A8436" s="3" t="s">
        <v>24562</v>
      </c>
      <c r="B8436" s="3"/>
      <c r="C8436" s="3" t="str">
        <f>"landscaping"</f>
        <v>landscaping</v>
      </c>
      <c r="D8436" s="3" t="s">
        <v>9</v>
      </c>
      <c r="E8436" s="3" t="s">
        <v>24563</v>
      </c>
      <c r="F8436" s="2"/>
      <c r="G8436" s="3">
        <v>561730</v>
      </c>
      <c r="H8436" s="3" t="s">
        <v>65</v>
      </c>
    </row>
    <row r="8437" spans="1:8" ht="141" x14ac:dyDescent="0.25">
      <c r="A8437" s="3" t="s">
        <v>24564</v>
      </c>
      <c r="B8437" s="3"/>
      <c r="C8437" s="3" t="s">
        <v>24565</v>
      </c>
      <c r="D8437" s="3" t="s">
        <v>24566</v>
      </c>
      <c r="E8437" s="3" t="s">
        <v>24567</v>
      </c>
      <c r="F8437" s="3" t="str">
        <f>"317-733-8400"</f>
        <v>317-733-8400</v>
      </c>
      <c r="G8437" s="3">
        <v>516110</v>
      </c>
      <c r="H8437" s="3" t="s">
        <v>13801</v>
      </c>
    </row>
    <row r="8438" spans="1:8" ht="294" x14ac:dyDescent="0.25">
      <c r="A8438" s="3" t="s">
        <v>24568</v>
      </c>
      <c r="B8438" s="3"/>
      <c r="C8438" s="3" t="s">
        <v>24569</v>
      </c>
      <c r="D8438" s="3" t="s">
        <v>24570</v>
      </c>
      <c r="E8438" s="3" t="s">
        <v>24571</v>
      </c>
      <c r="F8438" s="3" t="str">
        <f>"317-697-6727"</f>
        <v>317-697-6727</v>
      </c>
      <c r="G8438" s="3">
        <v>541320</v>
      </c>
      <c r="H8438" s="3" t="s">
        <v>2241</v>
      </c>
    </row>
    <row r="8439" spans="1:8" ht="141" x14ac:dyDescent="0.25">
      <c r="A8439" s="3" t="s">
        <v>24572</v>
      </c>
      <c r="B8439" s="3"/>
      <c r="C8439" s="3" t="s">
        <v>24573</v>
      </c>
      <c r="D8439" s="3" t="s">
        <v>9</v>
      </c>
      <c r="E8439" s="3" t="s">
        <v>24574</v>
      </c>
      <c r="F8439" s="3" t="str">
        <f>"812-631-2374"</f>
        <v>812-631-2374</v>
      </c>
      <c r="G8439" s="3">
        <v>238210</v>
      </c>
      <c r="H8439" s="3" t="s">
        <v>306</v>
      </c>
    </row>
    <row r="8440" spans="1:8" ht="306.75" x14ac:dyDescent="0.25">
      <c r="A8440" s="3" t="s">
        <v>24575</v>
      </c>
      <c r="B8440" s="3"/>
      <c r="C8440" s="3" t="s">
        <v>24576</v>
      </c>
      <c r="D8440" s="3" t="s">
        <v>24577</v>
      </c>
      <c r="E8440" s="3" t="s">
        <v>24578</v>
      </c>
      <c r="F8440" s="3" t="str">
        <f>"317-861-5948"</f>
        <v>317-861-5948</v>
      </c>
      <c r="G8440" s="3">
        <v>541511</v>
      </c>
      <c r="H8440" s="3" t="s">
        <v>122</v>
      </c>
    </row>
    <row r="8441" spans="1:8" ht="102.75" x14ac:dyDescent="0.25">
      <c r="A8441" s="3" t="s">
        <v>24579</v>
      </c>
      <c r="B8441" s="3"/>
      <c r="C8441" s="3" t="s">
        <v>24580</v>
      </c>
      <c r="D8441" s="3" t="s">
        <v>9</v>
      </c>
      <c r="E8441" s="3" t="s">
        <v>24581</v>
      </c>
      <c r="F8441" s="3" t="str">
        <f>"3178315948 / 3179030006"</f>
        <v>3178315948 / 3179030006</v>
      </c>
      <c r="G8441" s="3">
        <v>561720</v>
      </c>
      <c r="H8441" s="3" t="s">
        <v>222</v>
      </c>
    </row>
    <row r="8442" spans="1:8" ht="51.75" x14ac:dyDescent="0.25">
      <c r="A8442" s="3" t="s">
        <v>24582</v>
      </c>
      <c r="B8442" s="3"/>
      <c r="C8442" s="3" t="str">
        <f>"Skeff's Landscaping &amp; Excavating, Inc. provides full-service landscaping services as well as excavating services. Skeff's also offers landscape consulting services."</f>
        <v>Skeff's Landscaping &amp; Excavating, Inc. provides full-service landscaping services as well as excavating services. Skeff's also offers landscape consulting services.</v>
      </c>
      <c r="D8442" s="3" t="s">
        <v>9</v>
      </c>
      <c r="E8442" s="3" t="s">
        <v>46</v>
      </c>
      <c r="F8442" s="2"/>
      <c r="G8442" s="3">
        <v>561730</v>
      </c>
      <c r="H8442" s="3" t="s">
        <v>65</v>
      </c>
    </row>
    <row r="8443" spans="1:8" ht="306.75" x14ac:dyDescent="0.25">
      <c r="A8443" s="3" t="s">
        <v>24583</v>
      </c>
      <c r="B8443" s="3"/>
      <c r="C8443" s="3" t="s">
        <v>24584</v>
      </c>
      <c r="D8443" s="3" t="s">
        <v>24585</v>
      </c>
      <c r="E8443" s="3" t="s">
        <v>24586</v>
      </c>
      <c r="F8443" s="3" t="str">
        <f>"812-677-0794"</f>
        <v>812-677-0794</v>
      </c>
      <c r="G8443" s="3">
        <v>541430</v>
      </c>
      <c r="H8443" s="3" t="s">
        <v>78</v>
      </c>
    </row>
    <row r="8444" spans="1:8" ht="192" x14ac:dyDescent="0.25">
      <c r="A8444" s="3" t="s">
        <v>24587</v>
      </c>
      <c r="B8444" s="3"/>
      <c r="C8444" s="3" t="s">
        <v>24588</v>
      </c>
      <c r="D8444" s="3" t="s">
        <v>24589</v>
      </c>
      <c r="E8444" s="3" t="s">
        <v>24590</v>
      </c>
      <c r="F8444" s="3" t="str">
        <f>"574-315-4894"</f>
        <v>574-315-4894</v>
      </c>
      <c r="G8444" s="3">
        <v>541611</v>
      </c>
      <c r="H8444" s="3" t="s">
        <v>278</v>
      </c>
    </row>
    <row r="8445" spans="1:8" ht="77.25" x14ac:dyDescent="0.25">
      <c r="A8445" s="3" t="s">
        <v>24591</v>
      </c>
      <c r="B8445" s="3"/>
      <c r="C8445" s="3" t="str">
        <f>"Provides Satellite Telecom Services to Govt and Business. Includes High Speed IP based Internet and Data, Digital Secure Voice / Telephone, Video, Emergency and Disaster Recovery Communications, and Teleconferencing."</f>
        <v>Provides Satellite Telecom Services to Govt and Business. Includes High Speed IP based Internet and Data, Digital Secure Voice / Telephone, Video, Emergency and Disaster Recovery Communications, and Teleconferencing.</v>
      </c>
      <c r="D8445" s="3" t="s">
        <v>24592</v>
      </c>
      <c r="E8445" s="3" t="s">
        <v>24593</v>
      </c>
      <c r="F8445" s="3" t="str">
        <f>"317-535-1600"</f>
        <v>317-535-1600</v>
      </c>
      <c r="G8445" s="3">
        <v>51334</v>
      </c>
      <c r="H8445" s="3" t="s">
        <v>13855</v>
      </c>
    </row>
    <row r="8446" spans="1:8" ht="26.25" x14ac:dyDescent="0.25">
      <c r="A8446" s="3" t="s">
        <v>24594</v>
      </c>
      <c r="B8446" s="3"/>
      <c r="C8446" s="3" t="str">
        <f>"Retail operator of Auntie Anne's Hand Rolled Soft Pretzels franchise."</f>
        <v>Retail operator of Auntie Anne's Hand Rolled Soft Pretzels franchise.</v>
      </c>
      <c r="D8446" s="3" t="s">
        <v>9</v>
      </c>
      <c r="E8446" s="3" t="s">
        <v>46</v>
      </c>
      <c r="F8446" s="3" t="str">
        <f>"812 423-4471"</f>
        <v>812 423-4471</v>
      </c>
      <c r="G8446" s="3">
        <v>445299</v>
      </c>
      <c r="H8446" s="3" t="s">
        <v>7899</v>
      </c>
    </row>
    <row r="8447" spans="1:8" ht="51.75" x14ac:dyDescent="0.25">
      <c r="A8447" s="3" t="s">
        <v>24595</v>
      </c>
      <c r="B8447" s="3"/>
      <c r="C8447" s="3" t="str">
        <f>"We provide excavation services, land clearing, site prep, earthwork, subdivison development, demolition, and utility work for commercial and residential projects."</f>
        <v>We provide excavation services, land clearing, site prep, earthwork, subdivison development, demolition, and utility work for commercial and residential projects.</v>
      </c>
      <c r="D8447" s="3" t="s">
        <v>9</v>
      </c>
      <c r="E8447" s="3" t="s">
        <v>24596</v>
      </c>
      <c r="F8447" s="3" t="str">
        <f>"812-824-9796"</f>
        <v>812-824-9796</v>
      </c>
      <c r="G8447" s="3">
        <v>23593</v>
      </c>
      <c r="H8447" s="3" t="s">
        <v>71</v>
      </c>
    </row>
    <row r="8448" spans="1:8" ht="51.75" x14ac:dyDescent="0.25">
      <c r="A8448" s="3" t="s">
        <v>24597</v>
      </c>
      <c r="B8448" s="3"/>
      <c r="C8448" s="3" t="str">
        <f>"We have been in business in Indiana since 1924 and provide services in roofing, sheet metal fabrication and installation, masonry building restoration and carpentry."</f>
        <v>We have been in business in Indiana since 1924 and provide services in roofing, sheet metal fabrication and installation, masonry building restoration and carpentry.</v>
      </c>
      <c r="D8448" s="3" t="s">
        <v>24598</v>
      </c>
      <c r="E8448" s="3" t="s">
        <v>24599</v>
      </c>
      <c r="F8448" s="3" t="str">
        <f>"574-233-7485"</f>
        <v>574-233-7485</v>
      </c>
      <c r="G8448" s="3">
        <v>238160</v>
      </c>
      <c r="H8448" s="3" t="s">
        <v>144</v>
      </c>
    </row>
    <row r="8449" spans="1:8" ht="26.25" x14ac:dyDescent="0.25">
      <c r="A8449" s="3" t="s">
        <v>24600</v>
      </c>
      <c r="B8449" s="3"/>
      <c r="C8449" s="3" t="str">
        <f>"general contractor and specializing with custom metal fabrication"</f>
        <v>general contractor and specializing with custom metal fabrication</v>
      </c>
      <c r="D8449" s="3" t="s">
        <v>9</v>
      </c>
      <c r="E8449" s="3" t="s">
        <v>24601</v>
      </c>
      <c r="F8449" s="3" t="str">
        <f>"3173262927"</f>
        <v>3173262927</v>
      </c>
      <c r="G8449" s="3">
        <v>238990</v>
      </c>
      <c r="H8449" s="3" t="s">
        <v>481</v>
      </c>
    </row>
    <row r="8450" spans="1:8" ht="319.5" x14ac:dyDescent="0.25">
      <c r="A8450" s="3" t="s">
        <v>24602</v>
      </c>
      <c r="B8450" s="3"/>
      <c r="C8450" s="3" t="s">
        <v>24603</v>
      </c>
      <c r="D8450" s="3" t="s">
        <v>24604</v>
      </c>
      <c r="E8450" s="3" t="s">
        <v>24605</v>
      </c>
      <c r="F8450" s="3" t="str">
        <f>"317-531-0500"</f>
        <v>317-531-0500</v>
      </c>
      <c r="G8450" s="3">
        <v>5415</v>
      </c>
      <c r="H8450" s="3" t="s">
        <v>188</v>
      </c>
    </row>
    <row r="8451" spans="1:8" ht="26.25" x14ac:dyDescent="0.25">
      <c r="A8451" s="3" t="s">
        <v>24606</v>
      </c>
      <c r="B8451" s="3"/>
      <c r="C8451" s="3" t="str">
        <f>"Manufacturing of concrete products"</f>
        <v>Manufacturing of concrete products</v>
      </c>
      <c r="D8451" s="3" t="s">
        <v>9</v>
      </c>
      <c r="E8451" s="3" t="s">
        <v>46</v>
      </c>
      <c r="F8451" s="3" t="str">
        <f>"765-884-1792"</f>
        <v>765-884-1792</v>
      </c>
      <c r="G8451" s="3">
        <v>32739</v>
      </c>
      <c r="H8451" s="3" t="s">
        <v>2761</v>
      </c>
    </row>
    <row r="8452" spans="1:8" ht="153.75" x14ac:dyDescent="0.25">
      <c r="A8452" s="3" t="s">
        <v>24607</v>
      </c>
      <c r="B8452" s="3"/>
      <c r="C8452" s="3" t="s">
        <v>24608</v>
      </c>
      <c r="D8452" s="3" t="s">
        <v>24609</v>
      </c>
      <c r="E8452" s="3" t="s">
        <v>24610</v>
      </c>
      <c r="F8452" s="3" t="str">
        <f>"574-722-3102"</f>
        <v>574-722-3102</v>
      </c>
      <c r="G8452" s="3">
        <v>237310</v>
      </c>
      <c r="H8452" s="3" t="s">
        <v>768</v>
      </c>
    </row>
    <row r="8453" spans="1:8" ht="26.25" x14ac:dyDescent="0.25">
      <c r="A8453" s="3" t="s">
        <v>24611</v>
      </c>
      <c r="B8453" s="3"/>
      <c r="C8453" s="3" t="str">
        <f>" "</f>
        <v xml:space="preserve"> </v>
      </c>
      <c r="D8453" s="3" t="s">
        <v>24612</v>
      </c>
      <c r="E8453" s="3" t="s">
        <v>24613</v>
      </c>
      <c r="F8453" s="3" t="str">
        <f>"415-778-6250"</f>
        <v>415-778-6250</v>
      </c>
      <c r="G8453" s="3">
        <v>511110</v>
      </c>
      <c r="H8453" s="3" t="s">
        <v>8225</v>
      </c>
    </row>
    <row r="8454" spans="1:8" ht="39" x14ac:dyDescent="0.25">
      <c r="A8454" s="3" t="s">
        <v>24614</v>
      </c>
      <c r="B8454" s="3"/>
      <c r="C8454" s="3" t="str">
        <f>"Small Engine Warehouse specializes in retail, wholesale and surplus sales of small engines and outdoor power equipment."</f>
        <v>Small Engine Warehouse specializes in retail, wholesale and surplus sales of small engines and outdoor power equipment.</v>
      </c>
      <c r="D8454" s="3" t="s">
        <v>24615</v>
      </c>
      <c r="E8454" s="3" t="s">
        <v>24616</v>
      </c>
      <c r="F8454" s="3" t="str">
        <f>"765-287-3400"</f>
        <v>765-287-3400</v>
      </c>
      <c r="G8454" s="3">
        <v>44421</v>
      </c>
      <c r="H8454" s="3" t="s">
        <v>392</v>
      </c>
    </row>
    <row r="8455" spans="1:8" ht="204.75" x14ac:dyDescent="0.25">
      <c r="A8455" s="3" t="s">
        <v>24617</v>
      </c>
      <c r="B8455" s="3"/>
      <c r="C8455" s="3" t="s">
        <v>24618</v>
      </c>
      <c r="D8455" s="3" t="s">
        <v>24619</v>
      </c>
      <c r="E8455" s="3" t="s">
        <v>46</v>
      </c>
      <c r="F8455" s="3" t="str">
        <f>"317-652-0398"</f>
        <v>317-652-0398</v>
      </c>
      <c r="G8455" s="3">
        <v>611430</v>
      </c>
      <c r="H8455" s="3" t="s">
        <v>1224</v>
      </c>
    </row>
    <row r="8456" spans="1:8" ht="39" x14ac:dyDescent="0.25">
      <c r="A8456" s="3" t="s">
        <v>24620</v>
      </c>
      <c r="B8456" s="3"/>
      <c r="C8456" s="3" t="str">
        <f>"landscaping including but not limited to plants, hardscapes, brick, retaining walls, garden center, and retail store"</f>
        <v>landscaping including but not limited to plants, hardscapes, brick, retaining walls, garden center, and retail store</v>
      </c>
      <c r="D8456" s="3" t="s">
        <v>24621</v>
      </c>
      <c r="E8456" s="3" t="s">
        <v>24622</v>
      </c>
      <c r="F8456" s="3" t="str">
        <f>"2197782568"</f>
        <v>2197782568</v>
      </c>
      <c r="G8456" s="3">
        <v>1114</v>
      </c>
      <c r="H8456" s="3" t="s">
        <v>3283</v>
      </c>
    </row>
    <row r="8457" spans="1:8" ht="268.5" x14ac:dyDescent="0.25">
      <c r="A8457" s="3" t="s">
        <v>24623</v>
      </c>
      <c r="B8457" s="3"/>
      <c r="C8457" s="3" t="s">
        <v>24624</v>
      </c>
      <c r="D8457" s="3" t="s">
        <v>24625</v>
      </c>
      <c r="E8457" s="3" t="s">
        <v>24626</v>
      </c>
      <c r="F8457" s="3" t="str">
        <f>"3172540932"</f>
        <v>3172540932</v>
      </c>
      <c r="G8457" s="3">
        <v>541511</v>
      </c>
      <c r="H8457" s="3" t="s">
        <v>122</v>
      </c>
    </row>
    <row r="8458" spans="1:8" ht="51.75" x14ac:dyDescent="0.25">
      <c r="A8458" s="3" t="s">
        <v>24627</v>
      </c>
      <c r="B8458" s="3"/>
      <c r="C8458" s="3" t="str">
        <f>"Security Systems, Securty Camera systems, Home Theater, Intercom System, Whole House Stereo, Whole House Vac, all Low Voltage Wiring/CAT5E and CAT6"</f>
        <v>Security Systems, Securty Camera systems, Home Theater, Intercom System, Whole House Stereo, Whole House Vac, all Low Voltage Wiring/CAT5E and CAT6</v>
      </c>
      <c r="D8458" s="3" t="s">
        <v>9</v>
      </c>
      <c r="E8458" s="3" t="s">
        <v>24628</v>
      </c>
      <c r="F8458" s="3" t="str">
        <f>"317-531-8889"</f>
        <v>317-531-8889</v>
      </c>
      <c r="G8458" s="3">
        <v>238210</v>
      </c>
      <c r="H8458" s="3" t="s">
        <v>306</v>
      </c>
    </row>
    <row r="8459" spans="1:8" ht="39" x14ac:dyDescent="0.25">
      <c r="A8459" s="3" t="s">
        <v>24629</v>
      </c>
      <c r="B8459" s="3"/>
      <c r="C8459" s="3" t="str">
        <f>"SmartIT provides Information Technology staffing for all phases of the software development life cycle."</f>
        <v>SmartIT provides Information Technology staffing for all phases of the software development life cycle.</v>
      </c>
      <c r="D8459" s="3" t="s">
        <v>24630</v>
      </c>
      <c r="E8459" s="3" t="s">
        <v>24631</v>
      </c>
      <c r="F8459" s="3" t="str">
        <f>"(317) 634-0211"</f>
        <v>(317) 634-0211</v>
      </c>
      <c r="G8459" s="3">
        <v>561320</v>
      </c>
      <c r="H8459" s="3" t="s">
        <v>15</v>
      </c>
    </row>
    <row r="8460" spans="1:8" ht="39" x14ac:dyDescent="0.25">
      <c r="A8460" s="3" t="s">
        <v>24632</v>
      </c>
      <c r="B8460" s="3"/>
      <c r="C8460" s="3" t="str">
        <f>"Information Technology staffing company that provides both contract and permanent resources"</f>
        <v>Information Technology staffing company that provides both contract and permanent resources</v>
      </c>
      <c r="D8460" s="3" t="s">
        <v>24630</v>
      </c>
      <c r="E8460" s="3" t="s">
        <v>24633</v>
      </c>
      <c r="F8460" s="3" t="str">
        <f>"317-289-7015"</f>
        <v>317-289-7015</v>
      </c>
      <c r="G8460" s="3">
        <v>541511</v>
      </c>
      <c r="H8460" s="3" t="s">
        <v>122</v>
      </c>
    </row>
    <row r="8461" spans="1:8" ht="51.75" x14ac:dyDescent="0.25">
      <c r="A8461" s="3" t="s">
        <v>24634</v>
      </c>
      <c r="B8461" s="3"/>
      <c r="C8461" s="3" t="str">
        <f>"Providing electrical services in the residential, commercial, and industrial market. We will also install low voltage and firealarm systems"</f>
        <v>Providing electrical services in the residential, commercial, and industrial market. We will also install low voltage and firealarm systems</v>
      </c>
      <c r="D8461" s="3" t="s">
        <v>24635</v>
      </c>
      <c r="E8461" s="3" t="s">
        <v>24636</v>
      </c>
      <c r="F8461" s="3" t="str">
        <f>"219-803-4151"</f>
        <v>219-803-4151</v>
      </c>
      <c r="G8461" s="3">
        <v>2353</v>
      </c>
      <c r="H8461" s="3" t="s">
        <v>306</v>
      </c>
    </row>
    <row r="8462" spans="1:8" ht="294" x14ac:dyDescent="0.25">
      <c r="A8462" s="3" t="s">
        <v>24637</v>
      </c>
      <c r="B8462" s="3"/>
      <c r="C8462" s="3" t="s">
        <v>24638</v>
      </c>
      <c r="D8462" s="3" t="s">
        <v>24639</v>
      </c>
      <c r="E8462" s="3" t="s">
        <v>24640</v>
      </c>
      <c r="F8462" s="3" t="str">
        <f>"800-496-8101"</f>
        <v>800-496-8101</v>
      </c>
      <c r="G8462" s="3">
        <v>541890</v>
      </c>
      <c r="H8462" s="3" t="s">
        <v>401</v>
      </c>
    </row>
    <row r="8463" spans="1:8" ht="217.5" x14ac:dyDescent="0.25">
      <c r="A8463" s="3" t="s">
        <v>24641</v>
      </c>
      <c r="B8463" s="3"/>
      <c r="C8463" s="3" t="s">
        <v>24642</v>
      </c>
      <c r="D8463" s="3" t="s">
        <v>24643</v>
      </c>
      <c r="E8463" s="3" t="s">
        <v>24644</v>
      </c>
      <c r="F8463" s="3" t="str">
        <f>"317-670-1149"</f>
        <v>317-670-1149</v>
      </c>
      <c r="G8463" s="3">
        <v>454390</v>
      </c>
      <c r="H8463" s="3" t="s">
        <v>1348</v>
      </c>
    </row>
    <row r="8464" spans="1:8" ht="90" x14ac:dyDescent="0.25">
      <c r="A8464" s="3" t="s">
        <v>24645</v>
      </c>
      <c r="B8464" s="3"/>
      <c r="C8464" s="3" t="s">
        <v>24646</v>
      </c>
      <c r="D8464" s="3" t="s">
        <v>24647</v>
      </c>
      <c r="E8464" s="3" t="s">
        <v>24648</v>
      </c>
      <c r="F8464" s="3" t="str">
        <f>"317-831-2715"</f>
        <v>317-831-2715</v>
      </c>
      <c r="G8464" s="3">
        <v>453998</v>
      </c>
      <c r="H8464" s="3" t="s">
        <v>112</v>
      </c>
    </row>
    <row r="8465" spans="1:8" x14ac:dyDescent="0.25">
      <c r="A8465" s="3" t="s">
        <v>24649</v>
      </c>
      <c r="B8465" s="3"/>
      <c r="C8465" s="3" t="str">
        <f>" "</f>
        <v xml:space="preserve"> </v>
      </c>
      <c r="D8465" s="3" t="s">
        <v>9</v>
      </c>
      <c r="E8465" s="3" t="s">
        <v>46</v>
      </c>
      <c r="F8465" s="2"/>
      <c r="G8465" s="3">
        <v>11</v>
      </c>
      <c r="H8465" s="3" t="s">
        <v>175</v>
      </c>
    </row>
    <row r="8466" spans="1:8" ht="51.75" x14ac:dyDescent="0.25">
      <c r="A8466" s="3" t="s">
        <v>24650</v>
      </c>
      <c r="B8466" s="3"/>
      <c r="C8466" s="3" t="str">
        <f>"This business provides meeting facilitation for professional development for companies, churches, and civic organizations."</f>
        <v>This business provides meeting facilitation for professional development for companies, churches, and civic organizations.</v>
      </c>
      <c r="D8466" s="3" t="s">
        <v>9</v>
      </c>
      <c r="E8466" s="3" t="s">
        <v>24651</v>
      </c>
      <c r="F8466" s="3" t="str">
        <f>"317-856-5856"</f>
        <v>317-856-5856</v>
      </c>
      <c r="G8466" s="3">
        <v>61143</v>
      </c>
      <c r="H8466" s="3" t="s">
        <v>1224</v>
      </c>
    </row>
    <row r="8467" spans="1:8" ht="39" x14ac:dyDescent="0.25">
      <c r="A8467" s="3" t="s">
        <v>24652</v>
      </c>
      <c r="B8467" s="3"/>
      <c r="C8467" s="3" t="str">
        <f>"We work all types of equipment farm &amp; Industrial, earthmoving"</f>
        <v>We work all types of equipment farm &amp; Industrial, earthmoving</v>
      </c>
      <c r="D8467" s="3" t="s">
        <v>9</v>
      </c>
      <c r="E8467" s="3" t="s">
        <v>46</v>
      </c>
      <c r="F8467" s="3" t="str">
        <f>"502-376-7779"</f>
        <v>502-376-7779</v>
      </c>
      <c r="G8467" s="3">
        <v>81131</v>
      </c>
      <c r="H8467" s="3" t="s">
        <v>1895</v>
      </c>
    </row>
    <row r="8468" spans="1:8" ht="230.25" x14ac:dyDescent="0.25">
      <c r="A8468" s="3" t="s">
        <v>24653</v>
      </c>
      <c r="B8468" s="3"/>
      <c r="C8468" s="3" t="s">
        <v>24654</v>
      </c>
      <c r="D8468" s="3" t="s">
        <v>24655</v>
      </c>
      <c r="E8468" s="3" t="s">
        <v>24656</v>
      </c>
      <c r="F8468" s="3" t="str">
        <f>"317-370-8000"</f>
        <v>317-370-8000</v>
      </c>
      <c r="G8468" s="3">
        <v>541820</v>
      </c>
      <c r="H8468" s="3" t="s">
        <v>795</v>
      </c>
    </row>
    <row r="8469" spans="1:8" ht="319.5" x14ac:dyDescent="0.25">
      <c r="A8469" s="3" t="s">
        <v>24657</v>
      </c>
      <c r="B8469" s="3"/>
      <c r="C8469" s="3" t="s">
        <v>24658</v>
      </c>
      <c r="D8469" s="3" t="s">
        <v>24659</v>
      </c>
      <c r="E8469" s="3" t="s">
        <v>24660</v>
      </c>
      <c r="F8469" s="3" t="str">
        <f>"1-800-877-3171"</f>
        <v>1-800-877-3171</v>
      </c>
      <c r="G8469" s="3">
        <v>45321</v>
      </c>
      <c r="H8469" s="3" t="s">
        <v>431</v>
      </c>
    </row>
    <row r="8470" spans="1:8" ht="64.5" x14ac:dyDescent="0.25">
      <c r="A8470" s="3" t="s">
        <v>24661</v>
      </c>
      <c r="B8470" s="3"/>
      <c r="C8470" s="3" t="str">
        <f>"SWS is a professional services and technology firm providing strategic planning, business development, and resource development services focused on education and business joint ventures."</f>
        <v>SWS is a professional services and technology firm providing strategic planning, business development, and resource development services focused on education and business joint ventures.</v>
      </c>
      <c r="D8470" s="3" t="s">
        <v>24662</v>
      </c>
      <c r="E8470" s="3" t="s">
        <v>24663</v>
      </c>
      <c r="F8470" s="3" t="str">
        <f>"317-815-1170"</f>
        <v>317-815-1170</v>
      </c>
      <c r="G8470" s="3">
        <v>541611</v>
      </c>
      <c r="H8470" s="3" t="s">
        <v>278</v>
      </c>
    </row>
    <row r="8471" spans="1:8" ht="39" x14ac:dyDescent="0.25">
      <c r="A8471" s="3" t="s">
        <v>24664</v>
      </c>
      <c r="B8471" s="3"/>
      <c r="C8471" s="3" t="str">
        <f>"Sell new and used lawn mowers, sell hand held lawn equipment, repair lawn mowers, chain saws, etc"</f>
        <v>Sell new and used lawn mowers, sell hand held lawn equipment, repair lawn mowers, chain saws, etc</v>
      </c>
      <c r="D8471" s="3" t="s">
        <v>24665</v>
      </c>
      <c r="E8471" s="3" t="s">
        <v>24666</v>
      </c>
      <c r="F8471" s="3" t="str">
        <f>"812-232-1318"</f>
        <v>812-232-1318</v>
      </c>
      <c r="G8471" s="3">
        <v>811411</v>
      </c>
      <c r="H8471" s="3" t="s">
        <v>24667</v>
      </c>
    </row>
    <row r="8472" spans="1:8" ht="51.75" x14ac:dyDescent="0.25">
      <c r="A8472" s="3" t="s">
        <v>24668</v>
      </c>
      <c r="B8472" s="3"/>
      <c r="C8472" s="3" t="str">
        <f>"Design, installation and maintenance of fiber optics services including lit and dark fiber connectivity and fiber optic based internet."</f>
        <v>Design, installation and maintenance of fiber optics services including lit and dark fiber connectivity and fiber optic based internet.</v>
      </c>
      <c r="D8472" s="3" t="s">
        <v>24669</v>
      </c>
      <c r="E8472" s="3" t="s">
        <v>24670</v>
      </c>
      <c r="F8472" s="3" t="str">
        <f>"(812) 876-2211"</f>
        <v>(812) 876-2211</v>
      </c>
      <c r="G8472" s="3">
        <v>517110</v>
      </c>
      <c r="H8472" s="3" t="s">
        <v>8574</v>
      </c>
    </row>
    <row r="8473" spans="1:8" ht="90" x14ac:dyDescent="0.25">
      <c r="A8473" s="3" t="s">
        <v>24671</v>
      </c>
      <c r="B8473" s="3"/>
      <c r="C8473" s="3" t="s">
        <v>24672</v>
      </c>
      <c r="D8473" s="3" t="s">
        <v>9</v>
      </c>
      <c r="E8473" s="3" t="s">
        <v>24673</v>
      </c>
      <c r="F8473" s="3" t="str">
        <f>"812-948-8251"</f>
        <v>812-948-8251</v>
      </c>
      <c r="G8473" s="3">
        <v>453991</v>
      </c>
      <c r="H8473" s="3" t="s">
        <v>24674</v>
      </c>
    </row>
    <row r="8474" spans="1:8" ht="26.25" x14ac:dyDescent="0.25">
      <c r="A8474" s="3" t="s">
        <v>24675</v>
      </c>
      <c r="B8474" s="3"/>
      <c r="C8474" s="3" t="str">
        <f>"General Construction/Construction Manager and Design Build."</f>
        <v>General Construction/Construction Manager and Design Build.</v>
      </c>
      <c r="D8474" s="3" t="s">
        <v>24676</v>
      </c>
      <c r="E8474" s="3" t="s">
        <v>24677</v>
      </c>
      <c r="F8474" s="3" t="str">
        <f>"317-266-9002"</f>
        <v>317-266-9002</v>
      </c>
      <c r="G8474" s="3">
        <v>236210</v>
      </c>
      <c r="H8474" s="3" t="s">
        <v>1418</v>
      </c>
    </row>
    <row r="8475" spans="1:8" ht="64.5" x14ac:dyDescent="0.25">
      <c r="A8475" s="3" t="s">
        <v>24678</v>
      </c>
      <c r="B8475" s="3"/>
      <c r="C8475" s="3" t="str">
        <f>"Smoot Landscaping, LLC is a full service landscape company that offers an array of products and services to both residential and commercial properties to make living beautifully easy!"</f>
        <v>Smoot Landscaping, LLC is a full service landscape company that offers an array of products and services to both residential and commercial properties to make living beautifully easy!</v>
      </c>
      <c r="D8475" s="3" t="s">
        <v>24679</v>
      </c>
      <c r="E8475" s="3" t="s">
        <v>24680</v>
      </c>
      <c r="F8475" s="3" t="str">
        <f>"765-216-1087"</f>
        <v>765-216-1087</v>
      </c>
      <c r="G8475" s="3">
        <v>561730</v>
      </c>
      <c r="H8475" s="3" t="s">
        <v>65</v>
      </c>
    </row>
    <row r="8476" spans="1:8" ht="26.25" x14ac:dyDescent="0.25">
      <c r="A8476" s="3" t="s">
        <v>24681</v>
      </c>
      <c r="B8476" s="3"/>
      <c r="C8476" s="3" t="str">
        <f>"Amish goods such as jams, noodles, honey and pickled products."</f>
        <v>Amish goods such as jams, noodles, honey and pickled products.</v>
      </c>
      <c r="D8476" s="3" t="s">
        <v>9</v>
      </c>
      <c r="E8476" s="3" t="s">
        <v>24682</v>
      </c>
      <c r="F8476" s="3" t="str">
        <f>"317-908-4839"</f>
        <v>317-908-4839</v>
      </c>
      <c r="G8476" s="3">
        <v>454390</v>
      </c>
      <c r="H8476" s="3" t="s">
        <v>1348</v>
      </c>
    </row>
    <row r="8477" spans="1:8" ht="153.75" x14ac:dyDescent="0.25">
      <c r="A8477" s="3" t="s">
        <v>24683</v>
      </c>
      <c r="B8477" s="3"/>
      <c r="C8477" s="3" t="s">
        <v>24684</v>
      </c>
      <c r="D8477" s="3" t="s">
        <v>24685</v>
      </c>
      <c r="E8477" s="3" t="s">
        <v>24686</v>
      </c>
      <c r="F8477" s="3" t="str">
        <f>"317-520-1352"</f>
        <v>317-520-1352</v>
      </c>
      <c r="G8477" s="3">
        <v>517910</v>
      </c>
      <c r="H8477" s="3" t="s">
        <v>1677</v>
      </c>
    </row>
    <row r="8478" spans="1:8" ht="115.5" x14ac:dyDescent="0.25">
      <c r="A8478" s="3" t="s">
        <v>24687</v>
      </c>
      <c r="B8478" s="3"/>
      <c r="C8478" s="3" t="s">
        <v>24688</v>
      </c>
      <c r="D8478" s="3" t="s">
        <v>24689</v>
      </c>
      <c r="E8478" s="3" t="s">
        <v>24690</v>
      </c>
      <c r="F8478" s="3" t="str">
        <f>"219-477-2448"</f>
        <v>219-477-2448</v>
      </c>
      <c r="G8478" s="3">
        <v>23</v>
      </c>
      <c r="H8478" s="3" t="s">
        <v>133</v>
      </c>
    </row>
    <row r="8479" spans="1:8" x14ac:dyDescent="0.25">
      <c r="A8479" s="3" t="s">
        <v>24691</v>
      </c>
      <c r="B8479" s="3"/>
      <c r="C8479" s="3" t="str">
        <f>"Janitorial services"</f>
        <v>Janitorial services</v>
      </c>
      <c r="D8479" s="3" t="s">
        <v>9</v>
      </c>
      <c r="E8479" s="3" t="s">
        <v>24692</v>
      </c>
      <c r="F8479" s="2"/>
      <c r="G8479" s="3">
        <v>561720</v>
      </c>
      <c r="H8479" s="3" t="s">
        <v>222</v>
      </c>
    </row>
    <row r="8480" spans="1:8" ht="77.25" x14ac:dyDescent="0.25">
      <c r="A8480" s="3" t="s">
        <v>24693</v>
      </c>
      <c r="B8480" s="3"/>
      <c r="C8480" s="3" t="str">
        <f>"Southern Indiana Body Works, Inc. is a commercial paint, body and frame repair facility. Specializing in trucks, buses and RV repair since 1983. Also, offering truck equipment for installation on new cab &amp; chassis."</f>
        <v>Southern Indiana Body Works, Inc. is a commercial paint, body and frame repair facility. Specializing in trucks, buses and RV repair since 1983. Also, offering truck equipment for installation on new cab &amp; chassis.</v>
      </c>
      <c r="D8480" s="3" t="s">
        <v>24694</v>
      </c>
      <c r="E8480" s="3" t="s">
        <v>24695</v>
      </c>
      <c r="F8480" s="3" t="str">
        <f>"8124740030"</f>
        <v>8124740030</v>
      </c>
      <c r="G8480" s="3">
        <v>81112</v>
      </c>
      <c r="H8480" s="3" t="s">
        <v>3041</v>
      </c>
    </row>
    <row r="8481" spans="1:8" ht="115.5" x14ac:dyDescent="0.25">
      <c r="A8481" s="3" t="s">
        <v>24696</v>
      </c>
      <c r="B8481" s="3"/>
      <c r="C8481" s="3" t="s">
        <v>24697</v>
      </c>
      <c r="D8481" s="3" t="s">
        <v>24698</v>
      </c>
      <c r="E8481" s="3" t="s">
        <v>24699</v>
      </c>
      <c r="F8481" s="3" t="str">
        <f>"812.437.4157"</f>
        <v>812.437.4157</v>
      </c>
      <c r="G8481" s="3">
        <v>541512</v>
      </c>
      <c r="H8481" s="3" t="s">
        <v>19</v>
      </c>
    </row>
    <row r="8482" spans="1:8" ht="115.5" x14ac:dyDescent="0.25">
      <c r="A8482" s="3" t="s">
        <v>24700</v>
      </c>
      <c r="B8482" s="3"/>
      <c r="C8482" s="3" t="s">
        <v>24701</v>
      </c>
      <c r="D8482" s="3" t="s">
        <v>24702</v>
      </c>
      <c r="E8482" s="3" t="s">
        <v>24703</v>
      </c>
      <c r="F8482" s="3" t="str">
        <f>"812-269-8812"</f>
        <v>812-269-8812</v>
      </c>
      <c r="G8482" s="3">
        <v>325611</v>
      </c>
      <c r="H8482" s="3" t="s">
        <v>4219</v>
      </c>
    </row>
    <row r="8483" spans="1:8" ht="102.75" x14ac:dyDescent="0.25">
      <c r="A8483" s="3" t="s">
        <v>24704</v>
      </c>
      <c r="B8483" s="3"/>
      <c r="C8483" s="3" t="s">
        <v>24705</v>
      </c>
      <c r="D8483" s="3" t="s">
        <v>24706</v>
      </c>
      <c r="E8483" s="3" t="s">
        <v>24707</v>
      </c>
      <c r="F8483" s="3" t="str">
        <f>"317-881-1580"</f>
        <v>317-881-1580</v>
      </c>
      <c r="G8483" s="3">
        <v>2211</v>
      </c>
      <c r="H8483" s="3" t="s">
        <v>7696</v>
      </c>
    </row>
    <row r="8484" spans="1:8" ht="77.25" x14ac:dyDescent="0.25">
      <c r="A8484" s="3" t="s">
        <v>24708</v>
      </c>
      <c r="B8484" s="3"/>
      <c r="C8484" s="3" t="str">
        <f>"Manufacturer's representative in the Power Quality Industry. We specialize in providing Power Quality solutions to our clients utilizing Uninterruptible Power Systems, Surge Protection, Power Factor Correction, and Emergency Power Accessories."</f>
        <v>Manufacturer's representative in the Power Quality Industry. We specialize in providing Power Quality solutions to our clients utilizing Uninterruptible Power Systems, Surge Protection, Power Factor Correction, and Emergency Power Accessories.</v>
      </c>
      <c r="D8484" s="3" t="s">
        <v>24706</v>
      </c>
      <c r="E8484" s="3" t="s">
        <v>24709</v>
      </c>
      <c r="F8484" s="3" t="str">
        <f>"317-351-8145"</f>
        <v>317-351-8145</v>
      </c>
      <c r="G8484" s="3">
        <v>23332</v>
      </c>
      <c r="H8484" s="3" t="s">
        <v>598</v>
      </c>
    </row>
    <row r="8485" spans="1:8" ht="39" x14ac:dyDescent="0.25">
      <c r="A8485" s="3" t="s">
        <v>24710</v>
      </c>
      <c r="B8485" s="3"/>
      <c r="C8485" s="3" t="str">
        <f>"Installation of tile, granite, marble,porcelain and stine on floors or walls."</f>
        <v>Installation of tile, granite, marble,porcelain and stine on floors or walls.</v>
      </c>
      <c r="D8485" s="3" t="s">
        <v>9</v>
      </c>
      <c r="E8485" s="3" t="s">
        <v>46</v>
      </c>
      <c r="F8485" s="2"/>
      <c r="G8485" s="3">
        <v>238340</v>
      </c>
      <c r="H8485" s="3" t="s">
        <v>7220</v>
      </c>
    </row>
    <row r="8486" spans="1:8" ht="306.75" x14ac:dyDescent="0.25">
      <c r="A8486" s="3" t="s">
        <v>24711</v>
      </c>
      <c r="B8486" s="3"/>
      <c r="C8486" s="3" t="s">
        <v>24712</v>
      </c>
      <c r="D8486" s="3" t="s">
        <v>24713</v>
      </c>
      <c r="E8486" s="3" t="s">
        <v>24714</v>
      </c>
      <c r="F8486" s="3" t="str">
        <f>"317-435-2529"</f>
        <v>317-435-2529</v>
      </c>
      <c r="G8486" s="3">
        <v>541611</v>
      </c>
      <c r="H8486" s="3" t="s">
        <v>278</v>
      </c>
    </row>
    <row r="8487" spans="1:8" ht="64.5" x14ac:dyDescent="0.25">
      <c r="A8487" s="3" t="s">
        <v>24715</v>
      </c>
      <c r="B8487" s="3"/>
      <c r="C8487" s="3" t="str">
        <f>"SockTech International Inc. offer certification based training in the computer and medical field, we also provide web design, hosting and domain registration for businesses."</f>
        <v>SockTech International Inc. offer certification based training in the computer and medical field, we also provide web design, hosting and domain registration for businesses.</v>
      </c>
      <c r="D8487" s="3" t="s">
        <v>24716</v>
      </c>
      <c r="E8487" s="3" t="s">
        <v>24717</v>
      </c>
      <c r="F8487" s="3" t="str">
        <f>"219-923-8842"</f>
        <v>219-923-8842</v>
      </c>
      <c r="G8487" s="3">
        <v>611420</v>
      </c>
      <c r="H8487" s="3" t="s">
        <v>39</v>
      </c>
    </row>
    <row r="8488" spans="1:8" ht="39" x14ac:dyDescent="0.25">
      <c r="A8488" s="3" t="s">
        <v>24718</v>
      </c>
      <c r="B8488" s="3"/>
      <c r="C8488" s="3" t="str">
        <f>"Water treatment chemicals and equipment for boiler, cooling tower and closed loop water systems."</f>
        <v>Water treatment chemicals and equipment for boiler, cooling tower and closed loop water systems.</v>
      </c>
      <c r="D8488" s="3" t="s">
        <v>9</v>
      </c>
      <c r="E8488" s="3" t="s">
        <v>24719</v>
      </c>
      <c r="F8488" s="3" t="str">
        <f>"260-485-4655"</f>
        <v>260-485-4655</v>
      </c>
      <c r="G8488" s="3">
        <v>2213</v>
      </c>
      <c r="H8488" s="3" t="s">
        <v>2486</v>
      </c>
    </row>
    <row r="8489" spans="1:8" ht="166.5" x14ac:dyDescent="0.25">
      <c r="A8489" s="3" t="s">
        <v>24720</v>
      </c>
      <c r="B8489" s="3"/>
      <c r="C8489" s="3" t="s">
        <v>24721</v>
      </c>
      <c r="D8489" s="3" t="s">
        <v>9</v>
      </c>
      <c r="E8489" s="3" t="s">
        <v>24722</v>
      </c>
      <c r="F8489" s="3" t="str">
        <f>"219.477.5459"</f>
        <v>219.477.5459</v>
      </c>
      <c r="G8489" s="3">
        <v>541710</v>
      </c>
      <c r="H8489" s="3" t="s">
        <v>3733</v>
      </c>
    </row>
    <row r="8490" spans="1:8" ht="166.5" x14ac:dyDescent="0.25">
      <c r="A8490" s="3" t="s">
        <v>24723</v>
      </c>
      <c r="B8490" s="3"/>
      <c r="C8490" s="3" t="s">
        <v>24724</v>
      </c>
      <c r="D8490" s="3" t="s">
        <v>24725</v>
      </c>
      <c r="E8490" s="3" t="s">
        <v>24726</v>
      </c>
      <c r="F8490" s="3" t="str">
        <f>"317-965-1079"</f>
        <v>317-965-1079</v>
      </c>
      <c r="G8490" s="3">
        <v>611620</v>
      </c>
      <c r="H8490" s="3" t="s">
        <v>16276</v>
      </c>
    </row>
    <row r="8491" spans="1:8" ht="77.25" x14ac:dyDescent="0.25">
      <c r="A8491" s="3" t="s">
        <v>24727</v>
      </c>
      <c r="B8491" s="3"/>
      <c r="C8491" s="3" t="str">
        <f>"To provide software services which includes designing and creating applications for clients who require customized solutions. We have expertise to work on any large application. No job is small for us and we do it right."</f>
        <v>To provide software services which includes designing and creating applications for clients who require customized solutions. We have expertise to work on any large application. No job is small for us and we do it right.</v>
      </c>
      <c r="D8491" s="3" t="s">
        <v>24728</v>
      </c>
      <c r="E8491" s="3" t="s">
        <v>24729</v>
      </c>
      <c r="F8491" s="3" t="str">
        <f>"(317) 579-1443"</f>
        <v>(317) 579-1443</v>
      </c>
      <c r="G8491" s="3">
        <v>541512</v>
      </c>
      <c r="H8491" s="3" t="s">
        <v>19</v>
      </c>
    </row>
    <row r="8492" spans="1:8" ht="26.25" x14ac:dyDescent="0.25">
      <c r="A8492" s="3" t="s">
        <v>24730</v>
      </c>
      <c r="B8492" s="3"/>
      <c r="C8492" s="2"/>
      <c r="D8492" s="3" t="s">
        <v>24731</v>
      </c>
      <c r="E8492" s="3" t="s">
        <v>46</v>
      </c>
      <c r="F8492" s="3" t="str">
        <f>"317-843-1640"</f>
        <v>317-843-1640</v>
      </c>
      <c r="G8492" s="3">
        <v>5415</v>
      </c>
      <c r="H8492" s="3" t="s">
        <v>188</v>
      </c>
    </row>
    <row r="8493" spans="1:8" ht="128.25" x14ac:dyDescent="0.25">
      <c r="A8493" s="3" t="s">
        <v>24732</v>
      </c>
      <c r="B8493" s="3"/>
      <c r="C8493" s="3" t="s">
        <v>24733</v>
      </c>
      <c r="D8493" s="3" t="s">
        <v>24734</v>
      </c>
      <c r="E8493" s="3" t="s">
        <v>24735</v>
      </c>
      <c r="F8493" s="3" t="str">
        <f>"317-733-4870"</f>
        <v>317-733-4870</v>
      </c>
      <c r="G8493" s="3">
        <v>42143</v>
      </c>
      <c r="H8493" s="3" t="s">
        <v>6377</v>
      </c>
    </row>
    <row r="8494" spans="1:8" ht="115.5" x14ac:dyDescent="0.25">
      <c r="A8494" s="3" t="s">
        <v>24736</v>
      </c>
      <c r="B8494" s="3"/>
      <c r="C8494" s="3" t="s">
        <v>24737</v>
      </c>
      <c r="D8494" s="3" t="s">
        <v>24738</v>
      </c>
      <c r="E8494" s="3" t="s">
        <v>24739</v>
      </c>
      <c r="F8494" s="3" t="str">
        <f>"317-495-6600"</f>
        <v>317-495-6600</v>
      </c>
      <c r="G8494" s="3">
        <v>72</v>
      </c>
      <c r="H8494" s="3" t="s">
        <v>24740</v>
      </c>
    </row>
    <row r="8495" spans="1:8" ht="192" x14ac:dyDescent="0.25">
      <c r="A8495" s="3" t="s">
        <v>24741</v>
      </c>
      <c r="B8495" s="3"/>
      <c r="C8495" s="3" t="s">
        <v>24742</v>
      </c>
      <c r="D8495" s="3" t="s">
        <v>24743</v>
      </c>
      <c r="E8495" s="3" t="s">
        <v>24744</v>
      </c>
      <c r="F8495" s="3" t="str">
        <f>"317-423-3947"</f>
        <v>317-423-3947</v>
      </c>
      <c r="G8495" s="3">
        <v>52</v>
      </c>
      <c r="H8495" s="3" t="s">
        <v>50</v>
      </c>
    </row>
    <row r="8496" spans="1:8" ht="64.5" x14ac:dyDescent="0.25">
      <c r="A8496" s="3" t="s">
        <v>24745</v>
      </c>
      <c r="B8496" s="3"/>
      <c r="C8496" s="3" t="str">
        <f>"We manufacture evacuated tube solar thermal UV collector panels sold through distributors and dealers, that reduce half of our customers' traditional heating energy usage."</f>
        <v>We manufacture evacuated tube solar thermal UV collector panels sold through distributors and dealers, that reduce half of our customers' traditional heating energy usage.</v>
      </c>
      <c r="D8496" s="3" t="s">
        <v>24746</v>
      </c>
      <c r="E8496" s="3" t="s">
        <v>24747</v>
      </c>
      <c r="F8496" s="3" t="str">
        <f>"317-688-8581"</f>
        <v>317-688-8581</v>
      </c>
      <c r="G8496" s="3">
        <v>333414</v>
      </c>
      <c r="H8496" s="3" t="s">
        <v>24748</v>
      </c>
    </row>
    <row r="8497" spans="1:8" ht="51.75" x14ac:dyDescent="0.25">
      <c r="A8497" s="3" t="s">
        <v>24749</v>
      </c>
      <c r="B8497" s="3"/>
      <c r="C8497" s="3" t="str">
        <f>"General electrical contracting, both residential and commercial solar, photovoltaic systems installation and other renewable energy sources."</f>
        <v>General electrical contracting, both residential and commercial solar, photovoltaic systems installation and other renewable energy sources.</v>
      </c>
      <c r="D8497" s="3" t="s">
        <v>24750</v>
      </c>
      <c r="E8497" s="3" t="s">
        <v>24751</v>
      </c>
      <c r="F8497" s="3" t="str">
        <f>"(317)985-5685"</f>
        <v>(317)985-5685</v>
      </c>
      <c r="G8497" s="3">
        <v>2353</v>
      </c>
      <c r="H8497" s="3" t="s">
        <v>306</v>
      </c>
    </row>
    <row r="8498" spans="1:8" ht="26.25" x14ac:dyDescent="0.25">
      <c r="A8498" s="3" t="s">
        <v>24752</v>
      </c>
      <c r="B8498" s="3"/>
      <c r="C8498" s="3" t="str">
        <f>"This is a start-up (solar systems) business. I intend to be in business in 2011."</f>
        <v>This is a start-up (solar systems) business. I intend to be in business in 2011.</v>
      </c>
      <c r="D8498" s="3" t="s">
        <v>9</v>
      </c>
      <c r="E8498" s="3" t="s">
        <v>24753</v>
      </c>
      <c r="F8498" s="3" t="str">
        <f>"765-603-6586"</f>
        <v>765-603-6586</v>
      </c>
      <c r="G8498" s="3">
        <v>23595</v>
      </c>
      <c r="H8498" s="3" t="s">
        <v>17529</v>
      </c>
    </row>
    <row r="8499" spans="1:8" ht="153.75" x14ac:dyDescent="0.25">
      <c r="A8499" s="3" t="s">
        <v>24754</v>
      </c>
      <c r="B8499" s="3"/>
      <c r="C8499" s="3" t="s">
        <v>24755</v>
      </c>
      <c r="D8499" s="3" t="s">
        <v>24756</v>
      </c>
      <c r="E8499" s="3" t="s">
        <v>24757</v>
      </c>
      <c r="F8499" s="3" t="str">
        <f>"317-865-3950"</f>
        <v>317-865-3950</v>
      </c>
      <c r="G8499" s="3">
        <v>541380</v>
      </c>
      <c r="H8499" s="3" t="s">
        <v>226</v>
      </c>
    </row>
    <row r="8500" spans="1:8" ht="26.25" x14ac:dyDescent="0.25">
      <c r="A8500" s="3" t="s">
        <v>24758</v>
      </c>
      <c r="B8500" s="3"/>
      <c r="C8500" s="3" t="str">
        <f>"packaging and fulfillment services for print and media products"</f>
        <v>packaging and fulfillment services for print and media products</v>
      </c>
      <c r="D8500" s="3" t="s">
        <v>9</v>
      </c>
      <c r="E8500" s="3" t="s">
        <v>24759</v>
      </c>
      <c r="F8500" s="3" t="str">
        <f>"317 509-4860"</f>
        <v>317 509-4860</v>
      </c>
      <c r="G8500" s="3">
        <v>561910</v>
      </c>
      <c r="H8500" s="3" t="s">
        <v>7461</v>
      </c>
    </row>
    <row r="8501" spans="1:8" ht="26.25" x14ac:dyDescent="0.25">
      <c r="A8501" s="3" t="s">
        <v>24760</v>
      </c>
      <c r="B8501" s="3"/>
      <c r="C8501" s="3" t="str">
        <f>" "</f>
        <v xml:space="preserve"> </v>
      </c>
      <c r="D8501" s="3" t="s">
        <v>24761</v>
      </c>
      <c r="E8501" s="3" t="s">
        <v>24762</v>
      </c>
      <c r="F8501" s="3" t="str">
        <f>"260-422-0746"</f>
        <v>260-422-0746</v>
      </c>
      <c r="G8501" s="3">
        <v>541990</v>
      </c>
      <c r="H8501" s="3" t="s">
        <v>378</v>
      </c>
    </row>
    <row r="8502" spans="1:8" ht="51.75" x14ac:dyDescent="0.25">
      <c r="A8502" s="3" t="s">
        <v>24763</v>
      </c>
      <c r="B8502" s="3"/>
      <c r="C8502" s="3" t="str">
        <f>"Solution Technology, Inc. (STI) is an IBM Premier Business Partner specializing in both business and technology related solutions."</f>
        <v>Solution Technology, Inc. (STI) is an IBM Premier Business Partner specializing in both business and technology related solutions.</v>
      </c>
      <c r="D8502" s="3" t="s">
        <v>24764</v>
      </c>
      <c r="E8502" s="3" t="s">
        <v>46</v>
      </c>
      <c r="F8502" s="3" t="str">
        <f>"317-575-6220"</f>
        <v>317-575-6220</v>
      </c>
      <c r="G8502" s="3">
        <v>541519</v>
      </c>
      <c r="H8502" s="3" t="s">
        <v>898</v>
      </c>
    </row>
    <row r="8503" spans="1:8" ht="102.75" x14ac:dyDescent="0.25">
      <c r="A8503" s="3" t="s">
        <v>24765</v>
      </c>
      <c r="B8503" s="3"/>
      <c r="C8503" s="3" t="s">
        <v>24766</v>
      </c>
      <c r="D8503" s="3" t="s">
        <v>24767</v>
      </c>
      <c r="E8503" s="3" t="s">
        <v>24768</v>
      </c>
      <c r="F8503" s="3" t="str">
        <f>"812-336-7700"</f>
        <v>812-336-7700</v>
      </c>
      <c r="G8503" s="3">
        <v>611430</v>
      </c>
      <c r="H8503" s="3" t="s">
        <v>1224</v>
      </c>
    </row>
    <row r="8504" spans="1:8" ht="90" x14ac:dyDescent="0.25">
      <c r="A8504" s="3" t="s">
        <v>24769</v>
      </c>
      <c r="B8504" s="3"/>
      <c r="C8504" s="3" t="str">
        <f>"Computer Consulting and customization services. Photo Identification systems and services. Photo capture, storage and restore. Barcode systems. Product Packaging systems and warehouse management. Data entry service. Graphic design and Mailing service."</f>
        <v>Computer Consulting and customization services. Photo Identification systems and services. Photo capture, storage and restore. Barcode systems. Product Packaging systems and warehouse management. Data entry service. Graphic design and Mailing service.</v>
      </c>
      <c r="D8504" s="3" t="s">
        <v>9</v>
      </c>
      <c r="E8504" s="3" t="s">
        <v>24770</v>
      </c>
      <c r="F8504" s="3" t="str">
        <f>"260-918-2749"</f>
        <v>260-918-2749</v>
      </c>
      <c r="G8504" s="3">
        <v>233</v>
      </c>
      <c r="H8504" s="3" t="s">
        <v>131</v>
      </c>
    </row>
    <row r="8505" spans="1:8" ht="51.75" x14ac:dyDescent="0.25">
      <c r="A8505" s="3" t="s">
        <v>24771</v>
      </c>
      <c r="B8505" s="3"/>
      <c r="C8505" s="3" t="str">
        <f>"Minority-owned independent insurance company and a leader in the field of commercial, personal, life and health lines of insurance."</f>
        <v>Minority-owned independent insurance company and a leader in the field of commercial, personal, life and health lines of insurance.</v>
      </c>
      <c r="D8505" s="3" t="s">
        <v>24772</v>
      </c>
      <c r="E8505" s="3" t="s">
        <v>46</v>
      </c>
      <c r="F8505" s="3" t="str">
        <f>"(765) 468-6655"</f>
        <v>(765) 468-6655</v>
      </c>
      <c r="G8505" s="3">
        <v>524210</v>
      </c>
      <c r="H8505" s="3" t="s">
        <v>1183</v>
      </c>
    </row>
    <row r="8506" spans="1:8" ht="268.5" x14ac:dyDescent="0.25">
      <c r="A8506" s="3" t="s">
        <v>24773</v>
      </c>
      <c r="B8506" s="3"/>
      <c r="C8506" s="3" t="s">
        <v>24774</v>
      </c>
      <c r="D8506" s="3" t="s">
        <v>24775</v>
      </c>
      <c r="E8506" s="3" t="s">
        <v>24776</v>
      </c>
      <c r="F8506" s="3" t="str">
        <f>"317.472.2200"</f>
        <v>317.472.2200</v>
      </c>
      <c r="G8506" s="3">
        <v>541211</v>
      </c>
      <c r="H8506" s="3" t="s">
        <v>337</v>
      </c>
    </row>
    <row r="8507" spans="1:8" ht="102.75" x14ac:dyDescent="0.25">
      <c r="A8507" s="3" t="s">
        <v>24777</v>
      </c>
      <c r="B8507" s="3"/>
      <c r="C8507" s="3" t="s">
        <v>24778</v>
      </c>
      <c r="D8507" s="3" t="s">
        <v>24779</v>
      </c>
      <c r="E8507" s="3" t="s">
        <v>24780</v>
      </c>
      <c r="F8507" s="3" t="str">
        <f>"317-972-4210"</f>
        <v>317-972-4210</v>
      </c>
      <c r="G8507" s="3">
        <v>541511</v>
      </c>
      <c r="H8507" s="3" t="s">
        <v>122</v>
      </c>
    </row>
    <row r="8508" spans="1:8" ht="26.25" x14ac:dyDescent="0.25">
      <c r="A8508" s="3" t="s">
        <v>24781</v>
      </c>
      <c r="B8508" s="3"/>
      <c r="C8508" s="3" t="str">
        <f>" "</f>
        <v xml:space="preserve"> </v>
      </c>
      <c r="D8508" s="3" t="s">
        <v>24782</v>
      </c>
      <c r="E8508" s="3" t="s">
        <v>24783</v>
      </c>
      <c r="F8508" s="2"/>
      <c r="G8508" s="3">
        <v>5415</v>
      </c>
      <c r="H8508" s="3" t="s">
        <v>188</v>
      </c>
    </row>
    <row r="8509" spans="1:8" ht="115.5" x14ac:dyDescent="0.25">
      <c r="A8509" s="3" t="s">
        <v>24784</v>
      </c>
      <c r="B8509" s="3"/>
      <c r="C8509" s="3" t="s">
        <v>24785</v>
      </c>
      <c r="D8509" s="3" t="s">
        <v>24786</v>
      </c>
      <c r="E8509" s="3" t="s">
        <v>24787</v>
      </c>
      <c r="F8509" s="3" t="str">
        <f>"8004441191"</f>
        <v>8004441191</v>
      </c>
      <c r="G8509" s="3">
        <v>561621</v>
      </c>
      <c r="H8509" s="3" t="s">
        <v>827</v>
      </c>
    </row>
    <row r="8510" spans="1:8" ht="255.75" x14ac:dyDescent="0.25">
      <c r="A8510" s="3" t="s">
        <v>24788</v>
      </c>
      <c r="B8510" s="3"/>
      <c r="C8510" s="3" t="s">
        <v>24789</v>
      </c>
      <c r="D8510" s="3" t="s">
        <v>24790</v>
      </c>
      <c r="E8510" s="3" t="s">
        <v>24791</v>
      </c>
      <c r="F8510" s="3" t="str">
        <f>"317-319-8827"</f>
        <v>317-319-8827</v>
      </c>
      <c r="G8510" s="3">
        <v>541810</v>
      </c>
      <c r="H8510" s="3" t="s">
        <v>976</v>
      </c>
    </row>
    <row r="8511" spans="1:8" ht="64.5" x14ac:dyDescent="0.25">
      <c r="A8511" s="3" t="s">
        <v>24792</v>
      </c>
      <c r="B8511" s="3"/>
      <c r="C8511" s="3" t="str">
        <f>"Your complete source for quality absorbents, DOT, OSHA and EPA training and consulting with over 20 years of experience. Contact us today to get a free quote!"</f>
        <v>Your complete source for quality absorbents, DOT, OSHA and EPA training and consulting with over 20 years of experience. Contact us today to get a free quote!</v>
      </c>
      <c r="D8511" s="3" t="s">
        <v>24793</v>
      </c>
      <c r="E8511" s="3" t="s">
        <v>24794</v>
      </c>
      <c r="F8511" s="3" t="str">
        <f>"812-944-9108"</f>
        <v>812-944-9108</v>
      </c>
      <c r="G8511" s="3">
        <v>541690</v>
      </c>
      <c r="H8511" s="3" t="s">
        <v>652</v>
      </c>
    </row>
    <row r="8512" spans="1:8" ht="128.25" x14ac:dyDescent="0.25">
      <c r="A8512" s="3" t="s">
        <v>24795</v>
      </c>
      <c r="B8512" s="3"/>
      <c r="C8512" s="3" t="s">
        <v>24796</v>
      </c>
      <c r="D8512" s="3" t="s">
        <v>9</v>
      </c>
      <c r="E8512" s="3" t="s">
        <v>24797</v>
      </c>
      <c r="F8512" s="3" t="str">
        <f>"812-334-2075"</f>
        <v>812-334-2075</v>
      </c>
      <c r="G8512" s="3">
        <v>541430</v>
      </c>
      <c r="H8512" s="3" t="s">
        <v>78</v>
      </c>
    </row>
    <row r="8513" spans="1:8" ht="26.25" x14ac:dyDescent="0.25">
      <c r="A8513" s="3" t="s">
        <v>24798</v>
      </c>
      <c r="B8513" s="3"/>
      <c r="C8513" s="3" t="str">
        <f>"Provider of Insurance and Financial Products &amp; Services."</f>
        <v>Provider of Insurance and Financial Products &amp; Services.</v>
      </c>
      <c r="D8513" s="3" t="s">
        <v>9</v>
      </c>
      <c r="E8513" s="3" t="s">
        <v>24799</v>
      </c>
      <c r="F8513" s="3" t="str">
        <f>"317-356-4396"</f>
        <v>317-356-4396</v>
      </c>
      <c r="G8513" s="3">
        <v>52421</v>
      </c>
      <c r="H8513" s="3" t="s">
        <v>1183</v>
      </c>
    </row>
    <row r="8514" spans="1:8" ht="39" x14ac:dyDescent="0.25">
      <c r="A8514" s="3" t="s">
        <v>24800</v>
      </c>
      <c r="B8514" s="3"/>
      <c r="C8514" s="3" t="str">
        <f>"Sos Cleaning Services LLC We do the following cleaning: Residential Commercial Apartment move-outs Offices"</f>
        <v>Sos Cleaning Services LLC We do the following cleaning: Residential Commercial Apartment move-outs Offices</v>
      </c>
      <c r="D8514" s="3" t="s">
        <v>9</v>
      </c>
      <c r="E8514" s="3" t="s">
        <v>24801</v>
      </c>
      <c r="F8514" s="3" t="str">
        <f>"(317) 384-6315"</f>
        <v>(317) 384-6315</v>
      </c>
      <c r="G8514" s="3">
        <v>561720</v>
      </c>
      <c r="H8514" s="3" t="s">
        <v>222</v>
      </c>
    </row>
    <row r="8515" spans="1:8" ht="51.75" x14ac:dyDescent="0.25">
      <c r="A8515" s="3" t="s">
        <v>24802</v>
      </c>
      <c r="B8515" s="3"/>
      <c r="C8515" s="3" t="str">
        <f>"Publisher of travel books. Developer of education activities, games,software and books. Spanish Translation Services available."</f>
        <v>Publisher of travel books. Developer of education activities, games,software and books. Spanish Translation Services available.</v>
      </c>
      <c r="D8515" s="3" t="s">
        <v>24803</v>
      </c>
      <c r="E8515" s="3" t="s">
        <v>24804</v>
      </c>
      <c r="F8515" s="3" t="str">
        <f>"8123338902"</f>
        <v>8123338902</v>
      </c>
      <c r="G8515" s="3">
        <v>611710</v>
      </c>
      <c r="H8515" s="3" t="s">
        <v>508</v>
      </c>
    </row>
    <row r="8516" spans="1:8" ht="128.25" x14ac:dyDescent="0.25">
      <c r="A8516" s="3" t="s">
        <v>24805</v>
      </c>
      <c r="B8516" s="3"/>
      <c r="C8516" s="3" t="s">
        <v>24806</v>
      </c>
      <c r="D8516" s="3" t="s">
        <v>24807</v>
      </c>
      <c r="E8516" s="3" t="s">
        <v>24808</v>
      </c>
      <c r="F8516" s="3" t="str">
        <f>"812-234-3277"</f>
        <v>812-234-3277</v>
      </c>
      <c r="G8516" s="3">
        <v>621340</v>
      </c>
      <c r="H8516" s="3" t="s">
        <v>987</v>
      </c>
    </row>
    <row r="8517" spans="1:8" ht="51.75" x14ac:dyDescent="0.25">
      <c r="A8517" s="3" t="s">
        <v>24809</v>
      </c>
      <c r="B8517" s="3"/>
      <c r="C8517" s="3" t="str">
        <f>"Low voltage electrical wiring installation and service for alarm systems, intercoms, phone, cable TV, closed circuit tv. Also, provide alarm system monitoring."</f>
        <v>Low voltage electrical wiring installation and service for alarm systems, intercoms, phone, cable TV, closed circuit tv. Also, provide alarm system monitoring.</v>
      </c>
      <c r="D8517" s="3" t="s">
        <v>24810</v>
      </c>
      <c r="E8517" s="3" t="s">
        <v>24811</v>
      </c>
      <c r="F8517" s="3" t="str">
        <f>"317-797-9305"</f>
        <v>317-797-9305</v>
      </c>
      <c r="G8517" s="3">
        <v>56162</v>
      </c>
      <c r="H8517" s="3" t="s">
        <v>1276</v>
      </c>
    </row>
    <row r="8518" spans="1:8" ht="115.5" x14ac:dyDescent="0.25">
      <c r="A8518" s="3" t="s">
        <v>24812</v>
      </c>
      <c r="B8518" s="3"/>
      <c r="C8518" s="3" t="s">
        <v>24813</v>
      </c>
      <c r="D8518" s="3" t="s">
        <v>24814</v>
      </c>
      <c r="E8518" s="3" t="s">
        <v>24815</v>
      </c>
      <c r="F8518" s="3" t="str">
        <f>"765-640-4145"</f>
        <v>765-640-4145</v>
      </c>
      <c r="G8518" s="3">
        <v>54151</v>
      </c>
      <c r="H8518" s="3" t="s">
        <v>188</v>
      </c>
    </row>
    <row r="8519" spans="1:8" ht="26.25" x14ac:dyDescent="0.25">
      <c r="A8519" s="3" t="s">
        <v>24816</v>
      </c>
      <c r="B8519" s="3"/>
      <c r="C8519" s="3" t="str">
        <f>"Full-service calibration laboratory certified by A2LA"</f>
        <v>Full-service calibration laboratory certified by A2LA</v>
      </c>
      <c r="D8519" s="3" t="s">
        <v>24817</v>
      </c>
      <c r="E8519" s="3" t="s">
        <v>24818</v>
      </c>
      <c r="F8519" s="3" t="str">
        <f>"260-471-6775"</f>
        <v>260-471-6775</v>
      </c>
      <c r="G8519" s="3">
        <v>334515</v>
      </c>
      <c r="H8519" s="3" t="s">
        <v>13520</v>
      </c>
    </row>
    <row r="8520" spans="1:8" ht="77.25" x14ac:dyDescent="0.25">
      <c r="A8520" s="3" t="s">
        <v>24819</v>
      </c>
      <c r="B8520" s="3"/>
      <c r="C8520" s="3" t="str">
        <f>"Manufacturer and retailer of gourmet chocolates and fresh roasted coffees. Our Chocolate Cafes serve desserts, ice cream, soups, salads and sandwiches. Also offering high quality boxed chocolates and gift baskets."</f>
        <v>Manufacturer and retailer of gourmet chocolates and fresh roasted coffees. Our Chocolate Cafes serve desserts, ice cream, soups, salads and sandwiches. Also offering high quality boxed chocolates and gift baskets.</v>
      </c>
      <c r="D8520" s="3" t="s">
        <v>24820</v>
      </c>
      <c r="E8520" s="3" t="s">
        <v>24821</v>
      </c>
      <c r="F8520" s="3" t="str">
        <f>"574/233 2577 800/3014961"</f>
        <v>574/233 2577 800/3014961</v>
      </c>
      <c r="G8520" s="3">
        <v>31133</v>
      </c>
      <c r="H8520" s="3" t="s">
        <v>24822</v>
      </c>
    </row>
    <row r="8521" spans="1:8" ht="90" x14ac:dyDescent="0.25">
      <c r="A8521" s="3" t="s">
        <v>24823</v>
      </c>
      <c r="B8521" s="3"/>
      <c r="C8521" s="3" t="s">
        <v>24824</v>
      </c>
      <c r="D8521" s="3" t="s">
        <v>24825</v>
      </c>
      <c r="E8521" s="3" t="s">
        <v>46</v>
      </c>
      <c r="F8521" s="3" t="str">
        <f>"574-237-9200"</f>
        <v>574-237-9200</v>
      </c>
      <c r="G8521" s="3">
        <v>621111</v>
      </c>
      <c r="H8521" s="3" t="s">
        <v>2002</v>
      </c>
    </row>
    <row r="8522" spans="1:8" ht="26.25" x14ac:dyDescent="0.25">
      <c r="A8522" s="3" t="s">
        <v>24826</v>
      </c>
      <c r="B8522" s="3"/>
      <c r="C8522" s="3" t="str">
        <f>"public school corporation"</f>
        <v>public school corporation</v>
      </c>
      <c r="D8522" s="3" t="s">
        <v>24827</v>
      </c>
      <c r="E8522" s="3" t="s">
        <v>24828</v>
      </c>
      <c r="F8522" s="3" t="str">
        <f>"(574)283-8000"</f>
        <v>(574)283-8000</v>
      </c>
      <c r="G8522" s="3">
        <v>611110</v>
      </c>
      <c r="H8522" s="3" t="s">
        <v>3876</v>
      </c>
    </row>
    <row r="8523" spans="1:8" ht="102.75" x14ac:dyDescent="0.25">
      <c r="A8523" s="3" t="s">
        <v>24829</v>
      </c>
      <c r="B8523" s="3"/>
      <c r="C8523" s="3" t="s">
        <v>24830</v>
      </c>
      <c r="D8523" s="3" t="s">
        <v>9</v>
      </c>
      <c r="E8523" s="3" t="s">
        <v>24831</v>
      </c>
      <c r="F8523" s="3" t="str">
        <f>"574-246-0085"</f>
        <v>574-246-0085</v>
      </c>
      <c r="G8523" s="3">
        <v>238350</v>
      </c>
      <c r="H8523" s="3" t="s">
        <v>270</v>
      </c>
    </row>
    <row r="8524" spans="1:8" ht="51.75" x14ac:dyDescent="0.25">
      <c r="A8524" s="3" t="s">
        <v>24832</v>
      </c>
      <c r="B8524" s="3"/>
      <c r="C8524" s="3" t="str">
        <f>"SBMF provides laboratory and blood banking services and operates their own courier service throughout the state of Indiana"</f>
        <v>SBMF provides laboratory and blood banking services and operates their own courier service throughout the state of Indiana</v>
      </c>
      <c r="D8524" s="3" t="s">
        <v>24833</v>
      </c>
      <c r="E8524" s="3" t="s">
        <v>46</v>
      </c>
      <c r="F8524" s="3" t="str">
        <f>"574-234-4176"</f>
        <v>574-234-4176</v>
      </c>
      <c r="G8524" s="3">
        <v>621511</v>
      </c>
      <c r="H8524" s="3" t="s">
        <v>1240</v>
      </c>
    </row>
    <row r="8525" spans="1:8" ht="26.25" x14ac:dyDescent="0.25">
      <c r="A8525" s="3" t="s">
        <v>24834</v>
      </c>
      <c r="B8525" s="3"/>
      <c r="C8525" s="3" t="str">
        <f>"Outpatient Psychologist services"</f>
        <v>Outpatient Psychologist services</v>
      </c>
      <c r="D8525" s="3" t="s">
        <v>9</v>
      </c>
      <c r="E8525" s="3" t="s">
        <v>46</v>
      </c>
      <c r="F8525" s="3" t="str">
        <f>"574-255-1162"</f>
        <v>574-255-1162</v>
      </c>
      <c r="G8525" s="3">
        <v>621330</v>
      </c>
      <c r="H8525" s="3" t="s">
        <v>2643</v>
      </c>
    </row>
    <row r="8526" spans="1:8" ht="26.25" x14ac:dyDescent="0.25">
      <c r="A8526" s="3" t="s">
        <v>24835</v>
      </c>
      <c r="B8526" s="3"/>
      <c r="C8526" s="3" t="str">
        <f>"Provides public transportation to the citizens of South Bend/Mishawaka."</f>
        <v>Provides public transportation to the citizens of South Bend/Mishawaka.</v>
      </c>
      <c r="D8526" s="3" t="s">
        <v>24836</v>
      </c>
      <c r="E8526" s="3" t="s">
        <v>46</v>
      </c>
      <c r="F8526" s="3" t="str">
        <f>"574-232-9901"</f>
        <v>574-232-9901</v>
      </c>
      <c r="G8526" s="3">
        <v>485113</v>
      </c>
      <c r="H8526" s="3" t="s">
        <v>24837</v>
      </c>
    </row>
    <row r="8527" spans="1:8" ht="26.25" x14ac:dyDescent="0.25">
      <c r="A8527" s="3" t="s">
        <v>24838</v>
      </c>
      <c r="B8527" s="3"/>
      <c r="C8527" s="3" t="str">
        <f>"HEATING AND COOLING AND PLUMBING AND REF. ICE MACHINES AND PARTS"</f>
        <v>HEATING AND COOLING AND PLUMBING AND REF. ICE MACHINES AND PARTS</v>
      </c>
      <c r="D8527" s="3" t="s">
        <v>24839</v>
      </c>
      <c r="E8527" s="3" t="s">
        <v>46</v>
      </c>
      <c r="F8527" s="3" t="str">
        <f>"8123763343"</f>
        <v>8123763343</v>
      </c>
      <c r="G8527" s="3">
        <v>423720</v>
      </c>
      <c r="H8527" s="3" t="s">
        <v>2695</v>
      </c>
    </row>
    <row r="8528" spans="1:8" ht="39" x14ac:dyDescent="0.25">
      <c r="A8528" s="3" t="s">
        <v>24840</v>
      </c>
      <c r="B8528" s="3"/>
      <c r="C8528" s="2"/>
      <c r="D8528" s="3" t="s">
        <v>9</v>
      </c>
      <c r="E8528" s="3" t="s">
        <v>46</v>
      </c>
      <c r="F8528" s="2"/>
      <c r="G8528" s="3">
        <v>423730</v>
      </c>
      <c r="H8528" s="3" t="s">
        <v>17650</v>
      </c>
    </row>
    <row r="8529" spans="1:8" ht="26.25" x14ac:dyDescent="0.25">
      <c r="A8529" s="3" t="s">
        <v>24841</v>
      </c>
      <c r="B8529" s="3"/>
      <c r="C8529" s="3" t="str">
        <f>"Right of Way appraisal and appraisal review services for south central Indiana"</f>
        <v>Right of Way appraisal and appraisal review services for south central Indiana</v>
      </c>
      <c r="D8529" s="3" t="s">
        <v>9</v>
      </c>
      <c r="E8529" s="3" t="s">
        <v>24842</v>
      </c>
      <c r="F8529" s="3" t="str">
        <f>"(812) 606-2585"</f>
        <v>(812) 606-2585</v>
      </c>
      <c r="G8529" s="3">
        <v>531320</v>
      </c>
      <c r="H8529" s="3" t="s">
        <v>34</v>
      </c>
    </row>
    <row r="8530" spans="1:8" ht="26.25" x14ac:dyDescent="0.25">
      <c r="A8530" s="3" t="s">
        <v>24843</v>
      </c>
      <c r="B8530" s="3"/>
      <c r="C8530" s="3" t="str">
        <f>"Public School Corporation K-12"</f>
        <v>Public School Corporation K-12</v>
      </c>
      <c r="D8530" s="3" t="s">
        <v>24844</v>
      </c>
      <c r="E8530" s="3" t="s">
        <v>46</v>
      </c>
      <c r="F8530" s="3" t="str">
        <f>"812-726-4440"</f>
        <v>812-726-4440</v>
      </c>
      <c r="G8530" s="3">
        <v>611110</v>
      </c>
      <c r="H8530" s="3" t="s">
        <v>3876</v>
      </c>
    </row>
    <row r="8531" spans="1:8" ht="26.25" x14ac:dyDescent="0.25">
      <c r="A8531" s="3" t="s">
        <v>24845</v>
      </c>
      <c r="B8531" s="3"/>
      <c r="C8531" s="3" t="str">
        <f>"Promotional Merchandise, Wearables Silk Screen, Embroidery Graphic Design"</f>
        <v>Promotional Merchandise, Wearables Silk Screen, Embroidery Graphic Design</v>
      </c>
      <c r="D8531" s="3" t="s">
        <v>9</v>
      </c>
      <c r="E8531" s="3" t="s">
        <v>24846</v>
      </c>
      <c r="F8531" s="3" t="str">
        <f>"708-481-5204"</f>
        <v>708-481-5204</v>
      </c>
      <c r="G8531" s="3">
        <v>541890</v>
      </c>
      <c r="H8531" s="3" t="s">
        <v>401</v>
      </c>
    </row>
    <row r="8532" spans="1:8" ht="26.25" x14ac:dyDescent="0.25">
      <c r="A8532" s="3" t="s">
        <v>24845</v>
      </c>
      <c r="B8532" s="3"/>
      <c r="C8532" s="3" t="str">
        <f>"Promotional Items, Wearables Silk Screen, Embroidery Graphic Design"</f>
        <v>Promotional Items, Wearables Silk Screen, Embroidery Graphic Design</v>
      </c>
      <c r="D8532" s="3" t="s">
        <v>9</v>
      </c>
      <c r="E8532" s="3" t="s">
        <v>24847</v>
      </c>
      <c r="F8532" s="3" t="str">
        <f>"708-481-6206"</f>
        <v>708-481-6206</v>
      </c>
      <c r="G8532" s="3">
        <v>32311</v>
      </c>
      <c r="H8532" s="3" t="s">
        <v>531</v>
      </c>
    </row>
    <row r="8533" spans="1:8" ht="128.25" x14ac:dyDescent="0.25">
      <c r="A8533" s="3" t="s">
        <v>24848</v>
      </c>
      <c r="B8533" s="3"/>
      <c r="C8533" s="3" t="s">
        <v>24849</v>
      </c>
      <c r="D8533" s="3" t="s">
        <v>9</v>
      </c>
      <c r="E8533" s="3" t="s">
        <v>24850</v>
      </c>
      <c r="F8533" s="3" t="str">
        <f>"812-499-9220"</f>
        <v>812-499-9220</v>
      </c>
      <c r="G8533" s="3">
        <v>423990</v>
      </c>
      <c r="H8533" s="3" t="s">
        <v>983</v>
      </c>
    </row>
    <row r="8534" spans="1:8" ht="77.25" x14ac:dyDescent="0.25">
      <c r="A8534" s="3" t="s">
        <v>24851</v>
      </c>
      <c r="B8534" s="3"/>
      <c r="C8534" s="3" t="str">
        <f>"Low voltage communication and security Systems Integration. Engineering and implementation of different communication systems to beneficial customer outcome. Systems and services for Health Care and Education needs."</f>
        <v>Low voltage communication and security Systems Integration. Engineering and implementation of different communication systems to beneficial customer outcome. Systems and services for Health Care and Education needs.</v>
      </c>
      <c r="D8534" s="3" t="s">
        <v>24852</v>
      </c>
      <c r="E8534" s="3" t="s">
        <v>24853</v>
      </c>
      <c r="F8534" s="3" t="str">
        <f>"812-477-6495"</f>
        <v>812-477-6495</v>
      </c>
      <c r="G8534" s="3">
        <v>56162</v>
      </c>
      <c r="H8534" s="3" t="s">
        <v>1276</v>
      </c>
    </row>
    <row r="8535" spans="1:8" ht="51.75" x14ac:dyDescent="0.25">
      <c r="A8535" s="3" t="s">
        <v>24854</v>
      </c>
      <c r="B8535" s="3"/>
      <c r="C8535" s="3" t="str">
        <f>"Roofing Co that deals with Commerical, Industrial, and Residential buildings. Est in 1999, owner has been in roofing trade for over 20 years."</f>
        <v>Roofing Co that deals with Commerical, Industrial, and Residential buildings. Est in 1999, owner has been in roofing trade for over 20 years.</v>
      </c>
      <c r="D8535" s="3" t="s">
        <v>9</v>
      </c>
      <c r="E8535" s="3" t="s">
        <v>24855</v>
      </c>
      <c r="F8535" s="3" t="str">
        <f>"8125795733"</f>
        <v>8125795733</v>
      </c>
      <c r="G8535" s="3">
        <v>238160</v>
      </c>
      <c r="H8535" s="3" t="s">
        <v>144</v>
      </c>
    </row>
    <row r="8536" spans="1:8" ht="26.25" x14ac:dyDescent="0.25">
      <c r="A8536" s="3" t="s">
        <v>24856</v>
      </c>
      <c r="B8536" s="3"/>
      <c r="C8536" s="3" t="str">
        <f>" "</f>
        <v xml:space="preserve"> </v>
      </c>
      <c r="D8536" s="3" t="s">
        <v>24857</v>
      </c>
      <c r="E8536" s="3" t="s">
        <v>24858</v>
      </c>
      <c r="F8536" s="3" t="str">
        <f>"317-287-9041"</f>
        <v>317-287-9041</v>
      </c>
      <c r="G8536" s="3">
        <v>722320</v>
      </c>
      <c r="H8536" s="3" t="s">
        <v>266</v>
      </c>
    </row>
    <row r="8537" spans="1:8" ht="26.25" x14ac:dyDescent="0.25">
      <c r="A8537" s="3" t="s">
        <v>24859</v>
      </c>
      <c r="B8537" s="3"/>
      <c r="C8537" s="3" t="str">
        <f>"Drywall and acoustical contractors"</f>
        <v>Drywall and acoustical contractors</v>
      </c>
      <c r="D8537" s="3" t="s">
        <v>9</v>
      </c>
      <c r="E8537" s="3" t="s">
        <v>46</v>
      </c>
      <c r="F8537" s="3" t="str">
        <f>"812-487-9098"</f>
        <v>812-487-9098</v>
      </c>
      <c r="G8537" s="3">
        <v>238310</v>
      </c>
      <c r="H8537" s="3" t="s">
        <v>2526</v>
      </c>
    </row>
    <row r="8538" spans="1:8" ht="77.25" x14ac:dyDescent="0.25">
      <c r="A8538" s="3" t="s">
        <v>24860</v>
      </c>
      <c r="B8538" s="3"/>
      <c r="C8538" s="3" t="str">
        <f>"We are a Supplier of Building Material (lumber, plywood, concrete specialties, and contractor tools) and also have an Architectural Millwork Operation, as well as, Industrial and Commercial MRO Supplies."</f>
        <v>We are a Supplier of Building Material (lumber, plywood, concrete specialties, and contractor tools) and also have an Architectural Millwork Operation, as well as, Industrial and Commercial MRO Supplies.</v>
      </c>
      <c r="D8538" s="3" t="s">
        <v>24861</v>
      </c>
      <c r="E8538" s="3" t="s">
        <v>46</v>
      </c>
      <c r="F8538" s="3" t="str">
        <f>"317-359-9551"</f>
        <v>317-359-9551</v>
      </c>
      <c r="G8538" s="3">
        <v>4441</v>
      </c>
      <c r="H8538" s="3" t="s">
        <v>24862</v>
      </c>
    </row>
    <row r="8539" spans="1:8" ht="51.75" x14ac:dyDescent="0.25">
      <c r="A8539" s="3" t="s">
        <v>24863</v>
      </c>
      <c r="B8539" s="3"/>
      <c r="C8539" s="3" t="str">
        <f>"SOUTHEASTERN TRAILWAYS - CHARTER BUS SERVICE - DELUXE MOTORCOACHES TO MEET YOUR GROUP'S GROUND TRANSPORTATION NEEDS FOR LOCAL OR NATION WIDE TRAVEL."</f>
        <v>SOUTHEASTERN TRAILWAYS - CHARTER BUS SERVICE - DELUXE MOTORCOACHES TO MEET YOUR GROUP'S GROUND TRANSPORTATION NEEDS FOR LOCAL OR NATION WIDE TRAVEL.</v>
      </c>
      <c r="D8539" s="3" t="s">
        <v>9</v>
      </c>
      <c r="E8539" s="3" t="s">
        <v>24864</v>
      </c>
      <c r="F8539" s="3" t="str">
        <f>"317-635-8671"</f>
        <v>317-635-8671</v>
      </c>
      <c r="G8539" s="3">
        <v>485210</v>
      </c>
      <c r="H8539" s="3" t="s">
        <v>24865</v>
      </c>
    </row>
    <row r="8540" spans="1:8" ht="51.75" x14ac:dyDescent="0.25">
      <c r="A8540" s="3" t="s">
        <v>24866</v>
      </c>
      <c r="B8540" s="3"/>
      <c r="C8540" s="3" t="str">
        <f>"I am a WBE certified company who provides wholesale electrical, plumbing, and salt products. I am willing to bid on any product that needs to be supplied to your business."</f>
        <v>I am a WBE certified company who provides wholesale electrical, plumbing, and salt products. I am willing to bid on any product that needs to be supplied to your business.</v>
      </c>
      <c r="D8540" s="3" t="s">
        <v>9</v>
      </c>
      <c r="E8540" s="3" t="s">
        <v>24867</v>
      </c>
      <c r="F8540" s="3" t="str">
        <f>"(812) 926-0114"</f>
        <v>(812) 926-0114</v>
      </c>
      <c r="G8540" s="3">
        <v>422</v>
      </c>
      <c r="H8540" s="3" t="s">
        <v>16038</v>
      </c>
    </row>
    <row r="8541" spans="1:8" ht="306.75" x14ac:dyDescent="0.25">
      <c r="A8541" s="3" t="s">
        <v>24868</v>
      </c>
      <c r="B8541" s="3"/>
      <c r="C8541" s="3" t="s">
        <v>24869</v>
      </c>
      <c r="D8541" s="3" t="s">
        <v>24870</v>
      </c>
      <c r="E8541" s="3" t="s">
        <v>46</v>
      </c>
      <c r="F8541" s="3" t="str">
        <f>"(812) 482-3020"</f>
        <v>(812) 482-3020</v>
      </c>
      <c r="G8541" s="3">
        <v>621420</v>
      </c>
      <c r="H8541" s="3" t="s">
        <v>990</v>
      </c>
    </row>
    <row r="8542" spans="1:8" ht="39" x14ac:dyDescent="0.25">
      <c r="A8542" s="3" t="s">
        <v>24871</v>
      </c>
      <c r="B8542" s="3"/>
      <c r="C8542" s="3" t="str">
        <f>"Non-profit, Rural Health, Group Family Practice with 4 locations in Southern Indiana."</f>
        <v>Non-profit, Rural Health, Group Family Practice with 4 locations in Southern Indiana.</v>
      </c>
      <c r="D8542" s="3" t="s">
        <v>24872</v>
      </c>
      <c r="E8542" s="3" t="s">
        <v>24873</v>
      </c>
      <c r="F8542" s="3" t="str">
        <f>"812-723-3944"</f>
        <v>812-723-3944</v>
      </c>
      <c r="G8542" s="3">
        <v>621111</v>
      </c>
      <c r="H8542" s="3" t="s">
        <v>2002</v>
      </c>
    </row>
    <row r="8543" spans="1:8" ht="39" x14ac:dyDescent="0.25">
      <c r="A8543" s="3" t="s">
        <v>24874</v>
      </c>
      <c r="B8543" s="3"/>
      <c r="C8543" s="3" t="str">
        <f>"woman owned transportation corporation specializing in hauling hot mix asphalt, crushed stone, and sand."</f>
        <v>woman owned transportation corporation specializing in hauling hot mix asphalt, crushed stone, and sand.</v>
      </c>
      <c r="D8543" s="3" t="s">
        <v>9</v>
      </c>
      <c r="E8543" s="3" t="s">
        <v>24875</v>
      </c>
      <c r="F8543" s="3" t="str">
        <f>"812-634-7115"</f>
        <v>812-634-7115</v>
      </c>
      <c r="G8543" s="3">
        <v>484220</v>
      </c>
      <c r="H8543" s="3" t="s">
        <v>11</v>
      </c>
    </row>
    <row r="8544" spans="1:8" ht="51.75" x14ac:dyDescent="0.25">
      <c r="A8544" s="3" t="s">
        <v>24876</v>
      </c>
      <c r="B8544" s="3"/>
      <c r="C8544" s="3" t="str">
        <f>"Minority-American Chamber of Commerce for local Chambers and businesses to support their local minority efforts, alng with local outreach entities."</f>
        <v>Minority-American Chamber of Commerce for local Chambers and businesses to support their local minority efforts, alng with local outreach entities.</v>
      </c>
      <c r="D8544" s="3" t="s">
        <v>24877</v>
      </c>
      <c r="E8544" s="3" t="s">
        <v>24878</v>
      </c>
      <c r="F8544" s="3" t="str">
        <f>"812-369-7600"</f>
        <v>812-369-7600</v>
      </c>
      <c r="G8544" s="3">
        <v>8139</v>
      </c>
      <c r="H8544" s="3" t="s">
        <v>727</v>
      </c>
    </row>
    <row r="8545" spans="1:8" ht="51.75" x14ac:dyDescent="0.25">
      <c r="A8545" s="3" t="s">
        <v>24879</v>
      </c>
      <c r="B8545" s="3"/>
      <c r="C8545" s="3" t="str">
        <f>"Southern Indiana REC, Inc. is an electric utility cooperative serving the rural areas of Perry &amp; Spencer Counties and some areas of Warrick &amp; Dubois."</f>
        <v>Southern Indiana REC, Inc. is an electric utility cooperative serving the rural areas of Perry &amp; Spencer Counties and some areas of Warrick &amp; Dubois.</v>
      </c>
      <c r="D8545" s="3" t="s">
        <v>24880</v>
      </c>
      <c r="E8545" s="3" t="s">
        <v>24881</v>
      </c>
      <c r="F8545" s="3" t="str">
        <f>"812-547-2316"</f>
        <v>812-547-2316</v>
      </c>
      <c r="G8545" s="3">
        <v>221122</v>
      </c>
      <c r="H8545" s="3" t="s">
        <v>912</v>
      </c>
    </row>
    <row r="8546" spans="1:8" ht="102.75" x14ac:dyDescent="0.25">
      <c r="A8546" s="3" t="s">
        <v>24882</v>
      </c>
      <c r="B8546" s="3"/>
      <c r="C8546" s="3" t="s">
        <v>24883</v>
      </c>
      <c r="D8546" s="3" t="s">
        <v>24884</v>
      </c>
      <c r="E8546" s="3" t="s">
        <v>24885</v>
      </c>
      <c r="F8546" s="3" t="str">
        <f>"812-225-5437"</f>
        <v>812-225-5437</v>
      </c>
      <c r="G8546" s="3">
        <v>8133</v>
      </c>
      <c r="H8546" s="3" t="s">
        <v>5487</v>
      </c>
    </row>
    <row r="8547" spans="1:8" ht="153.75" x14ac:dyDescent="0.25">
      <c r="A8547" s="3" t="s">
        <v>24886</v>
      </c>
      <c r="B8547" s="3"/>
      <c r="C8547" s="3" t="s">
        <v>24887</v>
      </c>
      <c r="D8547" s="3" t="s">
        <v>24888</v>
      </c>
      <c r="E8547" s="3" t="s">
        <v>24889</v>
      </c>
      <c r="F8547" s="3" t="str">
        <f>"812-897-4840"</f>
        <v>812-897-4840</v>
      </c>
      <c r="G8547" s="3">
        <v>62412</v>
      </c>
      <c r="H8547" s="3" t="s">
        <v>22</v>
      </c>
    </row>
    <row r="8548" spans="1:8" ht="281.25" x14ac:dyDescent="0.25">
      <c r="A8548" s="3" t="s">
        <v>24890</v>
      </c>
      <c r="B8548" s="3"/>
      <c r="C8548" s="3" t="s">
        <v>24891</v>
      </c>
      <c r="D8548" s="3" t="s">
        <v>9</v>
      </c>
      <c r="E8548" s="3" t="s">
        <v>24892</v>
      </c>
      <c r="F8548" s="3" t="str">
        <f>"888-933-7473"</f>
        <v>888-933-7473</v>
      </c>
      <c r="G8548" s="3">
        <v>444190</v>
      </c>
      <c r="H8548" s="3" t="s">
        <v>1188</v>
      </c>
    </row>
    <row r="8549" spans="1:8" ht="39" x14ac:dyDescent="0.25">
      <c r="A8549" s="3" t="s">
        <v>24893</v>
      </c>
      <c r="B8549" s="3"/>
      <c r="C8549" s="3" t="str">
        <f>"We are a public school system for grades K through 12, our building also houses the Central Office"</f>
        <v>We are a public school system for grades K through 12, our building also houses the Central Office</v>
      </c>
      <c r="D8549" s="3" t="s">
        <v>24894</v>
      </c>
      <c r="E8549" s="3" t="s">
        <v>46</v>
      </c>
      <c r="F8549" s="3" t="str">
        <f>"765-728-5537"</f>
        <v>765-728-5537</v>
      </c>
      <c r="G8549" s="3">
        <v>6111</v>
      </c>
      <c r="H8549" s="3" t="s">
        <v>3876</v>
      </c>
    </row>
    <row r="8550" spans="1:8" ht="26.25" x14ac:dyDescent="0.25">
      <c r="A8550" s="3" t="s">
        <v>24895</v>
      </c>
      <c r="B8550" s="3"/>
      <c r="C8550" s="3" t="str">
        <f>"Not for Profit Management Company"</f>
        <v>Not for Profit Management Company</v>
      </c>
      <c r="D8550" s="3" t="s">
        <v>24896</v>
      </c>
      <c r="E8550" s="3" t="s">
        <v>46</v>
      </c>
      <c r="F8550" s="3" t="str">
        <f>"219-757-1900"</f>
        <v>219-757-1900</v>
      </c>
      <c r="G8550" s="3">
        <v>551</v>
      </c>
      <c r="H8550" s="3" t="s">
        <v>17008</v>
      </c>
    </row>
    <row r="8551" spans="1:8" ht="77.25" x14ac:dyDescent="0.25">
      <c r="A8551" s="3" t="s">
        <v>24897</v>
      </c>
      <c r="B8551" s="3"/>
      <c r="C8551" s="3" t="str">
        <f>"Southside ASIAN Sari-Sari Supermarket is a full service Asian Supermarket providing imported foods, rice and fish from all of Asia including, but not limited to the Philippines, China, Thailand, Japan, Korea &amp; Viet-Nam."</f>
        <v>Southside ASIAN Sari-Sari Supermarket is a full service Asian Supermarket providing imported foods, rice and fish from all of Asia including, but not limited to the Philippines, China, Thailand, Japan, Korea &amp; Viet-Nam.</v>
      </c>
      <c r="D8551" s="3" t="s">
        <v>24898</v>
      </c>
      <c r="E8551" s="3" t="s">
        <v>24899</v>
      </c>
      <c r="F8551" s="3" t="str">
        <f>"317-780-8494"</f>
        <v>317-780-8494</v>
      </c>
      <c r="G8551" s="3">
        <v>445299</v>
      </c>
      <c r="H8551" s="3" t="s">
        <v>7899</v>
      </c>
    </row>
    <row r="8552" spans="1:8" ht="26.25" x14ac:dyDescent="0.25">
      <c r="A8552" s="3" t="s">
        <v>24900</v>
      </c>
      <c r="B8552" s="3"/>
      <c r="C8552" s="3" t="str">
        <f>"Solid Waste Landfill"</f>
        <v>Solid Waste Landfill</v>
      </c>
      <c r="D8552" s="3" t="s">
        <v>9</v>
      </c>
      <c r="E8552" s="3" t="s">
        <v>24901</v>
      </c>
      <c r="F8552" s="3" t="str">
        <f>"(317) 247-6808"</f>
        <v>(317) 247-6808</v>
      </c>
      <c r="G8552" s="3">
        <v>562212</v>
      </c>
      <c r="H8552" s="3" t="s">
        <v>7832</v>
      </c>
    </row>
    <row r="8553" spans="1:8" ht="51.75" x14ac:dyDescent="0.25">
      <c r="A8553" s="3" t="s">
        <v>24902</v>
      </c>
      <c r="B8553" s="3"/>
      <c r="C8553" s="3" t="str">
        <f>"Southside Vacuum Sells new and used household and commercial vacuum cleaners. Vacuum cleaner bags, belts, parts, filters, and accessories"</f>
        <v>Southside Vacuum Sells new and used household and commercial vacuum cleaners. Vacuum cleaner bags, belts, parts, filters, and accessories</v>
      </c>
      <c r="D8553" s="3" t="s">
        <v>9</v>
      </c>
      <c r="E8553" s="3" t="s">
        <v>24903</v>
      </c>
      <c r="F8553" s="3" t="str">
        <f>"260-745-7788"</f>
        <v>260-745-7788</v>
      </c>
      <c r="G8553" s="3">
        <v>443111</v>
      </c>
      <c r="H8553" s="3" t="s">
        <v>11614</v>
      </c>
    </row>
    <row r="8554" spans="1:8" x14ac:dyDescent="0.25">
      <c r="A8554" s="3" t="s">
        <v>24904</v>
      </c>
      <c r="B8554" s="3"/>
      <c r="C8554" s="3" t="str">
        <f>" "</f>
        <v xml:space="preserve"> </v>
      </c>
      <c r="D8554" s="3" t="s">
        <v>9</v>
      </c>
      <c r="E8554" s="3" t="s">
        <v>46</v>
      </c>
      <c r="F8554" s="2"/>
      <c r="G8554" s="3">
        <v>922160</v>
      </c>
      <c r="H8554" s="3" t="s">
        <v>2246</v>
      </c>
    </row>
    <row r="8555" spans="1:8" ht="153.75" x14ac:dyDescent="0.25">
      <c r="A8555" s="3" t="s">
        <v>24905</v>
      </c>
      <c r="B8555" s="3"/>
      <c r="C8555" s="3" t="s">
        <v>24906</v>
      </c>
      <c r="D8555" s="3" t="s">
        <v>24907</v>
      </c>
      <c r="E8555" s="3" t="s">
        <v>24908</v>
      </c>
      <c r="F8555" s="3" t="str">
        <f>"918-254-4080"</f>
        <v>918-254-4080</v>
      </c>
      <c r="G8555" s="3">
        <v>423450</v>
      </c>
      <c r="H8555" s="3" t="s">
        <v>1406</v>
      </c>
    </row>
    <row r="8556" spans="1:8" ht="26.25" x14ac:dyDescent="0.25">
      <c r="A8556" s="3" t="s">
        <v>24909</v>
      </c>
      <c r="B8556" s="3"/>
      <c r="C8556" s="3" t="str">
        <f>"Floor Covering Sales"</f>
        <v>Floor Covering Sales</v>
      </c>
      <c r="D8556" s="3" t="s">
        <v>9</v>
      </c>
      <c r="E8556" s="3" t="s">
        <v>46</v>
      </c>
      <c r="F8556" s="3" t="str">
        <f>"260-768-4256"</f>
        <v>260-768-4256</v>
      </c>
      <c r="G8556" s="3">
        <v>442210</v>
      </c>
      <c r="H8556" s="3" t="s">
        <v>2301</v>
      </c>
    </row>
    <row r="8557" spans="1:8" ht="102.75" x14ac:dyDescent="0.25">
      <c r="A8557" s="3" t="s">
        <v>24910</v>
      </c>
      <c r="B8557" s="3"/>
      <c r="C8557" s="3" t="s">
        <v>24911</v>
      </c>
      <c r="D8557" s="3" t="s">
        <v>24912</v>
      </c>
      <c r="E8557" s="3" t="s">
        <v>24913</v>
      </c>
      <c r="F8557" s="3" t="str">
        <f>"765-649-3453"</f>
        <v>765-649-3453</v>
      </c>
      <c r="G8557" s="3">
        <v>621420</v>
      </c>
      <c r="H8557" s="3" t="s">
        <v>990</v>
      </c>
    </row>
    <row r="8558" spans="1:8" ht="141" x14ac:dyDescent="0.25">
      <c r="A8558" s="3" t="s">
        <v>24914</v>
      </c>
      <c r="B8558" s="3"/>
      <c r="C8558" s="3" t="s">
        <v>24915</v>
      </c>
      <c r="D8558" s="3" t="s">
        <v>24916</v>
      </c>
      <c r="E8558" s="3" t="s">
        <v>24917</v>
      </c>
      <c r="F8558" s="3" t="str">
        <f>"574-257-2799"</f>
        <v>574-257-2799</v>
      </c>
      <c r="G8558" s="3">
        <v>423990</v>
      </c>
      <c r="H8558" s="3" t="s">
        <v>983</v>
      </c>
    </row>
    <row r="8559" spans="1:8" ht="90" x14ac:dyDescent="0.25">
      <c r="A8559" s="3" t="s">
        <v>24918</v>
      </c>
      <c r="B8559" s="3"/>
      <c r="C8559" s="3" t="str">
        <f>"Manufacturer of Wire Mesh Partitions and Area Guarding. Also used for robotic guarding, DEA enclosures, Pedestrian barriers, tool cribs, maintenance cages, property and evidence rooms, temporary holding cells, tenant storage lockers and a lot more."</f>
        <v>Manufacturer of Wire Mesh Partitions and Area Guarding. Also used for robotic guarding, DEA enclosures, Pedestrian barriers, tool cribs, maintenance cages, property and evidence rooms, temporary holding cells, tenant storage lockers and a lot more.</v>
      </c>
      <c r="D8559" s="3" t="s">
        <v>24919</v>
      </c>
      <c r="E8559" s="3" t="s">
        <v>24920</v>
      </c>
      <c r="F8559" s="3" t="str">
        <f>"812-523-3044"</f>
        <v>812-523-3044</v>
      </c>
      <c r="G8559" s="3">
        <v>31</v>
      </c>
      <c r="H8559" s="3" t="s">
        <v>999</v>
      </c>
    </row>
    <row r="8560" spans="1:8" ht="90" x14ac:dyDescent="0.25">
      <c r="A8560" s="3" t="s">
        <v>24921</v>
      </c>
      <c r="B8560" s="3"/>
      <c r="C8560" s="3" t="s">
        <v>24922</v>
      </c>
      <c r="D8560" s="3" t="s">
        <v>24923</v>
      </c>
      <c r="E8560" s="3" t="s">
        <v>24924</v>
      </c>
      <c r="F8560" s="3" t="str">
        <f>"317-862-4700"</f>
        <v>317-862-4700</v>
      </c>
      <c r="G8560" s="3">
        <v>541511</v>
      </c>
      <c r="H8560" s="3" t="s">
        <v>122</v>
      </c>
    </row>
    <row r="8561" spans="1:8" ht="26.25" x14ac:dyDescent="0.25">
      <c r="A8561" s="3" t="s">
        <v>24925</v>
      </c>
      <c r="B8561" s="3"/>
      <c r="C8561" s="3" t="str">
        <f>"Spalding &amp; Hilmes, PC is a law firm focusing on environmental law."</f>
        <v>Spalding &amp; Hilmes, PC is a law firm focusing on environmental law.</v>
      </c>
      <c r="D8561" s="3" t="s">
        <v>24926</v>
      </c>
      <c r="E8561" s="3" t="s">
        <v>24927</v>
      </c>
      <c r="F8561" s="3" t="str">
        <f>"317-375-1140"</f>
        <v>317-375-1140</v>
      </c>
      <c r="G8561" s="3">
        <v>541110</v>
      </c>
      <c r="H8561" s="3" t="s">
        <v>2978</v>
      </c>
    </row>
    <row r="8562" spans="1:8" ht="153.75" x14ac:dyDescent="0.25">
      <c r="A8562" s="3" t="s">
        <v>24928</v>
      </c>
      <c r="B8562" s="3"/>
      <c r="C8562" s="3" t="s">
        <v>24929</v>
      </c>
      <c r="D8562" s="3" t="s">
        <v>9</v>
      </c>
      <c r="E8562" s="3" t="s">
        <v>24930</v>
      </c>
      <c r="F8562" s="3" t="str">
        <f>"260-484-0496"</f>
        <v>260-484-0496</v>
      </c>
      <c r="G8562" s="3">
        <v>423710</v>
      </c>
      <c r="H8562" s="3" t="s">
        <v>6956</v>
      </c>
    </row>
    <row r="8563" spans="1:8" ht="64.5" x14ac:dyDescent="0.25">
      <c r="A8563" s="3" t="s">
        <v>24931</v>
      </c>
      <c r="B8563" s="3"/>
      <c r="C8563" s="3" t="str">
        <f>"Professional Spanish language training for law enforcement, healthcare, construction and other industries in Indiana wishing to increase their Spanish communication skills."</f>
        <v>Professional Spanish language training for law enforcement, healthcare, construction and other industries in Indiana wishing to increase their Spanish communication skills.</v>
      </c>
      <c r="D8563" s="3" t="s">
        <v>24932</v>
      </c>
      <c r="E8563" s="3" t="s">
        <v>46</v>
      </c>
      <c r="F8563" s="3" t="str">
        <f>"317-569-0797"</f>
        <v>317-569-0797</v>
      </c>
      <c r="G8563" s="3">
        <v>611630</v>
      </c>
      <c r="H8563" s="3" t="s">
        <v>17121</v>
      </c>
    </row>
    <row r="8564" spans="1:8" ht="39" x14ac:dyDescent="0.25">
      <c r="A8564" s="3" t="s">
        <v>24933</v>
      </c>
      <c r="B8564" s="3"/>
      <c r="C8564" s="3" t="str">
        <f>"Providing a wide range of cleaning services from daily cleaning service to more intensive maintenance (not repair) projects"</f>
        <v>Providing a wide range of cleaning services from daily cleaning service to more intensive maintenance (not repair) projects</v>
      </c>
      <c r="D8564" s="3" t="s">
        <v>9</v>
      </c>
      <c r="E8564" s="3" t="s">
        <v>46</v>
      </c>
      <c r="F8564" s="2"/>
      <c r="G8564" s="3">
        <v>561720</v>
      </c>
      <c r="H8564" s="3" t="s">
        <v>222</v>
      </c>
    </row>
    <row r="8565" spans="1:8" ht="26.25" x14ac:dyDescent="0.25">
      <c r="A8565" s="3" t="s">
        <v>24934</v>
      </c>
      <c r="B8565" s="3"/>
      <c r="C8565" s="3" t="str">
        <f>"Professional Cleaning Service for Commercial &amp; Residential"</f>
        <v>Professional Cleaning Service for Commercial &amp; Residential</v>
      </c>
      <c r="D8565" s="3" t="s">
        <v>9</v>
      </c>
      <c r="E8565" s="3" t="s">
        <v>24935</v>
      </c>
      <c r="F8565" s="3" t="str">
        <f>"(260) 437-5397"</f>
        <v>(260) 437-5397</v>
      </c>
      <c r="G8565" s="3">
        <v>23599</v>
      </c>
      <c r="H8565" s="3" t="s">
        <v>248</v>
      </c>
    </row>
    <row r="8566" spans="1:8" ht="51.75" x14ac:dyDescent="0.25">
      <c r="A8566" s="3" t="s">
        <v>24936</v>
      </c>
      <c r="B8566" s="3"/>
      <c r="C8566" s="3" t="str">
        <f>"Servicing Small to Medium size Businesses in the Information Technology field. Consulting, maintenance all things technology"</f>
        <v>Servicing Small to Medium size Businesses in the Information Technology field. Consulting, maintenance all things technology</v>
      </c>
      <c r="D8566" s="3" t="s">
        <v>24937</v>
      </c>
      <c r="E8566" s="3" t="s">
        <v>24938</v>
      </c>
      <c r="F8566" s="3" t="str">
        <f>"317-706-0630"</f>
        <v>317-706-0630</v>
      </c>
      <c r="G8566" s="3">
        <v>541512</v>
      </c>
      <c r="H8566" s="3" t="s">
        <v>19</v>
      </c>
    </row>
    <row r="8567" spans="1:8" ht="115.5" x14ac:dyDescent="0.25">
      <c r="A8567" s="3" t="s">
        <v>24939</v>
      </c>
      <c r="B8567" s="3"/>
      <c r="C8567" s="3" t="s">
        <v>24940</v>
      </c>
      <c r="D8567" s="3" t="s">
        <v>9</v>
      </c>
      <c r="E8567" s="3" t="s">
        <v>46</v>
      </c>
      <c r="F8567" s="2"/>
      <c r="G8567" s="3">
        <v>541410</v>
      </c>
      <c r="H8567" s="3" t="s">
        <v>687</v>
      </c>
    </row>
    <row r="8568" spans="1:8" ht="51.75" x14ac:dyDescent="0.25">
      <c r="A8568" s="3" t="s">
        <v>24941</v>
      </c>
      <c r="B8568" s="3"/>
      <c r="C8568" s="3" t="str">
        <f>"GIS consulting in the areas of Project Management, Contract Management, Procurement, Data Validation/QC, GPS Sales and consulting, GIS software sales."</f>
        <v>GIS consulting in the areas of Project Management, Contract Management, Procurement, Data Validation/QC, GPS Sales and consulting, GIS software sales.</v>
      </c>
      <c r="D8568" s="3" t="s">
        <v>24942</v>
      </c>
      <c r="E8568" s="3" t="s">
        <v>24943</v>
      </c>
      <c r="F8568" s="3" t="str">
        <f>"3176795890"</f>
        <v>3176795890</v>
      </c>
      <c r="G8568" s="3">
        <v>5191</v>
      </c>
      <c r="H8568" s="3" t="s">
        <v>1455</v>
      </c>
    </row>
    <row r="8569" spans="1:8" ht="230.25" x14ac:dyDescent="0.25">
      <c r="A8569" s="3" t="s">
        <v>24944</v>
      </c>
      <c r="B8569" s="3"/>
      <c r="C8569" s="3" t="s">
        <v>24945</v>
      </c>
      <c r="D8569" s="3" t="s">
        <v>24946</v>
      </c>
      <c r="E8569" s="3" t="s">
        <v>24947</v>
      </c>
      <c r="F8569" s="3" t="str">
        <f>"317 313 5647"</f>
        <v>317 313 5647</v>
      </c>
      <c r="G8569" s="3">
        <v>722310</v>
      </c>
      <c r="H8569" s="3" t="s">
        <v>3051</v>
      </c>
    </row>
    <row r="8570" spans="1:8" ht="77.25" x14ac:dyDescent="0.25">
      <c r="A8570" s="3" t="s">
        <v>24948</v>
      </c>
      <c r="B8570" s="3"/>
      <c r="C8570" s="3" t="str">
        <f>"Special Task Force Protection Agency (STFPA) is a company that provides corporate protection &amp; security. (STFPA) is the parent company of Absolute Security Consulting company which is an investigative and security consulting firm."</f>
        <v>Special Task Force Protection Agency (STFPA) is a company that provides corporate protection &amp; security. (STFPA) is the parent company of Absolute Security Consulting company which is an investigative and security consulting firm.</v>
      </c>
      <c r="D8570" s="3" t="s">
        <v>24949</v>
      </c>
      <c r="E8570" s="3" t="s">
        <v>24950</v>
      </c>
      <c r="F8570" s="3" t="str">
        <f>"317-855-0180"</f>
        <v>317-855-0180</v>
      </c>
      <c r="G8570" s="3">
        <v>561612</v>
      </c>
      <c r="H8570" s="3" t="s">
        <v>362</v>
      </c>
    </row>
    <row r="8571" spans="1:8" ht="26.25" x14ac:dyDescent="0.25">
      <c r="A8571" s="3" t="s">
        <v>24951</v>
      </c>
      <c r="B8571" s="3"/>
      <c r="C8571" s="3" t="str">
        <f>"Foster Care and Counseling Agency"</f>
        <v>Foster Care and Counseling Agency</v>
      </c>
      <c r="D8571" s="3" t="s">
        <v>24952</v>
      </c>
      <c r="E8571" s="3" t="s">
        <v>46</v>
      </c>
      <c r="F8571" s="3" t="str">
        <f>"260-484-4600"</f>
        <v>260-484-4600</v>
      </c>
      <c r="G8571" s="3">
        <v>624110</v>
      </c>
      <c r="H8571" s="3" t="s">
        <v>628</v>
      </c>
    </row>
    <row r="8572" spans="1:8" ht="77.25" x14ac:dyDescent="0.25">
      <c r="A8572" s="3" t="s">
        <v>24953</v>
      </c>
      <c r="B8572" s="3"/>
      <c r="C8572" s="3" t="str">
        <f>"I am an engraving business specializing in corporate awards, trophies, perpetual plaques such as employee's of the month, special recognition plaques, personalized gifts such as pens, wood, crystal, glass and acrylic."</f>
        <v>I am an engraving business specializing in corporate awards, trophies, perpetual plaques such as employee's of the month, special recognition plaques, personalized gifts such as pens, wood, crystal, glass and acrylic.</v>
      </c>
      <c r="D8572" s="3" t="s">
        <v>24954</v>
      </c>
      <c r="E8572" s="3" t="s">
        <v>24955</v>
      </c>
      <c r="F8572" s="3" t="str">
        <f>"765-779-4618"</f>
        <v>765-779-4618</v>
      </c>
      <c r="G8572" s="3">
        <v>453998</v>
      </c>
      <c r="H8572" s="3" t="s">
        <v>112</v>
      </c>
    </row>
    <row r="8573" spans="1:8" ht="26.25" x14ac:dyDescent="0.25">
      <c r="A8573" s="3" t="s">
        <v>24956</v>
      </c>
      <c r="B8573" s="3"/>
      <c r="C8573" s="3" t="str">
        <f>"Right-of-way acquisition specialists"</f>
        <v>Right-of-way acquisition specialists</v>
      </c>
      <c r="D8573" s="3" t="s">
        <v>9</v>
      </c>
      <c r="E8573" s="3" t="s">
        <v>24957</v>
      </c>
      <c r="F8573" s="3" t="str">
        <f>"317-415-0121"</f>
        <v>317-415-0121</v>
      </c>
      <c r="G8573" s="3">
        <v>2373</v>
      </c>
      <c r="H8573" s="3" t="s">
        <v>768</v>
      </c>
    </row>
    <row r="8574" spans="1:8" ht="39" x14ac:dyDescent="0.25">
      <c r="A8574" s="3" t="s">
        <v>24958</v>
      </c>
      <c r="B8574" s="3"/>
      <c r="C8574" s="3" t="str">
        <f>"Distributor of adhesive tapes, packaging materials and equipment, as well as Industrial MRO supplies."</f>
        <v>Distributor of adhesive tapes, packaging materials and equipment, as well as Industrial MRO supplies.</v>
      </c>
      <c r="D8574" s="3" t="s">
        <v>24959</v>
      </c>
      <c r="E8574" s="3" t="s">
        <v>24960</v>
      </c>
      <c r="F8574" s="3" t="str">
        <f>"574-296-7849"</f>
        <v>574-296-7849</v>
      </c>
      <c r="G8574" s="3">
        <v>423840</v>
      </c>
      <c r="H8574" s="3" t="s">
        <v>553</v>
      </c>
    </row>
    <row r="8575" spans="1:8" ht="319.5" x14ac:dyDescent="0.25">
      <c r="A8575" s="3" t="s">
        <v>24961</v>
      </c>
      <c r="B8575" s="3"/>
      <c r="C8575" s="3" t="s">
        <v>24962</v>
      </c>
      <c r="D8575" s="3" t="s">
        <v>24963</v>
      </c>
      <c r="E8575" s="3" t="s">
        <v>46</v>
      </c>
      <c r="F8575" s="3" t="str">
        <f>"574-234-9944"</f>
        <v>574-234-9944</v>
      </c>
      <c r="G8575" s="3">
        <v>561320</v>
      </c>
      <c r="H8575" s="3" t="s">
        <v>15</v>
      </c>
    </row>
    <row r="8576" spans="1:8" ht="26.25" x14ac:dyDescent="0.25">
      <c r="A8576" s="3" t="s">
        <v>24964</v>
      </c>
      <c r="B8576" s="3"/>
      <c r="C8576" s="3" t="str">
        <f>"Designers &amp; builders of robotics, special machines, dies and fixtures"</f>
        <v>Designers &amp; builders of robotics, special machines, dies and fixtures</v>
      </c>
      <c r="D8576" s="3" t="s">
        <v>9</v>
      </c>
      <c r="E8576" s="3" t="s">
        <v>24965</v>
      </c>
      <c r="F8576" s="3" t="str">
        <f>"1-260-356-2678"</f>
        <v>1-260-356-2678</v>
      </c>
      <c r="G8576" s="3">
        <v>332710</v>
      </c>
      <c r="H8576" s="3" t="s">
        <v>387</v>
      </c>
    </row>
    <row r="8577" spans="1:8" x14ac:dyDescent="0.25">
      <c r="A8577" s="3" t="s">
        <v>24966</v>
      </c>
      <c r="B8577" s="3"/>
      <c r="C8577" s="3" t="str">
        <f>" "</f>
        <v xml:space="preserve"> </v>
      </c>
      <c r="D8577" s="3" t="s">
        <v>9</v>
      </c>
      <c r="E8577" s="3" t="s">
        <v>46</v>
      </c>
      <c r="F8577" s="2"/>
      <c r="G8577" s="3">
        <v>238350</v>
      </c>
      <c r="H8577" s="3" t="s">
        <v>270</v>
      </c>
    </row>
    <row r="8578" spans="1:8" ht="39" x14ac:dyDescent="0.25">
      <c r="A8578" s="3" t="s">
        <v>24967</v>
      </c>
      <c r="B8578" s="3"/>
      <c r="C8578" s="3" t="str">
        <f>"BUSINESS LETTERS, LOCKERS, BATHROOM PARTIANS, SIDING, WINDOWS AND DOORS, SKY LIGHTS AS WELL AS REPAIRS."</f>
        <v>BUSINESS LETTERS, LOCKERS, BATHROOM PARTIANS, SIDING, WINDOWS AND DOORS, SKY LIGHTS AS WELL AS REPAIRS.</v>
      </c>
      <c r="D8578" s="3" t="s">
        <v>9</v>
      </c>
      <c r="E8578" s="3" t="s">
        <v>24968</v>
      </c>
      <c r="F8578" s="3" t="str">
        <f>"317 509 0274"</f>
        <v>317 509 0274</v>
      </c>
      <c r="G8578" s="3">
        <v>23</v>
      </c>
      <c r="H8578" s="3" t="s">
        <v>133</v>
      </c>
    </row>
    <row r="8579" spans="1:8" ht="26.25" x14ac:dyDescent="0.25">
      <c r="A8579" s="3" t="s">
        <v>24969</v>
      </c>
      <c r="B8579" s="3"/>
      <c r="C8579" s="2"/>
      <c r="D8579" s="3" t="s">
        <v>9</v>
      </c>
      <c r="E8579" s="3" t="s">
        <v>24970</v>
      </c>
      <c r="F8579" s="3" t="str">
        <f>"812-422-0502"</f>
        <v>812-422-0502</v>
      </c>
      <c r="G8579" s="3">
        <v>322211</v>
      </c>
      <c r="H8579" s="3" t="s">
        <v>2605</v>
      </c>
    </row>
    <row r="8580" spans="1:8" ht="39" x14ac:dyDescent="0.25">
      <c r="A8580" s="3" t="s">
        <v>24971</v>
      </c>
      <c r="B8580" s="3"/>
      <c r="C8580" s="3" t="str">
        <f>"Commercial contractor specializing in drywall, framing, acoustic ceilings, and insulation."</f>
        <v>Commercial contractor specializing in drywall, framing, acoustic ceilings, and insulation.</v>
      </c>
      <c r="D8580" s="3" t="s">
        <v>9</v>
      </c>
      <c r="E8580" s="3" t="s">
        <v>24972</v>
      </c>
      <c r="F8580" s="3" t="str">
        <f>"317-858-9600"</f>
        <v>317-858-9600</v>
      </c>
      <c r="G8580" s="3">
        <v>238310</v>
      </c>
      <c r="H8580" s="3" t="s">
        <v>2526</v>
      </c>
    </row>
    <row r="8581" spans="1:8" ht="230.25" x14ac:dyDescent="0.25">
      <c r="A8581" s="3" t="s">
        <v>24973</v>
      </c>
      <c r="B8581" s="3"/>
      <c r="C8581" s="3" t="s">
        <v>24974</v>
      </c>
      <c r="D8581" s="3" t="s">
        <v>9</v>
      </c>
      <c r="E8581" s="3" t="s">
        <v>24975</v>
      </c>
      <c r="F8581" s="3" t="str">
        <f>"317-333-8782"</f>
        <v>317-333-8782</v>
      </c>
      <c r="G8581" s="3">
        <v>531</v>
      </c>
      <c r="H8581" s="3" t="s">
        <v>74</v>
      </c>
    </row>
    <row r="8582" spans="1:8" ht="26.25" x14ac:dyDescent="0.25">
      <c r="A8582" s="3" t="s">
        <v>24976</v>
      </c>
      <c r="B8582" s="3"/>
      <c r="C8582" s="3" t="str">
        <f>"commercial offset printer"</f>
        <v>commercial offset printer</v>
      </c>
      <c r="D8582" s="3" t="s">
        <v>9</v>
      </c>
      <c r="E8582" s="3" t="s">
        <v>24977</v>
      </c>
      <c r="F8582" s="3" t="str">
        <f>"812-335-1945"</f>
        <v>812-335-1945</v>
      </c>
      <c r="G8582" s="3">
        <v>323110</v>
      </c>
      <c r="H8582" s="3" t="s">
        <v>1900</v>
      </c>
    </row>
    <row r="8583" spans="1:8" ht="26.25" x14ac:dyDescent="0.25">
      <c r="A8583" s="3" t="s">
        <v>24978</v>
      </c>
      <c r="B8583" s="3"/>
      <c r="C8583" s="3" t="str">
        <f>"electronics repair, commercial, professional and consumer audio"</f>
        <v>electronics repair, commercial, professional and consumer audio</v>
      </c>
      <c r="D8583" s="3" t="s">
        <v>24979</v>
      </c>
      <c r="E8583" s="3" t="s">
        <v>24980</v>
      </c>
      <c r="F8583" s="3" t="str">
        <f>"317-923-7868"</f>
        <v>317-923-7868</v>
      </c>
      <c r="G8583" s="3">
        <v>811</v>
      </c>
      <c r="H8583" s="3" t="s">
        <v>816</v>
      </c>
    </row>
    <row r="8584" spans="1:8" ht="64.5" x14ac:dyDescent="0.25">
      <c r="A8584" s="3" t="s">
        <v>24981</v>
      </c>
      <c r="B8584" s="3"/>
      <c r="C8584" s="3" t="str">
        <f>"Spectrum is a technical staffing company that provides engineers and other professional and technical staff to the utility industry on both a temporary or permanent placement basis."</f>
        <v>Spectrum is a technical staffing company that provides engineers and other professional and technical staff to the utility industry on both a temporary or permanent placement basis.</v>
      </c>
      <c r="D8584" s="3" t="s">
        <v>24982</v>
      </c>
      <c r="E8584" s="3" t="s">
        <v>24983</v>
      </c>
      <c r="F8584" s="3" t="str">
        <f>"(812) 336-5108"</f>
        <v>(812) 336-5108</v>
      </c>
      <c r="G8584" s="3">
        <v>561320</v>
      </c>
      <c r="H8584" s="3" t="s">
        <v>15</v>
      </c>
    </row>
    <row r="8585" spans="1:8" ht="39" x14ac:dyDescent="0.25">
      <c r="A8585" s="3" t="s">
        <v>24984</v>
      </c>
      <c r="B8585" s="3"/>
      <c r="C8585" s="3" t="str">
        <f>"Support coordination and case management services for individuals with developmental disabilities. or people who are elderly."</f>
        <v>Support coordination and case management services for individuals with developmental disabilities. or people who are elderly.</v>
      </c>
      <c r="D8585" s="3" t="s">
        <v>9</v>
      </c>
      <c r="E8585" s="3" t="s">
        <v>24985</v>
      </c>
      <c r="F8585" s="3" t="str">
        <f>"812-597-5046"</f>
        <v>812-597-5046</v>
      </c>
      <c r="G8585" s="3">
        <v>62412</v>
      </c>
      <c r="H8585" s="3" t="s">
        <v>22</v>
      </c>
    </row>
    <row r="8586" spans="1:8" ht="39" x14ac:dyDescent="0.25">
      <c r="A8586" s="3" t="s">
        <v>24986</v>
      </c>
      <c r="B8586" s="3"/>
      <c r="C8586" s="3" t="str">
        <f>"Auto Parts for Domestic Imprt and heavy Duty Trucks Specializing in hard to find parts replacement parts"</f>
        <v>Auto Parts for Domestic Imprt and heavy Duty Trucks Specializing in hard to find parts replacement parts</v>
      </c>
      <c r="D8586" s="3" t="s">
        <v>24987</v>
      </c>
      <c r="E8586" s="3" t="s">
        <v>24988</v>
      </c>
      <c r="F8586" s="3" t="str">
        <f>"3172436696"</f>
        <v>3172436696</v>
      </c>
      <c r="G8586" s="3">
        <v>441310</v>
      </c>
      <c r="H8586" s="3" t="s">
        <v>1699</v>
      </c>
    </row>
    <row r="8587" spans="1:8" ht="306.75" x14ac:dyDescent="0.25">
      <c r="A8587" s="3" t="s">
        <v>24989</v>
      </c>
      <c r="B8587" s="3"/>
      <c r="C8587" s="3" t="s">
        <v>24990</v>
      </c>
      <c r="D8587" s="3" t="s">
        <v>24991</v>
      </c>
      <c r="E8587" s="3" t="s">
        <v>24992</v>
      </c>
      <c r="F8587" s="3" t="str">
        <f>"9378643000"</f>
        <v>9378643000</v>
      </c>
      <c r="G8587" s="3">
        <v>44512</v>
      </c>
      <c r="H8587" s="3" t="s">
        <v>5631</v>
      </c>
    </row>
    <row r="8588" spans="1:8" ht="26.25" x14ac:dyDescent="0.25">
      <c r="A8588" s="3" t="s">
        <v>24993</v>
      </c>
      <c r="B8588" s="3"/>
      <c r="C8588" s="3" t="str">
        <f>"Supplier / Manufacturer of ready mix concrete. We also deliver our product."</f>
        <v>Supplier / Manufacturer of ready mix concrete. We also deliver our product.</v>
      </c>
      <c r="D8588" s="3" t="s">
        <v>9</v>
      </c>
      <c r="E8588" s="3" t="s">
        <v>24994</v>
      </c>
      <c r="F8588" s="3" t="str">
        <f>"260-357-6885"</f>
        <v>260-357-6885</v>
      </c>
      <c r="G8588" s="3">
        <v>238110</v>
      </c>
      <c r="H8588" s="3" t="s">
        <v>156</v>
      </c>
    </row>
    <row r="8589" spans="1:8" ht="51.75" x14ac:dyDescent="0.25">
      <c r="A8589" s="3" t="s">
        <v>24995</v>
      </c>
      <c r="B8589" s="3"/>
      <c r="C8589" s="3" t="str">
        <f>"We have a large, high efficiency, laundromat located in Columbus IN. We have over sized equipment and would love to do business with the state."</f>
        <v>We have a large, high efficiency, laundromat located in Columbus IN. We have over sized equipment and would love to do business with the state.</v>
      </c>
      <c r="D8589" s="3" t="s">
        <v>9</v>
      </c>
      <c r="E8589" s="3" t="s">
        <v>24996</v>
      </c>
      <c r="F8589" s="3" t="str">
        <f>"812-799-0687"</f>
        <v>812-799-0687</v>
      </c>
      <c r="G8589" s="3">
        <v>812332</v>
      </c>
      <c r="H8589" s="3" t="s">
        <v>2883</v>
      </c>
    </row>
    <row r="8590" spans="1:8" ht="26.25" x14ac:dyDescent="0.25">
      <c r="A8590" s="3" t="s">
        <v>24997</v>
      </c>
      <c r="B8590" s="3"/>
      <c r="C8590" s="3" t="str">
        <f>" "</f>
        <v xml:space="preserve"> </v>
      </c>
      <c r="D8590" s="3" t="s">
        <v>24998</v>
      </c>
      <c r="E8590" s="3" t="s">
        <v>24999</v>
      </c>
      <c r="F8590" s="3" t="str">
        <f>"574-256-0130"</f>
        <v>574-256-0130</v>
      </c>
      <c r="G8590" s="3">
        <v>541990</v>
      </c>
      <c r="H8590" s="3" t="s">
        <v>378</v>
      </c>
    </row>
    <row r="8591" spans="1:8" ht="77.25" x14ac:dyDescent="0.25">
      <c r="A8591" s="3" t="s">
        <v>25000</v>
      </c>
      <c r="B8591" s="3"/>
      <c r="C8591" s="3" t="str">
        <f>"CCTV Inspection of Sanitary and Storm Sewer Lines. Reports issued would include the following: Hard Copy Report; CD-Rom and VHS tape. Other services include: mandrel testing, mini camera inspections, sponging, and cleaning of lines."</f>
        <v>CCTV Inspection of Sanitary and Storm Sewer Lines. Reports issued would include the following: Hard Copy Report; CD-Rom and VHS tape. Other services include: mandrel testing, mini camera inspections, sponging, and cleaning of lines.</v>
      </c>
      <c r="D8591" s="3" t="s">
        <v>9</v>
      </c>
      <c r="E8591" s="3" t="s">
        <v>46</v>
      </c>
      <c r="F8591" s="3" t="str">
        <f>"877-733-0045"</f>
        <v>877-733-0045</v>
      </c>
      <c r="G8591" s="3">
        <v>23899</v>
      </c>
      <c r="H8591" s="3" t="s">
        <v>481</v>
      </c>
    </row>
    <row r="8592" spans="1:8" ht="39" x14ac:dyDescent="0.25">
      <c r="A8592" s="3" t="s">
        <v>25001</v>
      </c>
      <c r="B8592" s="3"/>
      <c r="C8592" s="3" t="str">
        <f>"Wholesale producer of source identified local genotype prairie, wetland, and woodland plants and seeds"</f>
        <v>Wholesale producer of source identified local genotype prairie, wetland, and woodland plants and seeds</v>
      </c>
      <c r="D8592" s="3" t="s">
        <v>25002</v>
      </c>
      <c r="E8592" s="3" t="s">
        <v>25003</v>
      </c>
      <c r="F8592" s="3" t="str">
        <f>"(765) 286-7154"</f>
        <v>(765) 286-7154</v>
      </c>
      <c r="G8592" s="3">
        <v>11142</v>
      </c>
      <c r="H8592" s="3" t="s">
        <v>3858</v>
      </c>
    </row>
    <row r="8593" spans="1:8" ht="26.25" x14ac:dyDescent="0.25">
      <c r="A8593" s="3" t="s">
        <v>25004</v>
      </c>
      <c r="B8593" s="3"/>
      <c r="C8593" s="2"/>
      <c r="D8593" s="3" t="s">
        <v>25005</v>
      </c>
      <c r="E8593" s="3" t="s">
        <v>25006</v>
      </c>
      <c r="F8593" s="3" t="str">
        <f>"812-937-4433"</f>
        <v>812-937-4433</v>
      </c>
      <c r="G8593" s="3">
        <v>52</v>
      </c>
      <c r="H8593" s="3" t="s">
        <v>50</v>
      </c>
    </row>
    <row r="8594" spans="1:8" ht="26.25" x14ac:dyDescent="0.25">
      <c r="A8594" s="3" t="s">
        <v>25007</v>
      </c>
      <c r="B8594" s="3"/>
      <c r="C8594" s="3" t="str">
        <f>"We Provide building materials in the hardware and lumber industry"</f>
        <v>We Provide building materials in the hardware and lumber industry</v>
      </c>
      <c r="D8594" s="3" t="s">
        <v>9</v>
      </c>
      <c r="E8594" s="3" t="s">
        <v>25008</v>
      </c>
      <c r="F8594" s="3" t="str">
        <f>"812-829-2564"</f>
        <v>812-829-2564</v>
      </c>
      <c r="G8594" s="3">
        <v>444130</v>
      </c>
      <c r="H8594" s="3" t="s">
        <v>2597</v>
      </c>
    </row>
    <row r="8595" spans="1:8" x14ac:dyDescent="0.25">
      <c r="A8595" s="3" t="s">
        <v>25009</v>
      </c>
      <c r="B8595" s="3"/>
      <c r="C8595" s="3" t="str">
        <f>" "</f>
        <v xml:space="preserve"> </v>
      </c>
      <c r="D8595" s="3" t="s">
        <v>9</v>
      </c>
      <c r="E8595" s="3" t="s">
        <v>46</v>
      </c>
      <c r="F8595" s="2"/>
      <c r="G8595" s="3">
        <v>611110</v>
      </c>
      <c r="H8595" s="3" t="s">
        <v>3876</v>
      </c>
    </row>
    <row r="8596" spans="1:8" ht="26.25" x14ac:dyDescent="0.25">
      <c r="A8596" s="3" t="s">
        <v>25010</v>
      </c>
      <c r="B8596" s="3"/>
      <c r="C8596" s="3" t="str">
        <f>"Performs road design and right-of-way engineering"</f>
        <v>Performs road design and right-of-way engineering</v>
      </c>
      <c r="D8596" s="3" t="s">
        <v>9</v>
      </c>
      <c r="E8596" s="3" t="s">
        <v>25011</v>
      </c>
      <c r="F8596" s="3" t="str">
        <f>"317-823-0770"</f>
        <v>317-823-0770</v>
      </c>
      <c r="G8596" s="3">
        <v>541330</v>
      </c>
      <c r="H8596" s="3" t="s">
        <v>82</v>
      </c>
    </row>
    <row r="8597" spans="1:8" ht="51.75" x14ac:dyDescent="0.25">
      <c r="A8597" s="3" t="s">
        <v>25012</v>
      </c>
      <c r="B8597" s="3"/>
      <c r="C8597" s="3" t="str">
        <f>"IT consulting firm specializing in Microsoft, Citrix, and Cisco Technologies. Also have a small group that does work for small businesses and residential computer work."</f>
        <v>IT consulting firm specializing in Microsoft, Citrix, and Cisco Technologies. Also have a small group that does work for small businesses and residential computer work.</v>
      </c>
      <c r="D8597" s="3" t="s">
        <v>25013</v>
      </c>
      <c r="E8597" s="3" t="s">
        <v>25014</v>
      </c>
      <c r="F8597" s="3" t="str">
        <f>"(317)727-2608"</f>
        <v>(317)727-2608</v>
      </c>
      <c r="G8597" s="3">
        <v>5415</v>
      </c>
      <c r="H8597" s="3" t="s">
        <v>188</v>
      </c>
    </row>
    <row r="8598" spans="1:8" ht="39" x14ac:dyDescent="0.25">
      <c r="A8598" s="3" t="s">
        <v>25015</v>
      </c>
      <c r="B8598" s="3"/>
      <c r="C8598" s="3" t="str">
        <f>"Provider of engineering and professional services for small businesses in West Central Indiana."</f>
        <v>Provider of engineering and professional services for small businesses in West Central Indiana.</v>
      </c>
      <c r="D8598" s="3" t="s">
        <v>25016</v>
      </c>
      <c r="E8598" s="3" t="s">
        <v>25017</v>
      </c>
      <c r="F8598" s="3" t="str">
        <f>"8122392086"</f>
        <v>8122392086</v>
      </c>
      <c r="G8598" s="3">
        <v>5416</v>
      </c>
      <c r="H8598" s="3" t="s">
        <v>194</v>
      </c>
    </row>
    <row r="8599" spans="1:8" x14ac:dyDescent="0.25">
      <c r="A8599" s="3" t="s">
        <v>25018</v>
      </c>
      <c r="B8599" s="3"/>
      <c r="C8599" s="3" t="str">
        <f>" "</f>
        <v xml:space="preserve"> </v>
      </c>
      <c r="D8599" s="3" t="s">
        <v>9</v>
      </c>
      <c r="E8599" s="3" t="s">
        <v>46</v>
      </c>
      <c r="F8599" s="2"/>
      <c r="G8599" s="3">
        <v>441110</v>
      </c>
      <c r="H8599" s="3" t="s">
        <v>2588</v>
      </c>
    </row>
    <row r="8600" spans="1:8" ht="26.25" x14ac:dyDescent="0.25">
      <c r="A8600" s="3" t="s">
        <v>25019</v>
      </c>
      <c r="B8600" s="3"/>
      <c r="C8600" s="3" t="str">
        <f>"We fabricate steel spirals for concrete reinforcement."</f>
        <v>We fabricate steel spirals for concrete reinforcement.</v>
      </c>
      <c r="D8600" s="3" t="s">
        <v>25020</v>
      </c>
      <c r="E8600" s="3" t="s">
        <v>25021</v>
      </c>
      <c r="F8600" s="3" t="str">
        <f>"812-427-3006"</f>
        <v>812-427-3006</v>
      </c>
      <c r="G8600" s="3">
        <v>3312</v>
      </c>
      <c r="H8600" s="3" t="s">
        <v>1251</v>
      </c>
    </row>
    <row r="8601" spans="1:8" ht="102.75" x14ac:dyDescent="0.25">
      <c r="A8601" s="3" t="s">
        <v>25022</v>
      </c>
      <c r="B8601" s="3"/>
      <c r="C8601" s="3" t="s">
        <v>25023</v>
      </c>
      <c r="D8601" s="3" t="s">
        <v>9</v>
      </c>
      <c r="E8601" s="3" t="s">
        <v>25024</v>
      </c>
      <c r="F8601" s="3" t="str">
        <f>"317-897-9891"</f>
        <v>317-897-9891</v>
      </c>
      <c r="G8601" s="3">
        <v>488510</v>
      </c>
      <c r="H8601" s="3" t="s">
        <v>562</v>
      </c>
    </row>
    <row r="8602" spans="1:8" ht="77.25" x14ac:dyDescent="0.25">
      <c r="A8602" s="3" t="s">
        <v>25025</v>
      </c>
      <c r="B8602" s="3"/>
      <c r="C8602" s="3" t="str">
        <f>"Sporleder Excavating Inc. is primarily an Indiana based company that works within areas such as: residential, commercial and industrial. Sporleder Excavating Inc. focuses on all types of excavation, snow removal and trucking."</f>
        <v>Sporleder Excavating Inc. is primarily an Indiana based company that works within areas such as: residential, commercial and industrial. Sporleder Excavating Inc. focuses on all types of excavation, snow removal and trucking.</v>
      </c>
      <c r="D8602" s="3" t="s">
        <v>9</v>
      </c>
      <c r="E8602" s="3" t="s">
        <v>25026</v>
      </c>
      <c r="F8602" s="3" t="str">
        <f>"812/591-3005"</f>
        <v>812/591-3005</v>
      </c>
      <c r="G8602" s="3">
        <v>23593</v>
      </c>
      <c r="H8602" s="3" t="s">
        <v>71</v>
      </c>
    </row>
    <row r="8603" spans="1:8" ht="39" x14ac:dyDescent="0.25">
      <c r="A8603" s="3" t="s">
        <v>25027</v>
      </c>
      <c r="B8603" s="3"/>
      <c r="C8603" s="3" t="str">
        <f>"Commercial printing, publishing, signage, banners, displays, fulfillment, and distribution services."</f>
        <v>Commercial printing, publishing, signage, banners, displays, fulfillment, and distribution services.</v>
      </c>
      <c r="D8603" s="3" t="s">
        <v>25028</v>
      </c>
      <c r="E8603" s="3" t="s">
        <v>46</v>
      </c>
      <c r="F8603" s="3" t="str">
        <f>"317-899-7000"</f>
        <v>317-899-7000</v>
      </c>
      <c r="G8603" s="3">
        <v>323110</v>
      </c>
      <c r="H8603" s="3" t="s">
        <v>1900</v>
      </c>
    </row>
    <row r="8604" spans="1:8" ht="77.25" x14ac:dyDescent="0.25">
      <c r="A8604" s="3" t="s">
        <v>25029</v>
      </c>
      <c r="B8604" s="3"/>
      <c r="C8604" s="3" t="str">
        <f>"Sports Haven Engraving is a Certified Women Owned (WBE) business located in Vincennes, IN. Our products include awards, trophies, engraving, promotional merchandise, product or gift personalization services."</f>
        <v>Sports Haven Engraving is a Certified Women Owned (WBE) business located in Vincennes, IN. Our products include awards, trophies, engraving, promotional merchandise, product or gift personalization services.</v>
      </c>
      <c r="D8604" s="3" t="s">
        <v>25030</v>
      </c>
      <c r="E8604" s="3" t="s">
        <v>25031</v>
      </c>
      <c r="F8604" s="3" t="str">
        <f>"812-882-2288"</f>
        <v>812-882-2288</v>
      </c>
      <c r="G8604" s="3">
        <v>453998</v>
      </c>
      <c r="H8604" s="3" t="s">
        <v>112</v>
      </c>
    </row>
    <row r="8605" spans="1:8" x14ac:dyDescent="0.25">
      <c r="A8605" s="3" t="s">
        <v>25032</v>
      </c>
      <c r="B8605" s="3"/>
      <c r="C8605" s="3" t="str">
        <f>"Sporting goods, embroidery, screen printing"</f>
        <v>Sporting goods, embroidery, screen printing</v>
      </c>
      <c r="D8605" s="3" t="s">
        <v>9</v>
      </c>
      <c r="E8605" s="3" t="s">
        <v>46</v>
      </c>
      <c r="F8605" s="2"/>
      <c r="G8605" s="3">
        <v>45111</v>
      </c>
      <c r="H8605" s="3" t="s">
        <v>3110</v>
      </c>
    </row>
    <row r="8606" spans="1:8" ht="39" x14ac:dyDescent="0.25">
      <c r="A8606" s="3" t="s">
        <v>25033</v>
      </c>
      <c r="B8606" s="3"/>
      <c r="C8606" s="3" t="str">
        <f>"Manufacturer and distributor of screen printed and embroidered apparel, novelties and accessories."</f>
        <v>Manufacturer and distributor of screen printed and embroidered apparel, novelties and accessories.</v>
      </c>
      <c r="D8606" s="3" t="s">
        <v>9</v>
      </c>
      <c r="E8606" s="3" t="s">
        <v>46</v>
      </c>
      <c r="F8606" s="3" t="str">
        <f>"317-873-5501"</f>
        <v>317-873-5501</v>
      </c>
      <c r="G8606" s="3">
        <v>454</v>
      </c>
      <c r="H8606" s="3" t="s">
        <v>2419</v>
      </c>
    </row>
    <row r="8607" spans="1:8" ht="26.25" x14ac:dyDescent="0.25">
      <c r="A8607" s="3" t="s">
        <v>25034</v>
      </c>
      <c r="B8607" s="3"/>
      <c r="C8607" s="3" t="str">
        <f>" "</f>
        <v xml:space="preserve"> </v>
      </c>
      <c r="D8607" s="3" t="s">
        <v>9</v>
      </c>
      <c r="E8607" s="3" t="s">
        <v>25035</v>
      </c>
      <c r="F8607" s="3" t="str">
        <f>"765 860 7491"</f>
        <v>765 860 7491</v>
      </c>
      <c r="G8607" s="3">
        <v>561720</v>
      </c>
      <c r="H8607" s="3" t="s">
        <v>222</v>
      </c>
    </row>
    <row r="8608" spans="1:8" ht="77.25" x14ac:dyDescent="0.25">
      <c r="A8608" s="3" t="s">
        <v>25036</v>
      </c>
      <c r="B8608" s="3"/>
      <c r="C8608" s="3" t="str">
        <f>"Commercial and residential cleaning, churches, daily and nightly options available, industrial cleaning options, indoor &amp; outdoor cleaning services available. NO job to BIG or to small. We guarantee to leave you Spotless!"</f>
        <v>Commercial and residential cleaning, churches, daily and nightly options available, industrial cleaning options, indoor &amp; outdoor cleaning services available. NO job to BIG or to small. We guarantee to leave you Spotless!</v>
      </c>
      <c r="D8608" s="3" t="s">
        <v>9</v>
      </c>
      <c r="E8608" s="3" t="s">
        <v>25037</v>
      </c>
      <c r="F8608" s="3" t="str">
        <f>"3178302020"</f>
        <v>3178302020</v>
      </c>
      <c r="G8608" s="3">
        <v>561720</v>
      </c>
      <c r="H8608" s="3" t="s">
        <v>222</v>
      </c>
    </row>
    <row r="8609" spans="1:8" ht="51.75" x14ac:dyDescent="0.25">
      <c r="A8609" s="3" t="s">
        <v>25038</v>
      </c>
      <c r="B8609" s="3"/>
      <c r="C8609" s="3" t="str">
        <f>"We clean out pit toilets, septic tank pumping, sludge hauling, grease pumping. We also do any sewage pumping from the the sewage plants."</f>
        <v>We clean out pit toilets, septic tank pumping, sludge hauling, grease pumping. We also do any sewage pumping from the the sewage plants.</v>
      </c>
      <c r="D8609" s="3" t="s">
        <v>25039</v>
      </c>
      <c r="E8609" s="3" t="s">
        <v>25040</v>
      </c>
      <c r="F8609" s="3" t="str">
        <f>"765-942-2086"</f>
        <v>765-942-2086</v>
      </c>
      <c r="G8609" s="3">
        <v>562991</v>
      </c>
      <c r="H8609" s="3" t="s">
        <v>468</v>
      </c>
    </row>
    <row r="8610" spans="1:8" ht="102.75" x14ac:dyDescent="0.25">
      <c r="A8610" s="3" t="s">
        <v>25041</v>
      </c>
      <c r="B8610" s="3"/>
      <c r="C8610" s="3" t="s">
        <v>25042</v>
      </c>
      <c r="D8610" s="3" t="s">
        <v>9</v>
      </c>
      <c r="E8610" s="3" t="s">
        <v>25043</v>
      </c>
      <c r="F8610" s="3" t="str">
        <f>"765-942-2086"</f>
        <v>765-942-2086</v>
      </c>
      <c r="G8610" s="3">
        <v>562991</v>
      </c>
      <c r="H8610" s="3" t="s">
        <v>468</v>
      </c>
    </row>
    <row r="8611" spans="1:8" ht="26.25" x14ac:dyDescent="0.25">
      <c r="A8611" s="3" t="s">
        <v>25044</v>
      </c>
      <c r="B8611" s="3"/>
      <c r="C8611" s="3" t="str">
        <f>"IT, management consulting and research and development services, trading"</f>
        <v>IT, management consulting and research and development services, trading</v>
      </c>
      <c r="D8611" s="3" t="s">
        <v>9</v>
      </c>
      <c r="E8611" s="3" t="s">
        <v>46</v>
      </c>
      <c r="F8611" s="2"/>
      <c r="G8611" s="3">
        <v>5415</v>
      </c>
      <c r="H8611" s="3" t="s">
        <v>188</v>
      </c>
    </row>
    <row r="8612" spans="1:8" ht="26.25" x14ac:dyDescent="0.25">
      <c r="A8612" s="3" t="s">
        <v>25045</v>
      </c>
      <c r="B8612" s="3"/>
      <c r="C8612" s="2"/>
      <c r="D8612" s="3" t="s">
        <v>9</v>
      </c>
      <c r="E8612" s="3" t="s">
        <v>46</v>
      </c>
      <c r="F8612" s="3" t="str">
        <f>"317-497-1025"</f>
        <v>317-497-1025</v>
      </c>
      <c r="G8612" s="3">
        <v>5415</v>
      </c>
      <c r="H8612" s="3" t="s">
        <v>188</v>
      </c>
    </row>
    <row r="8613" spans="1:8" ht="26.25" x14ac:dyDescent="0.25">
      <c r="A8613" s="3" t="s">
        <v>25046</v>
      </c>
      <c r="B8613" s="3"/>
      <c r="C8613" s="3" t="str">
        <f>"Windows, Doors, Siding, Roofing, Room Additions/Remodels, Attic Insulation"</f>
        <v>Windows, Doors, Siding, Roofing, Room Additions/Remodels, Attic Insulation</v>
      </c>
      <c r="D8613" s="3" t="s">
        <v>25047</v>
      </c>
      <c r="E8613" s="3" t="s">
        <v>25048</v>
      </c>
      <c r="F8613" s="3" t="str">
        <f>"260-639-0765"</f>
        <v>260-639-0765</v>
      </c>
      <c r="G8613" s="3">
        <v>2361</v>
      </c>
      <c r="H8613" s="3" t="s">
        <v>3466</v>
      </c>
    </row>
    <row r="8614" spans="1:8" ht="77.25" x14ac:dyDescent="0.25">
      <c r="A8614" s="3" t="s">
        <v>25049</v>
      </c>
      <c r="B8614" s="3"/>
      <c r="C8614" s="3" t="str">
        <f>"General Contractor including roofing, siding, windows/doors, gutters, room additions, and remodels, Also, Insurance Restoration Services including fire, water, and natural diaster restorations. Mold and Lead certified"</f>
        <v>General Contractor including roofing, siding, windows/doors, gutters, room additions, and remodels, Also, Insurance Restoration Services including fire, water, and natural diaster restorations. Mold and Lead certified</v>
      </c>
      <c r="D8614" s="3" t="s">
        <v>25050</v>
      </c>
      <c r="E8614" s="3" t="s">
        <v>25051</v>
      </c>
      <c r="F8614" s="3" t="str">
        <f>"260-657-3351"</f>
        <v>260-657-3351</v>
      </c>
      <c r="G8614" s="3">
        <v>23</v>
      </c>
      <c r="H8614" s="3" t="s">
        <v>133</v>
      </c>
    </row>
    <row r="8615" spans="1:8" ht="230.25" x14ac:dyDescent="0.25">
      <c r="A8615" s="3" t="s">
        <v>25052</v>
      </c>
      <c r="B8615" s="3"/>
      <c r="C8615" s="3" t="s">
        <v>25053</v>
      </c>
      <c r="D8615" s="3" t="s">
        <v>25054</v>
      </c>
      <c r="E8615" s="3" t="s">
        <v>25055</v>
      </c>
      <c r="F8615" s="3" t="str">
        <f>"812-448-2651"</f>
        <v>812-448-2651</v>
      </c>
      <c r="G8615" s="3">
        <v>332116</v>
      </c>
      <c r="H8615" s="3" t="s">
        <v>2954</v>
      </c>
    </row>
    <row r="8616" spans="1:8" ht="26.25" x14ac:dyDescent="0.25">
      <c r="A8616" s="3" t="s">
        <v>25056</v>
      </c>
      <c r="B8616" s="3"/>
      <c r="C8616" s="3" t="str">
        <f>"auto parts"</f>
        <v>auto parts</v>
      </c>
      <c r="D8616" s="3" t="s">
        <v>9</v>
      </c>
      <c r="E8616" s="3" t="s">
        <v>25057</v>
      </c>
      <c r="F8616" s="3" t="str">
        <f>"8128472294"</f>
        <v>8128472294</v>
      </c>
      <c r="G8616" s="3">
        <v>441310</v>
      </c>
      <c r="H8616" s="3" t="s">
        <v>1699</v>
      </c>
    </row>
    <row r="8617" spans="1:8" ht="26.25" x14ac:dyDescent="0.25">
      <c r="A8617" s="3" t="s">
        <v>25058</v>
      </c>
      <c r="B8617" s="3"/>
      <c r="C8617" s="3" t="str">
        <f>"Specializing in DOT and N-DOT drug testing. Full employment testing services avaiable."</f>
        <v>Specializing in DOT and N-DOT drug testing. Full employment testing services avaiable.</v>
      </c>
      <c r="D8617" s="3" t="s">
        <v>9</v>
      </c>
      <c r="E8617" s="3" t="s">
        <v>46</v>
      </c>
      <c r="F8617" s="3" t="str">
        <f>"8124771400"</f>
        <v>8124771400</v>
      </c>
      <c r="G8617" s="3">
        <v>624190</v>
      </c>
      <c r="H8617" s="3" t="s">
        <v>54</v>
      </c>
    </row>
    <row r="8618" spans="1:8" ht="102.75" x14ac:dyDescent="0.25">
      <c r="A8618" s="3" t="s">
        <v>25059</v>
      </c>
      <c r="B8618" s="3"/>
      <c r="C8618" s="3" t="s">
        <v>25060</v>
      </c>
      <c r="D8618" s="3" t="s">
        <v>25061</v>
      </c>
      <c r="E8618" s="3" t="s">
        <v>25062</v>
      </c>
      <c r="F8618" s="3" t="str">
        <f>"888-778-2733"</f>
        <v>888-778-2733</v>
      </c>
      <c r="G8618" s="3">
        <v>3353</v>
      </c>
      <c r="H8618" s="3" t="s">
        <v>25063</v>
      </c>
    </row>
    <row r="8619" spans="1:8" ht="51.75" x14ac:dyDescent="0.25">
      <c r="A8619" s="3" t="s">
        <v>25064</v>
      </c>
      <c r="B8619" s="3"/>
      <c r="C8619" s="3" t="str">
        <f>"Full Service Cleaning for office, business and government (state/federal) agencies. Serving Knox, Pike, Davies, Sullivan and Gibson counties."</f>
        <v>Full Service Cleaning for office, business and government (state/federal) agencies. Serving Knox, Pike, Davies, Sullivan and Gibson counties.</v>
      </c>
      <c r="D8619" s="3" t="s">
        <v>9</v>
      </c>
      <c r="E8619" s="3" t="s">
        <v>46</v>
      </c>
      <c r="F8619" s="2"/>
      <c r="G8619" s="3">
        <v>561720</v>
      </c>
      <c r="H8619" s="3" t="s">
        <v>222</v>
      </c>
    </row>
    <row r="8620" spans="1:8" ht="102.75" x14ac:dyDescent="0.25">
      <c r="A8620" s="3" t="s">
        <v>25065</v>
      </c>
      <c r="B8620" s="3"/>
      <c r="C8620" s="3" t="s">
        <v>25066</v>
      </c>
      <c r="D8620" s="3" t="s">
        <v>25067</v>
      </c>
      <c r="E8620" s="3" t="s">
        <v>25068</v>
      </c>
      <c r="F8620" s="3" t="str">
        <f>"317-216-7700"</f>
        <v>317-216-7700</v>
      </c>
      <c r="G8620" s="3">
        <v>541430</v>
      </c>
      <c r="H8620" s="3" t="s">
        <v>78</v>
      </c>
    </row>
    <row r="8621" spans="1:8" ht="26.25" x14ac:dyDescent="0.25">
      <c r="A8621" s="3" t="s">
        <v>25069</v>
      </c>
      <c r="B8621" s="3"/>
      <c r="C8621" s="3" t="str">
        <f>"We offer complete janitorial services."</f>
        <v>We offer complete janitorial services.</v>
      </c>
      <c r="D8621" s="3" t="s">
        <v>9</v>
      </c>
      <c r="E8621" s="3" t="s">
        <v>25070</v>
      </c>
      <c r="F8621" s="3" t="str">
        <f>"317-838-9743"</f>
        <v>317-838-9743</v>
      </c>
      <c r="G8621" s="3">
        <v>561720</v>
      </c>
      <c r="H8621" s="3" t="s">
        <v>222</v>
      </c>
    </row>
    <row r="8622" spans="1:8" ht="64.5" x14ac:dyDescent="0.25">
      <c r="A8622" s="3" t="s">
        <v>25071</v>
      </c>
      <c r="B8622" s="3"/>
      <c r="C8622" s="3" t="str">
        <f>"We focus on assisting businesses by providing internet based solutions to enhance overall productivity. We develop custom web applications and develop/design websites."</f>
        <v>We focus on assisting businesses by providing internet based solutions to enhance overall productivity. We develop custom web applications and develop/design websites.</v>
      </c>
      <c r="D8622" s="3" t="s">
        <v>25072</v>
      </c>
      <c r="E8622" s="3" t="s">
        <v>25073</v>
      </c>
      <c r="F8622" s="3" t="str">
        <f>"317-833-9483"</f>
        <v>317-833-9483</v>
      </c>
      <c r="G8622" s="3">
        <v>541511</v>
      </c>
      <c r="H8622" s="3" t="s">
        <v>122</v>
      </c>
    </row>
    <row r="8623" spans="1:8" ht="39" x14ac:dyDescent="0.25">
      <c r="A8623" s="3" t="s">
        <v>25074</v>
      </c>
      <c r="B8623" s="3"/>
      <c r="C8623" s="3" t="str">
        <f>"Microsoft Gold Certified Partner specializing in ERP, CRM, Infrastructure and Custom Development Services."</f>
        <v>Microsoft Gold Certified Partner specializing in ERP, CRM, Infrastructure and Custom Development Services.</v>
      </c>
      <c r="D8623" s="3" t="s">
        <v>25075</v>
      </c>
      <c r="E8623" s="3" t="s">
        <v>25076</v>
      </c>
      <c r="F8623" s="3" t="str">
        <f>"574-235-8100"</f>
        <v>574-235-8100</v>
      </c>
      <c r="G8623" s="3">
        <v>541512</v>
      </c>
      <c r="H8623" s="3" t="s">
        <v>19</v>
      </c>
    </row>
    <row r="8624" spans="1:8" ht="26.25" x14ac:dyDescent="0.25">
      <c r="A8624" s="3" t="s">
        <v>25077</v>
      </c>
      <c r="B8624" s="3"/>
      <c r="C8624" s="3" t="str">
        <f>"Commercial &amp; residential plumbing, and site utilities."</f>
        <v>Commercial &amp; residential plumbing, and site utilities.</v>
      </c>
      <c r="D8624" s="3" t="s">
        <v>25078</v>
      </c>
      <c r="E8624" s="3" t="s">
        <v>25079</v>
      </c>
      <c r="F8624" s="3" t="str">
        <f>"2193652080"</f>
        <v>2193652080</v>
      </c>
      <c r="G8624" s="3">
        <v>23822</v>
      </c>
      <c r="H8624" s="3" t="s">
        <v>348</v>
      </c>
    </row>
    <row r="8625" spans="1:8" ht="102.75" x14ac:dyDescent="0.25">
      <c r="A8625" s="3" t="s">
        <v>25080</v>
      </c>
      <c r="B8625" s="3"/>
      <c r="C8625" s="3" t="s">
        <v>25081</v>
      </c>
      <c r="D8625" s="3" t="s">
        <v>9</v>
      </c>
      <c r="E8625" s="3" t="s">
        <v>46</v>
      </c>
      <c r="F8625" s="3" t="str">
        <f>"765-456-5433"</f>
        <v>765-456-5433</v>
      </c>
      <c r="G8625" s="3">
        <v>622110</v>
      </c>
      <c r="H8625" s="3" t="s">
        <v>3335</v>
      </c>
    </row>
    <row r="8626" spans="1:8" ht="90" x14ac:dyDescent="0.25">
      <c r="A8626" s="3" t="s">
        <v>25082</v>
      </c>
      <c r="B8626" s="3"/>
      <c r="C8626" s="3" t="str">
        <f>"Manufacturer of corrugated steel pipe including Dura-Flow and Max-Flow and a distributor of related drainage products such as structural plate, super-cor box, aluminum box, grader, snow and construction blades, geotextiles, plastic pipe and guard rail"</f>
        <v>Manufacturer of corrugated steel pipe including Dura-Flow and Max-Flow and a distributor of related drainage products such as structural plate, super-cor box, aluminum box, grader, snow and construction blades, geotextiles, plastic pipe and guard rail</v>
      </c>
      <c r="D8626" s="3" t="s">
        <v>25083</v>
      </c>
      <c r="E8626" s="3" t="s">
        <v>25084</v>
      </c>
      <c r="F8626" s="3" t="str">
        <f>"800-527-4604"</f>
        <v>800-527-4604</v>
      </c>
      <c r="G8626" s="3">
        <v>332313</v>
      </c>
      <c r="H8626" s="3" t="s">
        <v>11044</v>
      </c>
    </row>
    <row r="8627" spans="1:8" x14ac:dyDescent="0.25">
      <c r="A8627" s="3" t="s">
        <v>25085</v>
      </c>
      <c r="B8627" s="3"/>
      <c r="C8627" s="2"/>
      <c r="D8627" s="3" t="s">
        <v>9</v>
      </c>
      <c r="E8627" s="3" t="s">
        <v>46</v>
      </c>
      <c r="F8627" s="2"/>
      <c r="G8627" s="3">
        <v>622</v>
      </c>
      <c r="H8627" s="3" t="s">
        <v>5145</v>
      </c>
    </row>
    <row r="8628" spans="1:8" ht="179.25" x14ac:dyDescent="0.25">
      <c r="A8628" s="3" t="s">
        <v>25086</v>
      </c>
      <c r="B8628" s="3"/>
      <c r="C8628" s="3" t="s">
        <v>25087</v>
      </c>
      <c r="D8628" s="3" t="s">
        <v>9</v>
      </c>
      <c r="E8628" s="3" t="s">
        <v>25088</v>
      </c>
      <c r="F8628" s="3" t="str">
        <f>"260-589-2880"</f>
        <v>260-589-2880</v>
      </c>
      <c r="G8628" s="3">
        <v>327320</v>
      </c>
      <c r="H8628" s="3" t="s">
        <v>5501</v>
      </c>
    </row>
    <row r="8629" spans="1:8" ht="166.5" x14ac:dyDescent="0.25">
      <c r="A8629" s="3" t="s">
        <v>25089</v>
      </c>
      <c r="B8629" s="3"/>
      <c r="C8629" s="3" t="s">
        <v>25090</v>
      </c>
      <c r="D8629" s="3" t="s">
        <v>18744</v>
      </c>
      <c r="E8629" s="3" t="s">
        <v>25091</v>
      </c>
      <c r="F8629" s="3" t="str">
        <f>"800-344-4849"</f>
        <v>800-344-4849</v>
      </c>
      <c r="G8629" s="3">
        <v>332321</v>
      </c>
      <c r="H8629" s="3" t="s">
        <v>7074</v>
      </c>
    </row>
    <row r="8630" spans="1:8" ht="26.25" x14ac:dyDescent="0.25">
      <c r="A8630" s="3" t="s">
        <v>25092</v>
      </c>
      <c r="B8630" s="3"/>
      <c r="C8630" s="3" t="str">
        <f>"Wholesale distributor of Packaging and Janitorial Supplies."</f>
        <v>Wholesale distributor of Packaging and Janitorial Supplies.</v>
      </c>
      <c r="D8630" s="3" t="s">
        <v>25093</v>
      </c>
      <c r="E8630" s="3" t="s">
        <v>25094</v>
      </c>
      <c r="F8630" s="3" t="str">
        <f>"574-287-9817"</f>
        <v>574-287-9817</v>
      </c>
      <c r="G8630" s="3">
        <v>326150</v>
      </c>
      <c r="H8630" s="3" t="s">
        <v>25095</v>
      </c>
    </row>
    <row r="8631" spans="1:8" ht="39" x14ac:dyDescent="0.25">
      <c r="A8631" s="3" t="s">
        <v>25096</v>
      </c>
      <c r="B8631" s="3"/>
      <c r="C8631" s="3" t="str">
        <f>"St. Joseph's Carmelite Home is a residential treatment center and emergency shelter home for families and children in crisis."</f>
        <v>St. Joseph's Carmelite Home is a residential treatment center and emergency shelter home for families and children in crisis.</v>
      </c>
      <c r="D8631" s="3" t="s">
        <v>25097</v>
      </c>
      <c r="E8631" s="3" t="s">
        <v>25098</v>
      </c>
      <c r="F8631" s="3" t="str">
        <f>"219-397-1085"</f>
        <v>219-397-1085</v>
      </c>
      <c r="G8631" s="3">
        <v>624230</v>
      </c>
      <c r="H8631" s="3" t="s">
        <v>1984</v>
      </c>
    </row>
    <row r="8632" spans="1:8" ht="39" x14ac:dyDescent="0.25">
      <c r="A8632" s="3" t="s">
        <v>25099</v>
      </c>
      <c r="B8632" s="3"/>
      <c r="C8632" s="3" t="str">
        <f>"Certified Public Accountants providing comprehensive tax and accounting services to businesses and individuals in Indiana."</f>
        <v>Certified Public Accountants providing comprehensive tax and accounting services to businesses and individuals in Indiana.</v>
      </c>
      <c r="D8632" s="3" t="s">
        <v>9</v>
      </c>
      <c r="E8632" s="3" t="s">
        <v>25100</v>
      </c>
      <c r="F8632" s="3" t="str">
        <f>"317-202-9039"</f>
        <v>317-202-9039</v>
      </c>
      <c r="G8632" s="3">
        <v>541211</v>
      </c>
      <c r="H8632" s="3" t="s">
        <v>337</v>
      </c>
    </row>
    <row r="8633" spans="1:8" ht="26.25" x14ac:dyDescent="0.25">
      <c r="A8633" s="3" t="s">
        <v>25101</v>
      </c>
      <c r="B8633" s="3"/>
      <c r="C8633" s="3" t="str">
        <f>"Provide psychological services"</f>
        <v>Provide psychological services</v>
      </c>
      <c r="D8633" s="3" t="s">
        <v>25102</v>
      </c>
      <c r="E8633" s="3" t="s">
        <v>25103</v>
      </c>
      <c r="F8633" s="3" t="str">
        <f>"219-406-9423"</f>
        <v>219-406-9423</v>
      </c>
      <c r="G8633" s="3">
        <v>62142</v>
      </c>
      <c r="H8633" s="3" t="s">
        <v>990</v>
      </c>
    </row>
    <row r="8634" spans="1:8" ht="153.75" x14ac:dyDescent="0.25">
      <c r="A8634" s="3" t="s">
        <v>25104</v>
      </c>
      <c r="B8634" s="3"/>
      <c r="C8634" s="3" t="s">
        <v>25105</v>
      </c>
      <c r="D8634" s="3" t="s">
        <v>9</v>
      </c>
      <c r="E8634" s="3" t="s">
        <v>25106</v>
      </c>
      <c r="F8634" s="3" t="str">
        <f>"317-776-3968"</f>
        <v>317-776-3968</v>
      </c>
      <c r="G8634" s="3">
        <v>541612</v>
      </c>
      <c r="H8634" s="3" t="s">
        <v>1923</v>
      </c>
    </row>
    <row r="8635" spans="1:8" ht="90" x14ac:dyDescent="0.25">
      <c r="A8635" s="3" t="s">
        <v>25107</v>
      </c>
      <c r="B8635" s="3"/>
      <c r="C8635" s="3" t="s">
        <v>25108</v>
      </c>
      <c r="D8635" s="3" t="s">
        <v>9</v>
      </c>
      <c r="E8635" s="3" t="s">
        <v>25109</v>
      </c>
      <c r="F8635" s="3" t="str">
        <f>"765-868-2211"</f>
        <v>765-868-2211</v>
      </c>
      <c r="G8635" s="3">
        <v>56131</v>
      </c>
      <c r="H8635" s="3" t="s">
        <v>1720</v>
      </c>
    </row>
    <row r="8636" spans="1:8" ht="64.5" x14ac:dyDescent="0.25">
      <c r="A8636" s="3" t="s">
        <v>25110</v>
      </c>
      <c r="B8636" s="3"/>
      <c r="C8636" s="3" t="str">
        <f>"Temporary employment company in Indiana. Specializing in industrial, clerical, and professional level placements. Experienced in payrolling, project managment and direct hire placements."</f>
        <v>Temporary employment company in Indiana. Specializing in industrial, clerical, and professional level placements. Experienced in payrolling, project managment and direct hire placements.</v>
      </c>
      <c r="D8636" s="3" t="s">
        <v>9</v>
      </c>
      <c r="E8636" s="3" t="s">
        <v>25111</v>
      </c>
      <c r="F8636" s="3" t="str">
        <f>"765-868-2211"</f>
        <v>765-868-2211</v>
      </c>
      <c r="G8636" s="3">
        <v>5613</v>
      </c>
      <c r="H8636" s="3" t="s">
        <v>1882</v>
      </c>
    </row>
    <row r="8637" spans="1:8" ht="26.25" x14ac:dyDescent="0.25">
      <c r="A8637" s="3" t="s">
        <v>25112</v>
      </c>
      <c r="B8637" s="3"/>
      <c r="C8637" s="3" t="str">
        <f>"Light Industrial Staffing and Consulting"</f>
        <v>Light Industrial Staffing and Consulting</v>
      </c>
      <c r="D8637" s="3" t="s">
        <v>25113</v>
      </c>
      <c r="E8637" s="3" t="s">
        <v>46</v>
      </c>
      <c r="F8637" s="3" t="str">
        <f>"3174932000"</f>
        <v>3174932000</v>
      </c>
      <c r="G8637" s="3">
        <v>561320</v>
      </c>
      <c r="H8637" s="3" t="s">
        <v>15</v>
      </c>
    </row>
    <row r="8638" spans="1:8" ht="51.75" x14ac:dyDescent="0.25">
      <c r="A8638" s="3" t="s">
        <v>25114</v>
      </c>
      <c r="B8638" s="3"/>
      <c r="C8638" s="3" t="str">
        <f>"Provide ""anything with your logo on it"". Promotional items, advertising specialties, corporate apparel - both embroidered and screen printed."</f>
        <v>Provide "anything with your logo on it". Promotional items, advertising specialties, corporate apparel - both embroidered and screen printed.</v>
      </c>
      <c r="D8638" s="3" t="s">
        <v>25115</v>
      </c>
      <c r="E8638" s="3" t="s">
        <v>25116</v>
      </c>
      <c r="F8638" s="3" t="str">
        <f>"317-913-1495"</f>
        <v>317-913-1495</v>
      </c>
      <c r="G8638" s="3">
        <v>541890</v>
      </c>
      <c r="H8638" s="3" t="s">
        <v>401</v>
      </c>
    </row>
    <row r="8639" spans="1:8" ht="64.5" x14ac:dyDescent="0.25">
      <c r="A8639" s="3" t="s">
        <v>25117</v>
      </c>
      <c r="B8639" s="3"/>
      <c r="C8639" s="3" t="str">
        <f>"Competitve retailer of automotive parts and accessories, automotive paint and body shop materials and supplies with locations in Winamac, Monticello, Monon and Resselaer, Indiana."</f>
        <v>Competitve retailer of automotive parts and accessories, automotive paint and body shop materials and supplies with locations in Winamac, Monticello, Monon and Resselaer, Indiana.</v>
      </c>
      <c r="D8639" s="3" t="s">
        <v>9</v>
      </c>
      <c r="E8639" s="3" t="s">
        <v>25118</v>
      </c>
      <c r="F8639" s="3" t="str">
        <f>"574-946-3121"</f>
        <v>574-946-3121</v>
      </c>
      <c r="G8639" s="3">
        <v>441310</v>
      </c>
      <c r="H8639" s="3" t="s">
        <v>1699</v>
      </c>
    </row>
    <row r="8640" spans="1:8" ht="64.5" x14ac:dyDescent="0.25">
      <c r="A8640" s="3" t="s">
        <v>25119</v>
      </c>
      <c r="B8640" s="3"/>
      <c r="C8640" s="3" t="str">
        <f>"We are a manufacturer of currency change machines (money changers) used primarily in areas where paper currency needs to be broken down into coins. We sell throughout all of the U.S., Canada and Mexico,"</f>
        <v>We are a manufacturer of currency change machines (money changers) used primarily in areas where paper currency needs to be broken down into coins. We sell throughout all of the U.S., Canada and Mexico,</v>
      </c>
      <c r="D8640" s="3" t="s">
        <v>25120</v>
      </c>
      <c r="E8640" s="3" t="s">
        <v>25121</v>
      </c>
      <c r="F8640" s="3" t="str">
        <f>"317-899-6966"</f>
        <v>317-899-6966</v>
      </c>
      <c r="G8640" s="3">
        <v>333311</v>
      </c>
      <c r="H8640" s="3" t="s">
        <v>20250</v>
      </c>
    </row>
    <row r="8641" spans="1:8" ht="102.75" x14ac:dyDescent="0.25">
      <c r="A8641" s="3" t="s">
        <v>25122</v>
      </c>
      <c r="B8641" s="3"/>
      <c r="C8641" s="3" t="s">
        <v>25123</v>
      </c>
      <c r="D8641" s="3" t="s">
        <v>25124</v>
      </c>
      <c r="E8641" s="3" t="s">
        <v>46</v>
      </c>
      <c r="F8641" s="3" t="str">
        <f>"800-742-9761"</f>
        <v>800-742-9761</v>
      </c>
      <c r="G8641" s="3">
        <v>311613</v>
      </c>
      <c r="H8641" s="3" t="s">
        <v>25125</v>
      </c>
    </row>
    <row r="8642" spans="1:8" ht="51.75" x14ac:dyDescent="0.25">
      <c r="A8642" s="3" t="s">
        <v>25126</v>
      </c>
      <c r="B8642" s="3"/>
      <c r="C8642" s="3" t="str">
        <f>"Provide educational services to schools. Products include professional development and an online employee evaluation and management system."</f>
        <v>Provide educational services to schools. Products include professional development and an online employee evaluation and management system.</v>
      </c>
      <c r="D8642" s="3" t="s">
        <v>25127</v>
      </c>
      <c r="E8642" s="3" t="s">
        <v>25128</v>
      </c>
      <c r="F8642" s="3" t="str">
        <f>"317-902-7594"</f>
        <v>317-902-7594</v>
      </c>
      <c r="G8642" s="3">
        <v>61</v>
      </c>
      <c r="H8642" s="3" t="s">
        <v>140</v>
      </c>
    </row>
    <row r="8643" spans="1:8" ht="179.25" x14ac:dyDescent="0.25">
      <c r="A8643" s="3" t="s">
        <v>25129</v>
      </c>
      <c r="B8643" s="3"/>
      <c r="C8643" s="3" t="s">
        <v>25130</v>
      </c>
      <c r="D8643" s="3" t="s">
        <v>25131</v>
      </c>
      <c r="E8643" s="3" t="s">
        <v>25132</v>
      </c>
      <c r="F8643" s="3" t="str">
        <f>"574-257-9998"</f>
        <v>574-257-9998</v>
      </c>
      <c r="G8643" s="3">
        <v>56172</v>
      </c>
      <c r="H8643" s="3" t="s">
        <v>222</v>
      </c>
    </row>
    <row r="8644" spans="1:8" ht="332.25" x14ac:dyDescent="0.25">
      <c r="A8644" s="3" t="s">
        <v>25133</v>
      </c>
      <c r="B8644" s="3"/>
      <c r="C8644" s="3" t="s">
        <v>25134</v>
      </c>
      <c r="D8644" s="3" t="s">
        <v>25135</v>
      </c>
      <c r="E8644" s="3" t="s">
        <v>25136</v>
      </c>
      <c r="F8644" s="3" t="str">
        <f>"317-408-5133"</f>
        <v>317-408-5133</v>
      </c>
      <c r="G8644" s="3">
        <v>541612</v>
      </c>
      <c r="H8644" s="3" t="s">
        <v>1923</v>
      </c>
    </row>
    <row r="8645" spans="1:8" ht="26.25" x14ac:dyDescent="0.25">
      <c r="A8645" s="3" t="s">
        <v>25137</v>
      </c>
      <c r="B8645" s="3"/>
      <c r="C8645" s="2"/>
      <c r="D8645" s="3" t="s">
        <v>25138</v>
      </c>
      <c r="E8645" s="3" t="s">
        <v>25139</v>
      </c>
      <c r="F8645" s="3" t="str">
        <f>"765-649-1565"</f>
        <v>765-649-1565</v>
      </c>
      <c r="G8645" s="3">
        <v>5616</v>
      </c>
      <c r="H8645" s="3" t="s">
        <v>415</v>
      </c>
    </row>
    <row r="8646" spans="1:8" ht="90" x14ac:dyDescent="0.25">
      <c r="A8646" s="3" t="s">
        <v>25140</v>
      </c>
      <c r="B8646" s="3"/>
      <c r="C8646" s="3" t="s">
        <v>25141</v>
      </c>
      <c r="D8646" s="3" t="s">
        <v>25142</v>
      </c>
      <c r="E8646" s="3" t="s">
        <v>46</v>
      </c>
      <c r="F8646" s="3" t="str">
        <f>"317-776-3500"</f>
        <v>317-776-3500</v>
      </c>
      <c r="G8646" s="3">
        <v>238210</v>
      </c>
      <c r="H8646" s="3" t="s">
        <v>306</v>
      </c>
    </row>
    <row r="8647" spans="1:8" ht="102.75" x14ac:dyDescent="0.25">
      <c r="A8647" s="3" t="s">
        <v>25143</v>
      </c>
      <c r="B8647" s="3"/>
      <c r="C8647" s="3" t="s">
        <v>25144</v>
      </c>
      <c r="D8647" s="3" t="s">
        <v>25145</v>
      </c>
      <c r="E8647" s="3" t="s">
        <v>46</v>
      </c>
      <c r="F8647" s="3" t="str">
        <f>"317-849-2250"</f>
        <v>317-849-2250</v>
      </c>
      <c r="G8647" s="3">
        <v>332510</v>
      </c>
      <c r="H8647" s="3" t="s">
        <v>24245</v>
      </c>
    </row>
    <row r="8648" spans="1:8" ht="26.25" x14ac:dyDescent="0.25">
      <c r="A8648" s="3" t="s">
        <v>25146</v>
      </c>
      <c r="B8648" s="3"/>
      <c r="C8648" s="3" t="str">
        <f>"commercial, residential, bare land real estate appraisals"</f>
        <v>commercial, residential, bare land real estate appraisals</v>
      </c>
      <c r="D8648" s="3" t="s">
        <v>25147</v>
      </c>
      <c r="E8648" s="3" t="s">
        <v>25148</v>
      </c>
      <c r="F8648" s="3" t="str">
        <f>"2604632881"</f>
        <v>2604632881</v>
      </c>
      <c r="G8648" s="3">
        <v>531390</v>
      </c>
      <c r="H8648" s="3" t="s">
        <v>623</v>
      </c>
    </row>
    <row r="8649" spans="1:8" ht="51.75" x14ac:dyDescent="0.25">
      <c r="A8649" s="3" t="s">
        <v>25149</v>
      </c>
      <c r="B8649" s="3"/>
      <c r="C8649" s="3" t="str">
        <f>"We do hearing testing and Dispense and repair Hearing Aids in Central and Southern Indiana. We also sell assistive listening devices."</f>
        <v>We do hearing testing and Dispense and repair Hearing Aids in Central and Southern Indiana. We also sell assistive listening devices.</v>
      </c>
      <c r="D8649" s="3" t="s">
        <v>9</v>
      </c>
      <c r="E8649" s="3" t="s">
        <v>25150</v>
      </c>
      <c r="F8649" s="3" t="str">
        <f>"812-265-5286"</f>
        <v>812-265-5286</v>
      </c>
      <c r="G8649" s="3">
        <v>446</v>
      </c>
      <c r="H8649" s="3" t="s">
        <v>1202</v>
      </c>
    </row>
    <row r="8650" spans="1:8" ht="217.5" x14ac:dyDescent="0.25">
      <c r="A8650" s="3" t="s">
        <v>25151</v>
      </c>
      <c r="B8650" s="3"/>
      <c r="C8650" s="3" t="s">
        <v>25152</v>
      </c>
      <c r="D8650" s="3" t="s">
        <v>25153</v>
      </c>
      <c r="E8650" s="3" t="s">
        <v>46</v>
      </c>
      <c r="F8650" s="3" t="str">
        <f>"574-232-6666"</f>
        <v>574-232-6666</v>
      </c>
      <c r="G8650" s="3">
        <v>4224</v>
      </c>
      <c r="H8650" s="3" t="s">
        <v>2311</v>
      </c>
    </row>
    <row r="8651" spans="1:8" ht="26.25" x14ac:dyDescent="0.25">
      <c r="A8651" s="3" t="s">
        <v>25154</v>
      </c>
      <c r="B8651" s="3"/>
      <c r="C8651" s="3" t="str">
        <f>" "</f>
        <v xml:space="preserve"> </v>
      </c>
      <c r="D8651" s="3" t="s">
        <v>9</v>
      </c>
      <c r="E8651" s="3" t="s">
        <v>46</v>
      </c>
      <c r="F8651" s="2"/>
      <c r="G8651" s="3">
        <v>236220</v>
      </c>
      <c r="H8651" s="3" t="s">
        <v>598</v>
      </c>
    </row>
    <row r="8652" spans="1:8" ht="26.25" x14ac:dyDescent="0.25">
      <c r="A8652" s="3" t="s">
        <v>25155</v>
      </c>
      <c r="B8652" s="3"/>
      <c r="C8652" s="2"/>
      <c r="D8652" s="3" t="s">
        <v>25156</v>
      </c>
      <c r="E8652" s="3" t="s">
        <v>25157</v>
      </c>
      <c r="F8652" s="3" t="str">
        <f>"317-228-9111"</f>
        <v>317-228-9111</v>
      </c>
      <c r="G8652" s="3">
        <v>23599</v>
      </c>
      <c r="H8652" s="3" t="s">
        <v>248</v>
      </c>
    </row>
    <row r="8653" spans="1:8" ht="64.5" x14ac:dyDescent="0.25">
      <c r="A8653" s="3" t="s">
        <v>25158</v>
      </c>
      <c r="B8653" s="3"/>
      <c r="C8653" s="3" t="str">
        <f>"Star Environmental, Inc. specializes in Asbestos Abatement, Lead Abatement, and Mold Remeditaion. We are based in Indianapolis and perform work throughout the State of Indiana."</f>
        <v>Star Environmental, Inc. specializes in Asbestos Abatement, Lead Abatement, and Mold Remeditaion. We are based in Indianapolis and perform work throughout the State of Indiana.</v>
      </c>
      <c r="D8653" s="3" t="s">
        <v>25159</v>
      </c>
      <c r="E8653" s="3" t="s">
        <v>25160</v>
      </c>
      <c r="F8653" s="3" t="str">
        <f>"317-295-7827"</f>
        <v>317-295-7827</v>
      </c>
      <c r="G8653" s="3">
        <v>562910</v>
      </c>
      <c r="H8653" s="3" t="s">
        <v>2278</v>
      </c>
    </row>
    <row r="8654" spans="1:8" ht="39" x14ac:dyDescent="0.25">
      <c r="A8654" s="3" t="s">
        <v>25161</v>
      </c>
      <c r="B8654" s="3"/>
      <c r="C8654" s="3" t="str">
        <f>"The commercial and industrial installation of chainlink and ornamental fences and guardrails."</f>
        <v>The commercial and industrial installation of chainlink and ornamental fences and guardrails.</v>
      </c>
      <c r="D8654" s="3" t="s">
        <v>9</v>
      </c>
      <c r="E8654" s="3" t="s">
        <v>25162</v>
      </c>
      <c r="F8654" s="3" t="str">
        <f>"260-482-3425"</f>
        <v>260-482-3425</v>
      </c>
      <c r="G8654" s="3">
        <v>444190</v>
      </c>
      <c r="H8654" s="3" t="s">
        <v>1188</v>
      </c>
    </row>
    <row r="8655" spans="1:8" ht="141" x14ac:dyDescent="0.25">
      <c r="A8655" s="3" t="s">
        <v>25163</v>
      </c>
      <c r="B8655" s="3"/>
      <c r="C8655" s="3" t="s">
        <v>25164</v>
      </c>
      <c r="D8655" s="3" t="s">
        <v>25165</v>
      </c>
      <c r="E8655" s="3" t="s">
        <v>25166</v>
      </c>
      <c r="F8655" s="3" t="str">
        <f>"260-438-4863"</f>
        <v>260-438-4863</v>
      </c>
      <c r="G8655" s="3">
        <v>541921</v>
      </c>
      <c r="H8655" s="3" t="s">
        <v>1325</v>
      </c>
    </row>
    <row r="8656" spans="1:8" ht="90" x14ac:dyDescent="0.25">
      <c r="A8656" s="3" t="s">
        <v>25167</v>
      </c>
      <c r="B8656" s="3"/>
      <c r="C8656" s="3" t="s">
        <v>25168</v>
      </c>
      <c r="D8656" s="3" t="s">
        <v>25169</v>
      </c>
      <c r="E8656" s="3" t="s">
        <v>25170</v>
      </c>
      <c r="F8656" s="3" t="str">
        <f>"317) 409-5155"</f>
        <v>317) 409-5155</v>
      </c>
      <c r="G8656" s="3">
        <v>323119</v>
      </c>
      <c r="H8656" s="3" t="s">
        <v>6229</v>
      </c>
    </row>
    <row r="8657" spans="1:8" ht="39" x14ac:dyDescent="0.25">
      <c r="A8657" s="3" t="s">
        <v>25171</v>
      </c>
      <c r="B8657" s="3"/>
      <c r="C8657" s="3" t="str">
        <f>"CLG International is a distributor of Electrical, Industrial, Automation supplies."</f>
        <v>CLG International is a distributor of Electrical, Industrial, Automation supplies.</v>
      </c>
      <c r="D8657" s="3" t="s">
        <v>4849</v>
      </c>
      <c r="E8657" s="3" t="s">
        <v>25172</v>
      </c>
      <c r="F8657" s="3" t="str">
        <f>"317-582-0410"</f>
        <v>317-582-0410</v>
      </c>
      <c r="G8657" s="3">
        <v>423610</v>
      </c>
      <c r="H8657" s="3" t="s">
        <v>2414</v>
      </c>
    </row>
    <row r="8658" spans="1:8" ht="153.75" x14ac:dyDescent="0.25">
      <c r="A8658" s="3" t="s">
        <v>25173</v>
      </c>
      <c r="B8658" s="3"/>
      <c r="C8658" s="3" t="s">
        <v>25174</v>
      </c>
      <c r="D8658" s="3" t="s">
        <v>25175</v>
      </c>
      <c r="E8658" s="3" t="s">
        <v>25176</v>
      </c>
      <c r="F8658" s="3" t="str">
        <f>"260-837-7833"</f>
        <v>260-837-7833</v>
      </c>
      <c r="G8658" s="3">
        <v>325520</v>
      </c>
      <c r="H8658" s="3" t="s">
        <v>13079</v>
      </c>
    </row>
    <row r="8659" spans="1:8" ht="77.25" x14ac:dyDescent="0.25">
      <c r="A8659" s="3" t="s">
        <v>25177</v>
      </c>
      <c r="B8659" s="3"/>
      <c r="C8659" s="3" t="str">
        <f>"Star Transportation LLC is a non emergency medical transportation company that transports clients to and from medical and hospital appointments. This company strives to ensure the safety and welfare of the client."</f>
        <v>Star Transportation LLC is a non emergency medical transportation company that transports clients to and from medical and hospital appointments. This company strives to ensure the safety and welfare of the client.</v>
      </c>
      <c r="D8659" s="3" t="s">
        <v>9</v>
      </c>
      <c r="E8659" s="3" t="s">
        <v>25178</v>
      </c>
      <c r="F8659" s="3" t="str">
        <f>"3174007545"</f>
        <v>3174007545</v>
      </c>
      <c r="G8659" s="3">
        <v>48</v>
      </c>
      <c r="H8659" s="3" t="s">
        <v>104</v>
      </c>
    </row>
    <row r="8660" spans="1:8" ht="51.75" x14ac:dyDescent="0.25">
      <c r="A8660" s="3" t="s">
        <v>25179</v>
      </c>
      <c r="B8660" s="3"/>
      <c r="C8660" s="3" t="str">
        <f>"Provider of Police, Fire &amp; Security uniforms and accessories, including body armor and tactical gear. Embroidery and Screen printing services also available."</f>
        <v>Provider of Police, Fire &amp; Security uniforms and accessories, including body armor and tactical gear. Embroidery and Screen printing services also available.</v>
      </c>
      <c r="D8660" s="3" t="s">
        <v>25180</v>
      </c>
      <c r="E8660" s="3" t="s">
        <v>25181</v>
      </c>
      <c r="F8660" s="3" t="str">
        <f>"219.763.2998"</f>
        <v>219.763.2998</v>
      </c>
      <c r="G8660" s="3">
        <v>4539</v>
      </c>
      <c r="H8660" s="3" t="s">
        <v>12505</v>
      </c>
    </row>
    <row r="8661" spans="1:8" ht="51.75" x14ac:dyDescent="0.25">
      <c r="A8661" s="3" t="s">
        <v>25182</v>
      </c>
      <c r="B8661" s="3"/>
      <c r="C8661" s="3" t="str">
        <f>"An insurance agency offering a full line of products for groups with 2 through 500 employees. Please contact us for more information or to request a quote."</f>
        <v>An insurance agency offering a full line of products for groups with 2 through 500 employees. Please contact us for more information or to request a quote.</v>
      </c>
      <c r="D8661" s="3" t="s">
        <v>25183</v>
      </c>
      <c r="E8661" s="3" t="s">
        <v>25184</v>
      </c>
      <c r="F8661" s="3" t="str">
        <f>"574-532-3075"</f>
        <v>574-532-3075</v>
      </c>
      <c r="G8661" s="3">
        <v>524210</v>
      </c>
      <c r="H8661" s="3" t="s">
        <v>1183</v>
      </c>
    </row>
    <row r="8662" spans="1:8" ht="39" x14ac:dyDescent="0.25">
      <c r="A8662" s="3" t="s">
        <v>25185</v>
      </c>
      <c r="B8662" s="3"/>
      <c r="C8662" s="3" t="str">
        <f>"Office furniture sales, logistics,construction management,finance, installation and design."</f>
        <v>Office furniture sales, logistics,construction management,finance, installation and design.</v>
      </c>
      <c r="D8662" s="3" t="s">
        <v>25186</v>
      </c>
      <c r="E8662" s="3" t="s">
        <v>46</v>
      </c>
      <c r="F8662" s="2"/>
      <c r="G8662" s="3">
        <v>423210</v>
      </c>
      <c r="H8662" s="3" t="s">
        <v>3508</v>
      </c>
    </row>
    <row r="8663" spans="1:8" ht="51.75" x14ac:dyDescent="0.25">
      <c r="A8663" s="3" t="s">
        <v>25187</v>
      </c>
      <c r="B8663" s="3"/>
      <c r="C8663" s="3" t="str">
        <f>"Legal Services- Concentrating in Wills, Trusts, Estates, Business and International Law, Real Estate, and Related Complex Litigation."</f>
        <v>Legal Services- Concentrating in Wills, Trusts, Estates, Business and International Law, Real Estate, and Related Complex Litigation.</v>
      </c>
      <c r="D8663" s="3" t="s">
        <v>25188</v>
      </c>
      <c r="E8663" s="3" t="s">
        <v>25189</v>
      </c>
      <c r="F8663" s="3" t="str">
        <f>"317-705-8888"</f>
        <v>317-705-8888</v>
      </c>
      <c r="G8663" s="3">
        <v>541110</v>
      </c>
      <c r="H8663" s="3" t="s">
        <v>2978</v>
      </c>
    </row>
    <row r="8664" spans="1:8" ht="102.75" x14ac:dyDescent="0.25">
      <c r="A8664" s="3" t="s">
        <v>25190</v>
      </c>
      <c r="B8664" s="3"/>
      <c r="C8664" s="3" t="s">
        <v>25191</v>
      </c>
      <c r="D8664" s="3" t="s">
        <v>25192</v>
      </c>
      <c r="E8664" s="3" t="s">
        <v>25193</v>
      </c>
      <c r="F8664" s="3" t="str">
        <f>"317-295-9504"</f>
        <v>317-295-9504</v>
      </c>
      <c r="G8664" s="3">
        <v>561310</v>
      </c>
      <c r="H8664" s="3" t="s">
        <v>1720</v>
      </c>
    </row>
    <row r="8665" spans="1:8" ht="268.5" x14ac:dyDescent="0.25">
      <c r="A8665" s="3" t="s">
        <v>25194</v>
      </c>
      <c r="B8665" s="3"/>
      <c r="C8665" s="3" t="s">
        <v>25195</v>
      </c>
      <c r="D8665" s="3" t="s">
        <v>25196</v>
      </c>
      <c r="E8665" s="3" t="s">
        <v>25197</v>
      </c>
      <c r="F8665" s="3" t="str">
        <f>"317-259-7139"</f>
        <v>317-259-7139</v>
      </c>
      <c r="G8665" s="3">
        <v>611430</v>
      </c>
      <c r="H8665" s="3" t="s">
        <v>1224</v>
      </c>
    </row>
    <row r="8666" spans="1:8" ht="26.25" x14ac:dyDescent="0.25">
      <c r="A8666" s="3" t="s">
        <v>25198</v>
      </c>
      <c r="B8666" s="3"/>
      <c r="C8666" s="3" t="str">
        <f>"Commercial and Residental Builder. Post Frame, Building Add On, Metal Roof Repair."</f>
        <v>Commercial and Residental Builder. Post Frame, Building Add On, Metal Roof Repair.</v>
      </c>
      <c r="D8666" s="3" t="s">
        <v>9</v>
      </c>
      <c r="E8666" s="3" t="s">
        <v>46</v>
      </c>
      <c r="F8666" s="2"/>
      <c r="G8666" s="3">
        <v>236210</v>
      </c>
      <c r="H8666" s="3" t="s">
        <v>1418</v>
      </c>
    </row>
    <row r="8667" spans="1:8" ht="64.5" x14ac:dyDescent="0.25">
      <c r="A8667" s="3" t="s">
        <v>25199</v>
      </c>
      <c r="B8667" s="3"/>
      <c r="C8667" s="3" t="str">
        <f>"Residential Real Estate Sales and Services. Accredited Buyers Agent and top producing sales person I specialize in selling homes within 40 and finding homes for buyers in less than 1 week."</f>
        <v>Residential Real Estate Sales and Services. Accredited Buyers Agent and top producing sales person I specialize in selling homes within 40 and finding homes for buyers in less than 1 week.</v>
      </c>
      <c r="D8667" s="3" t="s">
        <v>25200</v>
      </c>
      <c r="E8667" s="3" t="s">
        <v>25201</v>
      </c>
      <c r="F8667" s="3" t="str">
        <f>"574-532-3996"</f>
        <v>574-532-3996</v>
      </c>
      <c r="G8667" s="3">
        <v>531210</v>
      </c>
      <c r="H8667" s="3" t="s">
        <v>1101</v>
      </c>
    </row>
    <row r="8668" spans="1:8" ht="77.25" x14ac:dyDescent="0.25">
      <c r="A8668" s="3" t="s">
        <v>25202</v>
      </c>
      <c r="B8668" s="3"/>
      <c r="C8668" s="3" t="str">
        <f>"Provide the following landscaping services: Professional Landscape Design and Installation, Landscape Lighting, Paver Patios, Fire Pits, Retaining Walls, Turf and Sod Installation, Lawn Care, Landscape and Lawn Maintenance, and Erosion Control."</f>
        <v>Provide the following landscaping services: Professional Landscape Design and Installation, Landscape Lighting, Paver Patios, Fire Pits, Retaining Walls, Turf and Sod Installation, Lawn Care, Landscape and Lawn Maintenance, and Erosion Control.</v>
      </c>
      <c r="D8668" s="3" t="s">
        <v>25203</v>
      </c>
      <c r="E8668" s="3" t="s">
        <v>25204</v>
      </c>
      <c r="F8668" s="3" t="str">
        <f>"317/769-2211"</f>
        <v>317/769-2211</v>
      </c>
      <c r="G8668" s="3">
        <v>541990</v>
      </c>
      <c r="H8668" s="3" t="s">
        <v>378</v>
      </c>
    </row>
    <row r="8669" spans="1:8" ht="51.75" x14ac:dyDescent="0.25">
      <c r="A8669" s="3" t="s">
        <v>25205</v>
      </c>
      <c r="B8669" s="3"/>
      <c r="C8669" s="3" t="str">
        <f>"General Contractor: Remodeling, Restoration, New Construction, Fire and Water Restoration, Mold Remediation, Modular Homes, and Home Inspections"</f>
        <v>General Contractor: Remodeling, Restoration, New Construction, Fire and Water Restoration, Mold Remediation, Modular Homes, and Home Inspections</v>
      </c>
      <c r="D8669" s="3" t="s">
        <v>25206</v>
      </c>
      <c r="E8669" s="3" t="s">
        <v>25207</v>
      </c>
      <c r="F8669" s="3" t="str">
        <f>"219-924-0266"</f>
        <v>219-924-0266</v>
      </c>
      <c r="G8669" s="3">
        <v>236115</v>
      </c>
      <c r="H8669" s="3" t="s">
        <v>1822</v>
      </c>
    </row>
    <row r="8670" spans="1:8" ht="39" x14ac:dyDescent="0.25">
      <c r="A8670" s="3" t="s">
        <v>25208</v>
      </c>
      <c r="B8670" s="3"/>
      <c r="C8670" s="3" t="str">
        <f>"We are a hardware store, tool rental and small engine repair shop. we also sell commercial and homeowners lawnmowers"</f>
        <v>We are a hardware store, tool rental and small engine repair shop. we also sell commercial and homeowners lawnmowers</v>
      </c>
      <c r="D8670" s="3" t="s">
        <v>9</v>
      </c>
      <c r="E8670" s="3" t="s">
        <v>25209</v>
      </c>
      <c r="F8670" s="3" t="str">
        <f>"1 812 944 4181"</f>
        <v>1 812 944 4181</v>
      </c>
      <c r="G8670" s="3">
        <v>444130</v>
      </c>
      <c r="H8670" s="3" t="s">
        <v>2597</v>
      </c>
    </row>
    <row r="8671" spans="1:8" ht="26.25" x14ac:dyDescent="0.25">
      <c r="A8671" s="3" t="s">
        <v>25210</v>
      </c>
      <c r="B8671" s="3"/>
      <c r="C8671" s="3" t="str">
        <f>"Jet and vac all types of drainage and sanitary pipe"</f>
        <v>Jet and vac all types of drainage and sanitary pipe</v>
      </c>
      <c r="D8671" s="3" t="s">
        <v>9</v>
      </c>
      <c r="E8671" s="3" t="s">
        <v>25211</v>
      </c>
      <c r="F8671" s="3" t="str">
        <f>"765-766-5040"</f>
        <v>765-766-5040</v>
      </c>
      <c r="G8671" s="3">
        <v>23711</v>
      </c>
      <c r="H8671" s="3" t="s">
        <v>901</v>
      </c>
    </row>
    <row r="8672" spans="1:8" ht="64.5" x14ac:dyDescent="0.25">
      <c r="A8672" s="3" t="s">
        <v>25212</v>
      </c>
      <c r="B8672" s="3"/>
      <c r="C8672" s="3" t="str">
        <f>"Statistics and Applied Engineering LLC has one single mission. ""You Imagine, We Create!"" We are experts in the field of statistics and software app developedment for IOS and Android."</f>
        <v>Statistics and Applied Engineering LLC has one single mission. "You Imagine, We Create!" We are experts in the field of statistics and software app developedment for IOS and Android.</v>
      </c>
      <c r="D8672" s="3" t="s">
        <v>9</v>
      </c>
      <c r="E8672" s="3" t="s">
        <v>46</v>
      </c>
      <c r="F8672" s="2"/>
      <c r="G8672" s="3">
        <v>334611</v>
      </c>
      <c r="H8672" s="3" t="s">
        <v>25213</v>
      </c>
    </row>
    <row r="8673" spans="1:8" ht="51.75" x14ac:dyDescent="0.25">
      <c r="A8673" s="3" t="s">
        <v>25214</v>
      </c>
      <c r="B8673" s="3"/>
      <c r="C8673" s="3" t="str">
        <f>"supplier of industrial supplies for the insulation of hot and cold water piping and duct work in the commercial construction industry"</f>
        <v>supplier of industrial supplies for the insulation of hot and cold water piping and duct work in the commercial construction industry</v>
      </c>
      <c r="D8673" s="3" t="s">
        <v>9</v>
      </c>
      <c r="E8673" s="3" t="s">
        <v>25215</v>
      </c>
      <c r="F8673" s="3" t="str">
        <f>"317-887-0750"</f>
        <v>317-887-0750</v>
      </c>
      <c r="G8673" s="3">
        <v>23622</v>
      </c>
      <c r="H8673" s="3" t="s">
        <v>598</v>
      </c>
    </row>
    <row r="8674" spans="1:8" ht="102.75" x14ac:dyDescent="0.25">
      <c r="A8674" s="3" t="s">
        <v>25216</v>
      </c>
      <c r="B8674" s="3"/>
      <c r="C8674" s="3" t="s">
        <v>25217</v>
      </c>
      <c r="D8674" s="3" t="s">
        <v>9</v>
      </c>
      <c r="E8674" s="3" t="s">
        <v>25218</v>
      </c>
      <c r="F8674" s="3" t="str">
        <f>"260-668-8737"</f>
        <v>260-668-8737</v>
      </c>
      <c r="G8674" s="3">
        <v>62412</v>
      </c>
      <c r="H8674" s="3" t="s">
        <v>22</v>
      </c>
    </row>
    <row r="8675" spans="1:8" ht="26.25" x14ac:dyDescent="0.25">
      <c r="A8675" s="3" t="s">
        <v>25219</v>
      </c>
      <c r="B8675" s="3"/>
      <c r="C8675" s="2"/>
      <c r="D8675" s="3" t="s">
        <v>9</v>
      </c>
      <c r="E8675" s="3" t="s">
        <v>46</v>
      </c>
      <c r="F8675" s="3" t="str">
        <f>"(260) 925-3310"</f>
        <v>(260) 925-3310</v>
      </c>
      <c r="G8675" s="3">
        <v>56174</v>
      </c>
      <c r="H8675" s="3" t="s">
        <v>241</v>
      </c>
    </row>
    <row r="8676" spans="1:8" ht="26.25" x14ac:dyDescent="0.25">
      <c r="A8676" s="3" t="s">
        <v>25220</v>
      </c>
      <c r="B8676" s="3"/>
      <c r="C8676" s="3" t="str">
        <f>"wholesale plumbing and electrical distributor"</f>
        <v>wholesale plumbing and electrical distributor</v>
      </c>
      <c r="D8676" s="3" t="s">
        <v>25221</v>
      </c>
      <c r="E8676" s="3" t="s">
        <v>25222</v>
      </c>
      <c r="F8676" s="3" t="str">
        <f>"812-346-4413"</f>
        <v>812-346-4413</v>
      </c>
      <c r="G8676" s="3">
        <v>42172</v>
      </c>
      <c r="H8676" s="3" t="s">
        <v>3003</v>
      </c>
    </row>
    <row r="8677" spans="1:8" ht="153.75" x14ac:dyDescent="0.25">
      <c r="A8677" s="3" t="s">
        <v>25223</v>
      </c>
      <c r="B8677" s="3"/>
      <c r="C8677" s="3" t="s">
        <v>25224</v>
      </c>
      <c r="D8677" s="3" t="s">
        <v>9</v>
      </c>
      <c r="E8677" s="3" t="s">
        <v>46</v>
      </c>
      <c r="F8677" s="3" t="str">
        <f>"219-769-3002"</f>
        <v>219-769-3002</v>
      </c>
      <c r="G8677" s="3">
        <v>236</v>
      </c>
      <c r="H8677" s="3" t="s">
        <v>291</v>
      </c>
    </row>
    <row r="8678" spans="1:8" ht="39" x14ac:dyDescent="0.25">
      <c r="A8678" s="3" t="s">
        <v>25225</v>
      </c>
      <c r="B8678" s="3"/>
      <c r="C8678" s="3" t="str">
        <f>"Provide trucking for the hauling of materials including but not limited to sand, dirt, asphalt and metals."</f>
        <v>Provide trucking for the hauling of materials including but not limited to sand, dirt, asphalt and metals.</v>
      </c>
      <c r="D8678" s="3" t="s">
        <v>9</v>
      </c>
      <c r="E8678" s="3" t="s">
        <v>25226</v>
      </c>
      <c r="F8678" s="3" t="str">
        <f>"574-286-9988"</f>
        <v>574-286-9988</v>
      </c>
      <c r="G8678" s="3">
        <v>237310</v>
      </c>
      <c r="H8678" s="3" t="s">
        <v>768</v>
      </c>
    </row>
    <row r="8679" spans="1:8" ht="166.5" x14ac:dyDescent="0.25">
      <c r="A8679" s="3" t="s">
        <v>25227</v>
      </c>
      <c r="B8679" s="3"/>
      <c r="C8679" s="3" t="s">
        <v>25228</v>
      </c>
      <c r="D8679" s="3" t="s">
        <v>25229</v>
      </c>
      <c r="E8679" s="3" t="s">
        <v>25230</v>
      </c>
      <c r="F8679" s="3" t="str">
        <f>"812-849-0124"</f>
        <v>812-849-0124</v>
      </c>
      <c r="G8679" s="3">
        <v>332439</v>
      </c>
      <c r="H8679" s="3" t="s">
        <v>22348</v>
      </c>
    </row>
    <row r="8680" spans="1:8" ht="51.75" x14ac:dyDescent="0.25">
      <c r="A8680" s="3" t="s">
        <v>25231</v>
      </c>
      <c r="B8680" s="3"/>
      <c r="C8680" s="3" t="str">
        <f>"We are a general contractor with design-build, construction management capabilities. We also offer Star Pre-Engineered Steel Buildings."</f>
        <v>We are a general contractor with design-build, construction management capabilities. We also offer Star Pre-Engineered Steel Buildings.</v>
      </c>
      <c r="D8680" s="3" t="s">
        <v>25232</v>
      </c>
      <c r="E8680" s="3" t="s">
        <v>25233</v>
      </c>
      <c r="F8680" s="3" t="str">
        <f>"317-887-9991"</f>
        <v>317-887-9991</v>
      </c>
      <c r="G8680" s="3">
        <v>2362</v>
      </c>
      <c r="H8680" s="3" t="s">
        <v>423</v>
      </c>
    </row>
    <row r="8681" spans="1:8" ht="166.5" x14ac:dyDescent="0.25">
      <c r="A8681" s="3" t="s">
        <v>25234</v>
      </c>
      <c r="B8681" s="3"/>
      <c r="C8681" s="3" t="s">
        <v>25235</v>
      </c>
      <c r="D8681" s="3" t="s">
        <v>25236</v>
      </c>
      <c r="E8681" s="3" t="s">
        <v>25237</v>
      </c>
      <c r="F8681" s="3" t="str">
        <f>"260.750.7050"</f>
        <v>260.750.7050</v>
      </c>
      <c r="G8681" s="3">
        <v>611430</v>
      </c>
      <c r="H8681" s="3" t="s">
        <v>1224</v>
      </c>
    </row>
    <row r="8682" spans="1:8" ht="115.5" x14ac:dyDescent="0.25">
      <c r="A8682" s="3" t="s">
        <v>25238</v>
      </c>
      <c r="B8682" s="3"/>
      <c r="C8682" s="3" t="s">
        <v>25239</v>
      </c>
      <c r="D8682" s="3" t="s">
        <v>25240</v>
      </c>
      <c r="E8682" s="3" t="s">
        <v>25241</v>
      </c>
      <c r="F8682" s="3" t="str">
        <f>"574-739-1044"</f>
        <v>574-739-1044</v>
      </c>
      <c r="G8682" s="3">
        <v>6114</v>
      </c>
      <c r="H8682" s="3" t="s">
        <v>13000</v>
      </c>
    </row>
    <row r="8683" spans="1:8" ht="51.75" x14ac:dyDescent="0.25">
      <c r="A8683" s="3" t="s">
        <v>25242</v>
      </c>
      <c r="B8683" s="3"/>
      <c r="C8683" s="3" t="str">
        <f>"Turnkey microwave communications systems installation company. Microwave radio and microwave tower installations done in-house"</f>
        <v>Turnkey microwave communications systems installation company. Microwave radio and microwave tower installations done in-house</v>
      </c>
      <c r="D8683" s="3" t="s">
        <v>25243</v>
      </c>
      <c r="E8683" s="3" t="s">
        <v>25244</v>
      </c>
      <c r="F8683" s="3" t="str">
        <f>"812-268-0771"</f>
        <v>812-268-0771</v>
      </c>
      <c r="G8683" s="3">
        <v>23713</v>
      </c>
      <c r="H8683" s="3" t="s">
        <v>3432</v>
      </c>
    </row>
    <row r="8684" spans="1:8" ht="230.25" x14ac:dyDescent="0.25">
      <c r="A8684" s="3" t="s">
        <v>25245</v>
      </c>
      <c r="B8684" s="3"/>
      <c r="C8684" s="3" t="s">
        <v>25246</v>
      </c>
      <c r="D8684" s="3" t="s">
        <v>25247</v>
      </c>
      <c r="E8684" s="3" t="s">
        <v>25248</v>
      </c>
      <c r="F8684" s="3" t="str">
        <f>"317-878-5431"</f>
        <v>317-878-5431</v>
      </c>
      <c r="G8684" s="3">
        <v>5411</v>
      </c>
      <c r="H8684" s="3" t="s">
        <v>87</v>
      </c>
    </row>
    <row r="8685" spans="1:8" ht="77.25" x14ac:dyDescent="0.25">
      <c r="A8685" s="3" t="s">
        <v>25249</v>
      </c>
      <c r="B8685" s="3"/>
      <c r="C8685" s="3" t="str">
        <f>"Steinberger Connstruction, Inc. provides design and construction services to industrial, commercial, agricultural, energy, and public works projects. We are also a Butler Manufacturing pre-engineered steel building dealer and erector."</f>
        <v>Steinberger Connstruction, Inc. provides design and construction services to industrial, commercial, agricultural, energy, and public works projects. We are also a Butler Manufacturing pre-engineered steel building dealer and erector.</v>
      </c>
      <c r="D8685" s="3" t="s">
        <v>25250</v>
      </c>
      <c r="E8685" s="3" t="s">
        <v>25251</v>
      </c>
      <c r="F8685" s="3" t="str">
        <f>"574-753-4944"</f>
        <v>574-753-4944</v>
      </c>
      <c r="G8685" s="3">
        <v>2362</v>
      </c>
      <c r="H8685" s="3" t="s">
        <v>423</v>
      </c>
    </row>
    <row r="8686" spans="1:8" ht="39" x14ac:dyDescent="0.25">
      <c r="A8686" s="3" t="s">
        <v>25252</v>
      </c>
      <c r="B8686" s="3"/>
      <c r="C8686" s="3" t="str">
        <f>"Supplier of lumber, building materials, hardware and flooring located at 1000 North Main Street in Huntingburg."</f>
        <v>Supplier of lumber, building materials, hardware and flooring located at 1000 North Main Street in Huntingburg.</v>
      </c>
      <c r="D8686" s="3" t="s">
        <v>9</v>
      </c>
      <c r="E8686" s="3" t="s">
        <v>46</v>
      </c>
      <c r="F8686" s="2"/>
      <c r="G8686" s="3">
        <v>444110</v>
      </c>
      <c r="H8686" s="3" t="s">
        <v>3072</v>
      </c>
    </row>
    <row r="8687" spans="1:8" ht="204.75" x14ac:dyDescent="0.25">
      <c r="A8687" s="3" t="s">
        <v>25253</v>
      </c>
      <c r="B8687" s="3"/>
      <c r="C8687" s="3" t="s">
        <v>25254</v>
      </c>
      <c r="D8687" s="3" t="s">
        <v>25255</v>
      </c>
      <c r="E8687" s="3" t="s">
        <v>46</v>
      </c>
      <c r="F8687" s="3" t="str">
        <f>"812-683-3860"</f>
        <v>812-683-3860</v>
      </c>
      <c r="G8687" s="3">
        <v>321</v>
      </c>
      <c r="H8687" s="3" t="s">
        <v>2367</v>
      </c>
    </row>
    <row r="8688" spans="1:8" ht="90" x14ac:dyDescent="0.25">
      <c r="A8688" s="3" t="s">
        <v>25256</v>
      </c>
      <c r="B8688" s="3"/>
      <c r="C8688" s="3" t="s">
        <v>25257</v>
      </c>
      <c r="D8688" s="3" t="s">
        <v>25258</v>
      </c>
      <c r="E8688" s="3" t="s">
        <v>25259</v>
      </c>
      <c r="F8688" s="3" t="str">
        <f>"317-293-1242"</f>
        <v>317-293-1242</v>
      </c>
      <c r="G8688" s="3">
        <v>54171</v>
      </c>
      <c r="H8688" s="3" t="s">
        <v>22035</v>
      </c>
    </row>
    <row r="8689" spans="1:8" ht="26.25" x14ac:dyDescent="0.25">
      <c r="A8689" s="3" t="s">
        <v>25260</v>
      </c>
      <c r="B8689" s="3"/>
      <c r="C8689" s="3" t="str">
        <f>"Manufacturer of Signs and Traffic Control Products"</f>
        <v>Manufacturer of Signs and Traffic Control Products</v>
      </c>
      <c r="D8689" s="3" t="s">
        <v>25261</v>
      </c>
      <c r="E8689" s="3" t="s">
        <v>25262</v>
      </c>
      <c r="F8689" s="3" t="str">
        <f>"812-829-2246"</f>
        <v>812-829-2246</v>
      </c>
      <c r="G8689" s="3">
        <v>339950</v>
      </c>
      <c r="H8689" s="3" t="s">
        <v>68</v>
      </c>
    </row>
    <row r="8690" spans="1:8" ht="51.75" x14ac:dyDescent="0.25">
      <c r="A8690" s="3" t="s">
        <v>25260</v>
      </c>
      <c r="B8690" s="3"/>
      <c r="C8690" s="3" t="str">
        <f>"Stello Products, Inc. is a manufacturer and distributor of traffic control products. Includng traffic signs, barricades, sign posts, stop/slow paddles and traffic cones."</f>
        <v>Stello Products, Inc. is a manufacturer and distributor of traffic control products. Includng traffic signs, barricades, sign posts, stop/slow paddles and traffic cones.</v>
      </c>
      <c r="D8690" s="3" t="s">
        <v>25261</v>
      </c>
      <c r="E8690" s="3" t="s">
        <v>25263</v>
      </c>
      <c r="F8690" s="3" t="str">
        <f>"812 829 2246"</f>
        <v>812 829 2246</v>
      </c>
      <c r="G8690" s="3">
        <v>23411</v>
      </c>
      <c r="H8690" s="3" t="s">
        <v>2406</v>
      </c>
    </row>
    <row r="8691" spans="1:8" ht="26.25" x14ac:dyDescent="0.25">
      <c r="A8691" s="3" t="s">
        <v>25264</v>
      </c>
      <c r="B8691" s="3"/>
      <c r="C8691" s="3" t="str">
        <f>"Custom Aerial Photography"</f>
        <v>Custom Aerial Photography</v>
      </c>
      <c r="D8691" s="3" t="s">
        <v>25265</v>
      </c>
      <c r="E8691" s="3" t="s">
        <v>25266</v>
      </c>
      <c r="F8691" s="3" t="str">
        <f>"260-341-9039"</f>
        <v>260-341-9039</v>
      </c>
      <c r="G8691" s="3">
        <v>541922</v>
      </c>
      <c r="H8691" s="3" t="s">
        <v>1545</v>
      </c>
    </row>
    <row r="8692" spans="1:8" ht="64.5" x14ac:dyDescent="0.25">
      <c r="A8692" s="3" t="s">
        <v>25267</v>
      </c>
      <c r="B8692" s="3"/>
      <c r="C8692" s="3" t="str">
        <f>"REAL ESTATE MANAGEMENT COMPANY specializing in - *Commercial *Residential *Low Income *Section 42 *Senior Communities and Historical Rehab properties"</f>
        <v>REAL ESTATE MANAGEMENT COMPANY specializing in - *Commercial *Residential *Low Income *Section 42 *Senior Communities and Historical Rehab properties</v>
      </c>
      <c r="D8692" s="3" t="s">
        <v>9</v>
      </c>
      <c r="E8692" s="3" t="s">
        <v>25268</v>
      </c>
      <c r="F8692" s="3" t="str">
        <f>"317-262-4999"</f>
        <v>317-262-4999</v>
      </c>
      <c r="G8692" s="3">
        <v>53131</v>
      </c>
      <c r="H8692" s="3" t="s">
        <v>7550</v>
      </c>
    </row>
    <row r="8693" spans="1:8" ht="51.75" x14ac:dyDescent="0.25">
      <c r="A8693" s="3" t="s">
        <v>25269</v>
      </c>
      <c r="B8693" s="3"/>
      <c r="C8693" s="3" t="str">
        <f>"Get what you need, Exactly where you want it. Professional, Courteous, Uniformed Couriers Service you can depend on. Available 24 hrs a day, 7 days a week."</f>
        <v>Get what you need, Exactly where you want it. Professional, Courteous, Uniformed Couriers Service you can depend on. Available 24 hrs a day, 7 days a week.</v>
      </c>
      <c r="D8693" s="3" t="s">
        <v>25270</v>
      </c>
      <c r="E8693" s="3" t="s">
        <v>25271</v>
      </c>
      <c r="F8693" s="3" t="str">
        <f>"317-672-2942"</f>
        <v>317-672-2942</v>
      </c>
      <c r="G8693" s="3">
        <v>492</v>
      </c>
      <c r="H8693" s="3" t="s">
        <v>7284</v>
      </c>
    </row>
    <row r="8694" spans="1:8" ht="26.25" x14ac:dyDescent="0.25">
      <c r="A8694" s="3" t="s">
        <v>25272</v>
      </c>
      <c r="B8694" s="3"/>
      <c r="C8694" s="3" t="str">
        <f>"Janitorial and maintenance services"</f>
        <v>Janitorial and maintenance services</v>
      </c>
      <c r="D8694" s="3" t="s">
        <v>9</v>
      </c>
      <c r="E8694" s="3" t="s">
        <v>25273</v>
      </c>
      <c r="F8694" s="3" t="str">
        <f>"812-486-7200"</f>
        <v>812-486-7200</v>
      </c>
      <c r="G8694" s="3">
        <v>56172</v>
      </c>
      <c r="H8694" s="3" t="s">
        <v>222</v>
      </c>
    </row>
    <row r="8695" spans="1:8" ht="26.25" x14ac:dyDescent="0.25">
      <c r="A8695" s="3" t="s">
        <v>25274</v>
      </c>
      <c r="B8695" s="3"/>
      <c r="C8695" s="3" t="str">
        <f>"Full line industrial supplier"</f>
        <v>Full line industrial supplier</v>
      </c>
      <c r="D8695" s="3" t="s">
        <v>9</v>
      </c>
      <c r="E8695" s="3" t="s">
        <v>25275</v>
      </c>
      <c r="F8695" s="3" t="str">
        <f>"219/765-3230"</f>
        <v>219/765-3230</v>
      </c>
      <c r="G8695" s="3">
        <v>423840</v>
      </c>
      <c r="H8695" s="3" t="s">
        <v>553</v>
      </c>
    </row>
    <row r="8696" spans="1:8" ht="26.25" x14ac:dyDescent="0.25">
      <c r="A8696" s="3" t="s">
        <v>25276</v>
      </c>
      <c r="B8696" s="3"/>
      <c r="C8696" s="3" t="str">
        <f>"Residential &amp; commercial electrical contractor"</f>
        <v>Residential &amp; commercial electrical contractor</v>
      </c>
      <c r="D8696" s="3" t="s">
        <v>9</v>
      </c>
      <c r="E8696" s="3" t="s">
        <v>25277</v>
      </c>
      <c r="F8696" s="3" t="str">
        <f>"812-689-6683"</f>
        <v>812-689-6683</v>
      </c>
      <c r="G8696" s="3">
        <v>23531</v>
      </c>
      <c r="H8696" s="3" t="s">
        <v>306</v>
      </c>
    </row>
    <row r="8697" spans="1:8" ht="128.25" x14ac:dyDescent="0.25">
      <c r="A8697" s="3" t="s">
        <v>25278</v>
      </c>
      <c r="B8697" s="3"/>
      <c r="C8697" s="3" t="s">
        <v>25279</v>
      </c>
      <c r="D8697" s="3" t="s">
        <v>25280</v>
      </c>
      <c r="E8697" s="3" t="s">
        <v>25281</v>
      </c>
      <c r="F8697" s="3" t="str">
        <f>"317 566-0629"</f>
        <v>317 566-0629</v>
      </c>
      <c r="G8697" s="3">
        <v>54133</v>
      </c>
      <c r="H8697" s="3" t="s">
        <v>82</v>
      </c>
    </row>
    <row r="8698" spans="1:8" ht="51.75" x14ac:dyDescent="0.25">
      <c r="A8698" s="3" t="s">
        <v>25282</v>
      </c>
      <c r="B8698" s="3"/>
      <c r="C8698" s="3" t="str">
        <f>"Our services include all types of grade work, building demolition, land clearing and digging ponds or small lakes. We also provide trucking services."</f>
        <v>Our services include all types of grade work, building demolition, land clearing and digging ponds or small lakes. We also provide trucking services.</v>
      </c>
      <c r="D8698" s="3" t="s">
        <v>9</v>
      </c>
      <c r="E8698" s="3" t="s">
        <v>25283</v>
      </c>
      <c r="F8698" s="3" t="str">
        <f>"765-883-5603"</f>
        <v>765-883-5603</v>
      </c>
      <c r="G8698" s="3">
        <v>238910</v>
      </c>
      <c r="H8698" s="3" t="s">
        <v>886</v>
      </c>
    </row>
    <row r="8699" spans="1:8" ht="39" x14ac:dyDescent="0.25">
      <c r="A8699" s="3" t="s">
        <v>25284</v>
      </c>
      <c r="B8699" s="3"/>
      <c r="C8699" s="3" t="str">
        <f>"Concrete Construction for Buildings,sidewalk,curbs,bridges, and roadways."</f>
        <v>Concrete Construction for Buildings,sidewalk,curbs,bridges, and roadways.</v>
      </c>
      <c r="D8699" s="3" t="s">
        <v>9</v>
      </c>
      <c r="E8699" s="3" t="s">
        <v>25285</v>
      </c>
      <c r="F8699" s="3" t="str">
        <f>"219-979-9937"</f>
        <v>219-979-9937</v>
      </c>
      <c r="G8699" s="3">
        <v>238110</v>
      </c>
      <c r="H8699" s="3" t="s">
        <v>156</v>
      </c>
    </row>
    <row r="8700" spans="1:8" ht="26.25" x14ac:dyDescent="0.25">
      <c r="A8700" s="3" t="s">
        <v>25286</v>
      </c>
      <c r="B8700" s="3"/>
      <c r="C8700" s="3" t="str">
        <f>"We provide accounting and tax services for both individuals and businesses."</f>
        <v>We provide accounting and tax services for both individuals and businesses.</v>
      </c>
      <c r="D8700" s="3" t="s">
        <v>9</v>
      </c>
      <c r="E8700" s="3" t="s">
        <v>25287</v>
      </c>
      <c r="F8700" s="3" t="str">
        <f>"812-254-1138"</f>
        <v>812-254-1138</v>
      </c>
      <c r="G8700" s="3">
        <v>541219</v>
      </c>
      <c r="H8700" s="3" t="s">
        <v>2010</v>
      </c>
    </row>
    <row r="8701" spans="1:8" ht="39" x14ac:dyDescent="0.25">
      <c r="A8701" s="3" t="s">
        <v>25288</v>
      </c>
      <c r="B8701" s="3"/>
      <c r="C8701" s="3" t="str">
        <f>"Civil, Electrical,Mechanical,and Refractory Contracting. Shop Fabrication and Shop Machining."</f>
        <v>Civil, Electrical,Mechanical,and Refractory Contracting. Shop Fabrication and Shop Machining.</v>
      </c>
      <c r="D8701" s="3" t="s">
        <v>25289</v>
      </c>
      <c r="E8701" s="3" t="s">
        <v>25290</v>
      </c>
      <c r="F8701" s="3" t="str">
        <f>"812-479-5447"</f>
        <v>812-479-5447</v>
      </c>
      <c r="G8701" s="3">
        <v>238990</v>
      </c>
      <c r="H8701" s="3" t="s">
        <v>481</v>
      </c>
    </row>
    <row r="8702" spans="1:8" ht="115.5" x14ac:dyDescent="0.25">
      <c r="A8702" s="3" t="s">
        <v>25291</v>
      </c>
      <c r="B8702" s="3"/>
      <c r="C8702" s="3" t="s">
        <v>25292</v>
      </c>
      <c r="D8702" s="3" t="s">
        <v>25293</v>
      </c>
      <c r="E8702" s="3" t="s">
        <v>25294</v>
      </c>
      <c r="F8702" s="3" t="str">
        <f>"812-251-3624"</f>
        <v>812-251-3624</v>
      </c>
      <c r="G8702" s="3">
        <v>541611</v>
      </c>
      <c r="H8702" s="3" t="s">
        <v>278</v>
      </c>
    </row>
    <row r="8703" spans="1:8" ht="128.25" x14ac:dyDescent="0.25">
      <c r="A8703" s="3" t="s">
        <v>25295</v>
      </c>
      <c r="B8703" s="3"/>
      <c r="C8703" s="3" t="s">
        <v>25296</v>
      </c>
      <c r="D8703" s="3" t="s">
        <v>25297</v>
      </c>
      <c r="E8703" s="3" t="s">
        <v>25298</v>
      </c>
      <c r="F8703" s="3" t="str">
        <f>"317-567-5060"</f>
        <v>317-567-5060</v>
      </c>
      <c r="G8703" s="3">
        <v>541511</v>
      </c>
      <c r="H8703" s="3" t="s">
        <v>122</v>
      </c>
    </row>
    <row r="8704" spans="1:8" ht="102.75" x14ac:dyDescent="0.25">
      <c r="A8704" s="3" t="s">
        <v>25299</v>
      </c>
      <c r="B8704" s="3"/>
      <c r="C8704" s="3" t="s">
        <v>25300</v>
      </c>
      <c r="D8704" s="3" t="s">
        <v>9</v>
      </c>
      <c r="E8704" s="3" t="s">
        <v>25301</v>
      </c>
      <c r="F8704" s="3" t="str">
        <f>"317-885-9105"</f>
        <v>317-885-9105</v>
      </c>
      <c r="G8704" s="3">
        <v>524210</v>
      </c>
      <c r="H8704" s="3" t="s">
        <v>1183</v>
      </c>
    </row>
    <row r="8705" spans="1:8" ht="26.25" x14ac:dyDescent="0.25">
      <c r="A8705" s="3" t="s">
        <v>25302</v>
      </c>
      <c r="B8705" s="3"/>
      <c r="C8705" s="3" t="str">
        <f>"We provide residential, office, and construction cleaning."</f>
        <v>We provide residential, office, and construction cleaning.</v>
      </c>
      <c r="D8705" s="3" t="s">
        <v>25303</v>
      </c>
      <c r="E8705" s="3" t="s">
        <v>25304</v>
      </c>
      <c r="F8705" s="3" t="str">
        <f>"3177094849"</f>
        <v>3177094849</v>
      </c>
      <c r="G8705" s="3">
        <v>238990</v>
      </c>
      <c r="H8705" s="3" t="s">
        <v>481</v>
      </c>
    </row>
    <row r="8706" spans="1:8" ht="64.5" x14ac:dyDescent="0.25">
      <c r="A8706" s="3" t="s">
        <v>25305</v>
      </c>
      <c r="B8706" s="3"/>
      <c r="C8706" s="3" t="str">
        <f>"At SterlingWorx, our focus is to translate recruiting strategies into practical solutions and measurable results by an urgent response for our clients contract, contract to hire and direct resource needs."</f>
        <v>At SterlingWorx, our focus is to translate recruiting strategies into practical solutions and measurable results by an urgent response for our clients contract, contract to hire and direct resource needs.</v>
      </c>
      <c r="D8706" s="3" t="s">
        <v>25306</v>
      </c>
      <c r="E8706" s="3" t="s">
        <v>25307</v>
      </c>
      <c r="F8706" s="3" t="str">
        <f>"317-536-5478"</f>
        <v>317-536-5478</v>
      </c>
      <c r="G8706" s="3">
        <v>541511</v>
      </c>
      <c r="H8706" s="3" t="s">
        <v>122</v>
      </c>
    </row>
    <row r="8707" spans="1:8" ht="39" x14ac:dyDescent="0.25">
      <c r="A8707" s="3" t="s">
        <v>25308</v>
      </c>
      <c r="B8707" s="3"/>
      <c r="C8707" s="3" t="str">
        <f>"Dodge, Chrysler, International OEM Dealership with Sales, Parts, Service, and Body Shop"</f>
        <v>Dodge, Chrysler, International OEM Dealership with Sales, Parts, Service, and Body Shop</v>
      </c>
      <c r="D8707" s="3" t="s">
        <v>25309</v>
      </c>
      <c r="E8707" s="3" t="s">
        <v>25310</v>
      </c>
      <c r="F8707" s="3" t="str">
        <f>"812-482-5125"</f>
        <v>812-482-5125</v>
      </c>
      <c r="G8707" s="3">
        <v>441110</v>
      </c>
      <c r="H8707" s="3" t="s">
        <v>2588</v>
      </c>
    </row>
    <row r="8708" spans="1:8" ht="39" x14ac:dyDescent="0.25">
      <c r="A8708" s="3" t="s">
        <v>25311</v>
      </c>
      <c r="B8708" s="3"/>
      <c r="C8708" s="3" t="str">
        <f>"We are the Steuben County Health Dept. We are the sponsor of the Steuben County WIC program"</f>
        <v>We are the Steuben County Health Dept. We are the sponsor of the Steuben County WIC program</v>
      </c>
      <c r="D8708" s="3" t="s">
        <v>9</v>
      </c>
      <c r="E8708" s="3" t="s">
        <v>25312</v>
      </c>
      <c r="F8708" s="3" t="str">
        <f>"260-668-1000 X 1050"</f>
        <v>260-668-1000 X 1050</v>
      </c>
      <c r="G8708" s="3">
        <v>92</v>
      </c>
      <c r="H8708" s="3" t="s">
        <v>3138</v>
      </c>
    </row>
    <row r="8709" spans="1:8" ht="26.25" x14ac:dyDescent="0.25">
      <c r="A8709" s="3" t="s">
        <v>25313</v>
      </c>
      <c r="B8709" s="3"/>
      <c r="C8709" s="3" t="str">
        <f>"Business development and government relations"</f>
        <v>Business development and government relations</v>
      </c>
      <c r="D8709" s="3" t="s">
        <v>9</v>
      </c>
      <c r="E8709" s="3" t="s">
        <v>25314</v>
      </c>
      <c r="F8709" s="3" t="str">
        <f>"202-812-9106"</f>
        <v>202-812-9106</v>
      </c>
      <c r="G8709" s="3">
        <v>541990</v>
      </c>
      <c r="H8709" s="3" t="s">
        <v>378</v>
      </c>
    </row>
    <row r="8710" spans="1:8" ht="51.75" x14ac:dyDescent="0.25">
      <c r="A8710" s="3" t="s">
        <v>25315</v>
      </c>
      <c r="B8710" s="3"/>
      <c r="C8710" s="3" t="str">
        <f>"We are a small business specializing in providing factories with steel toe boots, safety shoes, and work clothes for their employees."</f>
        <v>We are a small business specializing in providing factories with steel toe boots, safety shoes, and work clothes for their employees.</v>
      </c>
      <c r="D8710" s="3" t="s">
        <v>25316</v>
      </c>
      <c r="E8710" s="3" t="s">
        <v>25317</v>
      </c>
      <c r="F8710" s="3" t="str">
        <f>"765-962-8979"</f>
        <v>765-962-8979</v>
      </c>
      <c r="G8710" s="3">
        <v>448210</v>
      </c>
      <c r="H8710" s="3" t="s">
        <v>25318</v>
      </c>
    </row>
    <row r="8711" spans="1:8" ht="26.25" x14ac:dyDescent="0.25">
      <c r="A8711" s="3" t="s">
        <v>25319</v>
      </c>
      <c r="B8711" s="3"/>
      <c r="C8711" s="3" t="str">
        <f>"Sales and Service of Automotive and Collision Equipment"</f>
        <v>Sales and Service of Automotive and Collision Equipment</v>
      </c>
      <c r="D8711" s="3" t="s">
        <v>9</v>
      </c>
      <c r="E8711" s="3" t="s">
        <v>25320</v>
      </c>
      <c r="F8711" s="2"/>
      <c r="G8711" s="3">
        <v>335</v>
      </c>
      <c r="H8711" s="3" t="s">
        <v>2160</v>
      </c>
    </row>
    <row r="8712" spans="1:8" ht="39" x14ac:dyDescent="0.25">
      <c r="A8712" s="3" t="s">
        <v>25321</v>
      </c>
      <c r="B8712" s="3"/>
      <c r="C8712" s="3" t="str">
        <f>"Steven Graves Associates provides real estate appraisal and consulting services to the Central Indiana region."</f>
        <v>Steven Graves Associates provides real estate appraisal and consulting services to the Central Indiana region.</v>
      </c>
      <c r="D8712" s="3" t="s">
        <v>9</v>
      </c>
      <c r="E8712" s="3" t="s">
        <v>25322</v>
      </c>
      <c r="F8712" s="3" t="str">
        <f>"(317) 881-1885"</f>
        <v>(317) 881-1885</v>
      </c>
      <c r="G8712" s="3">
        <v>531320</v>
      </c>
      <c r="H8712" s="3" t="s">
        <v>34</v>
      </c>
    </row>
    <row r="8713" spans="1:8" ht="26.25" x14ac:dyDescent="0.25">
      <c r="A8713" s="3" t="s">
        <v>25323</v>
      </c>
      <c r="B8713" s="3"/>
      <c r="C8713" s="3" t="str">
        <f>"Uniforms and Equipment for Public Safety."</f>
        <v>Uniforms and Equipment for Public Safety.</v>
      </c>
      <c r="D8713" s="3" t="s">
        <v>25324</v>
      </c>
      <c r="E8713" s="3" t="s">
        <v>25325</v>
      </c>
      <c r="F8713" s="3" t="str">
        <f>"18006528244"</f>
        <v>18006528244</v>
      </c>
      <c r="G8713" s="3">
        <v>423990</v>
      </c>
      <c r="H8713" s="3" t="s">
        <v>983</v>
      </c>
    </row>
    <row r="8714" spans="1:8" ht="102.75" x14ac:dyDescent="0.25">
      <c r="A8714" s="3" t="s">
        <v>25326</v>
      </c>
      <c r="B8714" s="3"/>
      <c r="C8714" s="3" t="s">
        <v>25327</v>
      </c>
      <c r="D8714" s="3" t="s">
        <v>25328</v>
      </c>
      <c r="E8714" s="3" t="s">
        <v>25329</v>
      </c>
      <c r="F8714" s="3" t="str">
        <f>"317-776-2048"</f>
        <v>317-776-2048</v>
      </c>
      <c r="G8714" s="3">
        <v>2354</v>
      </c>
      <c r="H8714" s="3" t="s">
        <v>17147</v>
      </c>
    </row>
    <row r="8715" spans="1:8" x14ac:dyDescent="0.25">
      <c r="A8715" s="3" t="s">
        <v>25330</v>
      </c>
      <c r="B8715" s="3"/>
      <c r="C8715" s="3" t="str">
        <f>"Lawn care and landscaping services"</f>
        <v>Lawn care and landscaping services</v>
      </c>
      <c r="D8715" s="3" t="s">
        <v>9</v>
      </c>
      <c r="E8715" s="3" t="s">
        <v>46</v>
      </c>
      <c r="F8715" s="2"/>
      <c r="G8715" s="3">
        <v>561730</v>
      </c>
      <c r="H8715" s="3" t="s">
        <v>65</v>
      </c>
    </row>
    <row r="8716" spans="1:8" ht="217.5" x14ac:dyDescent="0.25">
      <c r="A8716" s="3" t="s">
        <v>25331</v>
      </c>
      <c r="B8716" s="3"/>
      <c r="C8716" s="3" t="s">
        <v>25332</v>
      </c>
      <c r="D8716" s="3" t="s">
        <v>25333</v>
      </c>
      <c r="E8716" s="3" t="s">
        <v>25334</v>
      </c>
      <c r="F8716" s="3" t="str">
        <f>"219-938-8094"</f>
        <v>219-938-8094</v>
      </c>
      <c r="G8716" s="3">
        <v>611430</v>
      </c>
      <c r="H8716" s="3" t="s">
        <v>1224</v>
      </c>
    </row>
    <row r="8717" spans="1:8" ht="255.75" x14ac:dyDescent="0.25">
      <c r="A8717" s="3" t="s">
        <v>25335</v>
      </c>
      <c r="B8717" s="3"/>
      <c r="C8717" s="3" t="s">
        <v>25336</v>
      </c>
      <c r="D8717" s="3" t="s">
        <v>25337</v>
      </c>
      <c r="E8717" s="3" t="s">
        <v>25338</v>
      </c>
      <c r="F8717" s="3" t="str">
        <f>"317-333-6887 EXT 1"</f>
        <v>317-333-6887 EXT 1</v>
      </c>
      <c r="G8717" s="3">
        <v>524127</v>
      </c>
      <c r="H8717" s="3" t="s">
        <v>25339</v>
      </c>
    </row>
    <row r="8718" spans="1:8" ht="166.5" x14ac:dyDescent="0.25">
      <c r="A8718" s="3" t="s">
        <v>25340</v>
      </c>
      <c r="B8718" s="3"/>
      <c r="C8718" s="3" t="s">
        <v>25341</v>
      </c>
      <c r="D8718" s="3" t="s">
        <v>25342</v>
      </c>
      <c r="E8718" s="3" t="s">
        <v>25343</v>
      </c>
      <c r="F8718" s="3" t="str">
        <f>"765-319-3357"</f>
        <v>765-319-3357</v>
      </c>
      <c r="G8718" s="3">
        <v>541611</v>
      </c>
      <c r="H8718" s="3" t="s">
        <v>278</v>
      </c>
    </row>
    <row r="8719" spans="1:8" ht="64.5" x14ac:dyDescent="0.25">
      <c r="A8719" s="3" t="s">
        <v>25344</v>
      </c>
      <c r="B8719" s="3"/>
      <c r="C8719" s="3" t="str">
        <f>"Stidham Construction Services is a multifacited company that provides LEED Consulting, Construction Management, Commercial and Residential new construction and remodel services."</f>
        <v>Stidham Construction Services is a multifacited company that provides LEED Consulting, Construction Management, Commercial and Residential new construction and remodel services.</v>
      </c>
      <c r="D8719" s="3" t="s">
        <v>9</v>
      </c>
      <c r="E8719" s="3" t="s">
        <v>25345</v>
      </c>
      <c r="F8719" s="3" t="str">
        <f>"8128011550"</f>
        <v>8128011550</v>
      </c>
      <c r="G8719" s="3">
        <v>233</v>
      </c>
      <c r="H8719" s="3" t="s">
        <v>131</v>
      </c>
    </row>
    <row r="8720" spans="1:8" ht="51.75" x14ac:dyDescent="0.25">
      <c r="A8720" s="3" t="s">
        <v>25346</v>
      </c>
      <c r="B8720" s="3"/>
      <c r="C8720" s="3" t="str">
        <f>"We are a 21st century plumbing manufacturer who specializes in emergency eyewash/shower units and thermostatic mixing valves."</f>
        <v>We are a 21st century plumbing manufacturer who specializes in emergency eyewash/shower units and thermostatic mixing valves.</v>
      </c>
      <c r="D8720" s="3" t="s">
        <v>25347</v>
      </c>
      <c r="E8720" s="3" t="s">
        <v>25348</v>
      </c>
      <c r="F8720" s="3" t="str">
        <f>"317-829-6062"</f>
        <v>317-829-6062</v>
      </c>
      <c r="G8720" s="3">
        <v>332911</v>
      </c>
      <c r="H8720" s="3" t="s">
        <v>6117</v>
      </c>
    </row>
    <row r="8721" spans="1:8" ht="64.5" x14ac:dyDescent="0.25">
      <c r="A8721" s="3" t="s">
        <v>25349</v>
      </c>
      <c r="B8721" s="3"/>
      <c r="C8721" s="3" t="str">
        <f>"Stone Belt is a not for profit social service agency located in Bloomington, IN that provides residential, program, and employment services and for people with developmental disabilities."</f>
        <v>Stone Belt is a not for profit social service agency located in Bloomington, IN that provides residential, program, and employment services and for people with developmental disabilities.</v>
      </c>
      <c r="D8721" s="3" t="s">
        <v>25350</v>
      </c>
      <c r="E8721" s="3" t="s">
        <v>46</v>
      </c>
      <c r="F8721" s="3" t="str">
        <f>"812-332-2168"</f>
        <v>812-332-2168</v>
      </c>
      <c r="G8721" s="3">
        <v>3169</v>
      </c>
      <c r="H8721" s="3" t="s">
        <v>25351</v>
      </c>
    </row>
    <row r="8722" spans="1:8" ht="26.25" x14ac:dyDescent="0.25">
      <c r="A8722" s="3" t="s">
        <v>25352</v>
      </c>
      <c r="B8722" s="3"/>
      <c r="C8722" s="3" t="str">
        <f>"Premium Spring Water bottled and bulk."</f>
        <v>Premium Spring Water bottled and bulk.</v>
      </c>
      <c r="D8722" s="3" t="s">
        <v>9</v>
      </c>
      <c r="E8722" s="3" t="s">
        <v>25353</v>
      </c>
      <c r="F8722" s="3" t="str">
        <f>"765-762-1332"</f>
        <v>765-762-1332</v>
      </c>
      <c r="G8722" s="3">
        <v>3121</v>
      </c>
      <c r="H8722" s="3" t="s">
        <v>25354</v>
      </c>
    </row>
    <row r="8723" spans="1:8" ht="26.25" x14ac:dyDescent="0.25">
      <c r="A8723" s="3" t="s">
        <v>25355</v>
      </c>
      <c r="B8723" s="3"/>
      <c r="C8723" s="3" t="str">
        <f>" "</f>
        <v xml:space="preserve"> </v>
      </c>
      <c r="D8723" s="3" t="s">
        <v>9</v>
      </c>
      <c r="E8723" s="3" t="s">
        <v>25356</v>
      </c>
      <c r="F8723" s="3" t="str">
        <f>"812-279-2349"</f>
        <v>812-279-2349</v>
      </c>
      <c r="G8723" s="3">
        <v>811111</v>
      </c>
      <c r="H8723" s="3" t="s">
        <v>2383</v>
      </c>
    </row>
    <row r="8724" spans="1:8" ht="51.75" x14ac:dyDescent="0.25">
      <c r="A8724" s="3" t="s">
        <v>25357</v>
      </c>
      <c r="B8724" s="3"/>
      <c r="C8724" s="3" t="str">
        <f>"Landscaping, lawn care and outdoor environment installation and maintenance. Also a provider of property maintenance packages for developers and Realtors"</f>
        <v>Landscaping, lawn care and outdoor environment installation and maintenance. Also a provider of property maintenance packages for developers and Realtors</v>
      </c>
      <c r="D8724" s="3" t="s">
        <v>25358</v>
      </c>
      <c r="E8724" s="3" t="s">
        <v>25359</v>
      </c>
      <c r="F8724" s="3" t="str">
        <f>"219-252-5516"</f>
        <v>219-252-5516</v>
      </c>
      <c r="G8724" s="3">
        <v>561730</v>
      </c>
      <c r="H8724" s="3" t="s">
        <v>65</v>
      </c>
    </row>
    <row r="8725" spans="1:8" x14ac:dyDescent="0.25">
      <c r="A8725" s="3" t="s">
        <v>25360</v>
      </c>
      <c r="B8725" s="3"/>
      <c r="C8725" s="3" t="str">
        <f>"We do machining, fabricating &amp; welding"</f>
        <v>We do machining, fabricating &amp; welding</v>
      </c>
      <c r="D8725" s="3" t="s">
        <v>9</v>
      </c>
      <c r="E8725" s="3" t="s">
        <v>46</v>
      </c>
      <c r="F8725" s="2"/>
      <c r="G8725" s="3">
        <v>332710</v>
      </c>
      <c r="H8725" s="3" t="s">
        <v>387</v>
      </c>
    </row>
    <row r="8726" spans="1:8" ht="26.25" x14ac:dyDescent="0.25">
      <c r="A8726" s="3" t="s">
        <v>25361</v>
      </c>
      <c r="B8726" s="3"/>
      <c r="C8726" s="3" t="str">
        <f>"Ag /Consumer Machinery Sales/Service"</f>
        <v>Ag /Consumer Machinery Sales/Service</v>
      </c>
      <c r="D8726" s="3" t="s">
        <v>25362</v>
      </c>
      <c r="E8726" s="3" t="s">
        <v>25363</v>
      </c>
      <c r="F8726" s="3" t="str">
        <f>"812-663-3787"</f>
        <v>812-663-3787</v>
      </c>
      <c r="G8726" s="3">
        <v>453998</v>
      </c>
      <c r="H8726" s="3" t="s">
        <v>112</v>
      </c>
    </row>
    <row r="8727" spans="1:8" ht="51.75" x14ac:dyDescent="0.25">
      <c r="A8727" s="3" t="s">
        <v>25364</v>
      </c>
      <c r="B8727" s="3"/>
      <c r="C8727" s="3" t="str">
        <f>"Stonemill Consulting provides outsourced and ""on demand"" software testing services to custom development, COTS and modified COTS system integration projects."</f>
        <v>Stonemill Consulting provides outsourced and "on demand" software testing services to custom development, COTS and modified COTS system integration projects.</v>
      </c>
      <c r="D8727" s="3" t="s">
        <v>25365</v>
      </c>
      <c r="E8727" s="3" t="s">
        <v>25366</v>
      </c>
      <c r="F8727" s="3" t="str">
        <f>"317-514-5025"</f>
        <v>317-514-5025</v>
      </c>
      <c r="G8727" s="3">
        <v>54151</v>
      </c>
      <c r="H8727" s="3" t="s">
        <v>188</v>
      </c>
    </row>
    <row r="8728" spans="1:8" ht="217.5" x14ac:dyDescent="0.25">
      <c r="A8728" s="3" t="s">
        <v>25367</v>
      </c>
      <c r="B8728" s="3"/>
      <c r="C8728" s="3" t="s">
        <v>25368</v>
      </c>
      <c r="D8728" s="3" t="s">
        <v>25369</v>
      </c>
      <c r="E8728" s="3" t="s">
        <v>25370</v>
      </c>
      <c r="F8728" s="3" t="str">
        <f>"317-669-8730"</f>
        <v>317-669-8730</v>
      </c>
      <c r="G8728" s="3">
        <v>541511</v>
      </c>
      <c r="H8728" s="3" t="s">
        <v>122</v>
      </c>
    </row>
    <row r="8729" spans="1:8" ht="90" x14ac:dyDescent="0.25">
      <c r="A8729" s="3" t="s">
        <v>25371</v>
      </c>
      <c r="B8729" s="3"/>
      <c r="C8729" s="3" t="s">
        <v>25372</v>
      </c>
      <c r="D8729" s="3" t="s">
        <v>9</v>
      </c>
      <c r="E8729" s="3" t="s">
        <v>46</v>
      </c>
      <c r="F8729" s="3" t="str">
        <f>"765-452-4958"</f>
        <v>765-452-4958</v>
      </c>
      <c r="G8729" s="3">
        <v>452910</v>
      </c>
      <c r="H8729" s="3" t="s">
        <v>25373</v>
      </c>
    </row>
    <row r="8730" spans="1:8" ht="26.25" x14ac:dyDescent="0.25">
      <c r="A8730" s="3" t="s">
        <v>25374</v>
      </c>
      <c r="B8730" s="3"/>
      <c r="C8730" s="3" t="str">
        <f>"Records Management Services: Consulting, Document Audits, File System Conversions"</f>
        <v>Records Management Services: Consulting, Document Audits, File System Conversions</v>
      </c>
      <c r="D8730" s="3" t="s">
        <v>25375</v>
      </c>
      <c r="E8730" s="3" t="s">
        <v>25376</v>
      </c>
      <c r="F8730" s="3" t="str">
        <f>"(317) 890-3104"</f>
        <v>(317) 890-3104</v>
      </c>
      <c r="G8730" s="3">
        <v>238990</v>
      </c>
      <c r="H8730" s="3" t="s">
        <v>481</v>
      </c>
    </row>
    <row r="8731" spans="1:8" ht="26.25" x14ac:dyDescent="0.25">
      <c r="A8731" s="3" t="s">
        <v>25377</v>
      </c>
      <c r="B8731" s="3"/>
      <c r="C8731" s="3" t="str">
        <f>"Material Handling, Storage Equipment - Shelving, Lockers"</f>
        <v>Material Handling, Storage Equipment - Shelving, Lockers</v>
      </c>
      <c r="D8731" s="3" t="s">
        <v>9</v>
      </c>
      <c r="E8731" s="3" t="s">
        <v>46</v>
      </c>
      <c r="F8731" s="2"/>
      <c r="G8731" s="3">
        <v>33392</v>
      </c>
      <c r="H8731" s="3" t="s">
        <v>3530</v>
      </c>
    </row>
    <row r="8732" spans="1:8" ht="26.25" x14ac:dyDescent="0.25">
      <c r="A8732" s="3" t="s">
        <v>25378</v>
      </c>
      <c r="B8732" s="3"/>
      <c r="C8732" s="3" t="str">
        <f>"repair shop of trucks, trailers, automobiles Wrecker Service : large and small"</f>
        <v>repair shop of trucks, trailers, automobiles Wrecker Service : large and small</v>
      </c>
      <c r="D8732" s="3" t="s">
        <v>9</v>
      </c>
      <c r="E8732" s="3" t="s">
        <v>46</v>
      </c>
      <c r="F8732" s="3" t="str">
        <f>"812-482-2600"</f>
        <v>812-482-2600</v>
      </c>
      <c r="G8732" s="3">
        <v>81111</v>
      </c>
      <c r="H8732" s="3" t="s">
        <v>96</v>
      </c>
    </row>
    <row r="8733" spans="1:8" ht="141" x14ac:dyDescent="0.25">
      <c r="A8733" s="3" t="s">
        <v>25379</v>
      </c>
      <c r="B8733" s="3"/>
      <c r="C8733" s="3" t="s">
        <v>25380</v>
      </c>
      <c r="D8733" s="3" t="s">
        <v>9</v>
      </c>
      <c r="E8733" s="3" t="s">
        <v>25381</v>
      </c>
      <c r="F8733" s="3" t="str">
        <f>"317-467-9450"</f>
        <v>317-467-9450</v>
      </c>
      <c r="G8733" s="3">
        <v>5416</v>
      </c>
      <c r="H8733" s="3" t="s">
        <v>194</v>
      </c>
    </row>
    <row r="8734" spans="1:8" ht="26.25" x14ac:dyDescent="0.25">
      <c r="A8734" s="3" t="s">
        <v>25382</v>
      </c>
      <c r="B8734" s="3"/>
      <c r="C8734" s="3" t="str">
        <f>"Industrial and Commercial electrical contracting in the State of Indiana"</f>
        <v>Industrial and Commercial electrical contracting in the State of Indiana</v>
      </c>
      <c r="D8734" s="3" t="s">
        <v>25383</v>
      </c>
      <c r="E8734" s="3" t="s">
        <v>46</v>
      </c>
      <c r="F8734" s="3" t="str">
        <f>"317-299-2541"</f>
        <v>317-299-2541</v>
      </c>
      <c r="G8734" s="3">
        <v>238210</v>
      </c>
      <c r="H8734" s="3" t="s">
        <v>306</v>
      </c>
    </row>
    <row r="8735" spans="1:8" ht="26.25" x14ac:dyDescent="0.25">
      <c r="A8735" s="3" t="s">
        <v>25384</v>
      </c>
      <c r="B8735" s="3"/>
      <c r="C8735" s="3" t="str">
        <f>"Land Surveyors and Engineers"</f>
        <v>Land Surveyors and Engineers</v>
      </c>
      <c r="D8735" s="3" t="s">
        <v>25385</v>
      </c>
      <c r="E8735" s="3" t="s">
        <v>25386</v>
      </c>
      <c r="F8735" s="3" t="str">
        <f>"8128864254"</f>
        <v>8128864254</v>
      </c>
      <c r="G8735" s="3">
        <v>541330</v>
      </c>
      <c r="H8735" s="3" t="s">
        <v>82</v>
      </c>
    </row>
    <row r="8736" spans="1:8" ht="77.25" x14ac:dyDescent="0.25">
      <c r="A8736" s="3" t="s">
        <v>25387</v>
      </c>
      <c r="B8736" s="3"/>
      <c r="C8736" s="3" t="str">
        <f>"Sales and service of pumps and controls including but not limited to F.E. Meyers, Gusher, KSB, Dakota, Vaughan, American Marsh, Grundfos, ARI, MJK, Control Works, QCI, Singer Valve, USF, VAF, Thern, Sierra Environmental."</f>
        <v>Sales and service of pumps and controls including but not limited to F.E. Meyers, Gusher, KSB, Dakota, Vaughan, American Marsh, Grundfos, ARI, MJK, Control Works, QCI, Singer Valve, USF, VAF, Thern, Sierra Environmental.</v>
      </c>
      <c r="D8736" s="3" t="s">
        <v>25388</v>
      </c>
      <c r="E8736" s="3" t="s">
        <v>25389</v>
      </c>
      <c r="F8736" s="3" t="str">
        <f>"8124763075"</f>
        <v>8124763075</v>
      </c>
      <c r="G8736" s="3">
        <v>423830</v>
      </c>
      <c r="H8736" s="3" t="s">
        <v>172</v>
      </c>
    </row>
    <row r="8737" spans="1:8" ht="102.75" x14ac:dyDescent="0.25">
      <c r="A8737" s="3" t="s">
        <v>25390</v>
      </c>
      <c r="B8737" s="3"/>
      <c r="C8737" s="3" t="s">
        <v>25391</v>
      </c>
      <c r="D8737" s="3" t="s">
        <v>9</v>
      </c>
      <c r="E8737" s="3" t="s">
        <v>25392</v>
      </c>
      <c r="F8737" s="3" t="str">
        <f>"317-770-9896"</f>
        <v>317-770-9896</v>
      </c>
      <c r="G8737" s="3">
        <v>238110</v>
      </c>
      <c r="H8737" s="3" t="s">
        <v>156</v>
      </c>
    </row>
    <row r="8738" spans="1:8" ht="77.25" x14ac:dyDescent="0.25">
      <c r="A8738" s="3" t="s">
        <v>25393</v>
      </c>
      <c r="B8738" s="3"/>
      <c r="C8738" s="3" t="str">
        <f>"Straight Forward Truck and Equipment Contractors provide excavation and hauling services for all forms of aggregates, dirt, sand, ag-lime, salt, demolition materials, and asphalt in conjunction with major or minor construction projects."</f>
        <v>Straight Forward Truck and Equipment Contractors provide excavation and hauling services for all forms of aggregates, dirt, sand, ag-lime, salt, demolition materials, and asphalt in conjunction with major or minor construction projects.</v>
      </c>
      <c r="D8738" s="3" t="s">
        <v>9</v>
      </c>
      <c r="E8738" s="3" t="s">
        <v>25394</v>
      </c>
      <c r="F8738" s="3" t="str">
        <f>"765-869-5660"</f>
        <v>765-869-5660</v>
      </c>
      <c r="G8738" s="3">
        <v>484220</v>
      </c>
      <c r="H8738" s="3" t="s">
        <v>11</v>
      </c>
    </row>
    <row r="8739" spans="1:8" ht="77.25" x14ac:dyDescent="0.25">
      <c r="A8739" s="3" t="s">
        <v>25395</v>
      </c>
      <c r="B8739" s="3"/>
      <c r="C8739" s="3" t="str">
        <f>"StraightLine Painting, Inc. Contact Erick Wollweber 219-937-9535 Interior/Exterior Painting/Power Washing Deck and Fence Treatment Residential/Commercial Licensed/Bonded/Insured 20 Year Experience Free Estimates"</f>
        <v>StraightLine Painting, Inc. Contact Erick Wollweber 219-937-9535 Interior/Exterior Painting/Power Washing Deck and Fence Treatment Residential/Commercial Licensed/Bonded/Insured 20 Year Experience Free Estimates</v>
      </c>
      <c r="D8739" s="3" t="s">
        <v>9</v>
      </c>
      <c r="E8739" s="3" t="s">
        <v>25396</v>
      </c>
      <c r="F8739" s="3" t="str">
        <f>"219-937-9535"</f>
        <v>219-937-9535</v>
      </c>
      <c r="G8739" s="3">
        <v>23521</v>
      </c>
      <c r="H8739" s="3" t="s">
        <v>462</v>
      </c>
    </row>
    <row r="8740" spans="1:8" ht="77.25" x14ac:dyDescent="0.25">
      <c r="A8740" s="3" t="s">
        <v>25397</v>
      </c>
      <c r="B8740" s="3"/>
      <c r="C8740" s="3" t="str">
        <f>"Strand Analytical Laboratories is a private DNA laboratory providing services in forensic cases as well as medical testing. We also provide expert testimony and witness services along with technical consultations in the field of DNA analysis."</f>
        <v>Strand Analytical Laboratories is a private DNA laboratory providing services in forensic cases as well as medical testing. We also provide expert testimony and witness services along with technical consultations in the field of DNA analysis.</v>
      </c>
      <c r="D8740" s="3" t="s">
        <v>25398</v>
      </c>
      <c r="E8740" s="3" t="s">
        <v>25399</v>
      </c>
      <c r="F8740" s="3" t="str">
        <f>"317-455-2100"</f>
        <v>317-455-2100</v>
      </c>
      <c r="G8740" s="3">
        <v>621511</v>
      </c>
      <c r="H8740" s="3" t="s">
        <v>1240</v>
      </c>
    </row>
    <row r="8741" spans="1:8" ht="128.25" x14ac:dyDescent="0.25">
      <c r="A8741" s="3" t="s">
        <v>25400</v>
      </c>
      <c r="B8741" s="3"/>
      <c r="C8741" s="3" t="s">
        <v>25401</v>
      </c>
      <c r="D8741" s="3" t="s">
        <v>25402</v>
      </c>
      <c r="E8741" s="3" t="s">
        <v>25403</v>
      </c>
      <c r="F8741" s="3" t="str">
        <f>"317-387-9161"</f>
        <v>317-387-9161</v>
      </c>
      <c r="G8741" s="3">
        <v>561320</v>
      </c>
      <c r="H8741" s="3" t="s">
        <v>15</v>
      </c>
    </row>
    <row r="8742" spans="1:8" ht="294" x14ac:dyDescent="0.25">
      <c r="A8742" s="3" t="s">
        <v>25404</v>
      </c>
      <c r="B8742" s="3"/>
      <c r="C8742" s="3" t="s">
        <v>25405</v>
      </c>
      <c r="D8742" s="3" t="s">
        <v>25406</v>
      </c>
      <c r="E8742" s="3" t="s">
        <v>25407</v>
      </c>
      <c r="F8742" s="3" t="str">
        <f>"317-219-0428"</f>
        <v>317-219-0428</v>
      </c>
      <c r="G8742" s="3">
        <v>541512</v>
      </c>
      <c r="H8742" s="3" t="s">
        <v>19</v>
      </c>
    </row>
    <row r="8743" spans="1:8" ht="102.75" x14ac:dyDescent="0.25">
      <c r="A8743" s="3" t="s">
        <v>25408</v>
      </c>
      <c r="B8743" s="3"/>
      <c r="C8743" s="3" t="s">
        <v>25409</v>
      </c>
      <c r="D8743" s="3" t="s">
        <v>25410</v>
      </c>
      <c r="E8743" s="3" t="s">
        <v>25411</v>
      </c>
      <c r="F8743" s="3" t="str">
        <f>"812-318-0629"</f>
        <v>812-318-0629</v>
      </c>
      <c r="G8743" s="3">
        <v>541612</v>
      </c>
      <c r="H8743" s="3" t="s">
        <v>1923</v>
      </c>
    </row>
    <row r="8744" spans="1:8" ht="90" x14ac:dyDescent="0.25">
      <c r="A8744" s="3" t="s">
        <v>25412</v>
      </c>
      <c r="B8744" s="3"/>
      <c r="C8744" s="3" t="str">
        <f>"Strategic Leadership Consulting, LLC provides diversity management and marketing strategies to public and non-profit corporations. Services include corporate communications, brand development, strategic planning, and diversity leadership training."</f>
        <v>Strategic Leadership Consulting, LLC provides diversity management and marketing strategies to public and non-profit corporations. Services include corporate communications, brand development, strategic planning, and diversity leadership training.</v>
      </c>
      <c r="D8744" s="3" t="s">
        <v>25413</v>
      </c>
      <c r="E8744" s="3" t="s">
        <v>25414</v>
      </c>
      <c r="F8744" s="3" t="str">
        <f>"317-875-7214"</f>
        <v>317-875-7214</v>
      </c>
      <c r="G8744" s="3">
        <v>541430</v>
      </c>
      <c r="H8744" s="3" t="s">
        <v>78</v>
      </c>
    </row>
    <row r="8745" spans="1:8" ht="268.5" x14ac:dyDescent="0.25">
      <c r="A8745" s="3" t="s">
        <v>25415</v>
      </c>
      <c r="B8745" s="3"/>
      <c r="C8745" s="3" t="s">
        <v>25416</v>
      </c>
      <c r="D8745" s="3" t="s">
        <v>9</v>
      </c>
      <c r="E8745" s="3" t="s">
        <v>25417</v>
      </c>
      <c r="F8745" s="3" t="str">
        <f>"812-584-2848"</f>
        <v>812-584-2848</v>
      </c>
      <c r="G8745" s="3">
        <v>541211</v>
      </c>
      <c r="H8745" s="3" t="s">
        <v>337</v>
      </c>
    </row>
    <row r="8746" spans="1:8" ht="179.25" x14ac:dyDescent="0.25">
      <c r="A8746" s="3" t="s">
        <v>25418</v>
      </c>
      <c r="B8746" s="3"/>
      <c r="C8746" s="3" t="s">
        <v>25419</v>
      </c>
      <c r="D8746" s="3" t="s">
        <v>25420</v>
      </c>
      <c r="E8746" s="3" t="s">
        <v>25421</v>
      </c>
      <c r="F8746" s="3" t="str">
        <f>"317-436-8645"</f>
        <v>317-436-8645</v>
      </c>
      <c r="G8746" s="3">
        <v>23</v>
      </c>
      <c r="H8746" s="3" t="s">
        <v>133</v>
      </c>
    </row>
    <row r="8747" spans="1:8" ht="217.5" x14ac:dyDescent="0.25">
      <c r="A8747" s="3" t="s">
        <v>25422</v>
      </c>
      <c r="B8747" s="3"/>
      <c r="C8747" s="3" t="s">
        <v>25423</v>
      </c>
      <c r="D8747" s="3" t="s">
        <v>25424</v>
      </c>
      <c r="E8747" s="3" t="s">
        <v>25425</v>
      </c>
      <c r="F8747" s="3" t="str">
        <f>"317-915-1808"</f>
        <v>317-915-1808</v>
      </c>
      <c r="G8747" s="3">
        <v>541810</v>
      </c>
      <c r="H8747" s="3" t="s">
        <v>976</v>
      </c>
    </row>
    <row r="8748" spans="1:8" ht="128.25" x14ac:dyDescent="0.25">
      <c r="A8748" s="3" t="s">
        <v>25426</v>
      </c>
      <c r="B8748" s="3"/>
      <c r="C8748" s="3" t="s">
        <v>25427</v>
      </c>
      <c r="D8748" s="3" t="s">
        <v>25428</v>
      </c>
      <c r="E8748" s="3" t="s">
        <v>25429</v>
      </c>
      <c r="F8748" s="3" t="str">
        <f>"317-574-7700"</f>
        <v>317-574-7700</v>
      </c>
      <c r="G8748" s="3">
        <v>541910</v>
      </c>
      <c r="H8748" s="3" t="s">
        <v>510</v>
      </c>
    </row>
    <row r="8749" spans="1:8" ht="268.5" x14ac:dyDescent="0.25">
      <c r="A8749" s="3" t="s">
        <v>25430</v>
      </c>
      <c r="B8749" s="3"/>
      <c r="C8749" s="3" t="s">
        <v>25431</v>
      </c>
      <c r="D8749" s="3" t="s">
        <v>25432</v>
      </c>
      <c r="E8749" s="3" t="s">
        <v>25433</v>
      </c>
      <c r="F8749" s="3" t="str">
        <f>"317-644-6878"</f>
        <v>317-644-6878</v>
      </c>
      <c r="G8749" s="3">
        <v>541613</v>
      </c>
      <c r="H8749" s="3" t="s">
        <v>558</v>
      </c>
    </row>
    <row r="8750" spans="1:8" ht="26.25" x14ac:dyDescent="0.25">
      <c r="A8750" s="3" t="s">
        <v>25434</v>
      </c>
      <c r="B8750" s="3"/>
      <c r="C8750" s="3" t="str">
        <f>" "</f>
        <v xml:space="preserve"> </v>
      </c>
      <c r="D8750" s="3" t="s">
        <v>25435</v>
      </c>
      <c r="E8750" s="3" t="s">
        <v>25436</v>
      </c>
      <c r="F8750" s="3" t="str">
        <f>"(765)-742-7634"</f>
        <v>(765)-742-7634</v>
      </c>
      <c r="G8750" s="3">
        <v>61</v>
      </c>
      <c r="H8750" s="3" t="s">
        <v>140</v>
      </c>
    </row>
    <row r="8751" spans="1:8" ht="102.75" x14ac:dyDescent="0.25">
      <c r="A8751" s="3" t="s">
        <v>25437</v>
      </c>
      <c r="B8751" s="3"/>
      <c r="C8751" s="3" t="s">
        <v>25438</v>
      </c>
      <c r="D8751" s="3" t="s">
        <v>9</v>
      </c>
      <c r="E8751" s="3" t="s">
        <v>25439</v>
      </c>
      <c r="F8751" s="3" t="str">
        <f>"317-585-5914"</f>
        <v>317-585-5914</v>
      </c>
      <c r="G8751" s="3">
        <v>541611</v>
      </c>
      <c r="H8751" s="3" t="s">
        <v>278</v>
      </c>
    </row>
    <row r="8752" spans="1:8" ht="26.25" x14ac:dyDescent="0.25">
      <c r="A8752" s="3" t="s">
        <v>25440</v>
      </c>
      <c r="B8752" s="3"/>
      <c r="C8752" s="3" t="str">
        <f>"Management Consulting Firm"</f>
        <v>Management Consulting Firm</v>
      </c>
      <c r="D8752" s="3" t="s">
        <v>25441</v>
      </c>
      <c r="E8752" s="3" t="s">
        <v>46</v>
      </c>
      <c r="F8752" s="3" t="str">
        <f>"(317) 257-7680"</f>
        <v>(317) 257-7680</v>
      </c>
      <c r="G8752" s="3">
        <v>54161</v>
      </c>
      <c r="H8752" s="3" t="s">
        <v>1221</v>
      </c>
    </row>
    <row r="8753" spans="1:8" ht="179.25" x14ac:dyDescent="0.25">
      <c r="A8753" s="3" t="s">
        <v>25442</v>
      </c>
      <c r="B8753" s="3"/>
      <c r="C8753" s="3" t="s">
        <v>25443</v>
      </c>
      <c r="D8753" s="3" t="s">
        <v>25444</v>
      </c>
      <c r="E8753" s="3" t="s">
        <v>25445</v>
      </c>
      <c r="F8753" s="3" t="str">
        <f>"317-762-4090"</f>
        <v>317-762-4090</v>
      </c>
      <c r="G8753" s="3">
        <v>541613</v>
      </c>
      <c r="H8753" s="3" t="s">
        <v>558</v>
      </c>
    </row>
    <row r="8754" spans="1:8" ht="102.75" x14ac:dyDescent="0.25">
      <c r="A8754" s="3" t="s">
        <v>25446</v>
      </c>
      <c r="B8754" s="3"/>
      <c r="C8754" s="3" t="s">
        <v>25447</v>
      </c>
      <c r="D8754" s="3" t="s">
        <v>25448</v>
      </c>
      <c r="E8754" s="3" t="s">
        <v>25449</v>
      </c>
      <c r="F8754" s="3" t="str">
        <f>"317-484-0000"</f>
        <v>317-484-0000</v>
      </c>
      <c r="G8754" s="3">
        <v>2389</v>
      </c>
      <c r="H8754" s="3" t="s">
        <v>1236</v>
      </c>
    </row>
    <row r="8755" spans="1:8" ht="128.25" x14ac:dyDescent="0.25">
      <c r="A8755" s="3" t="s">
        <v>25450</v>
      </c>
      <c r="B8755" s="3"/>
      <c r="C8755" s="3" t="s">
        <v>25451</v>
      </c>
      <c r="D8755" s="3" t="s">
        <v>25452</v>
      </c>
      <c r="E8755" s="3" t="s">
        <v>25453</v>
      </c>
      <c r="F8755" s="3" t="str">
        <f>"260-424-5371"</f>
        <v>260-424-5371</v>
      </c>
      <c r="G8755" s="3">
        <v>236</v>
      </c>
      <c r="H8755" s="3" t="s">
        <v>291</v>
      </c>
    </row>
    <row r="8756" spans="1:8" ht="64.5" x14ac:dyDescent="0.25">
      <c r="A8756" s="3" t="s">
        <v>25454</v>
      </c>
      <c r="B8756" s="3"/>
      <c r="C8756" s="3" t="str">
        <f>"We brand merchandise for events, picnics, and fund raisers. We embroider, screenprint and print on promotional items. We can create a web site and give plenty of ideas for upcoming events."</f>
        <v>We brand merchandise for events, picnics, and fund raisers. We embroider, screenprint and print on promotional items. We can create a web site and give plenty of ideas for upcoming events.</v>
      </c>
      <c r="D8756" s="3" t="s">
        <v>25455</v>
      </c>
      <c r="E8756" s="3" t="s">
        <v>25456</v>
      </c>
      <c r="F8756" s="3" t="str">
        <f>"317-822-9700"</f>
        <v>317-822-9700</v>
      </c>
      <c r="G8756" s="3">
        <v>541890</v>
      </c>
      <c r="H8756" s="3" t="s">
        <v>401</v>
      </c>
    </row>
    <row r="8757" spans="1:8" ht="166.5" x14ac:dyDescent="0.25">
      <c r="A8757" s="3" t="s">
        <v>25457</v>
      </c>
      <c r="B8757" s="3"/>
      <c r="C8757" s="3" t="s">
        <v>25458</v>
      </c>
      <c r="D8757" s="3" t="s">
        <v>9</v>
      </c>
      <c r="E8757" s="3" t="s">
        <v>25459</v>
      </c>
      <c r="F8757" s="3" t="str">
        <f>"3174170255"</f>
        <v>3174170255</v>
      </c>
      <c r="G8757" s="3">
        <v>541611</v>
      </c>
      <c r="H8757" s="3" t="s">
        <v>278</v>
      </c>
    </row>
    <row r="8758" spans="1:8" ht="51.75" x14ac:dyDescent="0.25">
      <c r="A8758" s="3" t="s">
        <v>25460</v>
      </c>
      <c r="B8758" s="3"/>
      <c r="C8758" s="3" t="str">
        <f>"General contractor specializing in commercial, industrial, institutional and residential buildings. Design/build services available."</f>
        <v>General contractor specializing in commercial, industrial, institutional and residential buildings. Design/build services available.</v>
      </c>
      <c r="D8758" s="3" t="s">
        <v>25461</v>
      </c>
      <c r="E8758" s="3" t="s">
        <v>25462</v>
      </c>
      <c r="F8758" s="3" t="str">
        <f>"812-482-5869"</f>
        <v>812-482-5869</v>
      </c>
      <c r="G8758" s="3">
        <v>236</v>
      </c>
      <c r="H8758" s="3" t="s">
        <v>291</v>
      </c>
    </row>
    <row r="8759" spans="1:8" ht="128.25" x14ac:dyDescent="0.25">
      <c r="A8759" s="3" t="s">
        <v>25463</v>
      </c>
      <c r="B8759" s="3"/>
      <c r="C8759" s="3" t="s">
        <v>25464</v>
      </c>
      <c r="D8759" s="3" t="s">
        <v>25465</v>
      </c>
      <c r="E8759" s="3" t="s">
        <v>25466</v>
      </c>
      <c r="F8759" s="3" t="str">
        <f>"(219) 963-2956"</f>
        <v>(219) 963-2956</v>
      </c>
      <c r="G8759" s="3">
        <v>812199</v>
      </c>
      <c r="H8759" s="3" t="s">
        <v>12225</v>
      </c>
    </row>
    <row r="8760" spans="1:8" ht="51.75" x14ac:dyDescent="0.25">
      <c r="A8760" s="3" t="s">
        <v>25467</v>
      </c>
      <c r="B8760" s="3"/>
      <c r="C8760" s="3" t="str">
        <f>"Strive Group, Inc. is a General Contractor, Specialties Contractor and Facilities Manager who specializes in Commercial Construction."</f>
        <v>Strive Group, Inc. is a General Contractor, Specialties Contractor and Facilities Manager who specializes in Commercial Construction.</v>
      </c>
      <c r="D8760" s="3" t="s">
        <v>25468</v>
      </c>
      <c r="E8760" s="3" t="s">
        <v>25469</v>
      </c>
      <c r="F8760" s="3" t="str">
        <f>"317-810-1744"</f>
        <v>317-810-1744</v>
      </c>
      <c r="G8760" s="3">
        <v>236220</v>
      </c>
      <c r="H8760" s="3" t="s">
        <v>598</v>
      </c>
    </row>
    <row r="8761" spans="1:8" ht="77.25" x14ac:dyDescent="0.25">
      <c r="A8761" s="3" t="s">
        <v>25470</v>
      </c>
      <c r="B8761" s="3"/>
      <c r="C8761" s="3" t="str">
        <f>"Structured Communications Solutions Inc. service offerings include, but are not limited too: consulting, design, project management, installation, testing, repair, and procurement for voice, data, and wireless communications systems."</f>
        <v>Structured Communications Solutions Inc. service offerings include, but are not limited too: consulting, design, project management, installation, testing, repair, and procurement for voice, data, and wireless communications systems.</v>
      </c>
      <c r="D8761" s="3" t="s">
        <v>25471</v>
      </c>
      <c r="E8761" s="3" t="s">
        <v>25472</v>
      </c>
      <c r="F8761" s="3" t="str">
        <f>"812-744-6329"</f>
        <v>812-744-6329</v>
      </c>
      <c r="G8761" s="3">
        <v>541519</v>
      </c>
      <c r="H8761" s="3" t="s">
        <v>898</v>
      </c>
    </row>
    <row r="8762" spans="1:8" ht="102.75" x14ac:dyDescent="0.25">
      <c r="A8762" s="3" t="s">
        <v>25473</v>
      </c>
      <c r="B8762" s="3"/>
      <c r="C8762" s="3" t="s">
        <v>25474</v>
      </c>
      <c r="D8762" s="3" t="s">
        <v>25475</v>
      </c>
      <c r="E8762" s="3" t="s">
        <v>25476</v>
      </c>
      <c r="F8762" s="3" t="str">
        <f>"3176357805"</f>
        <v>3176357805</v>
      </c>
      <c r="G8762" s="3">
        <v>453998</v>
      </c>
      <c r="H8762" s="3" t="s">
        <v>112</v>
      </c>
    </row>
    <row r="8763" spans="1:8" ht="90" x14ac:dyDescent="0.25">
      <c r="A8763" s="3" t="s">
        <v>25477</v>
      </c>
      <c r="B8763" s="3"/>
      <c r="C8763" s="3" t="str">
        <f>"Contract Manufacturer ; Electronic system integration, Cable assemblies, wire harnesses, electromechanical assembly, control / junction boxes, chassis assembly, injection molding; HUBZone, 8(a) Small Disadvantaged business, ISO 9001,&amp; TS 16949 Registered"</f>
        <v>Contract Manufacturer ; Electronic system integration, Cable assemblies, wire harnesses, electromechanical assembly, control / junction boxes, chassis assembly, injection molding; HUBZone, 8(a) Small Disadvantaged business, ISO 9001,&amp; TS 16949 Registered</v>
      </c>
      <c r="D8763" s="3" t="s">
        <v>25478</v>
      </c>
      <c r="E8763" s="3" t="s">
        <v>25479</v>
      </c>
      <c r="F8763" s="3" t="str">
        <f>"260 744-2261"</f>
        <v>260 744-2261</v>
      </c>
      <c r="G8763" s="3">
        <v>334419</v>
      </c>
      <c r="H8763" s="3" t="s">
        <v>7924</v>
      </c>
    </row>
    <row r="8764" spans="1:8" ht="115.5" x14ac:dyDescent="0.25">
      <c r="A8764" s="3" t="s">
        <v>25480</v>
      </c>
      <c r="B8764" s="3"/>
      <c r="C8764" s="3" t="s">
        <v>25481</v>
      </c>
      <c r="D8764" s="3" t="s">
        <v>25482</v>
      </c>
      <c r="E8764" s="3" t="s">
        <v>25483</v>
      </c>
      <c r="F8764" s="3" t="str">
        <f>"260-432-3601"</f>
        <v>260-432-3601</v>
      </c>
      <c r="G8764" s="3">
        <v>512110</v>
      </c>
      <c r="H8764" s="3" t="s">
        <v>406</v>
      </c>
    </row>
    <row r="8765" spans="1:8" ht="26.25" x14ac:dyDescent="0.25">
      <c r="A8765" s="3" t="s">
        <v>25484</v>
      </c>
      <c r="B8765" s="3"/>
      <c r="C8765" s="3" t="str">
        <f>"Studio, environmental,event, and wedding photographer, and graphic designer."</f>
        <v>Studio, environmental,event, and wedding photographer, and graphic designer.</v>
      </c>
      <c r="D8765" s="3" t="s">
        <v>25485</v>
      </c>
      <c r="E8765" s="3" t="s">
        <v>25486</v>
      </c>
      <c r="F8765" s="3" t="str">
        <f>"317-542-1660"</f>
        <v>317-542-1660</v>
      </c>
      <c r="G8765" s="3">
        <v>711510</v>
      </c>
      <c r="H8765" s="3" t="s">
        <v>1980</v>
      </c>
    </row>
    <row r="8766" spans="1:8" ht="102.75" x14ac:dyDescent="0.25">
      <c r="A8766" s="3" t="s">
        <v>25487</v>
      </c>
      <c r="B8766" s="3"/>
      <c r="C8766" s="3" t="s">
        <v>25488</v>
      </c>
      <c r="D8766" s="3" t="s">
        <v>9</v>
      </c>
      <c r="E8766" s="3" t="s">
        <v>25489</v>
      </c>
      <c r="F8766" s="3" t="str">
        <f>"317-585-0834"</f>
        <v>317-585-0834</v>
      </c>
      <c r="G8766" s="3">
        <v>54132</v>
      </c>
      <c r="H8766" s="3" t="s">
        <v>2241</v>
      </c>
    </row>
    <row r="8767" spans="1:8" ht="26.25" x14ac:dyDescent="0.25">
      <c r="A8767" s="3" t="s">
        <v>25490</v>
      </c>
      <c r="B8767" s="3"/>
      <c r="C8767" s="3" t="str">
        <f>"Full-service video production from script to edit. All formats available including HDV."</f>
        <v>Full-service video production from script to edit. All formats available including HDV.</v>
      </c>
      <c r="D8767" s="3" t="s">
        <v>25491</v>
      </c>
      <c r="E8767" s="3" t="s">
        <v>25492</v>
      </c>
      <c r="F8767" s="3" t="str">
        <f>"317-631-9460"</f>
        <v>317-631-9460</v>
      </c>
      <c r="G8767" s="3">
        <v>512110</v>
      </c>
      <c r="H8767" s="3" t="s">
        <v>406</v>
      </c>
    </row>
    <row r="8768" spans="1:8" ht="77.25" x14ac:dyDescent="0.25">
      <c r="A8768" s="3" t="s">
        <v>25493</v>
      </c>
      <c r="B8768" s="3"/>
      <c r="C8768" s="3" t="str">
        <f>"Sturtz Public Management Group, LLC provides a range of public administration and plannig services including: grant writing, grant administration, community planning, environmental review, and public facilitiation."</f>
        <v>Sturtz Public Management Group, LLC provides a range of public administration and plannig services including: grant writing, grant administration, community planning, environmental review, and public facilitiation.</v>
      </c>
      <c r="D8768" s="3" t="s">
        <v>9</v>
      </c>
      <c r="E8768" s="3" t="s">
        <v>21855</v>
      </c>
      <c r="F8768" s="3" t="str">
        <f>"(260) 493-1448"</f>
        <v>(260) 493-1448</v>
      </c>
      <c r="G8768" s="3">
        <v>92</v>
      </c>
      <c r="H8768" s="3" t="s">
        <v>3138</v>
      </c>
    </row>
    <row r="8769" spans="1:8" ht="51.75" x14ac:dyDescent="0.25">
      <c r="A8769" s="3" t="s">
        <v>25494</v>
      </c>
      <c r="B8769" s="3"/>
      <c r="C8769" s="3" t="str">
        <f>"Merchant wholesaler of exterior building materials: roofing materials, siding materials, accessories, shutters, windows and doors."</f>
        <v>Merchant wholesaler of exterior building materials: roofing materials, siding materials, accessories, shutters, windows and doors.</v>
      </c>
      <c r="D8769" s="3" t="s">
        <v>9</v>
      </c>
      <c r="E8769" s="3" t="s">
        <v>25495</v>
      </c>
      <c r="F8769" s="2"/>
      <c r="G8769" s="3">
        <v>423330</v>
      </c>
      <c r="H8769" s="3" t="s">
        <v>8531</v>
      </c>
    </row>
    <row r="8770" spans="1:8" ht="243" x14ac:dyDescent="0.25">
      <c r="A8770" s="3" t="s">
        <v>25496</v>
      </c>
      <c r="B8770" s="3"/>
      <c r="C8770" s="3" t="s">
        <v>25497</v>
      </c>
      <c r="D8770" s="3" t="s">
        <v>25498</v>
      </c>
      <c r="E8770" s="3" t="s">
        <v>25499</v>
      </c>
      <c r="F8770" s="3" t="str">
        <f>"856-488-6000"</f>
        <v>856-488-6000</v>
      </c>
      <c r="G8770" s="3">
        <v>423110</v>
      </c>
      <c r="H8770" s="3" t="s">
        <v>3324</v>
      </c>
    </row>
    <row r="8771" spans="1:8" ht="26.25" x14ac:dyDescent="0.25">
      <c r="A8771" s="3" t="s">
        <v>25500</v>
      </c>
      <c r="B8771" s="3"/>
      <c r="C8771" s="3" t="str">
        <f>"Signs and Sign Blanks manufacturing Pavement marking"</f>
        <v>Signs and Sign Blanks manufacturing Pavement marking</v>
      </c>
      <c r="D8771" s="3" t="s">
        <v>25501</v>
      </c>
      <c r="E8771" s="3" t="s">
        <v>25502</v>
      </c>
      <c r="F8771" s="3" t="str">
        <f>"(317) 259-8149"</f>
        <v>(317) 259-8149</v>
      </c>
      <c r="G8771" s="3">
        <v>2373</v>
      </c>
      <c r="H8771" s="3" t="s">
        <v>768</v>
      </c>
    </row>
    <row r="8772" spans="1:8" ht="128.25" x14ac:dyDescent="0.25">
      <c r="A8772" s="3" t="s">
        <v>25500</v>
      </c>
      <c r="B8772" s="3"/>
      <c r="C8772" s="3" t="s">
        <v>25503</v>
      </c>
      <c r="D8772" s="3" t="s">
        <v>25501</v>
      </c>
      <c r="E8772" s="3" t="s">
        <v>25502</v>
      </c>
      <c r="F8772" s="3" t="str">
        <f>"317-259-8149"</f>
        <v>317-259-8149</v>
      </c>
      <c r="G8772" s="3">
        <v>332999</v>
      </c>
      <c r="H8772" s="3" t="s">
        <v>9757</v>
      </c>
    </row>
    <row r="8773" spans="1:8" ht="64.5" x14ac:dyDescent="0.25">
      <c r="A8773" s="3" t="s">
        <v>25504</v>
      </c>
      <c r="B8773" s="3"/>
      <c r="C8773" s="3" t="str">
        <f>"GLASS AND GLAZING COMPANY THAT INSTALLS STOREFRONT, RESIDENTIAL WINDOWS AND SHOWERS AS WELL AS PURCHASES MADE OVER THE COUNTER FOR GLASS OR MIRROR."</f>
        <v>GLASS AND GLAZING COMPANY THAT INSTALLS STOREFRONT, RESIDENTIAL WINDOWS AND SHOWERS AS WELL AS PURCHASES MADE OVER THE COUNTER FOR GLASS OR MIRROR.</v>
      </c>
      <c r="D8773" s="3" t="s">
        <v>25505</v>
      </c>
      <c r="E8773" s="3" t="s">
        <v>25506</v>
      </c>
      <c r="F8773" s="3" t="str">
        <f>"317-535-5747"</f>
        <v>317-535-5747</v>
      </c>
      <c r="G8773" s="3">
        <v>238150</v>
      </c>
      <c r="H8773" s="3" t="s">
        <v>2530</v>
      </c>
    </row>
    <row r="8774" spans="1:8" ht="128.25" x14ac:dyDescent="0.25">
      <c r="A8774" s="3" t="s">
        <v>25507</v>
      </c>
      <c r="B8774" s="3"/>
      <c r="C8774" s="3" t="s">
        <v>25508</v>
      </c>
      <c r="D8774" s="3" t="s">
        <v>9</v>
      </c>
      <c r="E8774" s="3" t="s">
        <v>25509</v>
      </c>
      <c r="F8774" s="3" t="str">
        <f>"812-285-0233"</f>
        <v>812-285-0233</v>
      </c>
      <c r="G8774" s="3">
        <v>541350</v>
      </c>
      <c r="H8774" s="3" t="s">
        <v>1784</v>
      </c>
    </row>
    <row r="8775" spans="1:8" ht="39" x14ac:dyDescent="0.25">
      <c r="A8775" s="3" t="s">
        <v>25510</v>
      </c>
      <c r="B8775" s="3"/>
      <c r="C8775" s="3" t="str">
        <f>"Residential and Community Based Provider of Mental Health Services for youth and families."</f>
        <v>Residential and Community Based Provider of Mental Health Services for youth and families.</v>
      </c>
      <c r="D8775" s="3" t="s">
        <v>25511</v>
      </c>
      <c r="E8775" s="3" t="s">
        <v>25512</v>
      </c>
      <c r="F8775" s="3" t="str">
        <f>"317-630-5215"</f>
        <v>317-630-5215</v>
      </c>
      <c r="G8775" s="3">
        <v>623990</v>
      </c>
      <c r="H8775" s="3" t="s">
        <v>11066</v>
      </c>
    </row>
    <row r="8776" spans="1:8" ht="51.75" x14ac:dyDescent="0.25">
      <c r="A8776" s="3" t="s">
        <v>25513</v>
      </c>
      <c r="B8776" s="3"/>
      <c r="C8776" s="3" t="str">
        <f>"Success Express provides promotional products, awards and recognition, meeting planning services, and professional development training."</f>
        <v>Success Express provides promotional products, awards and recognition, meeting planning services, and professional development training.</v>
      </c>
      <c r="D8776" s="3" t="s">
        <v>25514</v>
      </c>
      <c r="E8776" s="3" t="s">
        <v>25515</v>
      </c>
      <c r="F8776" s="3" t="str">
        <f>"317-718-5910"</f>
        <v>317-718-5910</v>
      </c>
      <c r="G8776" s="3">
        <v>541890</v>
      </c>
      <c r="H8776" s="3" t="s">
        <v>401</v>
      </c>
    </row>
    <row r="8777" spans="1:8" ht="39" x14ac:dyDescent="0.25">
      <c r="A8777" s="3" t="s">
        <v>25516</v>
      </c>
      <c r="B8777" s="3"/>
      <c r="C8777" s="3" t="str">
        <f>"We are a federally accredited vocational school training men and women and placing them in jobs in Indiana."</f>
        <v>We are a federally accredited vocational school training men and women and placing them in jobs in Indiana.</v>
      </c>
      <c r="D8777" s="3" t="s">
        <v>25517</v>
      </c>
      <c r="E8777" s="3" t="s">
        <v>25518</v>
      </c>
      <c r="F8777" s="3" t="str">
        <f>"219 736 9999"</f>
        <v>219 736 9999</v>
      </c>
      <c r="G8777" s="3">
        <v>611511</v>
      </c>
      <c r="H8777" s="3" t="s">
        <v>16909</v>
      </c>
    </row>
    <row r="8778" spans="1:8" ht="179.25" x14ac:dyDescent="0.25">
      <c r="A8778" s="3" t="s">
        <v>25519</v>
      </c>
      <c r="B8778" s="3"/>
      <c r="C8778" s="3" t="s">
        <v>25520</v>
      </c>
      <c r="D8778" s="3" t="s">
        <v>25521</v>
      </c>
      <c r="E8778" s="3" t="s">
        <v>25522</v>
      </c>
      <c r="F8778" s="3" t="str">
        <f>"3178455017"</f>
        <v>3178455017</v>
      </c>
      <c r="G8778" s="3">
        <v>611430</v>
      </c>
      <c r="H8778" s="3" t="s">
        <v>1224</v>
      </c>
    </row>
    <row r="8779" spans="1:8" ht="115.5" x14ac:dyDescent="0.25">
      <c r="A8779" s="3" t="s">
        <v>25523</v>
      </c>
      <c r="B8779" s="3"/>
      <c r="C8779" s="3" t="s">
        <v>25524</v>
      </c>
      <c r="D8779" s="3" t="s">
        <v>25525</v>
      </c>
      <c r="E8779" s="3" t="s">
        <v>25526</v>
      </c>
      <c r="F8779" s="3" t="str">
        <f>"317-780-0703"</f>
        <v>317-780-0703</v>
      </c>
      <c r="G8779" s="3">
        <v>611710</v>
      </c>
      <c r="H8779" s="3" t="s">
        <v>508</v>
      </c>
    </row>
    <row r="8780" spans="1:8" ht="217.5" x14ac:dyDescent="0.25">
      <c r="A8780" s="3" t="s">
        <v>25527</v>
      </c>
      <c r="B8780" s="3"/>
      <c r="C8780" s="3" t="s">
        <v>25528</v>
      </c>
      <c r="D8780" s="3" t="s">
        <v>25529</v>
      </c>
      <c r="E8780" s="3" t="s">
        <v>25530</v>
      </c>
      <c r="F8780" s="3" t="str">
        <f>"2196807720"</f>
        <v>2196807720</v>
      </c>
      <c r="G8780" s="3">
        <v>611430</v>
      </c>
      <c r="H8780" s="3" t="s">
        <v>1224</v>
      </c>
    </row>
    <row r="8781" spans="1:8" ht="51.75" x14ac:dyDescent="0.25">
      <c r="A8781" s="3" t="s">
        <v>25531</v>
      </c>
      <c r="B8781" s="3"/>
      <c r="C8781" s="3" t="str">
        <f>"TLC's Restaurants and Inspiration Shop is a full service restaurant and a marketer of motivational retail products. We manage three locations in the Evansville area."</f>
        <v>TLC's Restaurants and Inspiration Shop is a full service restaurant and a marketer of motivational retail products. We manage three locations in the Evansville area.</v>
      </c>
      <c r="D8781" s="3" t="s">
        <v>25532</v>
      </c>
      <c r="E8781" s="3" t="s">
        <v>25533</v>
      </c>
      <c r="F8781" s="3" t="str">
        <f>"812-425-2335"</f>
        <v>812-425-2335</v>
      </c>
      <c r="G8781" s="3">
        <v>45</v>
      </c>
      <c r="H8781" s="3" t="s">
        <v>574</v>
      </c>
    </row>
    <row r="8782" spans="1:8" ht="39" x14ac:dyDescent="0.25">
      <c r="A8782" s="3" t="s">
        <v>25534</v>
      </c>
      <c r="B8782" s="3"/>
      <c r="C8782" s="3" t="str">
        <f>"Vehicle repair and refinishing of exterior and interior. Complete rebuilding of damaged vehicles."</f>
        <v>Vehicle repair and refinishing of exterior and interior. Complete rebuilding of damaged vehicles.</v>
      </c>
      <c r="D8782" s="3" t="s">
        <v>25535</v>
      </c>
      <c r="E8782" s="3" t="s">
        <v>25536</v>
      </c>
      <c r="F8782" s="3" t="str">
        <f>"812-849-3355"</f>
        <v>812-849-3355</v>
      </c>
      <c r="G8782" s="3">
        <v>811121</v>
      </c>
      <c r="H8782" s="3" t="s">
        <v>1432</v>
      </c>
    </row>
    <row r="8783" spans="1:8" ht="90" x14ac:dyDescent="0.25">
      <c r="A8783" s="3" t="s">
        <v>25537</v>
      </c>
      <c r="B8783" s="3"/>
      <c r="C8783" s="3" t="s">
        <v>25538</v>
      </c>
      <c r="D8783" s="3" t="s">
        <v>9</v>
      </c>
      <c r="E8783" s="3" t="s">
        <v>25539</v>
      </c>
      <c r="F8783" s="3" t="str">
        <f>"260.704.1919"</f>
        <v>260.704.1919</v>
      </c>
      <c r="G8783" s="3">
        <v>54141</v>
      </c>
      <c r="H8783" s="3" t="s">
        <v>687</v>
      </c>
    </row>
    <row r="8784" spans="1:8" ht="102.75" x14ac:dyDescent="0.25">
      <c r="A8784" s="3" t="s">
        <v>25540</v>
      </c>
      <c r="B8784" s="3"/>
      <c r="C8784" s="3" t="s">
        <v>25541</v>
      </c>
      <c r="D8784" s="3" t="s">
        <v>9</v>
      </c>
      <c r="E8784" s="3" t="s">
        <v>25539</v>
      </c>
      <c r="F8784" s="3" t="str">
        <f>"260.704.1919"</f>
        <v>260.704.1919</v>
      </c>
      <c r="G8784" s="3">
        <v>541410</v>
      </c>
      <c r="H8784" s="3" t="s">
        <v>687</v>
      </c>
    </row>
    <row r="8785" spans="1:8" ht="39" x14ac:dyDescent="0.25">
      <c r="A8785" s="3" t="s">
        <v>25542</v>
      </c>
      <c r="B8785" s="3"/>
      <c r="C8785" s="3" t="str">
        <f>"We are a Union Mechanical Contractor that specializes in Air Conditioning, HVAC, Plumbing Work."</f>
        <v>We are a Union Mechanical Contractor that specializes in Air Conditioning, HVAC, Plumbing Work.</v>
      </c>
      <c r="D8785" s="3" t="s">
        <v>25543</v>
      </c>
      <c r="E8785" s="3" t="s">
        <v>25544</v>
      </c>
      <c r="F8785" s="3" t="str">
        <f>"317-925-5341"</f>
        <v>317-925-5341</v>
      </c>
      <c r="G8785" s="3">
        <v>238220</v>
      </c>
      <c r="H8785" s="3" t="s">
        <v>348</v>
      </c>
    </row>
    <row r="8786" spans="1:8" ht="39" x14ac:dyDescent="0.25">
      <c r="A8786" s="3" t="s">
        <v>25545</v>
      </c>
      <c r="B8786" s="3"/>
      <c r="C8786" s="3" t="str">
        <f>"New and used car dealership also offering service, parts, and body shop as well as RV sales and rentals"</f>
        <v>New and used car dealership also offering service, parts, and body shop as well as RV sales and rentals</v>
      </c>
      <c r="D8786" s="3" t="s">
        <v>25546</v>
      </c>
      <c r="E8786" s="3" t="s">
        <v>25547</v>
      </c>
      <c r="F8786" s="3" t="str">
        <f>"812-268-4321"</f>
        <v>812-268-4321</v>
      </c>
      <c r="G8786" s="3">
        <v>441110</v>
      </c>
      <c r="H8786" s="3" t="s">
        <v>2588</v>
      </c>
    </row>
    <row r="8787" spans="1:8" ht="51.75" x14ac:dyDescent="0.25">
      <c r="A8787" s="3" t="s">
        <v>25548</v>
      </c>
      <c r="B8787" s="3"/>
      <c r="C8787" s="3" t="str">
        <f>"Light grading, bridges, traffic control sign installations, small structures, culverts and drainage items, surface masonry, traffic control pavement markings"</f>
        <v>Light grading, bridges, traffic control sign installations, small structures, culverts and drainage items, surface masonry, traffic control pavement markings</v>
      </c>
      <c r="D8787" s="3" t="s">
        <v>9</v>
      </c>
      <c r="E8787" s="3" t="s">
        <v>25549</v>
      </c>
      <c r="F8787" s="3" t="str">
        <f>"812-723-5640"</f>
        <v>812-723-5640</v>
      </c>
      <c r="G8787" s="3">
        <v>237310</v>
      </c>
      <c r="H8787" s="3" t="s">
        <v>768</v>
      </c>
    </row>
    <row r="8788" spans="1:8" ht="102.75" x14ac:dyDescent="0.25">
      <c r="A8788" s="3" t="s">
        <v>25550</v>
      </c>
      <c r="B8788" s="3"/>
      <c r="C8788" s="3" t="s">
        <v>25551</v>
      </c>
      <c r="D8788" s="3" t="s">
        <v>9</v>
      </c>
      <c r="E8788" s="3" t="s">
        <v>46</v>
      </c>
      <c r="F8788" s="3" t="str">
        <f>"812-268-6812"</f>
        <v>812-268-6812</v>
      </c>
      <c r="G8788" s="3">
        <v>541940</v>
      </c>
      <c r="H8788" s="3" t="s">
        <v>593</v>
      </c>
    </row>
    <row r="8789" spans="1:8" ht="51.75" x14ac:dyDescent="0.25">
      <c r="A8789" s="3" t="s">
        <v>25552</v>
      </c>
      <c r="B8789" s="3"/>
      <c r="C8789" s="3" t="str">
        <f>"SES, Inc. has been in business since 1995 designing and building custom equipment, testing systems, electrical controls, and software."</f>
        <v>SES, Inc. has been in business since 1995 designing and building custom equipment, testing systems, electrical controls, and software.</v>
      </c>
      <c r="D8789" s="3" t="s">
        <v>25553</v>
      </c>
      <c r="E8789" s="3" t="s">
        <v>25554</v>
      </c>
      <c r="F8789" s="3" t="str">
        <f>"812-294-1724"</f>
        <v>812-294-1724</v>
      </c>
      <c r="G8789" s="3">
        <v>3359</v>
      </c>
      <c r="H8789" s="3" t="s">
        <v>24225</v>
      </c>
    </row>
    <row r="8790" spans="1:8" ht="39" x14ac:dyDescent="0.25">
      <c r="A8790" s="3" t="s">
        <v>25555</v>
      </c>
      <c r="B8790" s="3"/>
      <c r="C8790" s="3" t="str">
        <f>"Promotional Apparel and Accessories, company on-line store development and administration"</f>
        <v>Promotional Apparel and Accessories, company on-line store development and administration</v>
      </c>
      <c r="D8790" s="3" t="s">
        <v>25556</v>
      </c>
      <c r="E8790" s="3" t="s">
        <v>25557</v>
      </c>
      <c r="F8790" s="3" t="str">
        <f>"574-773-2108"</f>
        <v>574-773-2108</v>
      </c>
      <c r="G8790" s="3">
        <v>31599</v>
      </c>
      <c r="H8790" s="3" t="s">
        <v>12581</v>
      </c>
    </row>
    <row r="8791" spans="1:8" ht="39" x14ac:dyDescent="0.25">
      <c r="A8791" s="3" t="s">
        <v>25558</v>
      </c>
      <c r="B8791" s="3"/>
      <c r="C8791" s="3" t="str">
        <f>"Lawn care services. Mowing, trimming, edging, blowing, hedge trimming, mulching, snow removal, clean up, and bush hogging."</f>
        <v>Lawn care services. Mowing, trimming, edging, blowing, hedge trimming, mulching, snow removal, clean up, and bush hogging.</v>
      </c>
      <c r="D8791" s="3" t="s">
        <v>9</v>
      </c>
      <c r="E8791" s="3" t="s">
        <v>25559</v>
      </c>
      <c r="F8791" s="3" t="str">
        <f>"8123718650"</f>
        <v>8123718650</v>
      </c>
      <c r="G8791" s="3">
        <v>561730</v>
      </c>
      <c r="H8791" s="3" t="s">
        <v>65</v>
      </c>
    </row>
    <row r="8792" spans="1:8" ht="39" x14ac:dyDescent="0.25">
      <c r="A8792" s="3" t="s">
        <v>25560</v>
      </c>
      <c r="B8792" s="3"/>
      <c r="C8792" s="3" t="str">
        <f>"Sell collision repair equipment to body shops. We also service what we sell and some other manufacturers products."</f>
        <v>Sell collision repair equipment to body shops. We also service what we sell and some other manufacturers products.</v>
      </c>
      <c r="D8792" s="3" t="s">
        <v>25561</v>
      </c>
      <c r="E8792" s="3" t="s">
        <v>25562</v>
      </c>
      <c r="F8792" s="3" t="str">
        <f>"317-718-1000"</f>
        <v>317-718-1000</v>
      </c>
      <c r="G8792" s="3">
        <v>4413</v>
      </c>
      <c r="H8792" s="3" t="s">
        <v>1210</v>
      </c>
    </row>
    <row r="8793" spans="1:8" ht="64.5" x14ac:dyDescent="0.25">
      <c r="A8793" s="3" t="s">
        <v>25563</v>
      </c>
      <c r="B8793" s="3"/>
      <c r="C8793" s="3" t="str">
        <f>"Website Development specializing in database driven web solutions, highly customized web design and application development, professional consulting services and support."</f>
        <v>Website Development specializing in database driven web solutions, highly customized web design and application development, professional consulting services and support.</v>
      </c>
      <c r="D8793" s="3" t="s">
        <v>25564</v>
      </c>
      <c r="E8793" s="3" t="s">
        <v>25565</v>
      </c>
      <c r="F8793" s="3" t="str">
        <f>"765-939-9301"</f>
        <v>765-939-9301</v>
      </c>
      <c r="G8793" s="3">
        <v>541519</v>
      </c>
      <c r="H8793" s="3" t="s">
        <v>898</v>
      </c>
    </row>
    <row r="8794" spans="1:8" ht="217.5" x14ac:dyDescent="0.25">
      <c r="A8794" s="3" t="s">
        <v>25566</v>
      </c>
      <c r="B8794" s="3"/>
      <c r="C8794" s="3" t="s">
        <v>25567</v>
      </c>
      <c r="D8794" s="3" t="s">
        <v>25568</v>
      </c>
      <c r="E8794" s="3" t="s">
        <v>25569</v>
      </c>
      <c r="F8794" s="3" t="str">
        <f>"7659392120"</f>
        <v>7659392120</v>
      </c>
      <c r="G8794" s="3">
        <v>3341</v>
      </c>
      <c r="H8794" s="3" t="s">
        <v>12409</v>
      </c>
    </row>
    <row r="8795" spans="1:8" ht="26.25" x14ac:dyDescent="0.25">
      <c r="A8795" s="3" t="s">
        <v>25570</v>
      </c>
      <c r="B8795" s="3"/>
      <c r="C8795" s="3" t="str">
        <f>"We contract with businesses to sell products or services to the government"</f>
        <v>We contract with businesses to sell products or services to the government</v>
      </c>
      <c r="D8795" s="3" t="s">
        <v>9</v>
      </c>
      <c r="E8795" s="3" t="s">
        <v>46</v>
      </c>
      <c r="F8795" s="2"/>
      <c r="G8795" s="3">
        <v>23</v>
      </c>
      <c r="H8795" s="3" t="s">
        <v>133</v>
      </c>
    </row>
    <row r="8796" spans="1:8" ht="26.25" x14ac:dyDescent="0.25">
      <c r="A8796" s="3" t="s">
        <v>25571</v>
      </c>
      <c r="B8796" s="3"/>
      <c r="C8796" s="3" t="str">
        <f>"Dine in or carry out restaurant"</f>
        <v>Dine in or carry out restaurant</v>
      </c>
      <c r="D8796" s="3" t="s">
        <v>9</v>
      </c>
      <c r="E8796" s="3" t="s">
        <v>25572</v>
      </c>
      <c r="F8796" s="3" t="str">
        <f>"260.441.7685"</f>
        <v>260.441.7685</v>
      </c>
      <c r="G8796" s="3">
        <v>722211</v>
      </c>
      <c r="H8796" s="3" t="s">
        <v>527</v>
      </c>
    </row>
    <row r="8797" spans="1:8" ht="51.75" x14ac:dyDescent="0.25">
      <c r="A8797" s="3" t="s">
        <v>25573</v>
      </c>
      <c r="B8797" s="3"/>
      <c r="C8797" s="3" t="str">
        <f>"Professional business and medical interpretation service covering Northeast Indiana. Available 24/7 either on site or by telephone."</f>
        <v>Professional business and medical interpretation service covering Northeast Indiana. Available 24/7 either on site or by telephone.</v>
      </c>
      <c r="D8797" s="3" t="s">
        <v>25574</v>
      </c>
      <c r="E8797" s="3" t="s">
        <v>25575</v>
      </c>
      <c r="F8797" s="3" t="str">
        <f>"260-399-3939"</f>
        <v>260-399-3939</v>
      </c>
      <c r="G8797" s="3">
        <v>541930</v>
      </c>
      <c r="H8797" s="3" t="s">
        <v>971</v>
      </c>
    </row>
    <row r="8798" spans="1:8" ht="268.5" x14ac:dyDescent="0.25">
      <c r="A8798" s="3" t="s">
        <v>25576</v>
      </c>
      <c r="B8798" s="3"/>
      <c r="C8798" s="3" t="s">
        <v>25577</v>
      </c>
      <c r="D8798" s="3" t="s">
        <v>25578</v>
      </c>
      <c r="E8798" s="3" t="s">
        <v>25579</v>
      </c>
      <c r="F8798" s="3" t="str">
        <f>"(317) 363-8312"</f>
        <v>(317) 363-8312</v>
      </c>
      <c r="G8798" s="3">
        <v>541990</v>
      </c>
      <c r="H8798" s="3" t="s">
        <v>378</v>
      </c>
    </row>
    <row r="8799" spans="1:8" ht="102.75" x14ac:dyDescent="0.25">
      <c r="A8799" s="3" t="s">
        <v>25580</v>
      </c>
      <c r="B8799" s="3"/>
      <c r="C8799" s="3" t="s">
        <v>25581</v>
      </c>
      <c r="D8799" s="3" t="s">
        <v>25582</v>
      </c>
      <c r="E8799" s="3" t="s">
        <v>25583</v>
      </c>
      <c r="F8799" s="3" t="str">
        <f>"317-713-2100"</f>
        <v>317-713-2100</v>
      </c>
      <c r="G8799" s="3">
        <v>531210</v>
      </c>
      <c r="H8799" s="3" t="s">
        <v>1101</v>
      </c>
    </row>
    <row r="8800" spans="1:8" ht="128.25" x14ac:dyDescent="0.25">
      <c r="A8800" s="3" t="s">
        <v>25584</v>
      </c>
      <c r="B8800" s="3"/>
      <c r="C8800" s="3" t="s">
        <v>25585</v>
      </c>
      <c r="D8800" s="3" t="s">
        <v>25586</v>
      </c>
      <c r="E8800" s="3" t="s">
        <v>25587</v>
      </c>
      <c r="F8800" s="3" t="str">
        <f>"1-877-672-5780"</f>
        <v>1-877-672-5780</v>
      </c>
      <c r="G8800" s="3">
        <v>221330</v>
      </c>
      <c r="H8800" s="3" t="s">
        <v>5198</v>
      </c>
    </row>
    <row r="8801" spans="1:8" ht="102.75" x14ac:dyDescent="0.25">
      <c r="A8801" s="3" t="s">
        <v>25588</v>
      </c>
      <c r="B8801" s="3"/>
      <c r="C8801" s="3" t="s">
        <v>25589</v>
      </c>
      <c r="D8801" s="3" t="s">
        <v>25590</v>
      </c>
      <c r="E8801" s="3" t="s">
        <v>25591</v>
      </c>
      <c r="F8801" s="3" t="str">
        <f>"317-496-0510"</f>
        <v>317-496-0510</v>
      </c>
      <c r="G8801" s="3">
        <v>541611</v>
      </c>
      <c r="H8801" s="3" t="s">
        <v>278</v>
      </c>
    </row>
    <row r="8802" spans="1:8" ht="179.25" x14ac:dyDescent="0.25">
      <c r="A8802" s="3" t="s">
        <v>25592</v>
      </c>
      <c r="B8802" s="3"/>
      <c r="C8802" s="3" t="s">
        <v>25593</v>
      </c>
      <c r="D8802" s="3" t="s">
        <v>25594</v>
      </c>
      <c r="E8802" s="3" t="s">
        <v>25595</v>
      </c>
      <c r="F8802" s="2"/>
      <c r="G8802" s="3">
        <v>423690</v>
      </c>
      <c r="H8802" s="3" t="s">
        <v>6724</v>
      </c>
    </row>
    <row r="8803" spans="1:8" ht="230.25" x14ac:dyDescent="0.25">
      <c r="A8803" s="3" t="s">
        <v>25596</v>
      </c>
      <c r="B8803" s="3"/>
      <c r="C8803" s="3" t="s">
        <v>25597</v>
      </c>
      <c r="D8803" s="3" t="s">
        <v>25598</v>
      </c>
      <c r="E8803" s="3" t="s">
        <v>25599</v>
      </c>
      <c r="F8803" s="3" t="str">
        <f>"219-558-2211"</f>
        <v>219-558-2211</v>
      </c>
      <c r="G8803" s="3">
        <v>31</v>
      </c>
      <c r="H8803" s="3" t="s">
        <v>999</v>
      </c>
    </row>
    <row r="8804" spans="1:8" ht="128.25" x14ac:dyDescent="0.25">
      <c r="A8804" s="3" t="s">
        <v>25600</v>
      </c>
      <c r="B8804" s="3"/>
      <c r="C8804" s="3" t="s">
        <v>25601</v>
      </c>
      <c r="D8804" s="3" t="s">
        <v>25602</v>
      </c>
      <c r="E8804" s="3" t="s">
        <v>25603</v>
      </c>
      <c r="F8804" s="3" t="str">
        <f>"317-831-3443"</f>
        <v>317-831-3443</v>
      </c>
      <c r="G8804" s="3">
        <v>236220</v>
      </c>
      <c r="H8804" s="3" t="s">
        <v>598</v>
      </c>
    </row>
    <row r="8805" spans="1:8" ht="77.25" x14ac:dyDescent="0.25">
      <c r="A8805" s="3" t="s">
        <v>25604</v>
      </c>
      <c r="B8805" s="3"/>
      <c r="C8805" s="3" t="str">
        <f>"Distributor of alternative energy solutions-GREEN! Sunny Acres Ent LLC dba Sunny Acres Towing provides towing, light duty service trucks for fuel delivery, lock outs, and tire changes along with jump start and battery delivery service."</f>
        <v>Distributor of alternative energy solutions-GREEN! Sunny Acres Ent LLC dba Sunny Acres Towing provides towing, light duty service trucks for fuel delivery, lock outs, and tire changes along with jump start and battery delivery service.</v>
      </c>
      <c r="D8805" s="3" t="s">
        <v>9</v>
      </c>
      <c r="E8805" s="3" t="s">
        <v>46</v>
      </c>
      <c r="F8805" s="3" t="str">
        <f>"812 9239920"</f>
        <v>812 9239920</v>
      </c>
      <c r="G8805" s="3">
        <v>454390</v>
      </c>
      <c r="H8805" s="3" t="s">
        <v>1348</v>
      </c>
    </row>
    <row r="8806" spans="1:8" ht="102.75" x14ac:dyDescent="0.25">
      <c r="A8806" s="3" t="s">
        <v>25605</v>
      </c>
      <c r="B8806" s="3"/>
      <c r="C8806" s="3" t="s">
        <v>25606</v>
      </c>
      <c r="D8806" s="3" t="s">
        <v>25607</v>
      </c>
      <c r="E8806" s="3" t="s">
        <v>46</v>
      </c>
      <c r="F8806" s="3" t="str">
        <f>"812-299-2800"</f>
        <v>812-299-2800</v>
      </c>
      <c r="G8806" s="3">
        <v>21211</v>
      </c>
      <c r="H8806" s="3" t="s">
        <v>25608</v>
      </c>
    </row>
    <row r="8807" spans="1:8" ht="39" x14ac:dyDescent="0.25">
      <c r="A8807" s="3" t="s">
        <v>25609</v>
      </c>
      <c r="B8807" s="3"/>
      <c r="C8807" s="3" t="str">
        <f>"Grounds maintenance solutions. Lawn and landscape maintenance. Snow and leaf removal. Roof and gutter debris removal."</f>
        <v>Grounds maintenance solutions. Lawn and landscape maintenance. Snow and leaf removal. Roof and gutter debris removal.</v>
      </c>
      <c r="D8807" s="3" t="s">
        <v>9</v>
      </c>
      <c r="E8807" s="3" t="s">
        <v>46</v>
      </c>
      <c r="F8807" s="3" t="str">
        <f>"812-238-9931"</f>
        <v>812-238-9931</v>
      </c>
      <c r="G8807" s="3">
        <v>56173</v>
      </c>
      <c r="H8807" s="3" t="s">
        <v>65</v>
      </c>
    </row>
    <row r="8808" spans="1:8" ht="51.75" x14ac:dyDescent="0.25">
      <c r="A8808" s="3" t="s">
        <v>25610</v>
      </c>
      <c r="B8808" s="3"/>
      <c r="C8808" s="3" t="str">
        <f>"A home childcare facility with the ability to care for children and adults with physical and/or mental disabilities. Hours are flexible, short-term and long-term."</f>
        <v>A home childcare facility with the ability to care for children and adults with physical and/or mental disabilities. Hours are flexible, short-term and long-term.</v>
      </c>
      <c r="D8808" s="3" t="s">
        <v>9</v>
      </c>
      <c r="E8808" s="3" t="s">
        <v>25611</v>
      </c>
      <c r="F8808" s="3" t="str">
        <f>"317-543-2582"</f>
        <v>317-543-2582</v>
      </c>
      <c r="G8808" s="3">
        <v>624410</v>
      </c>
      <c r="H8808" s="3" t="s">
        <v>456</v>
      </c>
    </row>
    <row r="8809" spans="1:8" ht="39" x14ac:dyDescent="0.25">
      <c r="A8809" s="3" t="s">
        <v>25612</v>
      </c>
      <c r="B8809" s="3"/>
      <c r="C8809" s="3" t="str">
        <f>"Commercial Janitorial Cleaning Service - Including but not limited to Office Buildings and Medical Facilities."</f>
        <v>Commercial Janitorial Cleaning Service - Including but not limited to Office Buildings and Medical Facilities.</v>
      </c>
      <c r="D8809" s="3" t="s">
        <v>25613</v>
      </c>
      <c r="E8809" s="3" t="s">
        <v>25614</v>
      </c>
      <c r="F8809" s="3" t="str">
        <f>"317-632-5737"</f>
        <v>317-632-5737</v>
      </c>
      <c r="G8809" s="3">
        <v>561720</v>
      </c>
      <c r="H8809" s="3" t="s">
        <v>222</v>
      </c>
    </row>
    <row r="8810" spans="1:8" ht="26.25" x14ac:dyDescent="0.25">
      <c r="A8810" s="3" t="s">
        <v>25615</v>
      </c>
      <c r="B8810" s="3"/>
      <c r="C8810" s="3" t="str">
        <f>"wholesale and retail restaurant and janitorial supply"</f>
        <v>wholesale and retail restaurant and janitorial supply</v>
      </c>
      <c r="D8810" s="3" t="s">
        <v>25616</v>
      </c>
      <c r="E8810" s="3" t="s">
        <v>25617</v>
      </c>
      <c r="F8810" s="3" t="str">
        <f>"219-853-9900"</f>
        <v>219-853-9900</v>
      </c>
      <c r="G8810" s="3">
        <v>4221</v>
      </c>
      <c r="H8810" s="3" t="s">
        <v>21523</v>
      </c>
    </row>
    <row r="8811" spans="1:8" ht="26.25" x14ac:dyDescent="0.25">
      <c r="A8811" s="3" t="s">
        <v>25618</v>
      </c>
      <c r="B8811" s="3"/>
      <c r="C8811" s="3" t="str">
        <f>" "</f>
        <v xml:space="preserve"> </v>
      </c>
      <c r="D8811" s="3" t="s">
        <v>25619</v>
      </c>
      <c r="E8811" s="3" t="s">
        <v>25620</v>
      </c>
      <c r="F8811" s="3" t="str">
        <f>"3177706564"</f>
        <v>3177706564</v>
      </c>
      <c r="G8811" s="3">
        <v>541519</v>
      </c>
      <c r="H8811" s="3" t="s">
        <v>898</v>
      </c>
    </row>
    <row r="8812" spans="1:8" ht="26.25" x14ac:dyDescent="0.25">
      <c r="A8812" s="3" t="s">
        <v>25621</v>
      </c>
      <c r="B8812" s="3"/>
      <c r="C8812" s="3" t="str">
        <f>"IT Staffing Computers software programmer analyst"</f>
        <v>IT Staffing Computers software programmer analyst</v>
      </c>
      <c r="D8812" s="3" t="s">
        <v>25619</v>
      </c>
      <c r="E8812" s="3" t="s">
        <v>25620</v>
      </c>
      <c r="F8812" s="3" t="str">
        <f>"3177706564"</f>
        <v>3177706564</v>
      </c>
      <c r="G8812" s="3">
        <v>5415</v>
      </c>
      <c r="H8812" s="3" t="s">
        <v>188</v>
      </c>
    </row>
    <row r="8813" spans="1:8" ht="166.5" x14ac:dyDescent="0.25">
      <c r="A8813" s="3" t="s">
        <v>25622</v>
      </c>
      <c r="B8813" s="3"/>
      <c r="C8813" s="3" t="s">
        <v>25623</v>
      </c>
      <c r="D8813" s="3" t="s">
        <v>25624</v>
      </c>
      <c r="E8813" s="3" t="s">
        <v>25625</v>
      </c>
      <c r="F8813" s="3" t="str">
        <f>"260-918-1964"</f>
        <v>260-918-1964</v>
      </c>
      <c r="G8813" s="3">
        <v>238390</v>
      </c>
      <c r="H8813" s="3" t="s">
        <v>2109</v>
      </c>
    </row>
    <row r="8814" spans="1:8" ht="64.5" x14ac:dyDescent="0.25">
      <c r="A8814" s="3" t="s">
        <v>25626</v>
      </c>
      <c r="B8814" s="3"/>
      <c r="C8814" s="3" t="str">
        <f>"Commercial telephone equipment, IP telephony, voice processing systems, low voltage wiring, local and wide area networks, peripheral voice and data equipment."</f>
        <v>Commercial telephone equipment, IP telephony, voice processing systems, low voltage wiring, local and wide area networks, peripheral voice and data equipment.</v>
      </c>
      <c r="D8814" s="3" t="s">
        <v>25627</v>
      </c>
      <c r="E8814" s="3" t="s">
        <v>25628</v>
      </c>
      <c r="F8814" s="3" t="str">
        <f>"219-661-1662"</f>
        <v>219-661-1662</v>
      </c>
      <c r="G8814" s="3">
        <v>238210</v>
      </c>
      <c r="H8814" s="3" t="s">
        <v>306</v>
      </c>
    </row>
    <row r="8815" spans="1:8" ht="26.25" x14ac:dyDescent="0.25">
      <c r="A8815" s="3" t="s">
        <v>25629</v>
      </c>
      <c r="B8815" s="3"/>
      <c r="C8815" s="3" t="str">
        <f>"Farm Supplies, Grain Marketing, and Petroleum."</f>
        <v>Farm Supplies, Grain Marketing, and Petroleum.</v>
      </c>
      <c r="D8815" s="3" t="s">
        <v>25630</v>
      </c>
      <c r="E8815" s="3" t="s">
        <v>46</v>
      </c>
      <c r="F8815" s="3" t="str">
        <f>"812-683-2809"</f>
        <v>812-683-2809</v>
      </c>
      <c r="G8815" s="3">
        <v>11</v>
      </c>
      <c r="H8815" s="3" t="s">
        <v>175</v>
      </c>
    </row>
    <row r="8816" spans="1:8" ht="102.75" x14ac:dyDescent="0.25">
      <c r="A8816" s="3" t="s">
        <v>25631</v>
      </c>
      <c r="B8816" s="3"/>
      <c r="C8816" s="3" t="s">
        <v>25632</v>
      </c>
      <c r="D8816" s="3" t="s">
        <v>25633</v>
      </c>
      <c r="E8816" s="3" t="s">
        <v>25634</v>
      </c>
      <c r="F8816" s="3" t="str">
        <f>"260.482.2956"</f>
        <v>260.482.2956</v>
      </c>
      <c r="G8816" s="3">
        <v>81112</v>
      </c>
      <c r="H8816" s="3" t="s">
        <v>3041</v>
      </c>
    </row>
    <row r="8817" spans="1:8" ht="26.25" x14ac:dyDescent="0.25">
      <c r="A8817" s="3" t="s">
        <v>25635</v>
      </c>
      <c r="B8817" s="3"/>
      <c r="C8817" s="3" t="str">
        <f>"General Contractor"</f>
        <v>General Contractor</v>
      </c>
      <c r="D8817" s="3" t="s">
        <v>9</v>
      </c>
      <c r="E8817" s="3" t="s">
        <v>46</v>
      </c>
      <c r="F8817" s="3" t="str">
        <f>"219-886-3728"</f>
        <v>219-886-3728</v>
      </c>
      <c r="G8817" s="3">
        <v>237310</v>
      </c>
      <c r="H8817" s="3" t="s">
        <v>768</v>
      </c>
    </row>
    <row r="8818" spans="1:8" ht="153.75" x14ac:dyDescent="0.25">
      <c r="A8818" s="3" t="s">
        <v>25636</v>
      </c>
      <c r="B8818" s="3"/>
      <c r="C8818" s="3" t="s">
        <v>25637</v>
      </c>
      <c r="D8818" s="3" t="s">
        <v>25638</v>
      </c>
      <c r="E8818" s="3" t="s">
        <v>25639</v>
      </c>
      <c r="F8818" s="3" t="str">
        <f>"317.918.3142"</f>
        <v>317.918.3142</v>
      </c>
      <c r="G8818" s="3">
        <v>561720</v>
      </c>
      <c r="H8818" s="3" t="s">
        <v>222</v>
      </c>
    </row>
    <row r="8819" spans="1:8" ht="26.25" x14ac:dyDescent="0.25">
      <c r="A8819" s="3" t="s">
        <v>25640</v>
      </c>
      <c r="B8819" s="3"/>
      <c r="C8819" s="3" t="str">
        <f>" "</f>
        <v xml:space="preserve"> </v>
      </c>
      <c r="D8819" s="3" t="s">
        <v>25641</v>
      </c>
      <c r="E8819" s="3" t="s">
        <v>25642</v>
      </c>
      <c r="F8819" s="3" t="str">
        <f>"773-685-3503"</f>
        <v>773-685-3503</v>
      </c>
      <c r="G8819" s="3">
        <v>541330</v>
      </c>
      <c r="H8819" s="3" t="s">
        <v>82</v>
      </c>
    </row>
    <row r="8820" spans="1:8" ht="39" x14ac:dyDescent="0.25">
      <c r="A8820" s="3" t="s">
        <v>25643</v>
      </c>
      <c r="B8820" s="3"/>
      <c r="C8820" s="3" t="str">
        <f>"We provide temporary labor to manufacturing, construction, and trucking industry."</f>
        <v>We provide temporary labor to manufacturing, construction, and trucking industry.</v>
      </c>
      <c r="D8820" s="3" t="s">
        <v>9</v>
      </c>
      <c r="E8820" s="3" t="s">
        <v>25644</v>
      </c>
      <c r="F8820" s="3" t="str">
        <f>"317 895-2708"</f>
        <v>317 895-2708</v>
      </c>
      <c r="G8820" s="3">
        <v>561320</v>
      </c>
      <c r="H8820" s="3" t="s">
        <v>15</v>
      </c>
    </row>
    <row r="8821" spans="1:8" ht="26.25" x14ac:dyDescent="0.25">
      <c r="A8821" s="3" t="s">
        <v>25645</v>
      </c>
      <c r="B8821" s="3"/>
      <c r="C8821" s="3" t="str">
        <f>"Environmental investigation, geophysical survey, remediation design and installation"</f>
        <v>Environmental investigation, geophysical survey, remediation design and installation</v>
      </c>
      <c r="D8821" s="3" t="s">
        <v>25646</v>
      </c>
      <c r="E8821" s="3" t="s">
        <v>25647</v>
      </c>
      <c r="F8821" s="3" t="str">
        <f>"574-256-1490"</f>
        <v>574-256-1490</v>
      </c>
      <c r="G8821" s="3">
        <v>54136</v>
      </c>
      <c r="H8821" s="3" t="s">
        <v>165</v>
      </c>
    </row>
    <row r="8822" spans="1:8" ht="26.25" x14ac:dyDescent="0.25">
      <c r="A8822" s="3" t="s">
        <v>25648</v>
      </c>
      <c r="B8822" s="3"/>
      <c r="C8822" s="3" t="str">
        <f>"Clean commercial kitchen grease exhaust systems to NFPA standards."</f>
        <v>Clean commercial kitchen grease exhaust systems to NFPA standards.</v>
      </c>
      <c r="D8822" s="3" t="s">
        <v>9</v>
      </c>
      <c r="E8822" s="3" t="s">
        <v>46</v>
      </c>
      <c r="F8822" s="3" t="str">
        <f>"800-608-1540"</f>
        <v>800-608-1540</v>
      </c>
      <c r="G8822" s="3">
        <v>56172</v>
      </c>
      <c r="H8822" s="3" t="s">
        <v>222</v>
      </c>
    </row>
    <row r="8823" spans="1:8" ht="26.25" x14ac:dyDescent="0.25">
      <c r="A8823" s="3" t="s">
        <v>25649</v>
      </c>
      <c r="B8823" s="3"/>
      <c r="C8823" s="3" t="str">
        <f>"insulation installer - cellulose, foam"</f>
        <v>insulation installer - cellulose, foam</v>
      </c>
      <c r="D8823" s="3" t="s">
        <v>9</v>
      </c>
      <c r="E8823" s="3" t="s">
        <v>25650</v>
      </c>
      <c r="F8823" s="3" t="str">
        <f>"812-367-1200"</f>
        <v>812-367-1200</v>
      </c>
      <c r="G8823" s="3">
        <v>238310</v>
      </c>
      <c r="H8823" s="3" t="s">
        <v>2526</v>
      </c>
    </row>
    <row r="8824" spans="1:8" x14ac:dyDescent="0.25">
      <c r="A8824" s="3" t="s">
        <v>25651</v>
      </c>
      <c r="B8824" s="3"/>
      <c r="C8824" s="3" t="str">
        <f>" "</f>
        <v xml:space="preserve"> </v>
      </c>
      <c r="D8824" s="3" t="s">
        <v>9</v>
      </c>
      <c r="E8824" s="3" t="s">
        <v>46</v>
      </c>
      <c r="F8824" s="2"/>
      <c r="G8824" s="3">
        <v>561720</v>
      </c>
      <c r="H8824" s="3" t="s">
        <v>222</v>
      </c>
    </row>
    <row r="8825" spans="1:8" ht="268.5" x14ac:dyDescent="0.25">
      <c r="A8825" s="3" t="s">
        <v>25652</v>
      </c>
      <c r="B8825" s="3"/>
      <c r="C8825" s="3" t="s">
        <v>25653</v>
      </c>
      <c r="D8825" s="3" t="s">
        <v>25654</v>
      </c>
      <c r="E8825" s="3" t="s">
        <v>25655</v>
      </c>
      <c r="F8825" s="3" t="str">
        <f>"(260) 456-3596"</f>
        <v>(260) 456-3596</v>
      </c>
      <c r="G8825" s="3">
        <v>3399</v>
      </c>
      <c r="H8825" s="3" t="s">
        <v>2236</v>
      </c>
    </row>
    <row r="8826" spans="1:8" ht="39" x14ac:dyDescent="0.25">
      <c r="A8826" s="3" t="s">
        <v>25656</v>
      </c>
      <c r="B8826" s="3"/>
      <c r="C8826" s="3" t="str">
        <f>"We are a dry-land marina with sales and service on boat and outboard motors. We operate an outside storage facility."</f>
        <v>We are a dry-land marina with sales and service on boat and outboard motors. We operate an outside storage facility.</v>
      </c>
      <c r="D8826" s="3" t="s">
        <v>25657</v>
      </c>
      <c r="E8826" s="3" t="s">
        <v>25658</v>
      </c>
      <c r="F8826" s="3" t="str">
        <f>"219-879-5636"</f>
        <v>219-879-5636</v>
      </c>
      <c r="G8826" s="3">
        <v>324110</v>
      </c>
      <c r="H8826" s="3" t="s">
        <v>24282</v>
      </c>
    </row>
    <row r="8827" spans="1:8" ht="64.5" x14ac:dyDescent="0.25">
      <c r="A8827" s="3" t="s">
        <v>25659</v>
      </c>
      <c r="B8827" s="3"/>
      <c r="C8827" s="3" t="str">
        <f>"Superior Mattress is a manufacturer and wholesaler of mattresses and boxsprings in Evansville, IN. They manufacture a full line of mattresses and will custom build to match any specs needed."</f>
        <v>Superior Mattress is a manufacturer and wholesaler of mattresses and boxsprings in Evansville, IN. They manufacture a full line of mattresses and will custom build to match any specs needed.</v>
      </c>
      <c r="D8827" s="3" t="s">
        <v>25660</v>
      </c>
      <c r="E8827" s="3" t="s">
        <v>25661</v>
      </c>
      <c r="F8827" s="3" t="str">
        <f>"812-422-5761"</f>
        <v>812-422-5761</v>
      </c>
      <c r="G8827" s="3">
        <v>337910</v>
      </c>
      <c r="H8827" s="3" t="s">
        <v>12853</v>
      </c>
    </row>
    <row r="8828" spans="1:8" ht="39" x14ac:dyDescent="0.25">
      <c r="A8828" s="3" t="s">
        <v>25662</v>
      </c>
      <c r="B8828" s="3"/>
      <c r="C8828" s="3" t="str">
        <f>"Wholesale distribution of solvents, chemicals, and fiberglass raw materials with nine locations throughout the midwest."</f>
        <v>Wholesale distribution of solvents, chemicals, and fiberglass raw materials with nine locations throughout the midwest.</v>
      </c>
      <c r="D8828" s="3" t="s">
        <v>25663</v>
      </c>
      <c r="E8828" s="3" t="s">
        <v>25664</v>
      </c>
      <c r="F8828" s="3" t="str">
        <f>"317-781-4401"</f>
        <v>317-781-4401</v>
      </c>
      <c r="G8828" s="3">
        <v>421</v>
      </c>
      <c r="H8828" s="3" t="s">
        <v>3013</v>
      </c>
    </row>
    <row r="8829" spans="1:8" ht="39" x14ac:dyDescent="0.25">
      <c r="A8829" s="3" t="s">
        <v>25665</v>
      </c>
      <c r="B8829" s="3"/>
      <c r="C8829" s="3" t="str">
        <f>"Gas, Fuel, Exxon-Mobil Lubricants, and Chemicals (Anti-freeze)."</f>
        <v>Gas, Fuel, Exxon-Mobil Lubricants, and Chemicals (Anti-freeze).</v>
      </c>
      <c r="D8829" s="3" t="s">
        <v>25666</v>
      </c>
      <c r="E8829" s="3" t="s">
        <v>25667</v>
      </c>
      <c r="F8829" s="3" t="str">
        <f>"219-663-0330"</f>
        <v>219-663-0330</v>
      </c>
      <c r="G8829" s="3">
        <v>424720</v>
      </c>
      <c r="H8829" s="3" t="s">
        <v>6992</v>
      </c>
    </row>
    <row r="8830" spans="1:8" ht="51.75" x14ac:dyDescent="0.25">
      <c r="A8830" s="3" t="s">
        <v>25668</v>
      </c>
      <c r="B8830" s="3"/>
      <c r="C8830" s="3" t="str">
        <f>"We are an Indianapolis company providing the entire state with real estate closing services. We are mobile e-notaries with laptops, scanners, laser printers."</f>
        <v>We are an Indianapolis company providing the entire state with real estate closing services. We are mobile e-notaries with laptops, scanners, laser printers.</v>
      </c>
      <c r="D8830" s="3" t="s">
        <v>25669</v>
      </c>
      <c r="E8830" s="3" t="s">
        <v>25670</v>
      </c>
      <c r="F8830" s="3" t="str">
        <f>"866-902-0580"</f>
        <v>866-902-0580</v>
      </c>
      <c r="G8830" s="3">
        <v>531390</v>
      </c>
      <c r="H8830" s="3" t="s">
        <v>623</v>
      </c>
    </row>
    <row r="8831" spans="1:8" ht="90" x14ac:dyDescent="0.25">
      <c r="A8831" s="3" t="s">
        <v>25671</v>
      </c>
      <c r="B8831" s="3"/>
      <c r="C8831" s="3" t="s">
        <v>25672</v>
      </c>
      <c r="D8831" s="3" t="s">
        <v>25633</v>
      </c>
      <c r="E8831" s="3" t="s">
        <v>25634</v>
      </c>
      <c r="F8831" s="3" t="str">
        <f>"260.705.5222"</f>
        <v>260.705.5222</v>
      </c>
      <c r="G8831" s="3">
        <v>811</v>
      </c>
      <c r="H8831" s="3" t="s">
        <v>816</v>
      </c>
    </row>
    <row r="8832" spans="1:8" ht="306.75" x14ac:dyDescent="0.25">
      <c r="A8832" s="3" t="s">
        <v>25673</v>
      </c>
      <c r="B8832" s="3"/>
      <c r="C8832" s="3" t="s">
        <v>25674</v>
      </c>
      <c r="D8832" s="3" t="s">
        <v>25675</v>
      </c>
      <c r="E8832" s="3" t="s">
        <v>25676</v>
      </c>
      <c r="F8832" s="3" t="str">
        <f>"574-264-4310"</f>
        <v>574-264-4310</v>
      </c>
      <c r="G8832" s="3">
        <v>423450</v>
      </c>
      <c r="H8832" s="3" t="s">
        <v>1406</v>
      </c>
    </row>
    <row r="8833" spans="1:8" ht="77.25" x14ac:dyDescent="0.25">
      <c r="A8833" s="3" t="s">
        <v>25677</v>
      </c>
      <c r="B8833" s="3"/>
      <c r="C8833" s="3" t="str">
        <f>"Supplier of janitorial and fleet repair shop supplies such as toilet paper, hand towels, trashbags, cleaning chemicals, fuses, miniature bulbs, hose clamps, nitrile and latex gloves, masking tape, brake clean, and other shop chemicals."</f>
        <v>Supplier of janitorial and fleet repair shop supplies such as toilet paper, hand towels, trashbags, cleaning chemicals, fuses, miniature bulbs, hose clamps, nitrile and latex gloves, masking tape, brake clean, and other shop chemicals.</v>
      </c>
      <c r="D8833" s="3" t="s">
        <v>25678</v>
      </c>
      <c r="E8833" s="3" t="s">
        <v>25679</v>
      </c>
      <c r="F8833" s="3" t="str">
        <f>"317-686-5165"</f>
        <v>317-686-5165</v>
      </c>
      <c r="G8833" s="3">
        <v>454390</v>
      </c>
      <c r="H8833" s="3" t="s">
        <v>1348</v>
      </c>
    </row>
    <row r="8834" spans="1:8" ht="26.25" x14ac:dyDescent="0.25">
      <c r="A8834" s="3" t="s">
        <v>25680</v>
      </c>
      <c r="B8834" s="3"/>
      <c r="C8834" s="3" t="str">
        <f>"We are a manufacturer of truck bodies and motorhomes"</f>
        <v>We are a manufacturer of truck bodies and motorhomes</v>
      </c>
      <c r="D8834" s="3" t="s">
        <v>25681</v>
      </c>
      <c r="E8834" s="3" t="s">
        <v>25682</v>
      </c>
      <c r="F8834" s="3" t="str">
        <f>"800-527-3103"</f>
        <v>800-527-3103</v>
      </c>
      <c r="G8834" s="3">
        <v>336999</v>
      </c>
      <c r="H8834" s="3" t="s">
        <v>5365</v>
      </c>
    </row>
    <row r="8835" spans="1:8" ht="51.75" x14ac:dyDescent="0.25">
      <c r="A8835" s="3" t="s">
        <v>25683</v>
      </c>
      <c r="B8835" s="3"/>
      <c r="C8835" s="3" t="str">
        <f>"Manufacture truck bodies, buses, armored &amp; specialty vehicles, motor homes &amp; toter homes. Providing parts and service for said truck bodies, busses, etc."</f>
        <v>Manufacture truck bodies, buses, armored &amp; specialty vehicles, motor homes &amp; toter homes. Providing parts and service for said truck bodies, busses, etc.</v>
      </c>
      <c r="D8835" s="3" t="s">
        <v>25681</v>
      </c>
      <c r="E8835" s="3" t="s">
        <v>25684</v>
      </c>
      <c r="F8835" s="3" t="str">
        <f>"574-642-4888"</f>
        <v>574-642-4888</v>
      </c>
      <c r="G8835" s="3">
        <v>3329</v>
      </c>
      <c r="H8835" s="3" t="s">
        <v>6800</v>
      </c>
    </row>
    <row r="8836" spans="1:8" ht="51.75" x14ac:dyDescent="0.25">
      <c r="A8836" s="3" t="s">
        <v>25685</v>
      </c>
      <c r="B8836" s="3"/>
      <c r="C8836" s="3" t="str">
        <f>"Full service mechanical contractor. HVAC/R, Restaurant Equipment Service, Commercial/Industrial Laundry service. Heating, Cooling, Refrigeration."</f>
        <v>Full service mechanical contractor. HVAC/R, Restaurant Equipment Service, Commercial/Industrial Laundry service. Heating, Cooling, Refrigeration.</v>
      </c>
      <c r="D8836" s="3" t="s">
        <v>25686</v>
      </c>
      <c r="E8836" s="3" t="s">
        <v>25687</v>
      </c>
      <c r="F8836" s="3" t="str">
        <f>"574-287-2773"</f>
        <v>574-287-2773</v>
      </c>
      <c r="G8836" s="3">
        <v>238220</v>
      </c>
      <c r="H8836" s="3" t="s">
        <v>348</v>
      </c>
    </row>
    <row r="8837" spans="1:8" ht="39" x14ac:dyDescent="0.25">
      <c r="A8837" s="3" t="s">
        <v>25688</v>
      </c>
      <c r="B8837" s="3"/>
      <c r="C8837" s="3" t="str">
        <f>"Delivery of lubricants, oils, greases and other petroleum products such as diesel fuel and gasoline."</f>
        <v>Delivery of lubricants, oils, greases and other petroleum products such as diesel fuel and gasoline.</v>
      </c>
      <c r="D8837" s="3" t="s">
        <v>25689</v>
      </c>
      <c r="E8837" s="3" t="s">
        <v>25690</v>
      </c>
      <c r="F8837" s="3" t="str">
        <f>"800.729.5266"</f>
        <v>800.729.5266</v>
      </c>
      <c r="G8837" s="3">
        <v>324110</v>
      </c>
      <c r="H8837" s="3" t="s">
        <v>24282</v>
      </c>
    </row>
    <row r="8838" spans="1:8" ht="64.5" x14ac:dyDescent="0.25">
      <c r="A8838" s="3" t="s">
        <v>25691</v>
      </c>
      <c r="B8838" s="3"/>
      <c r="C8838" s="3" t="str">
        <f>"Real Estate and Insurance office with experience in single &amp; multi-famiy housing, commercial, retail, industrial, and farm sales serving Madison and surrounding counties."</f>
        <v>Real Estate and Insurance office with experience in single &amp; multi-famiy housing, commercial, retail, industrial, and farm sales serving Madison and surrounding counties.</v>
      </c>
      <c r="D8838" s="3" t="s">
        <v>25692</v>
      </c>
      <c r="E8838" s="3" t="s">
        <v>25693</v>
      </c>
      <c r="F8838" s="3" t="str">
        <f>"765-644-2803"</f>
        <v>765-644-2803</v>
      </c>
      <c r="G8838" s="3">
        <v>531210</v>
      </c>
      <c r="H8838" s="3" t="s">
        <v>1101</v>
      </c>
    </row>
    <row r="8839" spans="1:8" ht="51.75" x14ac:dyDescent="0.25">
      <c r="A8839" s="3" t="s">
        <v>25694</v>
      </c>
      <c r="B8839" s="3"/>
      <c r="C8839" s="3" t="str">
        <f>"Sure Cut Lawn Services LLC is a fast growing and competitive lawn maintenance and landscaping company based in Indianapolis."</f>
        <v>Sure Cut Lawn Services LLC is a fast growing and competitive lawn maintenance and landscaping company based in Indianapolis.</v>
      </c>
      <c r="D8839" s="3" t="s">
        <v>25695</v>
      </c>
      <c r="E8839" s="3" t="s">
        <v>25696</v>
      </c>
      <c r="F8839" s="3" t="str">
        <f>"317-442-4428"</f>
        <v>317-442-4428</v>
      </c>
      <c r="G8839" s="3">
        <v>56173</v>
      </c>
      <c r="H8839" s="3" t="s">
        <v>65</v>
      </c>
    </row>
    <row r="8840" spans="1:8" ht="77.25" x14ac:dyDescent="0.25">
      <c r="A8840" s="3" t="s">
        <v>25697</v>
      </c>
      <c r="B8840" s="3"/>
      <c r="C8840" s="3" t="str">
        <f>"We supply just about anything that an organization/company would need. We deal with Janitorial, Maintenance and Industrial Supplies, however we can usually get anything in addition to that (including but not limited to lighting, equipment, etc.)"</f>
        <v>We supply just about anything that an organization/company would need. We deal with Janitorial, Maintenance and Industrial Supplies, however we can usually get anything in addition to that (including but not limited to lighting, equipment, etc.)</v>
      </c>
      <c r="D8840" s="3" t="s">
        <v>9</v>
      </c>
      <c r="E8840" s="3" t="s">
        <v>25698</v>
      </c>
      <c r="F8840" s="3" t="str">
        <f>"260-481-5825"</f>
        <v>260-481-5825</v>
      </c>
      <c r="G8840" s="3">
        <v>453998</v>
      </c>
      <c r="H8840" s="3" t="s">
        <v>112</v>
      </c>
    </row>
    <row r="8841" spans="1:8" ht="230.25" x14ac:dyDescent="0.25">
      <c r="A8841" s="3" t="s">
        <v>25699</v>
      </c>
      <c r="B8841" s="3"/>
      <c r="C8841" s="3" t="s">
        <v>25700</v>
      </c>
      <c r="D8841" s="3" t="s">
        <v>25701</v>
      </c>
      <c r="E8841" s="3" t="s">
        <v>25702</v>
      </c>
      <c r="F8841" s="3" t="str">
        <f>"317 5801254"</f>
        <v>317 5801254</v>
      </c>
      <c r="G8841" s="3">
        <v>235</v>
      </c>
      <c r="H8841" s="3" t="s">
        <v>259</v>
      </c>
    </row>
    <row r="8842" spans="1:8" ht="217.5" x14ac:dyDescent="0.25">
      <c r="A8842" s="3" t="s">
        <v>25703</v>
      </c>
      <c r="B8842" s="3"/>
      <c r="C8842" s="3" t="s">
        <v>25704</v>
      </c>
      <c r="D8842" s="3" t="s">
        <v>25705</v>
      </c>
      <c r="E8842" s="3" t="s">
        <v>25706</v>
      </c>
      <c r="F8842" s="3" t="str">
        <f>"866-438-3310"</f>
        <v>866-438-3310</v>
      </c>
      <c r="G8842" s="3">
        <v>51421</v>
      </c>
      <c r="H8842" s="3" t="s">
        <v>20223</v>
      </c>
    </row>
    <row r="8843" spans="1:8" ht="51.75" x14ac:dyDescent="0.25">
      <c r="A8843" s="3" t="s">
        <v>25707</v>
      </c>
      <c r="B8843" s="3"/>
      <c r="C8843" s="3" t="str">
        <f>"Will develop policies &amp; procedures to ensure regulatory compliance. Will provide consultation in areas of privacy &amp; security of data."</f>
        <v>Will develop policies &amp; procedures to ensure regulatory compliance. Will provide consultation in areas of privacy &amp; security of data.</v>
      </c>
      <c r="D8843" s="3" t="s">
        <v>9</v>
      </c>
      <c r="E8843" s="3" t="s">
        <v>25708</v>
      </c>
      <c r="F8843" s="2"/>
      <c r="G8843" s="3">
        <v>54161</v>
      </c>
      <c r="H8843" s="3" t="s">
        <v>1221</v>
      </c>
    </row>
    <row r="8844" spans="1:8" ht="39" x14ac:dyDescent="0.25">
      <c r="A8844" s="3" t="s">
        <v>25709</v>
      </c>
      <c r="B8844" s="3"/>
      <c r="C8844" s="3" t="str">
        <f>"Commercial photography service /Documentation / Web Content/ Power Point Presentations"</f>
        <v>Commercial photography service /Documentation / Web Content/ Power Point Presentations</v>
      </c>
      <c r="D8844" s="3" t="s">
        <v>9</v>
      </c>
      <c r="E8844" s="3" t="s">
        <v>25710</v>
      </c>
      <c r="F8844" s="3" t="str">
        <f>"317-423-1039"</f>
        <v>317-423-1039</v>
      </c>
      <c r="G8844" s="3">
        <v>541922</v>
      </c>
      <c r="H8844" s="3" t="s">
        <v>1545</v>
      </c>
    </row>
    <row r="8845" spans="1:8" ht="39" x14ac:dyDescent="0.25">
      <c r="A8845" s="3" t="s">
        <v>25711</v>
      </c>
      <c r="B8845" s="3"/>
      <c r="C8845" s="3" t="str">
        <f>"Provider of Ophthalmic and medical exams. Provide treatment of ocular diseases, and emergency services."</f>
        <v>Provider of Ophthalmic and medical exams. Provide treatment of ocular diseases, and emergency services.</v>
      </c>
      <c r="D8845" s="3" t="s">
        <v>9</v>
      </c>
      <c r="E8845" s="3" t="s">
        <v>46</v>
      </c>
      <c r="F8845" s="3" t="str">
        <f>"219-226-9477"</f>
        <v>219-226-9477</v>
      </c>
      <c r="G8845" s="3">
        <v>621320</v>
      </c>
      <c r="H8845" s="3" t="s">
        <v>9878</v>
      </c>
    </row>
    <row r="8846" spans="1:8" ht="268.5" x14ac:dyDescent="0.25">
      <c r="A8846" s="3" t="s">
        <v>25712</v>
      </c>
      <c r="B8846" s="3"/>
      <c r="C8846" s="3" t="s">
        <v>25713</v>
      </c>
      <c r="D8846" s="3" t="s">
        <v>9</v>
      </c>
      <c r="E8846" s="3" t="s">
        <v>25714</v>
      </c>
      <c r="F8846" s="3" t="str">
        <f>"260-432-2613"</f>
        <v>260-432-2613</v>
      </c>
      <c r="G8846" s="3">
        <v>541611</v>
      </c>
      <c r="H8846" s="3" t="s">
        <v>278</v>
      </c>
    </row>
    <row r="8847" spans="1:8" ht="39" x14ac:dyDescent="0.25">
      <c r="A8847" s="3" t="s">
        <v>25715</v>
      </c>
      <c r="B8847" s="3"/>
      <c r="C8847" s="3" t="str">
        <f>"Real estate appraisals by a certified general licensee, with emphasis in the area of eminent domain."</f>
        <v>Real estate appraisals by a certified general licensee, with emphasis in the area of eminent domain.</v>
      </c>
      <c r="D8847" s="3" t="s">
        <v>9</v>
      </c>
      <c r="E8847" s="3" t="s">
        <v>25716</v>
      </c>
      <c r="F8847" s="3" t="str">
        <f>"317-257-6255"</f>
        <v>317-257-6255</v>
      </c>
      <c r="G8847" s="3">
        <v>531320</v>
      </c>
      <c r="H8847" s="3" t="s">
        <v>34</v>
      </c>
    </row>
    <row r="8848" spans="1:8" ht="90" x14ac:dyDescent="0.25">
      <c r="A8848" s="3" t="s">
        <v>25717</v>
      </c>
      <c r="B8848" s="3"/>
      <c r="C8848" s="3" t="s">
        <v>25718</v>
      </c>
      <c r="D8848" s="3" t="s">
        <v>9</v>
      </c>
      <c r="E8848" s="3" t="s">
        <v>25719</v>
      </c>
      <c r="F8848" s="3" t="str">
        <f>"317-626-1454"</f>
        <v>317-626-1454</v>
      </c>
      <c r="G8848" s="3">
        <v>61</v>
      </c>
      <c r="H8848" s="3" t="s">
        <v>140</v>
      </c>
    </row>
    <row r="8849" spans="1:8" ht="319.5" x14ac:dyDescent="0.25">
      <c r="A8849" s="3" t="s">
        <v>25720</v>
      </c>
      <c r="B8849" s="3"/>
      <c r="C8849" s="3" t="s">
        <v>25721</v>
      </c>
      <c r="D8849" s="3" t="s">
        <v>25722</v>
      </c>
      <c r="E8849" s="3" t="s">
        <v>25723</v>
      </c>
      <c r="F8849" s="3" t="str">
        <f>"317-363-2581"</f>
        <v>317-363-2581</v>
      </c>
      <c r="G8849" s="3">
        <v>541690</v>
      </c>
      <c r="H8849" s="3" t="s">
        <v>652</v>
      </c>
    </row>
    <row r="8850" spans="1:8" ht="115.5" x14ac:dyDescent="0.25">
      <c r="A8850" s="3" t="s">
        <v>25724</v>
      </c>
      <c r="B8850" s="3"/>
      <c r="C8850" s="3" t="s">
        <v>25725</v>
      </c>
      <c r="D8850" s="3" t="s">
        <v>25726</v>
      </c>
      <c r="E8850" s="3" t="s">
        <v>25727</v>
      </c>
      <c r="F8850" s="3" t="str">
        <f>"812-882-3333"</f>
        <v>812-882-3333</v>
      </c>
      <c r="G8850" s="3">
        <v>238220</v>
      </c>
      <c r="H8850" s="3" t="s">
        <v>348</v>
      </c>
    </row>
    <row r="8851" spans="1:8" ht="115.5" x14ac:dyDescent="0.25">
      <c r="A8851" s="3" t="s">
        <v>25728</v>
      </c>
      <c r="B8851" s="3"/>
      <c r="C8851" s="3" t="s">
        <v>25729</v>
      </c>
      <c r="D8851" s="3" t="s">
        <v>25730</v>
      </c>
      <c r="E8851" s="3" t="s">
        <v>25731</v>
      </c>
      <c r="F8851" s="3" t="str">
        <f>"3172643236"</f>
        <v>3172643236</v>
      </c>
      <c r="G8851" s="3">
        <v>424690</v>
      </c>
      <c r="H8851" s="3" t="s">
        <v>2494</v>
      </c>
    </row>
    <row r="8852" spans="1:8" ht="39" x14ac:dyDescent="0.25">
      <c r="A8852" s="3" t="s">
        <v>25732</v>
      </c>
      <c r="B8852" s="3"/>
      <c r="C8852" s="3" t="str">
        <f>"ACT Authorized WorkKeys Job Profiler and Consultant for Training Development and Implementation"</f>
        <v>ACT Authorized WorkKeys Job Profiler and Consultant for Training Development and Implementation</v>
      </c>
      <c r="D8852" s="3" t="s">
        <v>9</v>
      </c>
      <c r="E8852" s="3" t="s">
        <v>25733</v>
      </c>
      <c r="F8852" s="2"/>
      <c r="G8852" s="3">
        <v>541612</v>
      </c>
      <c r="H8852" s="3" t="s">
        <v>1923</v>
      </c>
    </row>
    <row r="8853" spans="1:8" ht="128.25" x14ac:dyDescent="0.25">
      <c r="A8853" s="3" t="s">
        <v>25734</v>
      </c>
      <c r="B8853" s="3"/>
      <c r="C8853" s="3" t="s">
        <v>25735</v>
      </c>
      <c r="D8853" s="3" t="s">
        <v>9</v>
      </c>
      <c r="E8853" s="3" t="s">
        <v>25736</v>
      </c>
      <c r="F8853" s="3" t="str">
        <f>"317-605-6904"</f>
        <v>317-605-6904</v>
      </c>
      <c r="G8853" s="3">
        <v>561720</v>
      </c>
      <c r="H8853" s="3" t="s">
        <v>222</v>
      </c>
    </row>
    <row r="8854" spans="1:8" ht="166.5" x14ac:dyDescent="0.25">
      <c r="A8854" s="3" t="s">
        <v>25737</v>
      </c>
      <c r="B8854" s="3"/>
      <c r="C8854" s="3" t="s">
        <v>25738</v>
      </c>
      <c r="D8854" s="3" t="s">
        <v>25739</v>
      </c>
      <c r="E8854" s="3" t="s">
        <v>25740</v>
      </c>
      <c r="F8854" s="3" t="str">
        <f>"812-969-3480"</f>
        <v>812-969-3480</v>
      </c>
      <c r="G8854" s="3">
        <v>541330</v>
      </c>
      <c r="H8854" s="3" t="s">
        <v>82</v>
      </c>
    </row>
    <row r="8855" spans="1:8" ht="141" x14ac:dyDescent="0.25">
      <c r="A8855" s="3" t="s">
        <v>25741</v>
      </c>
      <c r="B8855" s="3"/>
      <c r="C8855" s="3" t="s">
        <v>25742</v>
      </c>
      <c r="D8855" s="3" t="s">
        <v>25743</v>
      </c>
      <c r="E8855" s="3" t="s">
        <v>25744</v>
      </c>
      <c r="F8855" s="3" t="str">
        <f>"7654521566"</f>
        <v>7654521566</v>
      </c>
      <c r="G8855" s="3">
        <v>722213</v>
      </c>
      <c r="H8855" s="3" t="s">
        <v>3399</v>
      </c>
    </row>
    <row r="8856" spans="1:8" ht="64.5" x14ac:dyDescent="0.25">
      <c r="A8856" s="3" t="s">
        <v>25745</v>
      </c>
      <c r="B8856" s="3"/>
      <c r="C8856" s="3" t="str">
        <f>"A Bakery that offers baked goods from homeade recipies. Cookies, Cakes, Pies, Ice Cream, Brownies, Cupcakes, Cheesecakes, Chocolates, Birthday Parties, Bridal Showers, Wifi, TV."</f>
        <v>A Bakery that offers baked goods from homeade recipies. Cookies, Cakes, Pies, Ice Cream, Brownies, Cupcakes, Cheesecakes, Chocolates, Birthday Parties, Bridal Showers, Wifi, TV.</v>
      </c>
      <c r="D8856" s="3" t="s">
        <v>25746</v>
      </c>
      <c r="E8856" s="3" t="s">
        <v>25747</v>
      </c>
      <c r="F8856" s="3" t="str">
        <f>"3176023999"</f>
        <v>3176023999</v>
      </c>
      <c r="G8856" s="3">
        <v>311812</v>
      </c>
      <c r="H8856" s="3" t="s">
        <v>1752</v>
      </c>
    </row>
    <row r="8857" spans="1:8" ht="141" x14ac:dyDescent="0.25">
      <c r="A8857" s="3" t="s">
        <v>25748</v>
      </c>
      <c r="B8857" s="3"/>
      <c r="C8857" s="3" t="s">
        <v>25749</v>
      </c>
      <c r="D8857" s="3" t="s">
        <v>25750</v>
      </c>
      <c r="E8857" s="3" t="s">
        <v>25751</v>
      </c>
      <c r="F8857" s="3" t="str">
        <f>"317-567-2222"</f>
        <v>317-567-2222</v>
      </c>
      <c r="G8857" s="3">
        <v>541110</v>
      </c>
      <c r="H8857" s="3" t="s">
        <v>2978</v>
      </c>
    </row>
    <row r="8858" spans="1:8" ht="51.75" x14ac:dyDescent="0.25">
      <c r="A8858" s="3" t="s">
        <v>25752</v>
      </c>
      <c r="B8858" s="3"/>
      <c r="C8858" s="3" t="str">
        <f>"MileTrack GPS sells vehicle tracking hardware and custom web solutions for tracking business mileage driven for tax or reimbursement purposes."</f>
        <v>MileTrack GPS sells vehicle tracking hardware and custom web solutions for tracking business mileage driven for tax or reimbursement purposes.</v>
      </c>
      <c r="D8858" s="3" t="s">
        <v>25753</v>
      </c>
      <c r="E8858" s="3" t="s">
        <v>25754</v>
      </c>
      <c r="F8858" s="2"/>
      <c r="G8858" s="3">
        <v>541511</v>
      </c>
      <c r="H8858" s="3" t="s">
        <v>122</v>
      </c>
    </row>
    <row r="8859" spans="1:8" ht="26.25" x14ac:dyDescent="0.25">
      <c r="A8859" s="3" t="s">
        <v>25755</v>
      </c>
      <c r="B8859" s="3"/>
      <c r="C8859" s="2"/>
      <c r="D8859" s="3" t="s">
        <v>9</v>
      </c>
      <c r="E8859" s="3" t="s">
        <v>25756</v>
      </c>
      <c r="F8859" s="3" t="str">
        <f>"3178312081"</f>
        <v>3178312081</v>
      </c>
      <c r="G8859" s="3">
        <v>23</v>
      </c>
      <c r="H8859" s="3" t="s">
        <v>133</v>
      </c>
    </row>
    <row r="8860" spans="1:8" ht="64.5" x14ac:dyDescent="0.25">
      <c r="A8860" s="3" t="s">
        <v>25757</v>
      </c>
      <c r="B8860" s="3"/>
      <c r="C8860" s="3" t="str">
        <f>"Full service printer including forms, letterhead, envelopes, tickets, labels, promotional items, rubber stamps. Also office supplies from pencils to furniture, computer and printer supplies."</f>
        <v>Full service printer including forms, letterhead, envelopes, tickets, labels, promotional items, rubber stamps. Also office supplies from pencils to furniture, computer and printer supplies.</v>
      </c>
      <c r="D8860" s="3" t="s">
        <v>9</v>
      </c>
      <c r="E8860" s="3" t="s">
        <v>25758</v>
      </c>
      <c r="F8860" s="3" t="str">
        <f>"812-427-3844"</f>
        <v>812-427-3844</v>
      </c>
      <c r="G8860" s="3">
        <v>323114</v>
      </c>
      <c r="H8860" s="3" t="s">
        <v>1068</v>
      </c>
    </row>
    <row r="8861" spans="1:8" ht="115.5" x14ac:dyDescent="0.25">
      <c r="A8861" s="3" t="s">
        <v>25759</v>
      </c>
      <c r="B8861" s="3"/>
      <c r="C8861" s="3" t="s">
        <v>25760</v>
      </c>
      <c r="D8861" s="3" t="s">
        <v>25761</v>
      </c>
      <c r="E8861" s="3" t="s">
        <v>25762</v>
      </c>
      <c r="F8861" s="3" t="str">
        <f>"317-841-3303"</f>
        <v>317-841-3303</v>
      </c>
      <c r="G8861" s="3">
        <v>561612</v>
      </c>
      <c r="H8861" s="3" t="s">
        <v>362</v>
      </c>
    </row>
    <row r="8862" spans="1:8" ht="26.25" x14ac:dyDescent="0.25">
      <c r="A8862" s="3" t="s">
        <v>25763</v>
      </c>
      <c r="B8862" s="3"/>
      <c r="C8862" s="3" t="str">
        <f>"County Government"</f>
        <v>County Government</v>
      </c>
      <c r="D8862" s="3" t="s">
        <v>25764</v>
      </c>
      <c r="E8862" s="3" t="s">
        <v>25765</v>
      </c>
      <c r="F8862" s="3" t="str">
        <f>"812-427-4470"</f>
        <v>812-427-4470</v>
      </c>
      <c r="G8862" s="3">
        <v>2373</v>
      </c>
      <c r="H8862" s="3" t="s">
        <v>768</v>
      </c>
    </row>
    <row r="8863" spans="1:8" ht="115.5" x14ac:dyDescent="0.25">
      <c r="A8863" s="3" t="s">
        <v>25766</v>
      </c>
      <c r="B8863" s="3"/>
      <c r="C8863" s="3" t="s">
        <v>25767</v>
      </c>
      <c r="D8863" s="3" t="s">
        <v>9</v>
      </c>
      <c r="E8863" s="3" t="s">
        <v>25768</v>
      </c>
      <c r="F8863" s="3" t="str">
        <f>"317-696-4280"</f>
        <v>317-696-4280</v>
      </c>
      <c r="G8863" s="3">
        <v>561720</v>
      </c>
      <c r="H8863" s="3" t="s">
        <v>222</v>
      </c>
    </row>
    <row r="8864" spans="1:8" ht="102.75" x14ac:dyDescent="0.25">
      <c r="A8864" s="3" t="s">
        <v>25769</v>
      </c>
      <c r="B8864" s="3"/>
      <c r="C8864" s="3" t="s">
        <v>25770</v>
      </c>
      <c r="D8864" s="3" t="s">
        <v>25771</v>
      </c>
      <c r="E8864" s="3" t="s">
        <v>25772</v>
      </c>
      <c r="F8864" s="3" t="str">
        <f>"317-844-9254"</f>
        <v>317-844-9254</v>
      </c>
      <c r="G8864" s="3">
        <v>522298</v>
      </c>
      <c r="H8864" s="3" t="s">
        <v>25773</v>
      </c>
    </row>
    <row r="8865" spans="1:8" ht="179.25" x14ac:dyDescent="0.25">
      <c r="A8865" s="3" t="s">
        <v>25774</v>
      </c>
      <c r="B8865" s="3"/>
      <c r="C8865" s="3" t="s">
        <v>25775</v>
      </c>
      <c r="D8865" s="3" t="s">
        <v>25776</v>
      </c>
      <c r="E8865" s="3" t="s">
        <v>25777</v>
      </c>
      <c r="F8865" s="3" t="str">
        <f>"317-250-7999"</f>
        <v>317-250-7999</v>
      </c>
      <c r="G8865" s="3">
        <v>45321</v>
      </c>
      <c r="H8865" s="3" t="s">
        <v>431</v>
      </c>
    </row>
    <row r="8866" spans="1:8" ht="77.25" x14ac:dyDescent="0.25">
      <c r="A8866" s="3" t="s">
        <v>25778</v>
      </c>
      <c r="B8866" s="3"/>
      <c r="C8866" s="3" t="str">
        <f>"Management consulting for development of pubic/private partnerships (P3), marketing (including trade show exhibit development and booth staffing), innovative opportuinty evaluation and development, and search for bid opportunities"</f>
        <v>Management consulting for development of pubic/private partnerships (P3), marketing (including trade show exhibit development and booth staffing), innovative opportuinty evaluation and development, and search for bid opportunities</v>
      </c>
      <c r="D8866" s="3" t="s">
        <v>9</v>
      </c>
      <c r="E8866" s="3" t="s">
        <v>25779</v>
      </c>
      <c r="F8866" s="3" t="str">
        <f>"812.256.9360"</f>
        <v>812.256.9360</v>
      </c>
      <c r="G8866" s="3">
        <v>541611</v>
      </c>
      <c r="H8866" s="3" t="s">
        <v>278</v>
      </c>
    </row>
    <row r="8867" spans="1:8" ht="39" x14ac:dyDescent="0.25">
      <c r="A8867" s="3" t="s">
        <v>25780</v>
      </c>
      <c r="B8867" s="3"/>
      <c r="C8867" s="3" t="str">
        <f>"Symmetry Medical Othy is a manufacturer of surgical instrumentation for the orthopedic industry."</f>
        <v>Symmetry Medical Othy is a manufacturer of surgical instrumentation for the orthopedic industry.</v>
      </c>
      <c r="D8867" s="3" t="s">
        <v>25781</v>
      </c>
      <c r="E8867" s="3" t="s">
        <v>46</v>
      </c>
      <c r="F8867" s="3" t="str">
        <f>"574-267-8700"</f>
        <v>574-267-8700</v>
      </c>
      <c r="G8867" s="3">
        <v>339113</v>
      </c>
      <c r="H8867" s="3" t="s">
        <v>18825</v>
      </c>
    </row>
    <row r="8868" spans="1:8" ht="166.5" x14ac:dyDescent="0.25">
      <c r="A8868" s="3" t="s">
        <v>25782</v>
      </c>
      <c r="B8868" s="3"/>
      <c r="C8868" s="3" t="s">
        <v>25783</v>
      </c>
      <c r="D8868" s="3" t="s">
        <v>25784</v>
      </c>
      <c r="E8868" s="3" t="s">
        <v>25785</v>
      </c>
      <c r="F8868" s="3" t="str">
        <f>"317 805 4300"</f>
        <v>317 805 4300</v>
      </c>
      <c r="G8868" s="3">
        <v>522110</v>
      </c>
      <c r="H8868" s="3" t="s">
        <v>61</v>
      </c>
    </row>
    <row r="8869" spans="1:8" ht="64.5" x14ac:dyDescent="0.25">
      <c r="A8869" s="3" t="s">
        <v>25786</v>
      </c>
      <c r="B8869" s="3"/>
      <c r="C8869" s="3" t="str">
        <f>"Supplier and installer of environmental products including, geotextiles, silt fences, geomembrane liners, filter bags, rain gardens, etc. for erosion control, water management, and secondary containment."</f>
        <v>Supplier and installer of environmental products including, geotextiles, silt fences, geomembrane liners, filter bags, rain gardens, etc. for erosion control, water management, and secondary containment.</v>
      </c>
      <c r="D8869" s="3" t="s">
        <v>25787</v>
      </c>
      <c r="E8869" s="3" t="s">
        <v>25788</v>
      </c>
      <c r="F8869" s="3" t="str">
        <f>"317-691-7440"</f>
        <v>317-691-7440</v>
      </c>
      <c r="G8869" s="3">
        <v>42339</v>
      </c>
      <c r="H8869" s="3" t="s">
        <v>1863</v>
      </c>
    </row>
    <row r="8870" spans="1:8" ht="90" x14ac:dyDescent="0.25">
      <c r="A8870" s="3" t="s">
        <v>25789</v>
      </c>
      <c r="B8870" s="3"/>
      <c r="C8870" s="3" t="s">
        <v>25790</v>
      </c>
      <c r="D8870" s="3" t="s">
        <v>9</v>
      </c>
      <c r="E8870" s="3" t="s">
        <v>25791</v>
      </c>
      <c r="F8870" s="3" t="str">
        <f>"765-532-9193"</f>
        <v>765-532-9193</v>
      </c>
      <c r="G8870" s="3">
        <v>56131</v>
      </c>
      <c r="H8870" s="3" t="s">
        <v>1720</v>
      </c>
    </row>
    <row r="8871" spans="1:8" ht="39" x14ac:dyDescent="0.25">
      <c r="A8871" s="3" t="s">
        <v>25792</v>
      </c>
      <c r="B8871" s="3"/>
      <c r="C8871" s="3" t="str">
        <f>"Synergy Construction Corporation provides commercial, industrial and residential roofing."</f>
        <v>Synergy Construction Corporation provides commercial, industrial and residential roofing.</v>
      </c>
      <c r="D8871" s="3" t="s">
        <v>9</v>
      </c>
      <c r="E8871" s="3" t="s">
        <v>46</v>
      </c>
      <c r="F8871" s="2"/>
      <c r="G8871" s="3">
        <v>2356</v>
      </c>
      <c r="H8871" s="3" t="s">
        <v>365</v>
      </c>
    </row>
    <row r="8872" spans="1:8" ht="306.75" x14ac:dyDescent="0.25">
      <c r="A8872" s="3" t="s">
        <v>25793</v>
      </c>
      <c r="B8872" s="3"/>
      <c r="C8872" s="3" t="s">
        <v>25794</v>
      </c>
      <c r="D8872" s="3" t="s">
        <v>25795</v>
      </c>
      <c r="E8872" s="3" t="s">
        <v>25796</v>
      </c>
      <c r="F8872" s="3" t="str">
        <f>"317-205-9690"</f>
        <v>317-205-9690</v>
      </c>
      <c r="G8872" s="3">
        <v>54182</v>
      </c>
      <c r="H8872" s="3" t="s">
        <v>795</v>
      </c>
    </row>
    <row r="8873" spans="1:8" ht="39" x14ac:dyDescent="0.25">
      <c r="A8873" s="3" t="s">
        <v>25797</v>
      </c>
      <c r="B8873" s="3"/>
      <c r="C8873" s="3" t="str">
        <f>"Pest control services (for insect, rodents, stinging insects), devices, inspections,and products."</f>
        <v>Pest control services (for insect, rodents, stinging insects), devices, inspections,and products.</v>
      </c>
      <c r="D8873" s="3" t="s">
        <v>25798</v>
      </c>
      <c r="E8873" s="3" t="s">
        <v>25799</v>
      </c>
      <c r="F8873" s="3" t="str">
        <f>"219-933-8489"</f>
        <v>219-933-8489</v>
      </c>
      <c r="G8873" s="3">
        <v>561710</v>
      </c>
      <c r="H8873" s="3" t="s">
        <v>946</v>
      </c>
    </row>
    <row r="8874" spans="1:8" ht="39" x14ac:dyDescent="0.25">
      <c r="A8874" s="3" t="s">
        <v>25800</v>
      </c>
      <c r="B8874" s="3"/>
      <c r="C8874" s="3" t="str">
        <f>"Synergy Telcom is an independent supplier of telecommunications equipment and services."</f>
        <v>Synergy Telcom is an independent supplier of telecommunications equipment and services.</v>
      </c>
      <c r="D8874" s="3" t="s">
        <v>23809</v>
      </c>
      <c r="E8874" s="3" t="s">
        <v>25801</v>
      </c>
      <c r="F8874" s="3" t="str">
        <f>"3177131652"</f>
        <v>3177131652</v>
      </c>
      <c r="G8874" s="3">
        <v>51333</v>
      </c>
      <c r="H8874" s="3" t="s">
        <v>540</v>
      </c>
    </row>
    <row r="8875" spans="1:8" ht="51.75" x14ac:dyDescent="0.25">
      <c r="A8875" s="3" t="s">
        <v>25802</v>
      </c>
      <c r="B8875" s="3"/>
      <c r="C8875" s="3" t="str">
        <f>"Synovia provides GPS/AVL hardware,software and support for fleet transportation management and asset/personal tracking"</f>
        <v>Synovia provides GPS/AVL hardware,software and support for fleet transportation management and asset/personal tracking</v>
      </c>
      <c r="D8875" s="3" t="s">
        <v>25803</v>
      </c>
      <c r="E8875" s="3" t="s">
        <v>25804</v>
      </c>
      <c r="F8875" s="3" t="str">
        <f>"317-208-1700"</f>
        <v>317-208-1700</v>
      </c>
      <c r="G8875" s="3">
        <v>423990</v>
      </c>
      <c r="H8875" s="3" t="s">
        <v>983</v>
      </c>
    </row>
    <row r="8876" spans="1:8" x14ac:dyDescent="0.25">
      <c r="A8876" s="3" t="s">
        <v>25805</v>
      </c>
      <c r="B8876" s="3"/>
      <c r="C8876" s="2"/>
      <c r="D8876" s="3" t="s">
        <v>25806</v>
      </c>
      <c r="E8876" s="3" t="s">
        <v>46</v>
      </c>
      <c r="F8876" s="2"/>
      <c r="G8876" s="3">
        <v>541310</v>
      </c>
      <c r="H8876" s="3" t="s">
        <v>446</v>
      </c>
    </row>
    <row r="8877" spans="1:8" ht="128.25" x14ac:dyDescent="0.25">
      <c r="A8877" s="3" t="s">
        <v>25807</v>
      </c>
      <c r="B8877" s="3"/>
      <c r="C8877" s="3" t="s">
        <v>25808</v>
      </c>
      <c r="D8877" s="3" t="s">
        <v>25809</v>
      </c>
      <c r="E8877" s="3" t="s">
        <v>25810</v>
      </c>
      <c r="F8877" s="3" t="str">
        <f>"(574) 457-3440"</f>
        <v>(574) 457-3440</v>
      </c>
      <c r="G8877" s="3">
        <v>71219</v>
      </c>
      <c r="H8877" s="3" t="s">
        <v>25811</v>
      </c>
    </row>
    <row r="8878" spans="1:8" ht="166.5" x14ac:dyDescent="0.25">
      <c r="A8878" s="3" t="s">
        <v>25812</v>
      </c>
      <c r="B8878" s="3"/>
      <c r="C8878" s="3" t="s">
        <v>25813</v>
      </c>
      <c r="D8878" s="3" t="s">
        <v>25814</v>
      </c>
      <c r="E8878" s="3" t="s">
        <v>25815</v>
      </c>
      <c r="F8878" s="3" t="str">
        <f>"317.545.7222"</f>
        <v>317.545.7222</v>
      </c>
      <c r="G8878" s="3">
        <v>514</v>
      </c>
      <c r="H8878" s="3" t="s">
        <v>322</v>
      </c>
    </row>
    <row r="8879" spans="1:8" ht="204.75" x14ac:dyDescent="0.25">
      <c r="A8879" s="3" t="s">
        <v>25816</v>
      </c>
      <c r="B8879" s="3"/>
      <c r="C8879" s="3" t="s">
        <v>25817</v>
      </c>
      <c r="D8879" s="3" t="s">
        <v>25818</v>
      </c>
      <c r="E8879" s="3" t="s">
        <v>25819</v>
      </c>
      <c r="F8879" s="3" t="str">
        <f>"317-322-1890"</f>
        <v>317-322-1890</v>
      </c>
      <c r="G8879" s="3">
        <v>541330</v>
      </c>
      <c r="H8879" s="3" t="s">
        <v>82</v>
      </c>
    </row>
    <row r="8880" spans="1:8" ht="64.5" x14ac:dyDescent="0.25">
      <c r="A8880" s="3" t="s">
        <v>25820</v>
      </c>
      <c r="B8880" s="3"/>
      <c r="C8880" s="3" t="str">
        <f>"Systems Process, Inc. provides consulting services and training built around our unique Decision Driven(r) methods for strategy, innovation, design and architecture."</f>
        <v>Systems Process, Inc. provides consulting services and training built around our unique Decision Driven(r) methods for strategy, innovation, design and architecture.</v>
      </c>
      <c r="D8880" s="3" t="s">
        <v>25821</v>
      </c>
      <c r="E8880" s="3" t="s">
        <v>25822</v>
      </c>
      <c r="F8880" s="3" t="str">
        <f>"260-637-1924"</f>
        <v>260-637-1924</v>
      </c>
      <c r="G8880" s="3">
        <v>541330</v>
      </c>
      <c r="H8880" s="3" t="s">
        <v>82</v>
      </c>
    </row>
    <row r="8881" spans="1:8" ht="90" x14ac:dyDescent="0.25">
      <c r="A8881" s="3" t="s">
        <v>25823</v>
      </c>
      <c r="B8881" s="3"/>
      <c r="C8881" s="3" t="s">
        <v>25824</v>
      </c>
      <c r="D8881" s="3" t="s">
        <v>25825</v>
      </c>
      <c r="E8881" s="3" t="s">
        <v>25826</v>
      </c>
      <c r="F8881" s="3" t="str">
        <f>"765.759.2288"</f>
        <v>765.759.2288</v>
      </c>
      <c r="G8881" s="3">
        <v>423120</v>
      </c>
      <c r="H8881" s="3" t="s">
        <v>1033</v>
      </c>
    </row>
    <row r="8882" spans="1:8" ht="217.5" x14ac:dyDescent="0.25">
      <c r="A8882" s="3" t="s">
        <v>25827</v>
      </c>
      <c r="B8882" s="3"/>
      <c r="C8882" s="3" t="s">
        <v>25828</v>
      </c>
      <c r="D8882" s="3" t="s">
        <v>25829</v>
      </c>
      <c r="E8882" s="3" t="s">
        <v>25830</v>
      </c>
      <c r="F8882" s="3" t="str">
        <f>"812-689-5769"</f>
        <v>812-689-5769</v>
      </c>
      <c r="G8882" s="3">
        <v>332710</v>
      </c>
      <c r="H8882" s="3" t="s">
        <v>387</v>
      </c>
    </row>
    <row r="8883" spans="1:8" ht="64.5" x14ac:dyDescent="0.25">
      <c r="A8883" s="3" t="s">
        <v>25831</v>
      </c>
      <c r="B8883" s="3"/>
      <c r="C8883" s="3" t="str">
        <f>"We are a Locally owned Machine Shop. Specializing in Rapid Prototyping and special machine building and rebuilding. Quality and timing are our number one goal."</f>
        <v>We are a Locally owned Machine Shop. Specializing in Rapid Prototyping and special machine building and rebuilding. Quality and timing are our number one goal.</v>
      </c>
      <c r="D8883" s="3" t="s">
        <v>9</v>
      </c>
      <c r="E8883" s="3" t="s">
        <v>25832</v>
      </c>
      <c r="F8883" s="3" t="str">
        <f>"(765)378-7844"</f>
        <v>(765)378-7844</v>
      </c>
      <c r="G8883" s="3">
        <v>333514</v>
      </c>
      <c r="H8883" s="3" t="s">
        <v>2115</v>
      </c>
    </row>
    <row r="8884" spans="1:8" ht="90" x14ac:dyDescent="0.25">
      <c r="A8884" s="3" t="s">
        <v>25833</v>
      </c>
      <c r="B8884" s="3"/>
      <c r="C8884" s="3" t="str">
        <f>"AIRMASTER HAS BEEN AN INDIANAPOLIS BASED BUSINESS FOR OVER FORTY YEARS. WE SPECIALIZE IN HEATING AND AIR CONDITIONING AND INDOOR AIR QUALITY. AIRMASTER TECHNICIANS ARE AVAILABLE 24 HOURS A DAY SEVEN DAYS A WEEK FOR YOUR CONVENIENCE."</f>
        <v>AIRMASTER HAS BEEN AN INDIANAPOLIS BASED BUSINESS FOR OVER FORTY YEARS. WE SPECIALIZE IN HEATING AND AIR CONDITIONING AND INDOOR AIR QUALITY. AIRMASTER TECHNICIANS ARE AVAILABLE 24 HOURS A DAY SEVEN DAYS A WEEK FOR YOUR CONVENIENCE.</v>
      </c>
      <c r="D8884" s="3" t="s">
        <v>25834</v>
      </c>
      <c r="E8884" s="3" t="s">
        <v>25835</v>
      </c>
      <c r="F8884" s="3" t="str">
        <f>"317-257-3346"</f>
        <v>317-257-3346</v>
      </c>
      <c r="G8884" s="3">
        <v>238220</v>
      </c>
      <c r="H8884" s="3" t="s">
        <v>348</v>
      </c>
    </row>
    <row r="8885" spans="1:8" ht="64.5" x14ac:dyDescent="0.25">
      <c r="A8885" s="3" t="s">
        <v>25836</v>
      </c>
      <c r="B8885" s="3"/>
      <c r="C8885" s="3" t="str">
        <f>"T &amp; R Traffic Services does Striping (Paint; Thermo; Preformed Plastic; etc.) and Traffic Control. We have been in business since 1987 and are located in Mt. Comfort (Greenfield), Indiana."</f>
        <v>T &amp; R Traffic Services does Striping (Paint; Thermo; Preformed Plastic; etc.) and Traffic Control. We have been in business since 1987 and are located in Mt. Comfort (Greenfield), Indiana.</v>
      </c>
      <c r="D8885" s="3" t="s">
        <v>9</v>
      </c>
      <c r="E8885" s="3" t="s">
        <v>46</v>
      </c>
      <c r="F8885" s="3" t="str">
        <f>"317-891-8065"</f>
        <v>317-891-8065</v>
      </c>
      <c r="G8885" s="3">
        <v>237310</v>
      </c>
      <c r="H8885" s="3" t="s">
        <v>768</v>
      </c>
    </row>
    <row r="8886" spans="1:8" ht="26.25" x14ac:dyDescent="0.25">
      <c r="A8886" s="3" t="s">
        <v>25837</v>
      </c>
      <c r="B8886" s="3"/>
      <c r="C8886" s="3" t="str">
        <f>" "</f>
        <v xml:space="preserve"> </v>
      </c>
      <c r="D8886" s="3" t="s">
        <v>9</v>
      </c>
      <c r="E8886" s="3" t="s">
        <v>25838</v>
      </c>
      <c r="F8886" s="3" t="str">
        <f>"260-799-5826"</f>
        <v>260-799-5826</v>
      </c>
      <c r="G8886" s="3">
        <v>238190</v>
      </c>
      <c r="H8886" s="3" t="s">
        <v>1072</v>
      </c>
    </row>
    <row r="8887" spans="1:8" ht="26.25" x14ac:dyDescent="0.25">
      <c r="A8887" s="3" t="s">
        <v>25839</v>
      </c>
      <c r="B8887" s="3"/>
      <c r="C8887" s="3" t="str">
        <f>"We are a collision repair company to serve indiana"</f>
        <v>We are a collision repair company to serve indiana</v>
      </c>
      <c r="D8887" s="3" t="s">
        <v>9</v>
      </c>
      <c r="E8887" s="3" t="s">
        <v>25840</v>
      </c>
      <c r="F8887" s="3" t="str">
        <f>"317-209-4181"</f>
        <v>317-209-4181</v>
      </c>
      <c r="G8887" s="3">
        <v>811121</v>
      </c>
      <c r="H8887" s="3" t="s">
        <v>1432</v>
      </c>
    </row>
    <row r="8888" spans="1:8" ht="64.5" x14ac:dyDescent="0.25">
      <c r="A8888" s="3" t="s">
        <v>25841</v>
      </c>
      <c r="B8888" s="3"/>
      <c r="C8888" s="3" t="str">
        <f>"Over 15 years experience. We do monthly or construction cleans. Can buff, strip, and wax all types of floors. Business or residential welcome. Call or email for a quote."</f>
        <v>Over 15 years experience. We do monthly or construction cleans. Can buff, strip, and wax all types of floors. Business or residential welcome. Call or email for a quote.</v>
      </c>
      <c r="D8888" s="3" t="s">
        <v>25842</v>
      </c>
      <c r="E8888" s="3" t="s">
        <v>25843</v>
      </c>
      <c r="F8888" s="3" t="str">
        <f>"317-717-5210"</f>
        <v>317-717-5210</v>
      </c>
      <c r="G8888" s="3">
        <v>561720</v>
      </c>
      <c r="H8888" s="3" t="s">
        <v>222</v>
      </c>
    </row>
    <row r="8889" spans="1:8" ht="51.75" x14ac:dyDescent="0.25">
      <c r="A8889" s="3" t="s">
        <v>25844</v>
      </c>
      <c r="B8889" s="3"/>
      <c r="C8889" s="3" t="str">
        <f>"T &amp; T TIRE REMOVAL LLC REMOVES SCRAP/ WASTE TIRES FROM BUSINESSES AND OR ANY OPEN DUMP AREAS IN THE STATE OF INDIANA ACCORDING TO I.D.E.M. REGULATIONS"</f>
        <v>T &amp; T TIRE REMOVAL LLC REMOVES SCRAP/ WASTE TIRES FROM BUSINESSES AND OR ANY OPEN DUMP AREAS IN THE STATE OF INDIANA ACCORDING TO I.D.E.M. REGULATIONS</v>
      </c>
      <c r="D8889" s="3" t="s">
        <v>9</v>
      </c>
      <c r="E8889" s="3" t="s">
        <v>46</v>
      </c>
      <c r="F8889" s="2"/>
      <c r="G8889" s="3">
        <v>562111</v>
      </c>
      <c r="H8889" s="3" t="s">
        <v>1818</v>
      </c>
    </row>
    <row r="8890" spans="1:8" ht="26.25" x14ac:dyDescent="0.25">
      <c r="A8890" s="3" t="s">
        <v>25845</v>
      </c>
      <c r="B8890" s="3"/>
      <c r="C8890" s="3" t="str">
        <f>"Service and supply portable toilets, portable sinks, holding tanks."</f>
        <v>Service and supply portable toilets, portable sinks, holding tanks.</v>
      </c>
      <c r="D8890" s="3" t="s">
        <v>9</v>
      </c>
      <c r="E8890" s="3" t="s">
        <v>46</v>
      </c>
      <c r="F8890" s="3" t="str">
        <f>"812-299-1069"</f>
        <v>812-299-1069</v>
      </c>
      <c r="G8890" s="3">
        <v>562991</v>
      </c>
      <c r="H8890" s="3" t="s">
        <v>468</v>
      </c>
    </row>
    <row r="8891" spans="1:8" ht="141" x14ac:dyDescent="0.25">
      <c r="A8891" s="3" t="s">
        <v>25846</v>
      </c>
      <c r="B8891" s="3"/>
      <c r="C8891" s="3" t="s">
        <v>25847</v>
      </c>
      <c r="D8891" s="3" t="s">
        <v>25848</v>
      </c>
      <c r="E8891" s="3" t="s">
        <v>46</v>
      </c>
      <c r="F8891" s="3" t="str">
        <f>"260-424-1901"</f>
        <v>260-424-1901</v>
      </c>
      <c r="G8891" s="3">
        <v>423990</v>
      </c>
      <c r="H8891" s="3" t="s">
        <v>983</v>
      </c>
    </row>
    <row r="8892" spans="1:8" ht="64.5" x14ac:dyDescent="0.25">
      <c r="A8892" s="3" t="s">
        <v>25849</v>
      </c>
      <c r="B8892" s="3"/>
      <c r="C8892" s="3" t="str">
        <f>"A consulting and outsourcing company that can deliver servieces such as Information Technology, Administrative, Human Resources, Customer Service, Accounting and Finance."</f>
        <v>A consulting and outsourcing company that can deliver servieces such as Information Technology, Administrative, Human Resources, Customer Service, Accounting and Finance.</v>
      </c>
      <c r="D8892" s="3" t="s">
        <v>9</v>
      </c>
      <c r="E8892" s="3" t="s">
        <v>25850</v>
      </c>
      <c r="F8892" s="2"/>
      <c r="G8892" s="3">
        <v>56149</v>
      </c>
      <c r="H8892" s="3" t="s">
        <v>7754</v>
      </c>
    </row>
    <row r="8893" spans="1:8" ht="26.25" x14ac:dyDescent="0.25">
      <c r="A8893" s="3" t="s">
        <v>25851</v>
      </c>
      <c r="B8893" s="3"/>
      <c r="C8893" s="3" t="str">
        <f>"Water garden and fountain installation, sales, service and maintenance"</f>
        <v>Water garden and fountain installation, sales, service and maintenance</v>
      </c>
      <c r="D8893" s="3" t="s">
        <v>25852</v>
      </c>
      <c r="E8893" s="3" t="s">
        <v>25853</v>
      </c>
      <c r="F8893" s="3" t="str">
        <f>"765-208-1282"</f>
        <v>765-208-1282</v>
      </c>
      <c r="G8893" s="3">
        <v>561730</v>
      </c>
      <c r="H8893" s="3" t="s">
        <v>65</v>
      </c>
    </row>
    <row r="8894" spans="1:8" ht="26.25" x14ac:dyDescent="0.25">
      <c r="A8894" s="3" t="s">
        <v>25854</v>
      </c>
      <c r="B8894" s="3"/>
      <c r="C8894" s="3" t="str">
        <f>"T&amp;J Services is Landscape Service and Snow &amp; Ice Management Company"</f>
        <v>T&amp;J Services is Landscape Service and Snow &amp; Ice Management Company</v>
      </c>
      <c r="D8894" s="3" t="s">
        <v>25855</v>
      </c>
      <c r="E8894" s="3" t="s">
        <v>25856</v>
      </c>
      <c r="F8894" s="3" t="str">
        <f>"(219) 374-9900"</f>
        <v>(219) 374-9900</v>
      </c>
      <c r="G8894" s="3">
        <v>561730</v>
      </c>
      <c r="H8894" s="3" t="s">
        <v>65</v>
      </c>
    </row>
    <row r="8895" spans="1:8" ht="77.25" x14ac:dyDescent="0.25">
      <c r="A8895" s="3" t="s">
        <v>25857</v>
      </c>
      <c r="B8895" s="3"/>
      <c r="C8895" s="3" t="str">
        <f>"We specialize in several area of security and investigations. These areas are Uniformed Site Security, Private investigations and VIP Transportation and Protection. We hire off duty Police Officers and Deputy Sheriffs."</f>
        <v>We specialize in several area of security and investigations. These areas are Uniformed Site Security, Private investigations and VIP Transportation and Protection. We hire off duty Police Officers and Deputy Sheriffs.</v>
      </c>
      <c r="D8895" s="3" t="s">
        <v>9</v>
      </c>
      <c r="E8895" s="3" t="s">
        <v>46</v>
      </c>
      <c r="F8895" s="2"/>
      <c r="G8895" s="3">
        <v>561612</v>
      </c>
      <c r="H8895" s="3" t="s">
        <v>362</v>
      </c>
    </row>
    <row r="8896" spans="1:8" ht="51.75" x14ac:dyDescent="0.25">
      <c r="A8896" s="3" t="s">
        <v>25858</v>
      </c>
      <c r="B8896" s="3"/>
      <c r="C8896" s="3" t="str">
        <f>"Concrete: flatwork, poured wall, curb &amp; gutter, decorative concrete, finished floor, paving, foundation, sidewalk, driveway, blockwall"</f>
        <v>Concrete: flatwork, poured wall, curb &amp; gutter, decorative concrete, finished floor, paving, foundation, sidewalk, driveway, blockwall</v>
      </c>
      <c r="D8896" s="3" t="s">
        <v>9</v>
      </c>
      <c r="E8896" s="3" t="s">
        <v>25859</v>
      </c>
      <c r="F8896" s="3" t="str">
        <f>"317-578-4978"</f>
        <v>317-578-4978</v>
      </c>
      <c r="G8896" s="3">
        <v>23</v>
      </c>
      <c r="H8896" s="3" t="s">
        <v>133</v>
      </c>
    </row>
    <row r="8897" spans="1:8" ht="153.75" x14ac:dyDescent="0.25">
      <c r="A8897" s="3" t="s">
        <v>25860</v>
      </c>
      <c r="B8897" s="3"/>
      <c r="C8897" s="3" t="s">
        <v>25861</v>
      </c>
      <c r="D8897" s="3" t="s">
        <v>25862</v>
      </c>
      <c r="E8897" s="3" t="s">
        <v>25863</v>
      </c>
      <c r="F8897" s="3" t="str">
        <f>"317-542-9292"</f>
        <v>317-542-9292</v>
      </c>
      <c r="G8897" s="3">
        <v>235900</v>
      </c>
      <c r="H8897" s="2"/>
    </row>
    <row r="8898" spans="1:8" ht="102.75" x14ac:dyDescent="0.25">
      <c r="A8898" s="3" t="s">
        <v>25864</v>
      </c>
      <c r="B8898" s="3"/>
      <c r="C8898" s="3" t="s">
        <v>25865</v>
      </c>
      <c r="D8898" s="3" t="s">
        <v>25866</v>
      </c>
      <c r="E8898" s="3" t="s">
        <v>25867</v>
      </c>
      <c r="F8898" s="3" t="str">
        <f>"260-6376703"</f>
        <v>260-6376703</v>
      </c>
      <c r="G8898" s="3">
        <v>2357</v>
      </c>
      <c r="H8898" s="3" t="s">
        <v>576</v>
      </c>
    </row>
    <row r="8899" spans="1:8" ht="26.25" x14ac:dyDescent="0.25">
      <c r="A8899" s="3" t="s">
        <v>25868</v>
      </c>
      <c r="B8899" s="3"/>
      <c r="C8899" s="3" t="str">
        <f>"Golf pencils; regular pencils; pens; custom printing; golf course supplies"</f>
        <v>Golf pencils; regular pencils; pens; custom printing; golf course supplies</v>
      </c>
      <c r="D8899" s="3" t="s">
        <v>25869</v>
      </c>
      <c r="E8899" s="3" t="s">
        <v>25870</v>
      </c>
      <c r="F8899" s="3" t="str">
        <f>"7656292635"</f>
        <v>7656292635</v>
      </c>
      <c r="G8899" s="3">
        <v>423910</v>
      </c>
      <c r="H8899" s="3" t="s">
        <v>460</v>
      </c>
    </row>
    <row r="8900" spans="1:8" ht="26.25" x14ac:dyDescent="0.25">
      <c r="A8900" s="3" t="s">
        <v>25871</v>
      </c>
      <c r="B8900" s="3"/>
      <c r="C8900" s="3" t="str">
        <f>"PRINTING"</f>
        <v>PRINTING</v>
      </c>
      <c r="D8900" s="3" t="s">
        <v>9</v>
      </c>
      <c r="E8900" s="3" t="s">
        <v>25872</v>
      </c>
      <c r="F8900" s="3" t="str">
        <f>"765-345-5789"</f>
        <v>765-345-5789</v>
      </c>
      <c r="G8900" s="3">
        <v>323110</v>
      </c>
      <c r="H8900" s="3" t="s">
        <v>1900</v>
      </c>
    </row>
    <row r="8901" spans="1:8" ht="26.25" x14ac:dyDescent="0.25">
      <c r="A8901" s="3" t="s">
        <v>25873</v>
      </c>
      <c r="B8901" s="3"/>
      <c r="C8901" s="3" t="str">
        <f>"Certified Public Accounting firm"</f>
        <v>Certified Public Accounting firm</v>
      </c>
      <c r="D8901" s="3" t="s">
        <v>9</v>
      </c>
      <c r="E8901" s="3" t="s">
        <v>25874</v>
      </c>
      <c r="F8901" s="3" t="str">
        <f>"(260) 416-0770"</f>
        <v>(260) 416-0770</v>
      </c>
      <c r="G8901" s="3">
        <v>52</v>
      </c>
      <c r="H8901" s="3" t="s">
        <v>50</v>
      </c>
    </row>
    <row r="8902" spans="1:8" ht="26.25" x14ac:dyDescent="0.25">
      <c r="A8902" s="3" t="s">
        <v>25875</v>
      </c>
      <c r="B8902" s="3"/>
      <c r="C8902" s="3" t="str">
        <f>"Sales of college textbooks, supplies, and insignia sportswear."</f>
        <v>Sales of college textbooks, supplies, and insignia sportswear.</v>
      </c>
      <c r="D8902" s="3" t="s">
        <v>25876</v>
      </c>
      <c r="E8902" s="3" t="s">
        <v>46</v>
      </c>
      <c r="F8902" s="3" t="str">
        <f>"812-332-3307"</f>
        <v>812-332-3307</v>
      </c>
      <c r="G8902" s="3">
        <v>451211</v>
      </c>
      <c r="H8902" s="3" t="s">
        <v>3964</v>
      </c>
    </row>
    <row r="8903" spans="1:8" ht="39" x14ac:dyDescent="0.25">
      <c r="A8903" s="3" t="s">
        <v>25877</v>
      </c>
      <c r="B8903" s="3"/>
      <c r="C8903" s="3" t="str">
        <f>"The business is to clean carpet, tiles and upholstery for businesses, doctors' offices, hospitals and homes."</f>
        <v>The business is to clean carpet, tiles and upholstery for businesses, doctors' offices, hospitals and homes.</v>
      </c>
      <c r="D8903" s="3" t="s">
        <v>9</v>
      </c>
      <c r="E8903" s="3" t="s">
        <v>25878</v>
      </c>
      <c r="F8903" s="3" t="str">
        <f>"3175131045"</f>
        <v>3175131045</v>
      </c>
      <c r="G8903" s="3">
        <v>561740</v>
      </c>
      <c r="H8903" s="3" t="s">
        <v>241</v>
      </c>
    </row>
    <row r="8904" spans="1:8" ht="115.5" x14ac:dyDescent="0.25">
      <c r="A8904" s="3" t="s">
        <v>25879</v>
      </c>
      <c r="B8904" s="3"/>
      <c r="C8904" s="3" t="s">
        <v>25880</v>
      </c>
      <c r="D8904" s="3" t="s">
        <v>9</v>
      </c>
      <c r="E8904" s="3" t="s">
        <v>25881</v>
      </c>
      <c r="F8904" s="3" t="str">
        <f>"812.430.5406"</f>
        <v>812.430.5406</v>
      </c>
      <c r="G8904" s="3">
        <v>54161</v>
      </c>
      <c r="H8904" s="3" t="s">
        <v>1221</v>
      </c>
    </row>
    <row r="8905" spans="1:8" ht="51.75" x14ac:dyDescent="0.25">
      <c r="A8905" s="3" t="s">
        <v>25882</v>
      </c>
      <c r="B8905" s="3"/>
      <c r="C8905" s="3" t="str">
        <f>"Fire and Water restoration. To include; Mold remediation, bio hazard, and crime scene cleanup. We can clean anything to home carpet to industrial disasters."</f>
        <v>Fire and Water restoration. To include; Mold remediation, bio hazard, and crime scene cleanup. We can clean anything to home carpet to industrial disasters.</v>
      </c>
      <c r="D8905" s="3" t="s">
        <v>9</v>
      </c>
      <c r="E8905" s="3" t="s">
        <v>46</v>
      </c>
      <c r="F8905" s="2"/>
      <c r="G8905" s="3">
        <v>236118</v>
      </c>
      <c r="H8905" s="3" t="s">
        <v>465</v>
      </c>
    </row>
    <row r="8906" spans="1:8" ht="51.75" x14ac:dyDescent="0.25">
      <c r="A8906" s="3" t="s">
        <v>25883</v>
      </c>
      <c r="B8906" s="3"/>
      <c r="C8906" s="3" t="str">
        <f>"Tabco is a full service printing distributor and manufacturer. We are ""your best single source"" for all of your printing, labels, and products that promote."</f>
        <v>Tabco is a full service printing distributor and manufacturer. We are "your best single source" for all of your printing, labels, and products that promote.</v>
      </c>
      <c r="D8906" s="3" t="s">
        <v>25884</v>
      </c>
      <c r="E8906" s="3" t="s">
        <v>46</v>
      </c>
      <c r="F8906" s="3" t="str">
        <f>"812-232-4660"</f>
        <v>812-232-4660</v>
      </c>
      <c r="G8906" s="3">
        <v>424110</v>
      </c>
      <c r="H8906" s="3" t="s">
        <v>355</v>
      </c>
    </row>
    <row r="8907" spans="1:8" ht="153.75" x14ac:dyDescent="0.25">
      <c r="A8907" s="3" t="s">
        <v>25885</v>
      </c>
      <c r="B8907" s="3"/>
      <c r="C8907" s="3" t="s">
        <v>25886</v>
      </c>
      <c r="D8907" s="3" t="s">
        <v>25887</v>
      </c>
      <c r="E8907" s="3" t="s">
        <v>25888</v>
      </c>
      <c r="F8907" s="3" t="str">
        <f>"800-989-2774"</f>
        <v>800-989-2774</v>
      </c>
      <c r="G8907" s="3">
        <v>238990</v>
      </c>
      <c r="H8907" s="3" t="s">
        <v>481</v>
      </c>
    </row>
    <row r="8908" spans="1:8" ht="128.25" x14ac:dyDescent="0.25">
      <c r="A8908" s="3" t="s">
        <v>25889</v>
      </c>
      <c r="B8908" s="3"/>
      <c r="C8908" s="3" t="s">
        <v>25890</v>
      </c>
      <c r="D8908" s="3" t="s">
        <v>25891</v>
      </c>
      <c r="E8908" s="3" t="s">
        <v>25892</v>
      </c>
      <c r="F8908" s="3" t="str">
        <f>"317-508-6299"</f>
        <v>317-508-6299</v>
      </c>
      <c r="G8908" s="3">
        <v>238210</v>
      </c>
      <c r="H8908" s="3" t="s">
        <v>306</v>
      </c>
    </row>
    <row r="8909" spans="1:8" ht="39" x14ac:dyDescent="0.25">
      <c r="A8909" s="3" t="s">
        <v>25893</v>
      </c>
      <c r="B8909" s="3"/>
      <c r="C8909" s="3" t="str">
        <f>"Armed and Unarmed Security Guards, Body Guard services, Background Investigations, Pre-employement Screening"</f>
        <v>Armed and Unarmed Security Guards, Body Guard services, Background Investigations, Pre-employement Screening</v>
      </c>
      <c r="D8909" s="3" t="s">
        <v>25894</v>
      </c>
      <c r="E8909" s="3" t="s">
        <v>25895</v>
      </c>
      <c r="F8909" s="3" t="str">
        <f>"800-488-7855"</f>
        <v>800-488-7855</v>
      </c>
      <c r="G8909" s="3">
        <v>561612</v>
      </c>
      <c r="H8909" s="3" t="s">
        <v>362</v>
      </c>
    </row>
    <row r="8910" spans="1:8" ht="39" x14ac:dyDescent="0.25">
      <c r="A8910" s="3" t="s">
        <v>25896</v>
      </c>
      <c r="B8910" s="3"/>
      <c r="C8910" s="3" t="str">
        <f>"We sell, install and service Generac generators in homes and businesses. We also do electrical work of all kinds."</f>
        <v>We sell, install and service Generac generators in homes and businesses. We also do electrical work of all kinds.</v>
      </c>
      <c r="D8910" s="3" t="s">
        <v>25897</v>
      </c>
      <c r="E8910" s="3" t="s">
        <v>25898</v>
      </c>
      <c r="F8910" s="3" t="str">
        <f>"765-447-5976"</f>
        <v>765-447-5976</v>
      </c>
      <c r="G8910" s="3">
        <v>238210</v>
      </c>
      <c r="H8910" s="3" t="s">
        <v>306</v>
      </c>
    </row>
    <row r="8911" spans="1:8" ht="128.25" x14ac:dyDescent="0.25">
      <c r="A8911" s="3" t="s">
        <v>25899</v>
      </c>
      <c r="B8911" s="3"/>
      <c r="C8911" s="3" t="s">
        <v>25900</v>
      </c>
      <c r="D8911" s="3" t="s">
        <v>25901</v>
      </c>
      <c r="E8911" s="3" t="s">
        <v>25902</v>
      </c>
      <c r="F8911" s="3" t="str">
        <f>"270-844-3520"</f>
        <v>270-844-3520</v>
      </c>
      <c r="G8911" s="3">
        <v>72231</v>
      </c>
      <c r="H8911" s="3" t="s">
        <v>1050</v>
      </c>
    </row>
    <row r="8912" spans="1:8" ht="39" x14ac:dyDescent="0.25">
      <c r="A8912" s="3" t="s">
        <v>25903</v>
      </c>
      <c r="B8912" s="3"/>
      <c r="C8912" s="3" t="str">
        <f>"Pre-construction video taping of current conditions of jobsite before construction begins"</f>
        <v>Pre-construction video taping of current conditions of jobsite before construction begins</v>
      </c>
      <c r="D8912" s="3" t="s">
        <v>9</v>
      </c>
      <c r="E8912" s="3" t="s">
        <v>25904</v>
      </c>
      <c r="F8912" s="3" t="str">
        <f>"765-396-3429"</f>
        <v>765-396-3429</v>
      </c>
      <c r="G8912" s="3">
        <v>23</v>
      </c>
      <c r="H8912" s="3" t="s">
        <v>133</v>
      </c>
    </row>
    <row r="8913" spans="1:8" ht="141" x14ac:dyDescent="0.25">
      <c r="A8913" s="3" t="s">
        <v>25905</v>
      </c>
      <c r="B8913" s="3"/>
      <c r="C8913" s="3" t="s">
        <v>25906</v>
      </c>
      <c r="D8913" s="3" t="s">
        <v>25907</v>
      </c>
      <c r="E8913" s="3" t="s">
        <v>25908</v>
      </c>
      <c r="F8913" s="3" t="str">
        <f>"12194655162"</f>
        <v>12194655162</v>
      </c>
      <c r="G8913" s="3">
        <v>333924</v>
      </c>
      <c r="H8913" s="3" t="s">
        <v>18720</v>
      </c>
    </row>
    <row r="8914" spans="1:8" ht="90" x14ac:dyDescent="0.25">
      <c r="A8914" s="3" t="s">
        <v>25909</v>
      </c>
      <c r="B8914" s="3"/>
      <c r="C8914" s="3" t="s">
        <v>25910</v>
      </c>
      <c r="D8914" s="3" t="s">
        <v>9</v>
      </c>
      <c r="E8914" s="3" t="s">
        <v>25911</v>
      </c>
      <c r="F8914" s="3" t="str">
        <f>"317-422-2005"</f>
        <v>317-422-2005</v>
      </c>
      <c r="G8914" s="3">
        <v>2353</v>
      </c>
      <c r="H8914" s="3" t="s">
        <v>306</v>
      </c>
    </row>
    <row r="8915" spans="1:8" ht="319.5" x14ac:dyDescent="0.25">
      <c r="A8915" s="3" t="s">
        <v>25912</v>
      </c>
      <c r="B8915" s="3"/>
      <c r="C8915" s="3" t="s">
        <v>1138</v>
      </c>
      <c r="D8915" s="3" t="s">
        <v>9</v>
      </c>
      <c r="E8915" s="3" t="s">
        <v>25913</v>
      </c>
      <c r="F8915" s="3" t="str">
        <f>"219-933-8157"</f>
        <v>219-933-8157</v>
      </c>
      <c r="G8915" s="3">
        <v>624190</v>
      </c>
      <c r="H8915" s="3" t="s">
        <v>54</v>
      </c>
    </row>
    <row r="8916" spans="1:8" ht="51.75" x14ac:dyDescent="0.25">
      <c r="A8916" s="3" t="s">
        <v>25914</v>
      </c>
      <c r="B8916" s="3"/>
      <c r="C8916" s="3" t="str">
        <f>"TDX Inc services include: trail and bridge construction, large block retaining wall structures, drainage improvements, land clearing, and erosion control."</f>
        <v>TDX Inc services include: trail and bridge construction, large block retaining wall structures, drainage improvements, land clearing, and erosion control.</v>
      </c>
      <c r="D8916" s="3" t="s">
        <v>9</v>
      </c>
      <c r="E8916" s="3" t="s">
        <v>25915</v>
      </c>
      <c r="F8916" s="3" t="str">
        <f>"(317) 224-7949"</f>
        <v>(317) 224-7949</v>
      </c>
      <c r="G8916" s="3">
        <v>23</v>
      </c>
      <c r="H8916" s="3" t="s">
        <v>133</v>
      </c>
    </row>
    <row r="8917" spans="1:8" ht="26.25" x14ac:dyDescent="0.25">
      <c r="A8917" s="3" t="s">
        <v>25916</v>
      </c>
      <c r="B8917" s="3"/>
      <c r="C8917" s="3" t="str">
        <f>"AUTOBODY REPAIR - AUTOBODY RESTORATION"</f>
        <v>AUTOBODY REPAIR - AUTOBODY RESTORATION</v>
      </c>
      <c r="D8917" s="3" t="s">
        <v>9</v>
      </c>
      <c r="E8917" s="3" t="s">
        <v>25917</v>
      </c>
      <c r="F8917" s="3" t="str">
        <f>"2193246612"</f>
        <v>2193246612</v>
      </c>
      <c r="G8917" s="3">
        <v>81112</v>
      </c>
      <c r="H8917" s="3" t="s">
        <v>3041</v>
      </c>
    </row>
    <row r="8918" spans="1:8" ht="26.25" x14ac:dyDescent="0.25">
      <c r="A8918" s="3" t="s">
        <v>25918</v>
      </c>
      <c r="B8918" s="3"/>
      <c r="C8918" s="3" t="str">
        <f>"Construction management, general contracting and development."</f>
        <v>Construction management, general contracting and development.</v>
      </c>
      <c r="D8918" s="3" t="s">
        <v>25919</v>
      </c>
      <c r="E8918" s="3" t="s">
        <v>25920</v>
      </c>
      <c r="F8918" s="3" t="str">
        <f>"317.333.7503"</f>
        <v>317.333.7503</v>
      </c>
      <c r="G8918" s="3">
        <v>23</v>
      </c>
      <c r="H8918" s="3" t="s">
        <v>133</v>
      </c>
    </row>
    <row r="8919" spans="1:8" ht="77.25" x14ac:dyDescent="0.25">
      <c r="A8919" s="3" t="s">
        <v>25921</v>
      </c>
      <c r="B8919" s="3"/>
      <c r="C8919" s="3" t="str">
        <f>"Technical Consulting Website Design &amp; Hosting Computer &amp; Printer Set-up PC Building &amp; Repair “Virtual” IT Department PC &amp; Software Purchase Drop-off &amp; On-site Services Wired &amp; Wireless Networking Laying Newtork Cable"</f>
        <v>Technical Consulting Website Design &amp; Hosting Computer &amp; Printer Set-up PC Building &amp; Repair “Virtual” IT Department PC &amp; Software Purchase Drop-off &amp; On-site Services Wired &amp; Wireless Networking Laying Newtork Cable</v>
      </c>
      <c r="D8919" s="3" t="s">
        <v>25922</v>
      </c>
      <c r="E8919" s="3" t="s">
        <v>25923</v>
      </c>
      <c r="F8919" s="3" t="str">
        <f>"317-549-0686"</f>
        <v>317-549-0686</v>
      </c>
      <c r="G8919" s="3">
        <v>5415</v>
      </c>
      <c r="H8919" s="3" t="s">
        <v>188</v>
      </c>
    </row>
    <row r="8920" spans="1:8" ht="90" x14ac:dyDescent="0.25">
      <c r="A8920" s="3" t="s">
        <v>25924</v>
      </c>
      <c r="B8920" s="3"/>
      <c r="C8920" s="3" t="str">
        <f>"TECH Electronics of Indiana is a Systems Integrator providing products in services in covering Fire Alarm, Security, Pro-Sound and Audio Video applications. We have our own monitoring company and can offer maintenance agreements for extended service."</f>
        <v>TECH Electronics of Indiana is a Systems Integrator providing products in services in covering Fire Alarm, Security, Pro-Sound and Audio Video applications. We have our own monitoring company and can offer maintenance agreements for extended service.</v>
      </c>
      <c r="D8920" s="3" t="s">
        <v>25925</v>
      </c>
      <c r="E8920" s="3" t="s">
        <v>25926</v>
      </c>
      <c r="F8920" s="3" t="str">
        <f>"317-241-8324"</f>
        <v>317-241-8324</v>
      </c>
      <c r="G8920" s="3">
        <v>23821</v>
      </c>
      <c r="H8920" s="3" t="s">
        <v>306</v>
      </c>
    </row>
    <row r="8921" spans="1:8" ht="26.25" x14ac:dyDescent="0.25">
      <c r="A8921" s="3" t="s">
        <v>25927</v>
      </c>
      <c r="B8921" s="3"/>
      <c r="C8921" s="3" t="str">
        <f>"We are a Medical Supplies Distributor."</f>
        <v>We are a Medical Supplies Distributor.</v>
      </c>
      <c r="D8921" s="3" t="s">
        <v>25928</v>
      </c>
      <c r="E8921" s="3" t="s">
        <v>25929</v>
      </c>
      <c r="F8921" s="3" t="str">
        <f>"317-783-6554"</f>
        <v>317-783-6554</v>
      </c>
      <c r="G8921" s="3">
        <v>423450</v>
      </c>
      <c r="H8921" s="3" t="s">
        <v>1406</v>
      </c>
    </row>
    <row r="8922" spans="1:8" ht="217.5" x14ac:dyDescent="0.25">
      <c r="A8922" s="3" t="s">
        <v>25930</v>
      </c>
      <c r="B8922" s="3"/>
      <c r="C8922" s="3" t="s">
        <v>25931</v>
      </c>
      <c r="D8922" s="3" t="s">
        <v>25932</v>
      </c>
      <c r="E8922" s="3" t="s">
        <v>25933</v>
      </c>
      <c r="F8922" s="2"/>
      <c r="G8922" s="3">
        <v>519190</v>
      </c>
      <c r="H8922" s="3" t="s">
        <v>13512</v>
      </c>
    </row>
    <row r="8923" spans="1:8" ht="77.25" x14ac:dyDescent="0.25">
      <c r="A8923" s="3" t="s">
        <v>25934</v>
      </c>
      <c r="B8923" s="3"/>
      <c r="C8923" s="3" t="str">
        <f>"mANUGACTURERS REPRESENTATIVES AND DISTRIBUTORS FOR HEATING, VENTTALATION, COOLING, EQUYIPMENT INCLUDING WASTE OIL FURNACES AND BOILERS, DIRECT FIRED AND RADIANT HEATERS. INDUSTRIAL FUME AND VEHICLE FUME EXTRACTION SYSTEMS"</f>
        <v>mANUGACTURERS REPRESENTATIVES AND DISTRIBUTORS FOR HEATING, VENTTALATION, COOLING, EQUYIPMENT INCLUDING WASTE OIL FURNACES AND BOILERS, DIRECT FIRED AND RADIANT HEATERS. INDUSTRIAL FUME AND VEHICLE FUME EXTRACTION SYSTEMS</v>
      </c>
      <c r="D8923" s="3" t="s">
        <v>25935</v>
      </c>
      <c r="E8923" s="3" t="s">
        <v>25936</v>
      </c>
      <c r="F8923" s="3" t="str">
        <f>"317.346.6692"</f>
        <v>317.346.6692</v>
      </c>
      <c r="G8923" s="3">
        <v>42373</v>
      </c>
      <c r="H8923" s="3" t="s">
        <v>17650</v>
      </c>
    </row>
    <row r="8924" spans="1:8" ht="26.25" x14ac:dyDescent="0.25">
      <c r="A8924" s="3" t="s">
        <v>25937</v>
      </c>
      <c r="B8924" s="3"/>
      <c r="C8924" s="3" t="str">
        <f>"FULL CARE HAIR SALON"</f>
        <v>FULL CARE HAIR SALON</v>
      </c>
      <c r="D8924" s="3" t="s">
        <v>9</v>
      </c>
      <c r="E8924" s="3" t="s">
        <v>46</v>
      </c>
      <c r="F8924" s="3" t="str">
        <f>"812-744-3866"</f>
        <v>812-744-3866</v>
      </c>
      <c r="G8924" s="3">
        <v>812112</v>
      </c>
      <c r="H8924" s="3" t="s">
        <v>1081</v>
      </c>
    </row>
    <row r="8925" spans="1:8" ht="90" x14ac:dyDescent="0.25">
      <c r="A8925" s="3" t="s">
        <v>25938</v>
      </c>
      <c r="B8925" s="3"/>
      <c r="C8925" s="3" t="str">
        <f>"TEG Architects, founded in 1989, is an internationally recognized architectural, planning and interior design firm providing masterplanning, design and construction administration services. Specialization in Health Care Facility Design and Masterplanning."</f>
        <v>TEG Architects, founded in 1989, is an internationally recognized architectural, planning and interior design firm providing masterplanning, design and construction administration services. Specialization in Health Care Facility Design and Masterplanning.</v>
      </c>
      <c r="D8925" s="3" t="s">
        <v>25939</v>
      </c>
      <c r="E8925" s="3" t="s">
        <v>25940</v>
      </c>
      <c r="F8925" s="3" t="str">
        <f>"812-282-3700"</f>
        <v>812-282-3700</v>
      </c>
      <c r="G8925" s="3">
        <v>541310</v>
      </c>
      <c r="H8925" s="3" t="s">
        <v>446</v>
      </c>
    </row>
    <row r="8926" spans="1:8" ht="64.5" x14ac:dyDescent="0.25">
      <c r="A8926" s="3" t="s">
        <v>25941</v>
      </c>
      <c r="B8926" s="3"/>
      <c r="C8926" s="3" t="str">
        <f>"Global Emergency Products is a dealer for Pierce Manufacturing, the largest fire apparatus manufacture in North America. GEP sells Fire Apparatus to Municipalities throughout the state."</f>
        <v>Global Emergency Products is a dealer for Pierce Manufacturing, the largest fire apparatus manufacture in North America. GEP sells Fire Apparatus to Municipalities throughout the state.</v>
      </c>
      <c r="D8926" s="3" t="s">
        <v>25942</v>
      </c>
      <c r="E8926" s="3" t="s">
        <v>25943</v>
      </c>
      <c r="F8926" s="3" t="str">
        <f>"8003829788"</f>
        <v>8003829788</v>
      </c>
      <c r="G8926" s="3">
        <v>333298</v>
      </c>
      <c r="H8926" s="3" t="s">
        <v>13530</v>
      </c>
    </row>
    <row r="8927" spans="1:8" ht="26.25" x14ac:dyDescent="0.25">
      <c r="A8927" s="3" t="s">
        <v>25944</v>
      </c>
      <c r="B8927" s="3"/>
      <c r="C8927" s="3" t="str">
        <f>"paving, sitework, small bridges, sewer and waterlines, pipe lining"</f>
        <v>paving, sitework, small bridges, sewer and waterlines, pipe lining</v>
      </c>
      <c r="D8927" s="3" t="s">
        <v>9</v>
      </c>
      <c r="E8927" s="3" t="s">
        <v>25945</v>
      </c>
      <c r="F8927" s="3" t="str">
        <f>"812-883-6644"</f>
        <v>812-883-6644</v>
      </c>
      <c r="G8927" s="3">
        <v>237310</v>
      </c>
      <c r="H8927" s="3" t="s">
        <v>768</v>
      </c>
    </row>
    <row r="8928" spans="1:8" ht="77.25" x14ac:dyDescent="0.25">
      <c r="A8928" s="3" t="s">
        <v>25946</v>
      </c>
      <c r="B8928" s="3"/>
      <c r="C8928" s="3" t="str">
        <f>"Bare rental of heavy equipment and cranes for industrial and commercial construction. Direct customer will be owners, general contractors, and subcontractors. Owners of projects will include governmental, industrial and commercial entities."</f>
        <v>Bare rental of heavy equipment and cranes for industrial and commercial construction. Direct customer will be owners, general contractors, and subcontractors. Owners of projects will include governmental, industrial and commercial entities.</v>
      </c>
      <c r="D8928" s="3" t="s">
        <v>25947</v>
      </c>
      <c r="E8928" s="3" t="s">
        <v>25948</v>
      </c>
      <c r="F8928" s="3" t="str">
        <f>"317.442.6887"</f>
        <v>317.442.6887</v>
      </c>
      <c r="G8928" s="3">
        <v>532412</v>
      </c>
      <c r="H8928" s="3" t="s">
        <v>777</v>
      </c>
    </row>
    <row r="8929" spans="1:8" ht="26.25" x14ac:dyDescent="0.25">
      <c r="A8929" s="3" t="s">
        <v>25949</v>
      </c>
      <c r="B8929" s="3"/>
      <c r="C8929" s="3" t="str">
        <f>"Retail/wholesale product line"</f>
        <v>Retail/wholesale product line</v>
      </c>
      <c r="D8929" s="3" t="s">
        <v>9</v>
      </c>
      <c r="E8929" s="3" t="s">
        <v>46</v>
      </c>
      <c r="F8929" s="3" t="str">
        <f>"812-637-5777"</f>
        <v>812-637-5777</v>
      </c>
      <c r="G8929" s="3">
        <v>447110</v>
      </c>
      <c r="H8929" s="3" t="s">
        <v>12131</v>
      </c>
    </row>
    <row r="8930" spans="1:8" ht="39" x14ac:dyDescent="0.25">
      <c r="A8930" s="3" t="s">
        <v>25950</v>
      </c>
      <c r="B8930" s="3"/>
      <c r="C8930" s="3" t="str">
        <f>"Bar offering Mexican style food, non-alcoholic beverages, as well as alcoholic beverages."</f>
        <v>Bar offering Mexican style food, non-alcoholic beverages, as well as alcoholic beverages.</v>
      </c>
      <c r="D8930" s="3" t="s">
        <v>9</v>
      </c>
      <c r="E8930" s="3" t="s">
        <v>46</v>
      </c>
      <c r="F8930" s="2"/>
      <c r="G8930" s="3">
        <v>722410</v>
      </c>
      <c r="H8930" s="3" t="s">
        <v>25951</v>
      </c>
    </row>
    <row r="8931" spans="1:8" ht="115.5" x14ac:dyDescent="0.25">
      <c r="A8931" s="3" t="s">
        <v>25952</v>
      </c>
      <c r="B8931" s="3"/>
      <c r="C8931" s="3" t="s">
        <v>25953</v>
      </c>
      <c r="D8931" s="3" t="s">
        <v>25954</v>
      </c>
      <c r="E8931" s="3" t="s">
        <v>25955</v>
      </c>
      <c r="F8931" s="3" t="str">
        <f>"317-223-8986"</f>
        <v>317-223-8986</v>
      </c>
      <c r="G8931" s="3">
        <v>453998</v>
      </c>
      <c r="H8931" s="3" t="s">
        <v>112</v>
      </c>
    </row>
    <row r="8932" spans="1:8" ht="39" x14ac:dyDescent="0.25">
      <c r="A8932" s="3" t="s">
        <v>25956</v>
      </c>
      <c r="B8932" s="3"/>
      <c r="C8932" s="3" t="str">
        <f>"Horizontal boring services for installation of communication cables; excavation services"</f>
        <v>Horizontal boring services for installation of communication cables; excavation services</v>
      </c>
      <c r="D8932" s="3" t="s">
        <v>9</v>
      </c>
      <c r="E8932" s="3" t="s">
        <v>25957</v>
      </c>
      <c r="F8932" s="3" t="str">
        <f>"765-457-3197"</f>
        <v>765-457-3197</v>
      </c>
      <c r="G8932" s="3">
        <v>237130</v>
      </c>
      <c r="H8932" s="3" t="s">
        <v>3432</v>
      </c>
    </row>
    <row r="8933" spans="1:8" ht="51.75" x14ac:dyDescent="0.25">
      <c r="A8933" s="3" t="s">
        <v>25958</v>
      </c>
      <c r="B8933" s="3"/>
      <c r="C8933" s="3" t="str">
        <f>"The Anderson Group Consulting is an Indiana based full-service consulting firm with a division specializing in data entry conversion."</f>
        <v>The Anderson Group Consulting is an Indiana based full-service consulting firm with a division specializing in data entry conversion.</v>
      </c>
      <c r="D8933" s="3" t="s">
        <v>25959</v>
      </c>
      <c r="E8933" s="3" t="s">
        <v>25960</v>
      </c>
      <c r="F8933" s="3" t="str">
        <f>"765-643-8242"</f>
        <v>765-643-8242</v>
      </c>
      <c r="G8933" s="3">
        <v>54161</v>
      </c>
      <c r="H8933" s="3" t="s">
        <v>1221</v>
      </c>
    </row>
    <row r="8934" spans="1:8" ht="39" x14ac:dyDescent="0.25">
      <c r="A8934" s="3" t="s">
        <v>25961</v>
      </c>
      <c r="B8934" s="3"/>
      <c r="C8934" s="3" t="str">
        <f>"REAL ESTATE BROKER, REAL ESTATE SALES, PROPERTY MANAGEMENT, LEASING, REAL ESTATE CONSULTING"</f>
        <v>REAL ESTATE BROKER, REAL ESTATE SALES, PROPERTY MANAGEMENT, LEASING, REAL ESTATE CONSULTING</v>
      </c>
      <c r="D8934" s="3" t="s">
        <v>25962</v>
      </c>
      <c r="E8934" s="3" t="s">
        <v>25963</v>
      </c>
      <c r="F8934" s="3" t="str">
        <f>"317.270.0311"</f>
        <v>317.270.0311</v>
      </c>
      <c r="G8934" s="3">
        <v>531</v>
      </c>
      <c r="H8934" s="3" t="s">
        <v>74</v>
      </c>
    </row>
    <row r="8935" spans="1:8" ht="39" x14ac:dyDescent="0.25">
      <c r="A8935" s="3" t="s">
        <v>25964</v>
      </c>
      <c r="B8935" s="3"/>
      <c r="C8935" s="3" t="str">
        <f>"TCC is an experienced vendor with expertise in mobile solutions and systems development. We are also an MBE."</f>
        <v>TCC is an experienced vendor with expertise in mobile solutions and systems development. We are also an MBE.</v>
      </c>
      <c r="D8935" s="3" t="s">
        <v>25965</v>
      </c>
      <c r="E8935" s="3" t="s">
        <v>25966</v>
      </c>
      <c r="F8935" s="3" t="str">
        <f>"317-638-0173"</f>
        <v>317-638-0173</v>
      </c>
      <c r="G8935" s="3">
        <v>541511</v>
      </c>
      <c r="H8935" s="3" t="s">
        <v>122</v>
      </c>
    </row>
    <row r="8936" spans="1:8" ht="26.25" x14ac:dyDescent="0.25">
      <c r="A8936" s="3" t="s">
        <v>25967</v>
      </c>
      <c r="B8936" s="3"/>
      <c r="C8936" s="3" t="str">
        <f>"CUSTOM CHEMICAL VEGETATION CONTROL"</f>
        <v>CUSTOM CHEMICAL VEGETATION CONTROL</v>
      </c>
      <c r="D8936" s="3" t="s">
        <v>9</v>
      </c>
      <c r="E8936" s="3" t="s">
        <v>25968</v>
      </c>
      <c r="F8936" s="3" t="str">
        <f>"574.267.7511"</f>
        <v>574.267.7511</v>
      </c>
      <c r="G8936" s="3">
        <v>561730</v>
      </c>
      <c r="H8936" s="3" t="s">
        <v>65</v>
      </c>
    </row>
    <row r="8937" spans="1:8" ht="102.75" x14ac:dyDescent="0.25">
      <c r="A8937" s="3" t="s">
        <v>25969</v>
      </c>
      <c r="B8937" s="3"/>
      <c r="C8937" s="3" t="s">
        <v>25970</v>
      </c>
      <c r="D8937" s="3" t="s">
        <v>25971</v>
      </c>
      <c r="E8937" s="3" t="s">
        <v>25972</v>
      </c>
      <c r="F8937" s="3" t="str">
        <f>"3178229290"</f>
        <v>3178229290</v>
      </c>
      <c r="G8937" s="3">
        <v>238220</v>
      </c>
      <c r="H8937" s="3" t="s">
        <v>348</v>
      </c>
    </row>
    <row r="8938" spans="1:8" ht="115.5" x14ac:dyDescent="0.25">
      <c r="A8938" s="3" t="s">
        <v>25973</v>
      </c>
      <c r="B8938" s="3"/>
      <c r="C8938" s="3" t="s">
        <v>25974</v>
      </c>
      <c r="D8938" s="3" t="s">
        <v>9</v>
      </c>
      <c r="E8938" s="3" t="s">
        <v>25975</v>
      </c>
      <c r="F8938" s="3" t="str">
        <f>"812-522-6181"</f>
        <v>812-522-6181</v>
      </c>
      <c r="G8938" s="3">
        <v>45399</v>
      </c>
      <c r="H8938" s="3" t="s">
        <v>3215</v>
      </c>
    </row>
    <row r="8939" spans="1:8" ht="26.25" x14ac:dyDescent="0.25">
      <c r="A8939" s="3" t="s">
        <v>25976</v>
      </c>
      <c r="B8939" s="3"/>
      <c r="C8939" s="3" t="str">
        <f>"Motorcoach Charter Service"</f>
        <v>Motorcoach Charter Service</v>
      </c>
      <c r="D8939" s="3" t="s">
        <v>25977</v>
      </c>
      <c r="E8939" s="3" t="s">
        <v>25978</v>
      </c>
      <c r="F8939" s="3" t="str">
        <f>"800-255-1337"</f>
        <v>800-255-1337</v>
      </c>
      <c r="G8939" s="3">
        <v>485510</v>
      </c>
      <c r="H8939" s="3" t="s">
        <v>8779</v>
      </c>
    </row>
    <row r="8940" spans="1:8" ht="26.25" x14ac:dyDescent="0.25">
      <c r="A8940" s="3" t="s">
        <v>25979</v>
      </c>
      <c r="B8940" s="3"/>
      <c r="C8940" s="3" t="str">
        <f>"Construction, mechanical design and build engineering, heating and air conditioning."</f>
        <v>Construction, mechanical design and build engineering, heating and air conditioning.</v>
      </c>
      <c r="D8940" s="3" t="s">
        <v>25980</v>
      </c>
      <c r="E8940" s="3" t="s">
        <v>25981</v>
      </c>
      <c r="F8940" s="3" t="str">
        <f>"317-291-6130"</f>
        <v>317-291-6130</v>
      </c>
      <c r="G8940" s="3">
        <v>238</v>
      </c>
      <c r="H8940" s="3" t="s">
        <v>397</v>
      </c>
    </row>
    <row r="8941" spans="1:8" ht="26.25" x14ac:dyDescent="0.25">
      <c r="A8941" s="3" t="s">
        <v>25982</v>
      </c>
      <c r="B8941" s="3"/>
      <c r="C8941" s="3" t="str">
        <f>" "</f>
        <v xml:space="preserve"> </v>
      </c>
      <c r="D8941" s="3" t="s">
        <v>25983</v>
      </c>
      <c r="E8941" s="3" t="s">
        <v>25984</v>
      </c>
      <c r="F8941" s="3" t="str">
        <f>"317-684-7777"</f>
        <v>317-684-7777</v>
      </c>
      <c r="G8941" s="3">
        <v>5418</v>
      </c>
      <c r="H8941" s="3" t="s">
        <v>1337</v>
      </c>
    </row>
    <row r="8942" spans="1:8" ht="39" x14ac:dyDescent="0.25">
      <c r="A8942" s="3" t="s">
        <v>25982</v>
      </c>
      <c r="B8942" s="3"/>
      <c r="C8942" s="3" t="str">
        <f>"We are a marketing/communications firm specializing in consumer and business to business communications."</f>
        <v>We are a marketing/communications firm specializing in consumer and business to business communications.</v>
      </c>
      <c r="D8942" s="3" t="s">
        <v>25985</v>
      </c>
      <c r="E8942" s="3" t="s">
        <v>46</v>
      </c>
      <c r="F8942" s="3" t="str">
        <f>"317-684-7777"</f>
        <v>317-684-7777</v>
      </c>
      <c r="G8942" s="3">
        <v>541810</v>
      </c>
      <c r="H8942" s="3" t="s">
        <v>976</v>
      </c>
    </row>
    <row r="8943" spans="1:8" ht="51.75" x14ac:dyDescent="0.25">
      <c r="A8943" s="3" t="s">
        <v>25986</v>
      </c>
      <c r="B8943" s="3"/>
      <c r="C8943" s="3" t="str">
        <f>"sales of vacuum and carpet cleaning equipment, hard floor maintenance equipment, parts and repair service. Also janitorial supplies"</f>
        <v>sales of vacuum and carpet cleaning equipment, hard floor maintenance equipment, parts and repair service. Also janitorial supplies</v>
      </c>
      <c r="D8943" s="3" t="s">
        <v>25987</v>
      </c>
      <c r="E8943" s="3" t="s">
        <v>25988</v>
      </c>
      <c r="F8943" s="3" t="str">
        <f>"219-845-6800"</f>
        <v>219-845-6800</v>
      </c>
      <c r="G8943" s="3">
        <v>443111</v>
      </c>
      <c r="H8943" s="3" t="s">
        <v>11614</v>
      </c>
    </row>
    <row r="8944" spans="1:8" ht="128.25" x14ac:dyDescent="0.25">
      <c r="A8944" s="3" t="s">
        <v>25989</v>
      </c>
      <c r="B8944" s="3"/>
      <c r="C8944" s="3" t="s">
        <v>25990</v>
      </c>
      <c r="D8944" s="3" t="s">
        <v>25991</v>
      </c>
      <c r="E8944" s="3" t="s">
        <v>25992</v>
      </c>
      <c r="F8944" s="3" t="str">
        <f>"317-514-6043"</f>
        <v>317-514-6043</v>
      </c>
      <c r="G8944" s="3">
        <v>541611</v>
      </c>
      <c r="H8944" s="3" t="s">
        <v>278</v>
      </c>
    </row>
    <row r="8945" spans="1:8" ht="26.25" x14ac:dyDescent="0.25">
      <c r="A8945" s="3" t="s">
        <v>25993</v>
      </c>
      <c r="B8945" s="3"/>
      <c r="C8945" s="3" t="str">
        <f>"Software development for public, private, and governmental organizations."</f>
        <v>Software development for public, private, and governmental organizations.</v>
      </c>
      <c r="D8945" s="3" t="s">
        <v>25994</v>
      </c>
      <c r="E8945" s="3" t="s">
        <v>25995</v>
      </c>
      <c r="F8945" s="3" t="str">
        <f>"812/434.6600"</f>
        <v>812/434.6600</v>
      </c>
      <c r="G8945" s="3">
        <v>541990</v>
      </c>
      <c r="H8945" s="3" t="s">
        <v>378</v>
      </c>
    </row>
    <row r="8946" spans="1:8" ht="179.25" x14ac:dyDescent="0.25">
      <c r="A8946" s="3" t="s">
        <v>25996</v>
      </c>
      <c r="B8946" s="3"/>
      <c r="C8946" s="3" t="s">
        <v>25997</v>
      </c>
      <c r="D8946" s="3" t="s">
        <v>25998</v>
      </c>
      <c r="E8946" s="3" t="s">
        <v>25999</v>
      </c>
      <c r="F8946" s="3" t="str">
        <f>"317-572-7515"</f>
        <v>317-572-7515</v>
      </c>
      <c r="G8946" s="3">
        <v>5614</v>
      </c>
      <c r="H8946" s="3" t="s">
        <v>847</v>
      </c>
    </row>
    <row r="8947" spans="1:8" ht="166.5" x14ac:dyDescent="0.25">
      <c r="A8947" s="3" t="s">
        <v>26000</v>
      </c>
      <c r="B8947" s="3"/>
      <c r="C8947" s="3" t="s">
        <v>26001</v>
      </c>
      <c r="D8947" s="3" t="s">
        <v>26002</v>
      </c>
      <c r="E8947" s="3" t="s">
        <v>26003</v>
      </c>
      <c r="F8947" s="3" t="str">
        <f>"317-849-8442"</f>
        <v>317-849-8442</v>
      </c>
      <c r="G8947" s="3">
        <v>541310</v>
      </c>
      <c r="H8947" s="3" t="s">
        <v>446</v>
      </c>
    </row>
    <row r="8948" spans="1:8" ht="64.5" x14ac:dyDescent="0.25">
      <c r="A8948" s="3" t="s">
        <v>26004</v>
      </c>
      <c r="B8948" s="3"/>
      <c r="C8948" s="3" t="str">
        <f>"Translations/Interpretations in Spanish and English. All fields offered. All major languages may also be available. Consulting, Outreach, Multilingual video production."</f>
        <v>Translations/Interpretations in Spanish and English. All fields offered. All major languages may also be available. Consulting, Outreach, Multilingual video production.</v>
      </c>
      <c r="D8948" s="3" t="s">
        <v>26005</v>
      </c>
      <c r="E8948" s="3" t="s">
        <v>26006</v>
      </c>
      <c r="F8948" s="3" t="str">
        <f>"317-465-0039"</f>
        <v>317-465-0039</v>
      </c>
      <c r="G8948" s="3">
        <v>541930</v>
      </c>
      <c r="H8948" s="3" t="s">
        <v>971</v>
      </c>
    </row>
    <row r="8949" spans="1:8" ht="26.25" x14ac:dyDescent="0.25">
      <c r="A8949" s="3" t="s">
        <v>26007</v>
      </c>
      <c r="B8949" s="3"/>
      <c r="C8949" s="3" t="str">
        <f>"Full-service, wholesale foodservice distributor.Vending machine sales."</f>
        <v>Full-service, wholesale foodservice distributor.Vending machine sales.</v>
      </c>
      <c r="D8949" s="3" t="s">
        <v>26008</v>
      </c>
      <c r="E8949" s="3" t="s">
        <v>26009</v>
      </c>
      <c r="F8949" s="3" t="str">
        <f>"866 702-7810"</f>
        <v>866 702-7810</v>
      </c>
      <c r="G8949" s="3">
        <v>5141</v>
      </c>
      <c r="H8949" s="3" t="s">
        <v>1097</v>
      </c>
    </row>
    <row r="8950" spans="1:8" ht="64.5" x14ac:dyDescent="0.25">
      <c r="A8950" s="3" t="s">
        <v>26010</v>
      </c>
      <c r="B8950" s="3"/>
      <c r="C8950" s="3" t="str">
        <f>"The Uniform House has been in business since 1951 and is one of Indiana's largest distributors for police, fire, sheriff, security, postal, health care, medical, industrial, career, hotel and restaurant apparel."</f>
        <v>The Uniform House has been in business since 1951 and is one of Indiana's largest distributors for police, fire, sheriff, security, postal, health care, medical, industrial, career, hotel and restaurant apparel.</v>
      </c>
      <c r="D8950" s="3" t="s">
        <v>26011</v>
      </c>
      <c r="E8950" s="3" t="s">
        <v>26012</v>
      </c>
      <c r="F8950" s="3" t="str">
        <f>"317-926-4467"</f>
        <v>317-926-4467</v>
      </c>
      <c r="G8950" s="3">
        <v>44</v>
      </c>
      <c r="H8950" s="3" t="s">
        <v>574</v>
      </c>
    </row>
    <row r="8951" spans="1:8" ht="90" x14ac:dyDescent="0.25">
      <c r="A8951" s="3" t="s">
        <v>26013</v>
      </c>
      <c r="B8951" s="3"/>
      <c r="C8951" s="3" t="s">
        <v>26014</v>
      </c>
      <c r="D8951" s="3" t="s">
        <v>26015</v>
      </c>
      <c r="E8951" s="3" t="s">
        <v>26016</v>
      </c>
      <c r="F8951" s="3" t="str">
        <f>"614-316-2952"</f>
        <v>614-316-2952</v>
      </c>
      <c r="G8951" s="3">
        <v>54182</v>
      </c>
      <c r="H8951" s="3" t="s">
        <v>795</v>
      </c>
    </row>
    <row r="8952" spans="1:8" ht="102.75" x14ac:dyDescent="0.25">
      <c r="A8952" s="3" t="s">
        <v>26017</v>
      </c>
      <c r="B8952" s="3"/>
      <c r="C8952" s="3" t="s">
        <v>26018</v>
      </c>
      <c r="D8952" s="3" t="s">
        <v>26019</v>
      </c>
      <c r="E8952" s="3" t="s">
        <v>26020</v>
      </c>
      <c r="F8952" s="3" t="str">
        <f>"812-273-8826"</f>
        <v>812-273-8826</v>
      </c>
      <c r="G8952" s="3">
        <v>541620</v>
      </c>
      <c r="H8952" s="3" t="s">
        <v>216</v>
      </c>
    </row>
    <row r="8953" spans="1:8" ht="26.25" x14ac:dyDescent="0.25">
      <c r="A8953" s="3" t="s">
        <v>26021</v>
      </c>
      <c r="B8953" s="3"/>
      <c r="C8953" s="2"/>
      <c r="D8953" s="3" t="s">
        <v>9</v>
      </c>
      <c r="E8953" s="3" t="s">
        <v>26022</v>
      </c>
      <c r="F8953" s="3" t="str">
        <f>"317-955-6933"</f>
        <v>317-955-6933</v>
      </c>
      <c r="G8953" s="3">
        <v>541211</v>
      </c>
      <c r="H8953" s="3" t="s">
        <v>337</v>
      </c>
    </row>
    <row r="8954" spans="1:8" ht="26.25" x14ac:dyDescent="0.25">
      <c r="A8954" s="3" t="s">
        <v>26023</v>
      </c>
      <c r="B8954" s="3"/>
      <c r="C8954" s="3" t="str">
        <f>" "</f>
        <v xml:space="preserve"> </v>
      </c>
      <c r="D8954" s="3" t="s">
        <v>26024</v>
      </c>
      <c r="E8954" s="3" t="s">
        <v>26025</v>
      </c>
      <c r="F8954" s="3" t="str">
        <f>"219-924-3000"</f>
        <v>219-924-3000</v>
      </c>
      <c r="G8954" s="3">
        <v>441110</v>
      </c>
      <c r="H8954" s="3" t="s">
        <v>2588</v>
      </c>
    </row>
    <row r="8955" spans="1:8" x14ac:dyDescent="0.25">
      <c r="A8955" s="3" t="s">
        <v>26026</v>
      </c>
      <c r="B8955" s="3"/>
      <c r="C8955" s="3" t="str">
        <f>" "</f>
        <v xml:space="preserve"> </v>
      </c>
      <c r="D8955" s="3" t="s">
        <v>9</v>
      </c>
      <c r="E8955" s="3" t="s">
        <v>46</v>
      </c>
      <c r="F8955" s="2"/>
      <c r="G8955" s="3">
        <v>441221</v>
      </c>
      <c r="H8955" s="3" t="s">
        <v>3299</v>
      </c>
    </row>
    <row r="8956" spans="1:8" ht="39" x14ac:dyDescent="0.25">
      <c r="A8956" s="3" t="s">
        <v>26027</v>
      </c>
      <c r="B8956" s="3"/>
      <c r="C8956" s="3" t="str">
        <f>"OFFICE SPACE"</f>
        <v>OFFICE SPACE</v>
      </c>
      <c r="D8956" s="3" t="s">
        <v>9</v>
      </c>
      <c r="E8956" s="3" t="s">
        <v>46</v>
      </c>
      <c r="F8956" s="3" t="str">
        <f>"1-800-528-1696-5000"</f>
        <v>1-800-528-1696-5000</v>
      </c>
      <c r="G8956" s="3">
        <v>532</v>
      </c>
      <c r="H8956" s="3" t="s">
        <v>2610</v>
      </c>
    </row>
    <row r="8957" spans="1:8" ht="39" x14ac:dyDescent="0.25">
      <c r="A8957" s="3" t="s">
        <v>26028</v>
      </c>
      <c r="B8957" s="3"/>
      <c r="C8957" s="3" t="str">
        <f>"Broker and distributor of heavy equipment and parts Distributor of petroleum and ancillary products"</f>
        <v>Broker and distributor of heavy equipment and parts Distributor of petroleum and ancillary products</v>
      </c>
      <c r="D8957" s="3" t="s">
        <v>26029</v>
      </c>
      <c r="E8957" s="3" t="s">
        <v>46</v>
      </c>
      <c r="F8957" s="3" t="str">
        <f>"219-949-6390"</f>
        <v>219-949-6390</v>
      </c>
      <c r="G8957" s="3">
        <v>424</v>
      </c>
      <c r="H8957" s="3" t="s">
        <v>6553</v>
      </c>
    </row>
    <row r="8958" spans="1:8" ht="26.25" x14ac:dyDescent="0.25">
      <c r="A8958" s="3" t="s">
        <v>26030</v>
      </c>
      <c r="B8958" s="3"/>
      <c r="C8958" s="3" t="str">
        <f>"PLUMBING, HVAC, MECHANICAL, &amp; ELECTRICAL WHOLESALE DISTRIBTION"</f>
        <v>PLUMBING, HVAC, MECHANICAL, &amp; ELECTRICAL WHOLESALE DISTRIBTION</v>
      </c>
      <c r="D8958" s="3" t="s">
        <v>26031</v>
      </c>
      <c r="E8958" s="3" t="s">
        <v>26032</v>
      </c>
      <c r="F8958" s="3" t="str">
        <f>"317-923-2581"</f>
        <v>317-923-2581</v>
      </c>
      <c r="G8958" s="3">
        <v>42172</v>
      </c>
      <c r="H8958" s="3" t="s">
        <v>3003</v>
      </c>
    </row>
    <row r="8959" spans="1:8" ht="64.5" x14ac:dyDescent="0.25">
      <c r="A8959" s="3" t="s">
        <v>26033</v>
      </c>
      <c r="B8959" s="3"/>
      <c r="C8959" s="3" t="str">
        <f>"This company will perform a professional property cleaning service for the real estate market of our government and real estate firms,real estate management firms,banks and finance companies."</f>
        <v>This company will perform a professional property cleaning service for the real estate market of our government and real estate firms,real estate management firms,banks and finance companies.</v>
      </c>
      <c r="D8959" s="3" t="s">
        <v>9</v>
      </c>
      <c r="E8959" s="3" t="s">
        <v>46</v>
      </c>
      <c r="F8959" s="2"/>
      <c r="G8959" s="3">
        <v>561720</v>
      </c>
      <c r="H8959" s="3" t="s">
        <v>222</v>
      </c>
    </row>
    <row r="8960" spans="1:8" ht="26.25" x14ac:dyDescent="0.25">
      <c r="A8960" s="3" t="s">
        <v>26034</v>
      </c>
      <c r="B8960" s="3"/>
      <c r="C8960" s="3" t="str">
        <f>"janitorial services"</f>
        <v>janitorial services</v>
      </c>
      <c r="D8960" s="3" t="s">
        <v>9</v>
      </c>
      <c r="E8960" s="3" t="s">
        <v>26035</v>
      </c>
      <c r="F8960" s="3" t="str">
        <f>"317-551-5489"</f>
        <v>317-551-5489</v>
      </c>
      <c r="G8960" s="3">
        <v>7212</v>
      </c>
      <c r="H8960" s="3" t="s">
        <v>26036</v>
      </c>
    </row>
    <row r="8961" spans="1:8" ht="51.75" x14ac:dyDescent="0.25">
      <c r="A8961" s="3" t="s">
        <v>26037</v>
      </c>
      <c r="B8961" s="3"/>
      <c r="C8961" s="3" t="str">
        <f>"Connected to a asset based carrier located in Indiana. Provide freight hauling and broker services of freight for various companies."</f>
        <v>Connected to a asset based carrier located in Indiana. Provide freight hauling and broker services of freight for various companies.</v>
      </c>
      <c r="D8961" s="3" t="s">
        <v>9</v>
      </c>
      <c r="E8961" s="3" t="s">
        <v>26038</v>
      </c>
      <c r="F8961" s="3" t="str">
        <f>"317-525-7067"</f>
        <v>317-525-7067</v>
      </c>
      <c r="G8961" s="3">
        <v>48</v>
      </c>
      <c r="H8961" s="3" t="s">
        <v>104</v>
      </c>
    </row>
    <row r="8962" spans="1:8" ht="64.5" x14ac:dyDescent="0.25">
      <c r="A8962" s="3" t="s">
        <v>26039</v>
      </c>
      <c r="B8962" s="3"/>
      <c r="C8962" s="3" t="str">
        <f>"We provide sales and services for fire extinguishers, suppression systems, and emergency lighting. We also provide services in kitchen hood cleaning, control burn training."</f>
        <v>We provide sales and services for fire extinguishers, suppression systems, and emergency lighting. We also provide services in kitchen hood cleaning, control burn training.</v>
      </c>
      <c r="D8962" s="3" t="s">
        <v>26040</v>
      </c>
      <c r="E8962" s="3" t="s">
        <v>26041</v>
      </c>
      <c r="F8962" s="3" t="str">
        <f>"888-578-7777"</f>
        <v>888-578-7777</v>
      </c>
      <c r="G8962" s="3">
        <v>423990</v>
      </c>
      <c r="H8962" s="3" t="s">
        <v>983</v>
      </c>
    </row>
    <row r="8963" spans="1:8" ht="26.25" x14ac:dyDescent="0.25">
      <c r="A8963" s="3" t="s">
        <v>26042</v>
      </c>
      <c r="B8963" s="3"/>
      <c r="C8963" s="3" t="str">
        <f>"DUMP TRUCKING AND EXCAVATING SERVICES"</f>
        <v>DUMP TRUCKING AND EXCAVATING SERVICES</v>
      </c>
      <c r="D8963" s="3" t="s">
        <v>9</v>
      </c>
      <c r="E8963" s="3" t="s">
        <v>26043</v>
      </c>
      <c r="F8963" s="3" t="str">
        <f>"812-988-2669"</f>
        <v>812-988-2669</v>
      </c>
      <c r="G8963" s="3">
        <v>23593</v>
      </c>
      <c r="H8963" s="3" t="s">
        <v>71</v>
      </c>
    </row>
    <row r="8964" spans="1:8" ht="39" x14ac:dyDescent="0.25">
      <c r="A8964" s="3" t="s">
        <v>26044</v>
      </c>
      <c r="B8964" s="3"/>
      <c r="C8964" s="3" t="str">
        <f>"Specialized in rehabilitating single family homes, new construction, windows, siding, doors, drywall work."</f>
        <v>Specialized in rehabilitating single family homes, new construction, windows, siding, doors, drywall work.</v>
      </c>
      <c r="D8964" s="3" t="s">
        <v>9</v>
      </c>
      <c r="E8964" s="3" t="s">
        <v>26045</v>
      </c>
      <c r="F8964" s="3" t="str">
        <f>"260-359-9768"</f>
        <v>260-359-9768</v>
      </c>
      <c r="G8964" s="3">
        <v>23321</v>
      </c>
      <c r="H8964" s="3" t="s">
        <v>152</v>
      </c>
    </row>
    <row r="8965" spans="1:8" ht="115.5" x14ac:dyDescent="0.25">
      <c r="A8965" s="3" t="s">
        <v>26046</v>
      </c>
      <c r="B8965" s="3"/>
      <c r="C8965" s="3" t="s">
        <v>26047</v>
      </c>
      <c r="D8965" s="3" t="s">
        <v>9</v>
      </c>
      <c r="E8965" s="3" t="s">
        <v>26048</v>
      </c>
      <c r="F8965" s="3" t="str">
        <f>"219-696-7311"</f>
        <v>219-696-7311</v>
      </c>
      <c r="G8965" s="3">
        <v>238210</v>
      </c>
      <c r="H8965" s="3" t="s">
        <v>306</v>
      </c>
    </row>
    <row r="8966" spans="1:8" ht="26.25" x14ac:dyDescent="0.25">
      <c r="A8966" s="3" t="s">
        <v>26049</v>
      </c>
      <c r="B8966" s="3"/>
      <c r="C8966" s="3" t="str">
        <f>"Accounting work for construction companies"</f>
        <v>Accounting work for construction companies</v>
      </c>
      <c r="D8966" s="3" t="s">
        <v>9</v>
      </c>
      <c r="E8966" s="3" t="s">
        <v>26050</v>
      </c>
      <c r="F8966" s="3" t="str">
        <f>"219 545 3303"</f>
        <v>219 545 3303</v>
      </c>
      <c r="G8966" s="3">
        <v>541219</v>
      </c>
      <c r="H8966" s="3" t="s">
        <v>2010</v>
      </c>
    </row>
    <row r="8967" spans="1:8" ht="115.5" x14ac:dyDescent="0.25">
      <c r="A8967" s="3" t="s">
        <v>26051</v>
      </c>
      <c r="B8967" s="3"/>
      <c r="C8967" s="3" t="s">
        <v>26052</v>
      </c>
      <c r="D8967" s="3" t="s">
        <v>26053</v>
      </c>
      <c r="E8967" s="3" t="s">
        <v>26054</v>
      </c>
      <c r="F8967" s="3" t="str">
        <f>"317-271-7398"</f>
        <v>317-271-7398</v>
      </c>
      <c r="G8967" s="3">
        <v>5414</v>
      </c>
      <c r="H8967" s="3" t="s">
        <v>9276</v>
      </c>
    </row>
    <row r="8968" spans="1:8" ht="26.25" x14ac:dyDescent="0.25">
      <c r="A8968" s="3" t="s">
        <v>26055</v>
      </c>
      <c r="B8968" s="3"/>
      <c r="C8968" s="3" t="str">
        <f>"Wholesale T-shirts, Sweatshirts, Sweatpants, screen-printing, embroidery"</f>
        <v>Wholesale T-shirts, Sweatshirts, Sweatpants, screen-printing, embroidery</v>
      </c>
      <c r="D8968" s="3" t="s">
        <v>26056</v>
      </c>
      <c r="E8968" s="3" t="s">
        <v>26057</v>
      </c>
      <c r="F8968" s="3" t="str">
        <f>"(317) 466-7360"</f>
        <v>(317) 466-7360</v>
      </c>
      <c r="G8968" s="3">
        <v>315211</v>
      </c>
      <c r="H8968" s="3" t="s">
        <v>26058</v>
      </c>
    </row>
    <row r="8969" spans="1:8" ht="51.75" x14ac:dyDescent="0.25">
      <c r="A8969" s="3" t="s">
        <v>26059</v>
      </c>
      <c r="B8969" s="3"/>
      <c r="C8969" s="3" t="str">
        <f>"Wholesale distributor of Paper goods, Small hand tools, Small machine parts, Medical equipment &amp; Supplies and chemicals."</f>
        <v>Wholesale distributor of Paper goods, Small hand tools, Small machine parts, Medical equipment &amp; Supplies and chemicals.</v>
      </c>
      <c r="D8969" s="3" t="s">
        <v>26060</v>
      </c>
      <c r="E8969" s="3" t="s">
        <v>26061</v>
      </c>
      <c r="F8969" s="3" t="str">
        <f>"877-474-7227"</f>
        <v>877-474-7227</v>
      </c>
      <c r="G8969" s="3">
        <v>421</v>
      </c>
      <c r="H8969" s="3" t="s">
        <v>3013</v>
      </c>
    </row>
    <row r="8970" spans="1:8" ht="39" x14ac:dyDescent="0.25">
      <c r="A8970" s="3" t="s">
        <v>26062</v>
      </c>
      <c r="B8970" s="3"/>
      <c r="C8970" s="3" t="str">
        <f>"supplier of wireless telecommunications,two-way radio,office equipment and supplies."</f>
        <v>supplier of wireless telecommunications,two-way radio,office equipment and supplies.</v>
      </c>
      <c r="D8970" s="3" t="s">
        <v>9</v>
      </c>
      <c r="E8970" s="3" t="s">
        <v>26063</v>
      </c>
      <c r="F8970" s="3" t="str">
        <f>"(812)305-1108"</f>
        <v>(812)305-1108</v>
      </c>
      <c r="G8970" s="3">
        <v>423420</v>
      </c>
      <c r="H8970" s="3" t="s">
        <v>521</v>
      </c>
    </row>
    <row r="8971" spans="1:8" ht="39" x14ac:dyDescent="0.25">
      <c r="A8971" s="3" t="s">
        <v>26064</v>
      </c>
      <c r="B8971" s="3"/>
      <c r="C8971" s="3" t="str">
        <f>"We provide the right mood,function and form, in the home, through fabrics, lighting and furniture placement."</f>
        <v>We provide the right mood,function and form, in the home, through fabrics, lighting and furniture placement.</v>
      </c>
      <c r="D8971" s="3" t="s">
        <v>9</v>
      </c>
      <c r="E8971" s="3" t="s">
        <v>26065</v>
      </c>
      <c r="F8971" s="3" t="str">
        <f>"317 474-3351"</f>
        <v>317 474-3351</v>
      </c>
      <c r="G8971" s="3">
        <v>81299</v>
      </c>
      <c r="H8971" s="3" t="s">
        <v>294</v>
      </c>
    </row>
    <row r="8972" spans="1:8" ht="64.5" x14ac:dyDescent="0.25">
      <c r="A8972" s="3" t="s">
        <v>26066</v>
      </c>
      <c r="B8972" s="3"/>
      <c r="C8972" s="3" t="str">
        <f>"Distributor of advertising specialties/promotional merchandise, logo apparel, branded office supplies, gifts, incentives and awards, and trade show set-ups and items ."</f>
        <v>Distributor of advertising specialties/promotional merchandise, logo apparel, branded office supplies, gifts, incentives and awards, and trade show set-ups and items .</v>
      </c>
      <c r="D8972" s="3" t="s">
        <v>26067</v>
      </c>
      <c r="E8972" s="3" t="s">
        <v>26068</v>
      </c>
      <c r="F8972" s="3" t="str">
        <f>"317-596-9306"</f>
        <v>317-596-9306</v>
      </c>
      <c r="G8972" s="3">
        <v>454</v>
      </c>
      <c r="H8972" s="3" t="s">
        <v>2419</v>
      </c>
    </row>
    <row r="8973" spans="1:8" ht="39" x14ac:dyDescent="0.25">
      <c r="A8973" s="3" t="s">
        <v>26069</v>
      </c>
      <c r="B8973" s="3"/>
      <c r="C8973" s="3" t="str">
        <f>"Wholesale supplier of batteries and accessories for industrial/public safety markets."</f>
        <v>Wholesale supplier of batteries and accessories for industrial/public safety markets.</v>
      </c>
      <c r="D8973" s="3" t="s">
        <v>9</v>
      </c>
      <c r="E8973" s="3" t="s">
        <v>26070</v>
      </c>
      <c r="F8973" s="3" t="str">
        <f>"251-978-1981"</f>
        <v>251-978-1981</v>
      </c>
      <c r="G8973" s="3">
        <v>443112</v>
      </c>
      <c r="H8973" s="3" t="s">
        <v>3890</v>
      </c>
    </row>
    <row r="8974" spans="1:8" ht="26.25" x14ac:dyDescent="0.25">
      <c r="A8974" s="3" t="s">
        <v>26071</v>
      </c>
      <c r="B8974" s="3"/>
      <c r="C8974" s="3" t="str">
        <f>" "</f>
        <v xml:space="preserve"> </v>
      </c>
      <c r="D8974" s="3" t="s">
        <v>26072</v>
      </c>
      <c r="E8974" s="3" t="s">
        <v>26073</v>
      </c>
      <c r="F8974" s="3" t="str">
        <f>"765-683-1971"</f>
        <v>765-683-1971</v>
      </c>
      <c r="G8974" s="3">
        <v>337</v>
      </c>
      <c r="H8974" s="3" t="s">
        <v>6695</v>
      </c>
    </row>
    <row r="8975" spans="1:8" ht="26.25" x14ac:dyDescent="0.25">
      <c r="A8975" s="3" t="s">
        <v>26074</v>
      </c>
      <c r="B8975" s="3"/>
      <c r="C8975" s="3" t="str">
        <f>"HVACR Distributor"</f>
        <v>HVACR Distributor</v>
      </c>
      <c r="D8975" s="3" t="s">
        <v>9</v>
      </c>
      <c r="E8975" s="3" t="s">
        <v>26075</v>
      </c>
      <c r="F8975" s="3" t="str">
        <f>"317-694-7623"</f>
        <v>317-694-7623</v>
      </c>
      <c r="G8975" s="3">
        <v>423740</v>
      </c>
      <c r="H8975" s="3" t="s">
        <v>7391</v>
      </c>
    </row>
    <row r="8976" spans="1:8" ht="192" x14ac:dyDescent="0.25">
      <c r="A8976" s="3" t="s">
        <v>26076</v>
      </c>
      <c r="B8976" s="3"/>
      <c r="C8976" s="3" t="s">
        <v>26077</v>
      </c>
      <c r="D8976" s="3" t="s">
        <v>26078</v>
      </c>
      <c r="E8976" s="3" t="s">
        <v>26079</v>
      </c>
      <c r="F8976" s="3" t="str">
        <f>"317-8839180"</f>
        <v>317-8839180</v>
      </c>
      <c r="G8976" s="3">
        <v>541330</v>
      </c>
      <c r="H8976" s="3" t="s">
        <v>82</v>
      </c>
    </row>
    <row r="8977" spans="1:8" ht="90" x14ac:dyDescent="0.25">
      <c r="A8977" s="3" t="s">
        <v>26080</v>
      </c>
      <c r="B8977" s="3"/>
      <c r="C8977" s="3" t="str">
        <f>"Embroidme is a full service embroidery, screen printing and promotional items store. I provide custom embroidery and screen printing on hats and garments that I also provide. My major supplier sells me blank goods from a warehouse also located in Indiana."</f>
        <v>Embroidme is a full service embroidery, screen printing and promotional items store. I provide custom embroidery and screen printing on hats and garments that I also provide. My major supplier sells me blank goods from a warehouse also located in Indiana.</v>
      </c>
      <c r="D8977" s="3" t="s">
        <v>26081</v>
      </c>
      <c r="E8977" s="3" t="s">
        <v>26082</v>
      </c>
      <c r="F8977" s="3" t="str">
        <f>"317-272-0694"</f>
        <v>317-272-0694</v>
      </c>
      <c r="G8977" s="3">
        <v>313222</v>
      </c>
      <c r="H8977" s="3" t="s">
        <v>26083</v>
      </c>
    </row>
    <row r="8978" spans="1:8" x14ac:dyDescent="0.25">
      <c r="A8978" s="3" t="s">
        <v>26084</v>
      </c>
      <c r="B8978" s="3"/>
      <c r="C8978" s="2"/>
      <c r="D8978" s="3" t="s">
        <v>9</v>
      </c>
      <c r="E8978" s="3" t="s">
        <v>26085</v>
      </c>
      <c r="F8978" s="2"/>
      <c r="G8978" s="3">
        <v>233200</v>
      </c>
      <c r="H8978" s="2"/>
    </row>
    <row r="8979" spans="1:8" ht="51.75" x14ac:dyDescent="0.25">
      <c r="A8979" s="3" t="s">
        <v>26086</v>
      </c>
      <c r="B8979" s="3"/>
      <c r="C8979" s="3" t="str">
        <f>"We are a full service company specializing in Preconstruction Services, Design/Build/General Construction and Construction Management."</f>
        <v>We are a full service company specializing in Preconstruction Services, Design/Build/General Construction and Construction Management.</v>
      </c>
      <c r="D8979" s="3" t="s">
        <v>26087</v>
      </c>
      <c r="E8979" s="3" t="s">
        <v>26088</v>
      </c>
      <c r="F8979" s="3" t="str">
        <f>"317-417-0821"</f>
        <v>317-417-0821</v>
      </c>
      <c r="G8979" s="3">
        <v>23</v>
      </c>
      <c r="H8979" s="3" t="s">
        <v>133</v>
      </c>
    </row>
    <row r="8980" spans="1:8" ht="166.5" x14ac:dyDescent="0.25">
      <c r="A8980" s="3" t="s">
        <v>26089</v>
      </c>
      <c r="B8980" s="3"/>
      <c r="C8980" s="3" t="s">
        <v>26090</v>
      </c>
      <c r="D8980" s="3" t="s">
        <v>26091</v>
      </c>
      <c r="E8980" s="3" t="s">
        <v>26092</v>
      </c>
      <c r="F8980" s="3" t="str">
        <f>"3172190406"</f>
        <v>3172190406</v>
      </c>
      <c r="G8980" s="3">
        <v>233</v>
      </c>
      <c r="H8980" s="3" t="s">
        <v>131</v>
      </c>
    </row>
    <row r="8981" spans="1:8" ht="128.25" x14ac:dyDescent="0.25">
      <c r="A8981" s="3" t="s">
        <v>26093</v>
      </c>
      <c r="B8981" s="3"/>
      <c r="C8981" s="3" t="s">
        <v>26094</v>
      </c>
      <c r="D8981" s="3" t="s">
        <v>26095</v>
      </c>
      <c r="E8981" s="3" t="s">
        <v>26096</v>
      </c>
      <c r="F8981" s="3" t="str">
        <f>"3276969412"</f>
        <v>3276969412</v>
      </c>
      <c r="G8981" s="3">
        <v>56131</v>
      </c>
      <c r="H8981" s="3" t="s">
        <v>1720</v>
      </c>
    </row>
    <row r="8982" spans="1:8" ht="77.25" x14ac:dyDescent="0.25">
      <c r="A8982" s="3" t="s">
        <v>26097</v>
      </c>
      <c r="B8982" s="3"/>
      <c r="C8982" s="3" t="str">
        <f>"Essential Employment is ""Your Workplace Connection"". We connect employees and employers through staffing services that include Temporary, Temp-to-Hire and Direct Hire in the Industrial, Clerical, Professional and Technical Markets."</f>
        <v>Essential Employment is "Your Workplace Connection". We connect employees and employers through staffing services that include Temporary, Temp-to-Hire and Direct Hire in the Industrial, Clerical, Professional and Technical Markets.</v>
      </c>
      <c r="D8982" s="3" t="s">
        <v>9</v>
      </c>
      <c r="E8982" s="3" t="s">
        <v>26098</v>
      </c>
      <c r="F8982" s="3" t="str">
        <f>"317-757-8622"</f>
        <v>317-757-8622</v>
      </c>
      <c r="G8982" s="3">
        <v>561320</v>
      </c>
      <c r="H8982" s="3" t="s">
        <v>15</v>
      </c>
    </row>
    <row r="8983" spans="1:8" ht="51.75" x14ac:dyDescent="0.25">
      <c r="A8983" s="3" t="s">
        <v>26099</v>
      </c>
      <c r="B8983" s="3"/>
      <c r="C8983" s="3" t="str">
        <f>"TMS Safety Services provides a full line of Safety Equipment - Personal Protective Equipment, Cleaning Supplies and Plant &amp; Safety Products to the marketplace."</f>
        <v>TMS Safety Services provides a full line of Safety Equipment - Personal Protective Equipment, Cleaning Supplies and Plant &amp; Safety Products to the marketplace.</v>
      </c>
      <c r="D8983" s="3" t="s">
        <v>9</v>
      </c>
      <c r="E8983" s="3" t="s">
        <v>26100</v>
      </c>
      <c r="F8983" s="3" t="str">
        <f>"219-771-2902"</f>
        <v>219-771-2902</v>
      </c>
      <c r="G8983" s="3">
        <v>339113</v>
      </c>
      <c r="H8983" s="3" t="s">
        <v>18825</v>
      </c>
    </row>
    <row r="8984" spans="1:8" ht="26.25" x14ac:dyDescent="0.25">
      <c r="A8984" s="3" t="s">
        <v>26101</v>
      </c>
      <c r="B8984" s="3"/>
      <c r="C8984" s="2"/>
      <c r="D8984" s="3" t="s">
        <v>9</v>
      </c>
      <c r="E8984" s="3" t="s">
        <v>46</v>
      </c>
      <c r="F8984" s="3" t="str">
        <f>"812-838-2308"</f>
        <v>812-838-2308</v>
      </c>
      <c r="G8984" s="3">
        <v>236118</v>
      </c>
      <c r="H8984" s="3" t="s">
        <v>465</v>
      </c>
    </row>
    <row r="8985" spans="1:8" ht="179.25" x14ac:dyDescent="0.25">
      <c r="A8985" s="3" t="s">
        <v>26102</v>
      </c>
      <c r="B8985" s="3"/>
      <c r="C8985" s="3" t="s">
        <v>26103</v>
      </c>
      <c r="D8985" s="3" t="s">
        <v>26104</v>
      </c>
      <c r="E8985" s="3" t="s">
        <v>26105</v>
      </c>
      <c r="F8985" s="3" t="str">
        <f>"317-759-2130"</f>
        <v>317-759-2130</v>
      </c>
      <c r="G8985" s="3">
        <v>488320</v>
      </c>
      <c r="H8985" s="3" t="s">
        <v>26106</v>
      </c>
    </row>
    <row r="8986" spans="1:8" ht="64.5" x14ac:dyDescent="0.25">
      <c r="A8986" s="3" t="s">
        <v>26107</v>
      </c>
      <c r="B8986" s="3"/>
      <c r="C8986" s="3" t="str">
        <f>"ADVERTISING, MARKETING-DESIGN &amp; PRODUCE , LOGOS, BROCHURES, CATALOGS. CREATE AND PLACE ADS FOR NEWSPAPER, BILLBOARDS, MAGAZINES. CREATE AND MAINTAIN WEB SITES. CREATE WEB SITES"</f>
        <v>ADVERTISING, MARKETING-DESIGN &amp; PRODUCE , LOGOS, BROCHURES, CATALOGS. CREATE AND PLACE ADS FOR NEWSPAPER, BILLBOARDS, MAGAZINES. CREATE AND MAINTAIN WEB SITES. CREATE WEB SITES</v>
      </c>
      <c r="D8986" s="3" t="s">
        <v>26108</v>
      </c>
      <c r="E8986" s="3" t="s">
        <v>26109</v>
      </c>
      <c r="F8986" s="3" t="str">
        <f>"574-295-8866"</f>
        <v>574-295-8866</v>
      </c>
      <c r="G8986" s="3">
        <v>5418</v>
      </c>
      <c r="H8986" s="3" t="s">
        <v>1337</v>
      </c>
    </row>
    <row r="8987" spans="1:8" ht="26.25" x14ac:dyDescent="0.25">
      <c r="A8987" s="3" t="s">
        <v>26110</v>
      </c>
      <c r="B8987" s="3"/>
      <c r="C8987" s="3" t="str">
        <f>"Retail Sales, Service, and Rental of Recreational Vehicles"</f>
        <v>Retail Sales, Service, and Rental of Recreational Vehicles</v>
      </c>
      <c r="D8987" s="3" t="s">
        <v>26111</v>
      </c>
      <c r="E8987" s="3" t="s">
        <v>26112</v>
      </c>
      <c r="F8987" s="3" t="str">
        <f>"765-966-8361"</f>
        <v>765-966-8361</v>
      </c>
      <c r="G8987" s="3">
        <v>441210</v>
      </c>
      <c r="H8987" s="3" t="s">
        <v>1742</v>
      </c>
    </row>
    <row r="8988" spans="1:8" ht="77.25" x14ac:dyDescent="0.25">
      <c r="A8988" s="3" t="s">
        <v>26113</v>
      </c>
      <c r="B8988" s="3"/>
      <c r="C8988" s="3" t="str">
        <f>"TOM'S LAWN-GARDEN AND APPLIANCE CENTER IS LOCATED IN THE ""Y"" IN JASPER. OUR BUSINESS SELLS AND SERVICES LAWN &amp; GARDEN EQUIPMENT. OUR APPLIANCE CENTER SELLS AND SERVICES HOME APPLIANCES."</f>
        <v>TOM'S LAWN-GARDEN AND APPLIANCE CENTER IS LOCATED IN THE "Y" IN JASPER. OUR BUSINESS SELLS AND SERVICES LAWN &amp; GARDEN EQUIPMENT. OUR APPLIANCE CENTER SELLS AND SERVICES HOME APPLIANCES.</v>
      </c>
      <c r="D8988" s="3" t="s">
        <v>9</v>
      </c>
      <c r="E8988" s="3" t="s">
        <v>26114</v>
      </c>
      <c r="F8988" s="3" t="str">
        <f>"812-634-1950"</f>
        <v>812-634-1950</v>
      </c>
      <c r="G8988" s="3">
        <v>4442</v>
      </c>
      <c r="H8988" s="3" t="s">
        <v>852</v>
      </c>
    </row>
    <row r="8989" spans="1:8" ht="26.25" x14ac:dyDescent="0.25">
      <c r="A8989" s="3" t="s">
        <v>26115</v>
      </c>
      <c r="B8989" s="3"/>
      <c r="C8989" s="3" t="str">
        <f>"We provide excellent Janitorial Services. ""It's not just clean, it's TOO CLEAN."</f>
        <v>We provide excellent Janitorial Services. "It's not just clean, it's TOO CLEAN.</v>
      </c>
      <c r="D8989" s="3" t="s">
        <v>26116</v>
      </c>
      <c r="E8989" s="3" t="s">
        <v>26117</v>
      </c>
      <c r="F8989" s="3" t="str">
        <f>"2199808397"</f>
        <v>2199808397</v>
      </c>
      <c r="G8989" s="3">
        <v>56172</v>
      </c>
      <c r="H8989" s="3" t="s">
        <v>222</v>
      </c>
    </row>
    <row r="8990" spans="1:8" ht="77.25" x14ac:dyDescent="0.25">
      <c r="A8990" s="3" t="s">
        <v>26118</v>
      </c>
      <c r="B8990" s="3"/>
      <c r="C8990" s="3" t="str">
        <f>"MBE Glazing Contractor located in Central Indiana for 25 years. Work primarily consists of commercial projects, new and remodel. We also provide service and maintenance work. We ars also a union contractor."</f>
        <v>MBE Glazing Contractor located in Central Indiana for 25 years. Work primarily consists of commercial projects, new and remodel. We also provide service and maintenance work. We ars also a union contractor.</v>
      </c>
      <c r="D8990" s="3" t="s">
        <v>26119</v>
      </c>
      <c r="E8990" s="3" t="s">
        <v>26120</v>
      </c>
      <c r="F8990" s="3" t="str">
        <f>"317 568-4198"</f>
        <v>317 568-4198</v>
      </c>
      <c r="G8990" s="3">
        <v>238150</v>
      </c>
      <c r="H8990" s="3" t="s">
        <v>2530</v>
      </c>
    </row>
    <row r="8991" spans="1:8" ht="26.25" x14ac:dyDescent="0.25">
      <c r="A8991" s="3" t="s">
        <v>26121</v>
      </c>
      <c r="B8991" s="3"/>
      <c r="C8991" s="3" t="str">
        <f>"Independent insurance agency"</f>
        <v>Independent insurance agency</v>
      </c>
      <c r="D8991" s="3" t="s">
        <v>26122</v>
      </c>
      <c r="E8991" s="3" t="s">
        <v>26123</v>
      </c>
      <c r="F8991" s="3" t="str">
        <f>"812-425-4410"</f>
        <v>812-425-4410</v>
      </c>
      <c r="G8991" s="3">
        <v>524210</v>
      </c>
      <c r="H8991" s="3" t="s">
        <v>1183</v>
      </c>
    </row>
    <row r="8992" spans="1:8" ht="77.25" x14ac:dyDescent="0.25">
      <c r="A8992" s="3" t="s">
        <v>26124</v>
      </c>
      <c r="B8992" s="3"/>
      <c r="C8992" s="3" t="str">
        <f>"Medium - High volume manufacturing facility. TORUS specializes in machining and light assembly. Our primary customers are gray iron foundries who make parts for DANA, Eaton and John Deer. The castings we machine range from 1 pound to 1005 lbs."</f>
        <v>Medium - High volume manufacturing facility. TORUS specializes in machining and light assembly. Our primary customers are gray iron foundries who make parts for DANA, Eaton and John Deer. The castings we machine range from 1 pound to 1005 lbs.</v>
      </c>
      <c r="D8992" s="3" t="s">
        <v>9</v>
      </c>
      <c r="E8992" s="3" t="s">
        <v>46</v>
      </c>
      <c r="F8992" s="2"/>
      <c r="G8992" s="3">
        <v>333512</v>
      </c>
      <c r="H8992" s="3" t="s">
        <v>10487</v>
      </c>
    </row>
    <row r="8993" spans="1:8" ht="332.25" x14ac:dyDescent="0.25">
      <c r="A8993" s="3" t="s">
        <v>26125</v>
      </c>
      <c r="B8993" s="3"/>
      <c r="C8993" s="3" t="s">
        <v>26126</v>
      </c>
      <c r="D8993" s="3" t="s">
        <v>26127</v>
      </c>
      <c r="E8993" s="3" t="s">
        <v>46</v>
      </c>
      <c r="F8993" s="3" t="str">
        <f>"317-353-6778"</f>
        <v>317-353-6778</v>
      </c>
      <c r="G8993" s="3">
        <v>624120</v>
      </c>
      <c r="H8993" s="3" t="s">
        <v>22</v>
      </c>
    </row>
    <row r="8994" spans="1:8" ht="39" x14ac:dyDescent="0.25">
      <c r="A8994" s="3" t="s">
        <v>26128</v>
      </c>
      <c r="B8994" s="3"/>
      <c r="C8994" s="3" t="str">
        <f>"Toxicology Inc. provides substance abuse testing, DNA analysis and point of collection instant testing products."</f>
        <v>Toxicology Inc. provides substance abuse testing, DNA analysis and point of collection instant testing products.</v>
      </c>
      <c r="D8994" s="3" t="s">
        <v>26129</v>
      </c>
      <c r="E8994" s="3" t="s">
        <v>26130</v>
      </c>
      <c r="F8994" s="3" t="str">
        <f>"812-372-6501"</f>
        <v>812-372-6501</v>
      </c>
      <c r="G8994" s="3">
        <v>621511</v>
      </c>
      <c r="H8994" s="3" t="s">
        <v>1240</v>
      </c>
    </row>
    <row r="8995" spans="1:8" ht="26.25" x14ac:dyDescent="0.25">
      <c r="A8995" s="3" t="s">
        <v>26131</v>
      </c>
      <c r="B8995" s="3"/>
      <c r="C8995" s="3" t="str">
        <f>"Full service Home Center, Lumber Yard, Hardware, and Equipment Rentals"</f>
        <v>Full service Home Center, Lumber Yard, Hardware, and Equipment Rentals</v>
      </c>
      <c r="D8995" s="3" t="s">
        <v>26132</v>
      </c>
      <c r="E8995" s="3" t="s">
        <v>26133</v>
      </c>
      <c r="F8995" s="3" t="str">
        <f>"(765)827-4440"</f>
        <v>(765)827-4440</v>
      </c>
      <c r="G8995" s="3">
        <v>444110</v>
      </c>
      <c r="H8995" s="3" t="s">
        <v>3072</v>
      </c>
    </row>
    <row r="8996" spans="1:8" ht="39" x14ac:dyDescent="0.25">
      <c r="A8996" s="3" t="s">
        <v>26134</v>
      </c>
      <c r="B8996" s="3"/>
      <c r="C8996" s="3" t="str">
        <f>"Complete automotive repair facility, specializing in collision and mechanical repairs as well as fleet maintenance."</f>
        <v>Complete automotive repair facility, specializing in collision and mechanical repairs as well as fleet maintenance.</v>
      </c>
      <c r="D8996" s="3" t="s">
        <v>9</v>
      </c>
      <c r="E8996" s="3" t="s">
        <v>26135</v>
      </c>
      <c r="F8996" s="3" t="str">
        <f>"219-690-3501"</f>
        <v>219-690-3501</v>
      </c>
      <c r="G8996" s="3">
        <v>811121</v>
      </c>
      <c r="H8996" s="3" t="s">
        <v>1432</v>
      </c>
    </row>
    <row r="8997" spans="1:8" ht="306.75" x14ac:dyDescent="0.25">
      <c r="A8997" s="3" t="s">
        <v>26136</v>
      </c>
      <c r="B8997" s="3"/>
      <c r="C8997" s="3" t="s">
        <v>26137</v>
      </c>
      <c r="D8997" s="3" t="s">
        <v>26138</v>
      </c>
      <c r="E8997" s="3" t="s">
        <v>46</v>
      </c>
      <c r="F8997" s="3" t="str">
        <f>"317-372-7623"</f>
        <v>317-372-7623</v>
      </c>
      <c r="G8997" s="3">
        <v>541614</v>
      </c>
      <c r="H8997" s="3" t="s">
        <v>107</v>
      </c>
    </row>
    <row r="8998" spans="1:8" ht="26.25" x14ac:dyDescent="0.25">
      <c r="A8998" s="3" t="s">
        <v>26139</v>
      </c>
      <c r="B8998" s="3"/>
      <c r="C8998" s="3" t="str">
        <f>"Local Trucking Carrier Dry Goods &amp; Material"</f>
        <v>Local Trucking Carrier Dry Goods &amp; Material</v>
      </c>
      <c r="D8998" s="3" t="s">
        <v>26140</v>
      </c>
      <c r="E8998" s="3" t="s">
        <v>26141</v>
      </c>
      <c r="F8998" s="3" t="str">
        <f>"708-692-9495"</f>
        <v>708-692-9495</v>
      </c>
      <c r="G8998" s="3">
        <v>484110</v>
      </c>
      <c r="H8998" s="3" t="s">
        <v>644</v>
      </c>
    </row>
    <row r="8999" spans="1:8" ht="51.75" x14ac:dyDescent="0.25">
      <c r="A8999" s="3" t="s">
        <v>26142</v>
      </c>
      <c r="B8999" s="3"/>
      <c r="C8999" s="3" t="str">
        <f>"Not only do we sell copy paper by the truckload. We have over 14,000 items in our catalog. We are best on Bubble Wrap and Custom Corrugated Boxes"</f>
        <v>Not only do we sell copy paper by the truckload. We have over 14,000 items in our catalog. We are best on Bubble Wrap and Custom Corrugated Boxes</v>
      </c>
      <c r="D8999" s="3" t="s">
        <v>26143</v>
      </c>
      <c r="E8999" s="3" t="s">
        <v>26144</v>
      </c>
      <c r="F8999" s="3" t="str">
        <f>"317-269-7777"</f>
        <v>317-269-7777</v>
      </c>
      <c r="G8999" s="3">
        <v>453210</v>
      </c>
      <c r="H8999" s="3" t="s">
        <v>431</v>
      </c>
    </row>
    <row r="9000" spans="1:8" ht="39" x14ac:dyDescent="0.25">
      <c r="A9000" s="3" t="s">
        <v>26145</v>
      </c>
      <c r="B9000" s="3"/>
      <c r="C9000" s="3" t="str">
        <f>"Right of Way Land Acquisition, Commercial Real Estate Development, Brokerage and Consulting. Commercial and Retail Leasing."</f>
        <v>Right of Way Land Acquisition, Commercial Real Estate Development, Brokerage and Consulting. Commercial and Retail Leasing.</v>
      </c>
      <c r="D9000" s="3" t="s">
        <v>26146</v>
      </c>
      <c r="E9000" s="3" t="s">
        <v>26147</v>
      </c>
      <c r="F9000" s="3" t="str">
        <f>"317-626-4644"</f>
        <v>317-626-4644</v>
      </c>
      <c r="G9000" s="3">
        <v>531210</v>
      </c>
      <c r="H9000" s="3" t="s">
        <v>1101</v>
      </c>
    </row>
    <row r="9001" spans="1:8" ht="141" x14ac:dyDescent="0.25">
      <c r="A9001" s="3" t="s">
        <v>26148</v>
      </c>
      <c r="B9001" s="3"/>
      <c r="C9001" s="3" t="s">
        <v>26149</v>
      </c>
      <c r="D9001" s="3" t="s">
        <v>26150</v>
      </c>
      <c r="E9001" s="3" t="s">
        <v>26151</v>
      </c>
      <c r="F9001" s="3" t="str">
        <f>"317-805-3775"</f>
        <v>317-805-3775</v>
      </c>
      <c r="G9001" s="3">
        <v>5413</v>
      </c>
      <c r="H9001" s="3" t="s">
        <v>1116</v>
      </c>
    </row>
    <row r="9002" spans="1:8" ht="51.75" x14ac:dyDescent="0.25">
      <c r="A9002" s="3" t="s">
        <v>26152</v>
      </c>
      <c r="B9002" s="3"/>
      <c r="C9002" s="3" t="str">
        <f>"TRC provides industrial hygiene and environmental services including indoor environmental quality, lead, asbestos, and environmental site assessments."</f>
        <v>TRC provides industrial hygiene and environmental services including indoor environmental quality, lead, asbestos, and environmental site assessments.</v>
      </c>
      <c r="D9002" s="3" t="s">
        <v>9</v>
      </c>
      <c r="E9002" s="3" t="s">
        <v>46</v>
      </c>
      <c r="F9002" s="3" t="str">
        <f>"(317) 819-1300"</f>
        <v>(317) 819-1300</v>
      </c>
      <c r="G9002" s="3">
        <v>54162</v>
      </c>
      <c r="H9002" s="3" t="s">
        <v>216</v>
      </c>
    </row>
    <row r="9003" spans="1:8" ht="192" x14ac:dyDescent="0.25">
      <c r="A9003" s="3" t="s">
        <v>26153</v>
      </c>
      <c r="B9003" s="3"/>
      <c r="C9003" s="3" t="s">
        <v>26154</v>
      </c>
      <c r="D9003" s="3" t="s">
        <v>9</v>
      </c>
      <c r="E9003" s="3" t="s">
        <v>46</v>
      </c>
      <c r="F9003" s="3" t="str">
        <f>"317-841-7770"</f>
        <v>317-841-7770</v>
      </c>
      <c r="G9003" s="3">
        <v>44</v>
      </c>
      <c r="H9003" s="3" t="s">
        <v>574</v>
      </c>
    </row>
    <row r="9004" spans="1:8" ht="90" x14ac:dyDescent="0.25">
      <c r="A9004" s="3" t="s">
        <v>26155</v>
      </c>
      <c r="B9004" s="3"/>
      <c r="C9004" s="3" t="str">
        <f>"PROVIDING SALES OF TIRES, RIMS WITH SERVICES FOR GENERAL MAINTENANCE OF YOUR VEHICLE; INCLUDING OIL CHANGES,ROTATE TIRES, ALIGNMENT, BRAKES, RADIATOR AND TRANSMISSION FLUSH. AG &amp; IMPLEMENT TIRES. SERVICE CALLS AVAILABLE DURING WORKING HOURS."</f>
        <v>PROVIDING SALES OF TIRES, RIMS WITH SERVICES FOR GENERAL MAINTENANCE OF YOUR VEHICLE; INCLUDING OIL CHANGES,ROTATE TIRES, ALIGNMENT, BRAKES, RADIATOR AND TRANSMISSION FLUSH. AG &amp; IMPLEMENT TIRES. SERVICE CALLS AVAILABLE DURING WORKING HOURS.</v>
      </c>
      <c r="D9004" s="3" t="s">
        <v>9</v>
      </c>
      <c r="E9004" s="3" t="s">
        <v>26156</v>
      </c>
      <c r="F9004" s="3" t="str">
        <f>"7654721700"</f>
        <v>7654721700</v>
      </c>
      <c r="G9004" s="3">
        <v>44131</v>
      </c>
      <c r="H9004" s="3" t="s">
        <v>1699</v>
      </c>
    </row>
    <row r="9005" spans="1:8" ht="166.5" x14ac:dyDescent="0.25">
      <c r="A9005" s="3" t="s">
        <v>26157</v>
      </c>
      <c r="B9005" s="3"/>
      <c r="C9005" s="3" t="s">
        <v>26158</v>
      </c>
      <c r="D9005" s="3" t="s">
        <v>26159</v>
      </c>
      <c r="E9005" s="3" t="s">
        <v>46</v>
      </c>
      <c r="F9005" s="3" t="str">
        <f>"219-398-7050"</f>
        <v>219-398-7050</v>
      </c>
      <c r="G9005" s="3">
        <v>621420</v>
      </c>
      <c r="H9005" s="3" t="s">
        <v>990</v>
      </c>
    </row>
    <row r="9006" spans="1:8" ht="102.75" x14ac:dyDescent="0.25">
      <c r="A9006" s="3" t="s">
        <v>26160</v>
      </c>
      <c r="B9006" s="3"/>
      <c r="C9006" s="3" t="s">
        <v>26161</v>
      </c>
      <c r="D9006" s="3" t="s">
        <v>26162</v>
      </c>
      <c r="E9006" s="3" t="s">
        <v>26163</v>
      </c>
      <c r="F9006" s="3" t="str">
        <f>"812-874-2231"</f>
        <v>812-874-2231</v>
      </c>
      <c r="G9006" s="3">
        <v>45399</v>
      </c>
      <c r="H9006" s="3" t="s">
        <v>3215</v>
      </c>
    </row>
    <row r="9007" spans="1:8" ht="26.25" x14ac:dyDescent="0.25">
      <c r="A9007" s="3" t="s">
        <v>26164</v>
      </c>
      <c r="B9007" s="3"/>
      <c r="C9007" s="3" t="str">
        <f>"SELLS CONSTRUCTION SUPPLIES"</f>
        <v>SELLS CONSTRUCTION SUPPLIES</v>
      </c>
      <c r="D9007" s="3" t="s">
        <v>26165</v>
      </c>
      <c r="E9007" s="3" t="s">
        <v>26166</v>
      </c>
      <c r="F9007" s="3" t="str">
        <f>"812-945-1595"</f>
        <v>812-945-1595</v>
      </c>
      <c r="G9007" s="3">
        <v>423840</v>
      </c>
      <c r="H9007" s="3" t="s">
        <v>553</v>
      </c>
    </row>
    <row r="9008" spans="1:8" ht="102.75" x14ac:dyDescent="0.25">
      <c r="A9008" s="3" t="s">
        <v>26167</v>
      </c>
      <c r="B9008" s="3"/>
      <c r="C9008" s="3" t="s">
        <v>26168</v>
      </c>
      <c r="D9008" s="3" t="s">
        <v>9</v>
      </c>
      <c r="E9008" s="3" t="s">
        <v>26169</v>
      </c>
      <c r="F9008" s="3" t="str">
        <f>"317-845-8475"</f>
        <v>317-845-8475</v>
      </c>
      <c r="G9008" s="3">
        <v>621330</v>
      </c>
      <c r="H9008" s="3" t="s">
        <v>2643</v>
      </c>
    </row>
    <row r="9009" spans="1:8" ht="26.25" x14ac:dyDescent="0.25">
      <c r="A9009" s="3" t="s">
        <v>26170</v>
      </c>
      <c r="B9009" s="3"/>
      <c r="C9009" s="2"/>
      <c r="D9009" s="3" t="s">
        <v>9</v>
      </c>
      <c r="E9009" s="3" t="s">
        <v>26171</v>
      </c>
      <c r="F9009" s="3" t="str">
        <f>"317-624-9546"</f>
        <v>317-624-9546</v>
      </c>
      <c r="G9009" s="3">
        <v>238220</v>
      </c>
      <c r="H9009" s="3" t="s">
        <v>348</v>
      </c>
    </row>
    <row r="9010" spans="1:8" ht="26.25" x14ac:dyDescent="0.25">
      <c r="A9010" s="3" t="s">
        <v>26172</v>
      </c>
      <c r="B9010" s="3"/>
      <c r="C9010" s="3" t="str">
        <f>"Custom Computer Programming Services"</f>
        <v>Custom Computer Programming Services</v>
      </c>
      <c r="D9010" s="3" t="s">
        <v>9</v>
      </c>
      <c r="E9010" s="3" t="s">
        <v>26173</v>
      </c>
      <c r="F9010" s="3" t="str">
        <f>"3176145615"</f>
        <v>3176145615</v>
      </c>
      <c r="G9010" s="3">
        <v>541511</v>
      </c>
      <c r="H9010" s="3" t="s">
        <v>122</v>
      </c>
    </row>
    <row r="9011" spans="1:8" ht="26.25" x14ac:dyDescent="0.25">
      <c r="A9011" s="3" t="s">
        <v>26174</v>
      </c>
      <c r="B9011" s="3"/>
      <c r="C9011" s="3" t="str">
        <f>" "</f>
        <v xml:space="preserve"> </v>
      </c>
      <c r="D9011" s="3" t="s">
        <v>9</v>
      </c>
      <c r="E9011" s="3" t="s">
        <v>26175</v>
      </c>
      <c r="F9011" s="3" t="str">
        <f>"260-478-6034"</f>
        <v>260-478-6034</v>
      </c>
      <c r="G9011" s="3">
        <v>2361</v>
      </c>
      <c r="H9011" s="3" t="s">
        <v>3466</v>
      </c>
    </row>
    <row r="9012" spans="1:8" ht="39" x14ac:dyDescent="0.25">
      <c r="A9012" s="3" t="s">
        <v>26176</v>
      </c>
      <c r="B9012" s="3"/>
      <c r="C9012" s="3" t="str">
        <f>"Residential and light commercial plumbing services including new construction, repair service and rehab."</f>
        <v>Residential and light commercial plumbing services including new construction, repair service and rehab.</v>
      </c>
      <c r="D9012" s="3" t="s">
        <v>9</v>
      </c>
      <c r="E9012" s="3" t="s">
        <v>26177</v>
      </c>
      <c r="F9012" s="3" t="str">
        <f>"317-490-9357"</f>
        <v>317-490-9357</v>
      </c>
      <c r="G9012" s="3">
        <v>2351</v>
      </c>
      <c r="H9012" s="3" t="s">
        <v>892</v>
      </c>
    </row>
    <row r="9013" spans="1:8" ht="230.25" x14ac:dyDescent="0.25">
      <c r="A9013" s="3" t="s">
        <v>26178</v>
      </c>
      <c r="B9013" s="3"/>
      <c r="C9013" s="3" t="s">
        <v>26179</v>
      </c>
      <c r="D9013" s="3" t="s">
        <v>26180</v>
      </c>
      <c r="E9013" s="3" t="s">
        <v>26181</v>
      </c>
      <c r="F9013" s="3" t="str">
        <f>"317.899.3456"</f>
        <v>317.899.3456</v>
      </c>
      <c r="G9013" s="3">
        <v>541519</v>
      </c>
      <c r="H9013" s="3" t="s">
        <v>898</v>
      </c>
    </row>
    <row r="9014" spans="1:8" ht="26.25" x14ac:dyDescent="0.25">
      <c r="A9014" s="3" t="s">
        <v>26182</v>
      </c>
      <c r="B9014" s="3"/>
      <c r="C9014" s="3" t="str">
        <f>"architects, engineers, planners, interior design"</f>
        <v>architects, engineers, planners, interior design</v>
      </c>
      <c r="D9014" s="3" t="s">
        <v>26183</v>
      </c>
      <c r="E9014" s="3" t="s">
        <v>46</v>
      </c>
      <c r="F9014" s="3" t="str">
        <f>"574-259-9976"</f>
        <v>574-259-9976</v>
      </c>
      <c r="G9014" s="3">
        <v>541310</v>
      </c>
      <c r="H9014" s="3" t="s">
        <v>446</v>
      </c>
    </row>
    <row r="9015" spans="1:8" ht="77.25" x14ac:dyDescent="0.25">
      <c r="A9015" s="3" t="s">
        <v>26184</v>
      </c>
      <c r="B9015" s="3"/>
      <c r="C9015" s="3" t="str">
        <f>"We sale Class 5,6,7,8 Trucks and Tractors new &amp; used Freightliner, Sterling, Western Star. We sale Parts, we Provide service and a full Body Shop for all makes and model trucks. Open Service &amp; Parts 7 Days/24 Hrs a Day"</f>
        <v>We sale Class 5,6,7,8 Trucks and Tractors new &amp; used Freightliner, Sterling, Western Star. We sale Parts, we Provide service and a full Body Shop for all makes and model trucks. Open Service &amp; Parts 7 Days/24 Hrs a Day</v>
      </c>
      <c r="D9015" s="3" t="s">
        <v>26185</v>
      </c>
      <c r="E9015" s="3" t="s">
        <v>26186</v>
      </c>
      <c r="F9015" s="3" t="str">
        <f>"219-949-8595"</f>
        <v>219-949-8595</v>
      </c>
      <c r="G9015" s="3">
        <v>423110</v>
      </c>
      <c r="H9015" s="3" t="s">
        <v>3324</v>
      </c>
    </row>
    <row r="9016" spans="1:8" ht="90" x14ac:dyDescent="0.25">
      <c r="A9016" s="3" t="s">
        <v>26187</v>
      </c>
      <c r="B9016" s="3"/>
      <c r="C9016" s="3" t="str">
        <f>"LIGHT,MEDIUM,HD TRUCK,RV,BUS,SUV,OFF-ROAD VEHICLE PARTS AND SERVICE. SERVICES INCLUDE AIR CONDITIONING,AUTOMATIC LUBE SYSTEMS,SPRING &amp; SUSPENSION,AIR &amp; HYDRAULIC BRAKES, ALIGNMENT,HITCHES, PM SERVICE, CUSTOM TUBES/HOSES AND U BOLTS"</f>
        <v>LIGHT,MEDIUM,HD TRUCK,RV,BUS,SUV,OFF-ROAD VEHICLE PARTS AND SERVICE. SERVICES INCLUDE AIR CONDITIONING,AUTOMATIC LUBE SYSTEMS,SPRING &amp; SUSPENSION,AIR &amp; HYDRAULIC BRAKES, ALIGNMENT,HITCHES, PM SERVICE, CUSTOM TUBES/HOSES AND U BOLTS</v>
      </c>
      <c r="D9016" s="3" t="s">
        <v>26188</v>
      </c>
      <c r="E9016" s="3" t="s">
        <v>26189</v>
      </c>
      <c r="F9016" s="3" t="str">
        <f>"317-243-7491"</f>
        <v>317-243-7491</v>
      </c>
      <c r="G9016" s="3">
        <v>811111</v>
      </c>
      <c r="H9016" s="3" t="s">
        <v>2383</v>
      </c>
    </row>
    <row r="9017" spans="1:8" ht="26.25" x14ac:dyDescent="0.25">
      <c r="A9017" s="3" t="s">
        <v>26190</v>
      </c>
      <c r="B9017" s="3"/>
      <c r="C9017" s="3" t="str">
        <f>"Two-way radio and wireless communication equipment sales and services."</f>
        <v>Two-way radio and wireless communication equipment sales and services.</v>
      </c>
      <c r="D9017" s="3" t="s">
        <v>26191</v>
      </c>
      <c r="E9017" s="3" t="s">
        <v>26192</v>
      </c>
      <c r="F9017" s="3" t="str">
        <f>"812-425-2205"</f>
        <v>812-425-2205</v>
      </c>
      <c r="G9017" s="3">
        <v>51339</v>
      </c>
      <c r="H9017" s="3" t="s">
        <v>1677</v>
      </c>
    </row>
    <row r="9018" spans="1:8" ht="26.25" x14ac:dyDescent="0.25">
      <c r="A9018" s="3" t="s">
        <v>26193</v>
      </c>
      <c r="B9018" s="3"/>
      <c r="C9018" s="3" t="str">
        <f>"Complete auto repair, tire sales, custom exhaust work."</f>
        <v>Complete auto repair, tire sales, custom exhaust work.</v>
      </c>
      <c r="D9018" s="3" t="s">
        <v>9</v>
      </c>
      <c r="E9018" s="3" t="s">
        <v>26194</v>
      </c>
      <c r="F9018" s="3" t="str">
        <f>"812-358-5004"</f>
        <v>812-358-5004</v>
      </c>
      <c r="G9018" s="3">
        <v>811111</v>
      </c>
      <c r="H9018" s="3" t="s">
        <v>2383</v>
      </c>
    </row>
    <row r="9019" spans="1:8" ht="90" x14ac:dyDescent="0.25">
      <c r="A9019" s="3" t="s">
        <v>26195</v>
      </c>
      <c r="B9019" s="3"/>
      <c r="C9019" s="3" t="str">
        <f>"We sell and support CRM (Customer Relationship Management), Accounting, Time &amp; Attendance, Access Control, and Photo Identification software. We add long term value to our clients buy forging deep relationships and understanding their long term goals."</f>
        <v>We sell and support CRM (Customer Relationship Management), Accounting, Time &amp; Attendance, Access Control, and Photo Identification software. We add long term value to our clients buy forging deep relationships and understanding their long term goals.</v>
      </c>
      <c r="D9019" s="3" t="s">
        <v>26196</v>
      </c>
      <c r="E9019" s="3" t="s">
        <v>46</v>
      </c>
      <c r="F9019" s="3" t="str">
        <f>"574-289-5733"</f>
        <v>574-289-5733</v>
      </c>
      <c r="G9019" s="3">
        <v>541519</v>
      </c>
      <c r="H9019" s="3" t="s">
        <v>898</v>
      </c>
    </row>
    <row r="9020" spans="1:8" ht="39" x14ac:dyDescent="0.25">
      <c r="A9020" s="3" t="s">
        <v>26197</v>
      </c>
      <c r="B9020" s="3"/>
      <c r="C9020" s="3" t="str">
        <f>"Meyer Truck Equipment sells and installs equipment on commercial work trucks as well as truck accessories on retail trucks"</f>
        <v>Meyer Truck Equipment sells and installs equipment on commercial work trucks as well as truck accessories on retail trucks</v>
      </c>
      <c r="D9020" s="3" t="s">
        <v>26198</v>
      </c>
      <c r="E9020" s="3" t="s">
        <v>26199</v>
      </c>
      <c r="F9020" s="3" t="str">
        <f>"812-695-3451"</f>
        <v>812-695-3451</v>
      </c>
      <c r="G9020" s="3">
        <v>423110</v>
      </c>
      <c r="H9020" s="3" t="s">
        <v>3324</v>
      </c>
    </row>
    <row r="9021" spans="1:8" ht="64.5" x14ac:dyDescent="0.25">
      <c r="A9021" s="3" t="s">
        <v>26200</v>
      </c>
      <c r="B9021" s="3"/>
      <c r="C9021" s="3" t="str">
        <f>"TSS Capitol Group, LLC provides governmental affairs and consulting services to businesses and associations before Indiana’s legislative and executive branches."</f>
        <v>TSS Capitol Group, LLC provides governmental affairs and consulting services to businesses and associations before Indiana’s legislative and executive branches.</v>
      </c>
      <c r="D9021" s="3" t="s">
        <v>9</v>
      </c>
      <c r="E9021" s="3" t="s">
        <v>26201</v>
      </c>
      <c r="F9021" s="3" t="str">
        <f>"317-750-8351"</f>
        <v>317-750-8351</v>
      </c>
      <c r="G9021" s="3">
        <v>541820</v>
      </c>
      <c r="H9021" s="3" t="s">
        <v>795</v>
      </c>
    </row>
    <row r="9022" spans="1:8" ht="51.75" x14ac:dyDescent="0.25">
      <c r="A9022" s="3" t="s">
        <v>26202</v>
      </c>
      <c r="B9022" s="3"/>
      <c r="C9022" s="3" t="str">
        <f>"TSW is a VBE utility contractor that offers installation and maintenance on various types of water and sewer mains in and around the Indianapolis area."</f>
        <v>TSW is a VBE utility contractor that offers installation and maintenance on various types of water and sewer mains in and around the Indianapolis area.</v>
      </c>
      <c r="D9022" s="3" t="s">
        <v>26203</v>
      </c>
      <c r="E9022" s="3" t="s">
        <v>26204</v>
      </c>
      <c r="F9022" s="3" t="str">
        <f>"317-735-1491"</f>
        <v>317-735-1491</v>
      </c>
      <c r="G9022" s="3">
        <v>237110</v>
      </c>
      <c r="H9022" s="3" t="s">
        <v>901</v>
      </c>
    </row>
    <row r="9023" spans="1:8" ht="141" x14ac:dyDescent="0.25">
      <c r="A9023" s="3" t="s">
        <v>26205</v>
      </c>
      <c r="B9023" s="3"/>
      <c r="C9023" s="3" t="s">
        <v>26206</v>
      </c>
      <c r="D9023" s="3" t="s">
        <v>9</v>
      </c>
      <c r="E9023" s="3" t="s">
        <v>26207</v>
      </c>
      <c r="F9023" s="3" t="str">
        <f>"574-261-2889"</f>
        <v>574-261-2889</v>
      </c>
      <c r="G9023" s="3">
        <v>514</v>
      </c>
      <c r="H9023" s="3" t="s">
        <v>322</v>
      </c>
    </row>
    <row r="9024" spans="1:8" ht="39" x14ac:dyDescent="0.25">
      <c r="A9024" s="3" t="s">
        <v>26208</v>
      </c>
      <c r="B9024" s="3"/>
      <c r="C9024" s="3" t="str">
        <f>"underground utility installation, open-cut and trenchless; excavation &amp; concrete construction"</f>
        <v>underground utility installation, open-cut and trenchless; excavation &amp; concrete construction</v>
      </c>
      <c r="D9024" s="3" t="s">
        <v>9</v>
      </c>
      <c r="E9024" s="3" t="s">
        <v>46</v>
      </c>
      <c r="F9024" s="3" t="str">
        <f>"(812)654-2723"</f>
        <v>(812)654-2723</v>
      </c>
      <c r="G9024" s="3">
        <v>238910</v>
      </c>
      <c r="H9024" s="3" t="s">
        <v>886</v>
      </c>
    </row>
    <row r="9025" spans="1:8" ht="26.25" x14ac:dyDescent="0.25">
      <c r="A9025" s="3" t="s">
        <v>26209</v>
      </c>
      <c r="B9025" s="3"/>
      <c r="C9025" s="3" t="str">
        <f>"we do general construction of all kinds"</f>
        <v>we do general construction of all kinds</v>
      </c>
      <c r="D9025" s="3" t="s">
        <v>26210</v>
      </c>
      <c r="E9025" s="3" t="s">
        <v>26211</v>
      </c>
      <c r="F9025" s="3" t="str">
        <f>"317-255-0377"</f>
        <v>317-255-0377</v>
      </c>
      <c r="G9025" s="3">
        <v>2361</v>
      </c>
      <c r="H9025" s="3" t="s">
        <v>3466</v>
      </c>
    </row>
    <row r="9026" spans="1:8" ht="166.5" x14ac:dyDescent="0.25">
      <c r="A9026" s="3" t="s">
        <v>26212</v>
      </c>
      <c r="B9026" s="3"/>
      <c r="C9026" s="3" t="s">
        <v>26213</v>
      </c>
      <c r="D9026" s="3" t="s">
        <v>26214</v>
      </c>
      <c r="E9026" s="3" t="s">
        <v>46</v>
      </c>
      <c r="F9026" s="3" t="str">
        <f>"317-624-0011"</f>
        <v>317-624-0011</v>
      </c>
      <c r="G9026" s="3">
        <v>518210</v>
      </c>
      <c r="H9026" s="3" t="s">
        <v>3133</v>
      </c>
    </row>
    <row r="9027" spans="1:8" ht="77.25" x14ac:dyDescent="0.25">
      <c r="A9027" s="3" t="s">
        <v>26215</v>
      </c>
      <c r="B9027" s="3"/>
      <c r="C9027" s="3" t="str">
        <f>"Tway company provides many construction supplies including fiber ropes, wire rope, shackles, turnbuckles, eye bolts, blocks, chains, tie-downs, tools, hoists, safety equipment, binders, web slings, pipe lifters, and wire rope slings"</f>
        <v>Tway company provides many construction supplies including fiber ropes, wire rope, shackles, turnbuckles, eye bolts, blocks, chains, tie-downs, tools, hoists, safety equipment, binders, web slings, pipe lifters, and wire rope slings</v>
      </c>
      <c r="D9027" s="3" t="s">
        <v>26216</v>
      </c>
      <c r="E9027" s="3" t="s">
        <v>26217</v>
      </c>
      <c r="F9027" s="3" t="str">
        <f>"317-636-2591"</f>
        <v>317-636-2591</v>
      </c>
      <c r="G9027" s="3">
        <v>42139</v>
      </c>
      <c r="H9027" s="3" t="s">
        <v>26218</v>
      </c>
    </row>
    <row r="9028" spans="1:8" ht="102.75" x14ac:dyDescent="0.25">
      <c r="A9028" s="3" t="s">
        <v>26219</v>
      </c>
      <c r="B9028" s="3"/>
      <c r="C9028" s="3" t="s">
        <v>26220</v>
      </c>
      <c r="D9028" s="3" t="s">
        <v>26221</v>
      </c>
      <c r="E9028" s="3" t="s">
        <v>26222</v>
      </c>
      <c r="F9028" s="3" t="str">
        <f>"317-430-8351"</f>
        <v>317-430-8351</v>
      </c>
      <c r="G9028" s="3">
        <v>54161</v>
      </c>
      <c r="H9028" s="3" t="s">
        <v>1221</v>
      </c>
    </row>
    <row r="9029" spans="1:8" ht="90" x14ac:dyDescent="0.25">
      <c r="A9029" s="3" t="s">
        <v>26223</v>
      </c>
      <c r="B9029" s="3"/>
      <c r="C9029" s="3" t="str">
        <f>"Provide Human Resource consulting from candidate recruitment/selection to orientation and training, advising on employment related matters/coaching/counseling and career counseling. Employee reward/recognition and people impact strategist."</f>
        <v>Provide Human Resource consulting from candidate recruitment/selection to orientation and training, advising on employment related matters/coaching/counseling and career counseling. Employee reward/recognition and people impact strategist.</v>
      </c>
      <c r="D9029" s="3" t="s">
        <v>9</v>
      </c>
      <c r="E9029" s="3" t="s">
        <v>26224</v>
      </c>
      <c r="F9029" s="3" t="str">
        <f>"219-472-2418"</f>
        <v>219-472-2418</v>
      </c>
      <c r="G9029" s="3">
        <v>23599</v>
      </c>
      <c r="H9029" s="3" t="s">
        <v>248</v>
      </c>
    </row>
    <row r="9030" spans="1:8" ht="26.25" x14ac:dyDescent="0.25">
      <c r="A9030" s="3" t="s">
        <v>26225</v>
      </c>
      <c r="B9030" s="3"/>
      <c r="C9030" s="3" t="str">
        <f>"medical laboratory"</f>
        <v>medical laboratory</v>
      </c>
      <c r="D9030" s="3" t="s">
        <v>26226</v>
      </c>
      <c r="E9030" s="3" t="s">
        <v>26227</v>
      </c>
      <c r="F9030" s="3" t="str">
        <f>"574-739-0004"</f>
        <v>574-739-0004</v>
      </c>
      <c r="G9030" s="3">
        <v>621511</v>
      </c>
      <c r="H9030" s="3" t="s">
        <v>1240</v>
      </c>
    </row>
    <row r="9031" spans="1:8" ht="64.5" x14ac:dyDescent="0.25">
      <c r="A9031" s="3" t="s">
        <v>26228</v>
      </c>
      <c r="B9031" s="3"/>
      <c r="C9031" s="3" t="str">
        <f>"Business is a general subcontractor performing various services (eg. concrete, masonry, drywall, painting, etc) for commercial building construction for both interior and exterior."</f>
        <v>Business is a general subcontractor performing various services (eg. concrete, masonry, drywall, painting, etc) for commercial building construction for both interior and exterior.</v>
      </c>
      <c r="D9031" s="3" t="s">
        <v>9</v>
      </c>
      <c r="E9031" s="3" t="s">
        <v>46</v>
      </c>
      <c r="F9031" s="3" t="str">
        <f>"(317) 429-0921"</f>
        <v>(317) 429-0921</v>
      </c>
      <c r="G9031" s="3">
        <v>238990</v>
      </c>
      <c r="H9031" s="3" t="s">
        <v>481</v>
      </c>
    </row>
    <row r="9032" spans="1:8" ht="319.5" x14ac:dyDescent="0.25">
      <c r="A9032" s="3" t="s">
        <v>26229</v>
      </c>
      <c r="B9032" s="3"/>
      <c r="C9032" s="3" t="s">
        <v>26230</v>
      </c>
      <c r="D9032" s="3" t="s">
        <v>26231</v>
      </c>
      <c r="E9032" s="3" t="s">
        <v>26232</v>
      </c>
      <c r="F9032" s="3" t="str">
        <f>"866-936-2756 X 302"</f>
        <v>866-936-2756 X 302</v>
      </c>
      <c r="G9032" s="3">
        <v>511210</v>
      </c>
      <c r="H9032" s="3" t="s">
        <v>315</v>
      </c>
    </row>
    <row r="9033" spans="1:8" ht="128.25" x14ac:dyDescent="0.25">
      <c r="A9033" s="3" t="s">
        <v>26233</v>
      </c>
      <c r="B9033" s="3"/>
      <c r="C9033" s="3" t="s">
        <v>26234</v>
      </c>
      <c r="D9033" s="3" t="s">
        <v>9</v>
      </c>
      <c r="E9033" s="3" t="s">
        <v>26235</v>
      </c>
      <c r="F9033" s="3" t="str">
        <f>"317-557-0111"</f>
        <v>317-557-0111</v>
      </c>
      <c r="G9033" s="3">
        <v>23831</v>
      </c>
      <c r="H9033" s="3" t="s">
        <v>2526</v>
      </c>
    </row>
    <row r="9034" spans="1:8" ht="51.75" x14ac:dyDescent="0.25">
      <c r="A9034" s="3" t="s">
        <v>26236</v>
      </c>
      <c r="B9034" s="3"/>
      <c r="C9034" s="3" t="str">
        <f>"Commercial construction and general contracting firm specializing in Hotel construction and historic preservation projects."</f>
        <v>Commercial construction and general contracting firm specializing in Hotel construction and historic preservation projects.</v>
      </c>
      <c r="D9034" s="3" t="s">
        <v>26237</v>
      </c>
      <c r="E9034" s="3" t="s">
        <v>46</v>
      </c>
      <c r="F9034" s="3" t="str">
        <f>"8122541610"</f>
        <v>8122541610</v>
      </c>
      <c r="G9034" s="3">
        <v>2362</v>
      </c>
      <c r="H9034" s="3" t="s">
        <v>423</v>
      </c>
    </row>
    <row r="9035" spans="1:8" ht="90" x14ac:dyDescent="0.25">
      <c r="A9035" s="3" t="s">
        <v>26238</v>
      </c>
      <c r="B9035" s="3"/>
      <c r="C9035" s="3" t="s">
        <v>26239</v>
      </c>
      <c r="D9035" s="3" t="s">
        <v>9</v>
      </c>
      <c r="E9035" s="3" t="s">
        <v>26240</v>
      </c>
      <c r="F9035" s="3" t="str">
        <f>"317.937.1122"</f>
        <v>317.937.1122</v>
      </c>
      <c r="G9035" s="3">
        <v>621420</v>
      </c>
      <c r="H9035" s="3" t="s">
        <v>990</v>
      </c>
    </row>
    <row r="9036" spans="1:8" ht="26.25" x14ac:dyDescent="0.25">
      <c r="A9036" s="3" t="s">
        <v>26241</v>
      </c>
      <c r="B9036" s="3"/>
      <c r="C9036" s="3" t="str">
        <f>" "</f>
        <v xml:space="preserve"> </v>
      </c>
      <c r="D9036" s="3" t="s">
        <v>9</v>
      </c>
      <c r="E9036" s="3" t="s">
        <v>46</v>
      </c>
      <c r="F9036" s="3" t="str">
        <f>"765-810-2229"</f>
        <v>765-810-2229</v>
      </c>
      <c r="G9036" s="3">
        <v>321999</v>
      </c>
      <c r="H9036" s="3" t="s">
        <v>2185</v>
      </c>
    </row>
    <row r="9037" spans="1:8" ht="39" x14ac:dyDescent="0.25">
      <c r="A9037" s="3" t="s">
        <v>26242</v>
      </c>
      <c r="B9037" s="3"/>
      <c r="C9037" s="3" t="str">
        <f>"This company focuses on commercial which is slabs, curbs, sidewalks, walls,etc. Also residential which is all flat work."</f>
        <v>This company focuses on commercial which is slabs, curbs, sidewalks, walls,etc. Also residential which is all flat work.</v>
      </c>
      <c r="D9037" s="3" t="s">
        <v>9</v>
      </c>
      <c r="E9037" s="3" t="s">
        <v>46</v>
      </c>
      <c r="F9037" s="3" t="str">
        <f>"3175234603"</f>
        <v>3175234603</v>
      </c>
      <c r="G9037" s="3">
        <v>23571</v>
      </c>
      <c r="H9037" s="3" t="s">
        <v>576</v>
      </c>
    </row>
    <row r="9038" spans="1:8" ht="102.75" x14ac:dyDescent="0.25">
      <c r="A9038" s="3" t="s">
        <v>26243</v>
      </c>
      <c r="B9038" s="3"/>
      <c r="C9038" s="3" t="s">
        <v>26244</v>
      </c>
      <c r="D9038" s="3" t="s">
        <v>9</v>
      </c>
      <c r="E9038" s="3" t="s">
        <v>26245</v>
      </c>
      <c r="F9038" s="3" t="str">
        <f>"317-575-4099"</f>
        <v>317-575-4099</v>
      </c>
      <c r="G9038" s="3">
        <v>54199</v>
      </c>
      <c r="H9038" s="3" t="s">
        <v>18110</v>
      </c>
    </row>
    <row r="9039" spans="1:8" ht="115.5" x14ac:dyDescent="0.25">
      <c r="A9039" s="3" t="s">
        <v>26246</v>
      </c>
      <c r="B9039" s="3"/>
      <c r="C9039" s="3" t="s">
        <v>26247</v>
      </c>
      <c r="D9039" s="3" t="s">
        <v>26248</v>
      </c>
      <c r="E9039" s="3" t="s">
        <v>26249</v>
      </c>
      <c r="F9039" s="3" t="str">
        <f>"317-856-9888"</f>
        <v>317-856-9888</v>
      </c>
      <c r="G9039" s="3">
        <v>5613</v>
      </c>
      <c r="H9039" s="3" t="s">
        <v>1882</v>
      </c>
    </row>
    <row r="9040" spans="1:8" ht="26.25" x14ac:dyDescent="0.25">
      <c r="A9040" s="3" t="s">
        <v>26250</v>
      </c>
      <c r="B9040" s="3"/>
      <c r="C9040" s="3" t="str">
        <f>"Hauling of quarry products and excavation"</f>
        <v>Hauling of quarry products and excavation</v>
      </c>
      <c r="D9040" s="3" t="s">
        <v>9</v>
      </c>
      <c r="E9040" s="3" t="s">
        <v>26251</v>
      </c>
      <c r="F9040" s="3" t="str">
        <f>"812-265-6919"</f>
        <v>812-265-6919</v>
      </c>
      <c r="G9040" s="3">
        <v>484110</v>
      </c>
      <c r="H9040" s="3" t="s">
        <v>644</v>
      </c>
    </row>
    <row r="9041" spans="1:8" ht="39" x14ac:dyDescent="0.25">
      <c r="A9041" s="3" t="s">
        <v>26252</v>
      </c>
      <c r="B9041" s="3"/>
      <c r="C9041" s="3" t="str">
        <f>"Specialize in our own candies and unique gifts. Cards, candles, jewelry, and unusual lamps. We carry air purification lamp."</f>
        <v>Specialize in our own candies and unique gifts. Cards, candles, jewelry, and unusual lamps. We carry air purification lamp.</v>
      </c>
      <c r="D9041" s="3" t="s">
        <v>9</v>
      </c>
      <c r="E9041" s="3" t="s">
        <v>46</v>
      </c>
      <c r="F9041" s="3" t="str">
        <f>"765-468-6958"</f>
        <v>765-468-6958</v>
      </c>
      <c r="G9041" s="3">
        <v>44</v>
      </c>
      <c r="H9041" s="3" t="s">
        <v>574</v>
      </c>
    </row>
    <row r="9042" spans="1:8" ht="255.75" x14ac:dyDescent="0.25">
      <c r="A9042" s="3" t="s">
        <v>26253</v>
      </c>
      <c r="B9042" s="3"/>
      <c r="C9042" s="3" t="s">
        <v>26254</v>
      </c>
      <c r="D9042" s="3" t="s">
        <v>26255</v>
      </c>
      <c r="E9042" s="3" t="s">
        <v>26256</v>
      </c>
      <c r="F9042" s="3" t="str">
        <f>"317-571-1042"</f>
        <v>317-571-1042</v>
      </c>
      <c r="G9042" s="3">
        <v>62412</v>
      </c>
      <c r="H9042" s="3" t="s">
        <v>22</v>
      </c>
    </row>
    <row r="9043" spans="1:8" ht="64.5" x14ac:dyDescent="0.25">
      <c r="A9043" s="3" t="s">
        <v>26257</v>
      </c>
      <c r="B9043" s="3"/>
      <c r="C9043" s="3" t="str">
        <f>"One of the oldest, most trusted in companies in the industry. We sell interior CIP cleaning systems for tank trailers, rail cars and storage tanks. We also sell related parts. Consulting services are available."</f>
        <v>One of the oldest, most trusted in companies in the industry. We sell interior CIP cleaning systems for tank trailers, rail cars and storage tanks. We also sell related parts. Consulting services are available.</v>
      </c>
      <c r="D9043" s="3" t="s">
        <v>26258</v>
      </c>
      <c r="E9043" s="3" t="s">
        <v>26259</v>
      </c>
      <c r="F9043" s="3" t="str">
        <f>"812-282-4440"</f>
        <v>812-282-4440</v>
      </c>
      <c r="G9043" s="3">
        <v>56149</v>
      </c>
      <c r="H9043" s="3" t="s">
        <v>7754</v>
      </c>
    </row>
    <row r="9044" spans="1:8" ht="306.75" x14ac:dyDescent="0.25">
      <c r="A9044" s="3" t="s">
        <v>26260</v>
      </c>
      <c r="B9044" s="3"/>
      <c r="C9044" s="3" t="s">
        <v>26261</v>
      </c>
      <c r="D9044" s="3" t="s">
        <v>26262</v>
      </c>
      <c r="E9044" s="3" t="s">
        <v>26263</v>
      </c>
      <c r="F9044" s="3" t="str">
        <f>"317-271-3100"</f>
        <v>317-271-3100</v>
      </c>
      <c r="G9044" s="3">
        <v>541330</v>
      </c>
      <c r="H9044" s="3" t="s">
        <v>82</v>
      </c>
    </row>
    <row r="9045" spans="1:8" ht="39" x14ac:dyDescent="0.25">
      <c r="A9045" s="3" t="s">
        <v>26264</v>
      </c>
      <c r="B9045" s="3"/>
      <c r="C9045" s="3" t="str">
        <f>"Distributor of all types of LED Lighting Products as well as First Aid &amp; Personal Safety items."</f>
        <v>Distributor of all types of LED Lighting Products as well as First Aid &amp; Personal Safety items.</v>
      </c>
      <c r="D9045" s="3" t="s">
        <v>9</v>
      </c>
      <c r="E9045" s="3" t="s">
        <v>26265</v>
      </c>
      <c r="F9045" s="3" t="str">
        <f>"317-578-7535"</f>
        <v>317-578-7535</v>
      </c>
      <c r="G9045" s="3">
        <v>425120</v>
      </c>
      <c r="H9045" s="3" t="s">
        <v>58</v>
      </c>
    </row>
    <row r="9046" spans="1:8" ht="90" x14ac:dyDescent="0.25">
      <c r="A9046" s="3" t="s">
        <v>26266</v>
      </c>
      <c r="B9046" s="3"/>
      <c r="C9046" s="3" t="s">
        <v>26267</v>
      </c>
      <c r="D9046" s="3" t="s">
        <v>26268</v>
      </c>
      <c r="E9046" s="3" t="s">
        <v>26269</v>
      </c>
      <c r="F9046" s="3" t="str">
        <f>"317-849-1700"</f>
        <v>317-849-1700</v>
      </c>
      <c r="G9046" s="3">
        <v>423990</v>
      </c>
      <c r="H9046" s="3" t="s">
        <v>983</v>
      </c>
    </row>
    <row r="9047" spans="1:8" ht="26.25" x14ac:dyDescent="0.25">
      <c r="A9047" s="3" t="s">
        <v>26270</v>
      </c>
      <c r="B9047" s="3"/>
      <c r="C9047" s="3" t="str">
        <f>"Provider of case management services for the developmentally disabled"</f>
        <v>Provider of case management services for the developmentally disabled</v>
      </c>
      <c r="D9047" s="3" t="s">
        <v>9</v>
      </c>
      <c r="E9047" s="3" t="s">
        <v>26271</v>
      </c>
      <c r="F9047" s="3" t="str">
        <f>"574-243-0981"</f>
        <v>574-243-0981</v>
      </c>
      <c r="G9047" s="3">
        <v>624</v>
      </c>
      <c r="H9047" s="3" t="s">
        <v>6524</v>
      </c>
    </row>
    <row r="9048" spans="1:8" ht="128.25" x14ac:dyDescent="0.25">
      <c r="A9048" s="3" t="s">
        <v>26272</v>
      </c>
      <c r="B9048" s="3"/>
      <c r="C9048" s="3" t="s">
        <v>26273</v>
      </c>
      <c r="D9048" s="3" t="s">
        <v>8195</v>
      </c>
      <c r="E9048" s="3" t="s">
        <v>26274</v>
      </c>
      <c r="F9048" s="3" t="str">
        <f>"260-627-2544"</f>
        <v>260-627-2544</v>
      </c>
      <c r="G9048" s="3">
        <v>541211</v>
      </c>
      <c r="H9048" s="3" t="s">
        <v>337</v>
      </c>
    </row>
    <row r="9049" spans="1:8" ht="115.5" x14ac:dyDescent="0.25">
      <c r="A9049" s="3" t="s">
        <v>26275</v>
      </c>
      <c r="B9049" s="3"/>
      <c r="C9049" s="3" t="s">
        <v>26276</v>
      </c>
      <c r="D9049" s="3" t="s">
        <v>26277</v>
      </c>
      <c r="E9049" s="3" t="s">
        <v>26278</v>
      </c>
      <c r="F9049" s="3" t="str">
        <f>"765 825 2164"</f>
        <v>765 825 2164</v>
      </c>
      <c r="G9049" s="3">
        <v>323110</v>
      </c>
      <c r="H9049" s="3" t="s">
        <v>1900</v>
      </c>
    </row>
    <row r="9050" spans="1:8" ht="115.5" x14ac:dyDescent="0.25">
      <c r="A9050" s="3" t="s">
        <v>26279</v>
      </c>
      <c r="B9050" s="3"/>
      <c r="C9050" s="3" t="s">
        <v>26280</v>
      </c>
      <c r="D9050" s="3" t="s">
        <v>26277</v>
      </c>
      <c r="E9050" s="3" t="s">
        <v>26278</v>
      </c>
      <c r="F9050" s="3" t="str">
        <f>"765 825 2164"</f>
        <v>765 825 2164</v>
      </c>
      <c r="G9050" s="3">
        <v>323111</v>
      </c>
      <c r="H9050" s="3" t="s">
        <v>4911</v>
      </c>
    </row>
    <row r="9051" spans="1:8" ht="64.5" x14ac:dyDescent="0.25">
      <c r="A9051" s="3" t="s">
        <v>26281</v>
      </c>
      <c r="B9051" s="3"/>
      <c r="C9051" s="3" t="str">
        <f>"Taylor Bros. Construction Co., Inc. provides general construction and construction management services, pre-engineered buildings, carpentry and millwork, drywall and metal stud systems."</f>
        <v>Taylor Bros. Construction Co., Inc. provides general construction and construction management services, pre-engineered buildings, carpentry and millwork, drywall and metal stud systems.</v>
      </c>
      <c r="D9051" s="3" t="s">
        <v>26282</v>
      </c>
      <c r="E9051" s="3" t="s">
        <v>26283</v>
      </c>
      <c r="F9051" s="3" t="str">
        <f>"812-379-9547"</f>
        <v>812-379-9547</v>
      </c>
      <c r="G9051" s="3">
        <v>23332</v>
      </c>
      <c r="H9051" s="3" t="s">
        <v>598</v>
      </c>
    </row>
    <row r="9052" spans="1:8" ht="115.5" x14ac:dyDescent="0.25">
      <c r="A9052" s="3" t="s">
        <v>26284</v>
      </c>
      <c r="B9052" s="3"/>
      <c r="C9052" s="3" t="s">
        <v>26285</v>
      </c>
      <c r="D9052" s="3" t="s">
        <v>9</v>
      </c>
      <c r="E9052" s="3" t="s">
        <v>26286</v>
      </c>
      <c r="F9052" s="3" t="str">
        <f>"317-523-4603"</f>
        <v>317-523-4603</v>
      </c>
      <c r="G9052" s="3">
        <v>238110</v>
      </c>
      <c r="H9052" s="3" t="s">
        <v>156</v>
      </c>
    </row>
    <row r="9053" spans="1:8" ht="39" x14ac:dyDescent="0.25">
      <c r="A9053" s="3" t="s">
        <v>26287</v>
      </c>
      <c r="B9053" s="3"/>
      <c r="C9053" s="3" t="str">
        <f>"Construction Services: Residential Commerical Government Property Management"</f>
        <v>Construction Services: Residential Commerical Government Property Management</v>
      </c>
      <c r="D9053" s="3" t="s">
        <v>26288</v>
      </c>
      <c r="E9053" s="3" t="s">
        <v>26289</v>
      </c>
      <c r="F9053" s="3" t="str">
        <f>"2194722646"</f>
        <v>2194722646</v>
      </c>
      <c r="G9053" s="3">
        <v>2361</v>
      </c>
      <c r="H9053" s="3" t="s">
        <v>3466</v>
      </c>
    </row>
    <row r="9054" spans="1:8" ht="26.25" x14ac:dyDescent="0.25">
      <c r="A9054" s="3" t="s">
        <v>26290</v>
      </c>
      <c r="B9054" s="3"/>
      <c r="C9054" s="3" t="str">
        <f>"Sales and service of specialty food service equipment."</f>
        <v>Sales and service of specialty food service equipment.</v>
      </c>
      <c r="D9054" s="3" t="s">
        <v>26291</v>
      </c>
      <c r="E9054" s="3" t="s">
        <v>26292</v>
      </c>
      <c r="F9054" s="3" t="str">
        <f>"800-572-3054"</f>
        <v>800-572-3054</v>
      </c>
      <c r="G9054" s="3">
        <v>423440</v>
      </c>
      <c r="H9054" s="3" t="s">
        <v>12364</v>
      </c>
    </row>
    <row r="9055" spans="1:8" ht="204.75" x14ac:dyDescent="0.25">
      <c r="A9055" s="3" t="s">
        <v>26293</v>
      </c>
      <c r="B9055" s="3"/>
      <c r="C9055" s="3" t="s">
        <v>26294</v>
      </c>
      <c r="D9055" s="3" t="s">
        <v>26295</v>
      </c>
      <c r="E9055" s="3" t="s">
        <v>26296</v>
      </c>
      <c r="F9055" s="3" t="str">
        <f>"765-825-0899"</f>
        <v>765-825-0899</v>
      </c>
      <c r="G9055" s="3">
        <v>236118</v>
      </c>
      <c r="H9055" s="3" t="s">
        <v>465</v>
      </c>
    </row>
    <row r="9056" spans="1:8" ht="90" x14ac:dyDescent="0.25">
      <c r="A9056" s="3" t="s">
        <v>26297</v>
      </c>
      <c r="B9056" s="3"/>
      <c r="C9056" s="3" t="s">
        <v>26298</v>
      </c>
      <c r="D9056" s="3" t="s">
        <v>9</v>
      </c>
      <c r="E9056" s="3" t="s">
        <v>26299</v>
      </c>
      <c r="F9056" s="3" t="str">
        <f>"260 525 0528"</f>
        <v>260 525 0528</v>
      </c>
      <c r="G9056" s="3">
        <v>236</v>
      </c>
      <c r="H9056" s="3" t="s">
        <v>291</v>
      </c>
    </row>
    <row r="9057" spans="1:8" ht="268.5" x14ac:dyDescent="0.25">
      <c r="A9057" s="3" t="s">
        <v>26300</v>
      </c>
      <c r="B9057" s="3"/>
      <c r="C9057" s="3" t="s">
        <v>26301</v>
      </c>
      <c r="D9057" s="3" t="s">
        <v>26302</v>
      </c>
      <c r="E9057" s="3" t="s">
        <v>26303</v>
      </c>
      <c r="F9057" s="3" t="str">
        <f>"502-992-9481"</f>
        <v>502-992-9481</v>
      </c>
      <c r="G9057" s="3">
        <v>541618</v>
      </c>
      <c r="H9057" s="3" t="s">
        <v>3527</v>
      </c>
    </row>
    <row r="9058" spans="1:8" ht="128.25" x14ac:dyDescent="0.25">
      <c r="A9058" s="3" t="s">
        <v>26304</v>
      </c>
      <c r="B9058" s="3"/>
      <c r="C9058" s="3" t="s">
        <v>26305</v>
      </c>
      <c r="D9058" s="3" t="s">
        <v>26306</v>
      </c>
      <c r="E9058" s="3" t="s">
        <v>26307</v>
      </c>
      <c r="F9058" s="3" t="str">
        <f>"800-524-1721"</f>
        <v>800-524-1721</v>
      </c>
      <c r="G9058" s="3">
        <v>42211</v>
      </c>
      <c r="H9058" s="3" t="s">
        <v>26308</v>
      </c>
    </row>
    <row r="9059" spans="1:8" ht="51.75" x14ac:dyDescent="0.25">
      <c r="A9059" s="3" t="s">
        <v>26309</v>
      </c>
      <c r="B9059" s="3"/>
      <c r="C9059" s="3" t="str">
        <f>"WE SELL TIRES, ALIGNMENTS ON CARS AND SUVS AND PICKUP TRUCKS, SUSPENSION WORK, OIL CHANGES, AND ROAD SERVICE ON COMMERCIAL VEHICLES."</f>
        <v>WE SELL TIRES, ALIGNMENTS ON CARS AND SUVS AND PICKUP TRUCKS, SUSPENSION WORK, OIL CHANGES, AND ROAD SERVICE ON COMMERCIAL VEHICLES.</v>
      </c>
      <c r="D9059" s="3" t="s">
        <v>9</v>
      </c>
      <c r="E9059" s="3" t="s">
        <v>46</v>
      </c>
      <c r="F9059" s="3" t="str">
        <f>"812-526-0558"</f>
        <v>812-526-0558</v>
      </c>
      <c r="G9059" s="3">
        <v>4413</v>
      </c>
      <c r="H9059" s="3" t="s">
        <v>1210</v>
      </c>
    </row>
    <row r="9060" spans="1:8" ht="26.25" x14ac:dyDescent="0.25">
      <c r="A9060" s="3" t="s">
        <v>26310</v>
      </c>
      <c r="B9060" s="3"/>
      <c r="C9060" s="3" t="str">
        <f>"Readymix concrete supplier"</f>
        <v>Readymix concrete supplier</v>
      </c>
      <c r="D9060" s="3" t="s">
        <v>9</v>
      </c>
      <c r="E9060" s="3" t="s">
        <v>26311</v>
      </c>
      <c r="F9060" s="3" t="str">
        <f>"219-785-4477"</f>
        <v>219-785-4477</v>
      </c>
      <c r="G9060" s="3">
        <v>327320</v>
      </c>
      <c r="H9060" s="3" t="s">
        <v>5501</v>
      </c>
    </row>
    <row r="9061" spans="1:8" x14ac:dyDescent="0.25">
      <c r="A9061" s="3" t="s">
        <v>26312</v>
      </c>
      <c r="B9061" s="3"/>
      <c r="C9061" s="3" t="str">
        <f>" "</f>
        <v xml:space="preserve"> </v>
      </c>
      <c r="D9061" s="3" t="s">
        <v>9</v>
      </c>
      <c r="E9061" s="3" t="s">
        <v>46</v>
      </c>
      <c r="F9061" s="2"/>
      <c r="G9061" s="3">
        <v>54161</v>
      </c>
      <c r="H9061" s="3" t="s">
        <v>1221</v>
      </c>
    </row>
    <row r="9062" spans="1:8" ht="115.5" x14ac:dyDescent="0.25">
      <c r="A9062" s="3" t="s">
        <v>26313</v>
      </c>
      <c r="B9062" s="3"/>
      <c r="C9062" s="3" t="s">
        <v>26314</v>
      </c>
      <c r="D9062" s="3" t="s">
        <v>26315</v>
      </c>
      <c r="E9062" s="3" t="s">
        <v>26316</v>
      </c>
      <c r="F9062" s="3" t="str">
        <f>"765-427-1509"</f>
        <v>765-427-1509</v>
      </c>
      <c r="G9062" s="3">
        <v>61171</v>
      </c>
      <c r="H9062" s="3" t="s">
        <v>508</v>
      </c>
    </row>
    <row r="9063" spans="1:8" ht="51.75" x14ac:dyDescent="0.25">
      <c r="A9063" s="3" t="s">
        <v>26317</v>
      </c>
      <c r="B9063" s="3"/>
      <c r="C9063" s="3" t="str">
        <f>"All phases of residential and commercial construction. New homes, pole buildings, remodeling, decks, porches, storm damage repair."</f>
        <v>All phases of residential and commercial construction. New homes, pole buildings, remodeling, decks, porches, storm damage repair.</v>
      </c>
      <c r="D9063" s="3" t="s">
        <v>26318</v>
      </c>
      <c r="E9063" s="3" t="s">
        <v>26319</v>
      </c>
      <c r="F9063" s="3" t="str">
        <f>"812-738-4588"</f>
        <v>812-738-4588</v>
      </c>
      <c r="G9063" s="3">
        <v>238990</v>
      </c>
      <c r="H9063" s="3" t="s">
        <v>481</v>
      </c>
    </row>
    <row r="9064" spans="1:8" ht="179.25" x14ac:dyDescent="0.25">
      <c r="A9064" s="3" t="s">
        <v>26320</v>
      </c>
      <c r="B9064" s="3"/>
      <c r="C9064" s="3" t="s">
        <v>26321</v>
      </c>
      <c r="D9064" s="3" t="s">
        <v>9</v>
      </c>
      <c r="E9064" s="3" t="s">
        <v>26322</v>
      </c>
      <c r="F9064" s="3" t="str">
        <f>"765-426-2817"</f>
        <v>765-426-2817</v>
      </c>
      <c r="G9064" s="3">
        <v>561720</v>
      </c>
      <c r="H9064" s="3" t="s">
        <v>222</v>
      </c>
    </row>
    <row r="9065" spans="1:8" ht="115.5" x14ac:dyDescent="0.25">
      <c r="A9065" s="3" t="s">
        <v>26323</v>
      </c>
      <c r="B9065" s="3"/>
      <c r="C9065" s="3" t="s">
        <v>26324</v>
      </c>
      <c r="D9065" s="3" t="s">
        <v>26325</v>
      </c>
      <c r="E9065" s="3" t="s">
        <v>26326</v>
      </c>
      <c r="F9065" s="3" t="str">
        <f>"317-423-2375"</f>
        <v>317-423-2375</v>
      </c>
      <c r="G9065" s="3">
        <v>336</v>
      </c>
      <c r="H9065" s="3" t="s">
        <v>2720</v>
      </c>
    </row>
    <row r="9066" spans="1:8" ht="115.5" x14ac:dyDescent="0.25">
      <c r="A9066" s="3" t="s">
        <v>26327</v>
      </c>
      <c r="B9066" s="3"/>
      <c r="C9066" s="3" t="s">
        <v>26328</v>
      </c>
      <c r="D9066" s="3" t="s">
        <v>26329</v>
      </c>
      <c r="E9066" s="3" t="s">
        <v>26330</v>
      </c>
      <c r="F9066" s="3" t="str">
        <f>"317-915-0915"</f>
        <v>317-915-0915</v>
      </c>
      <c r="G9066" s="3">
        <v>425120</v>
      </c>
      <c r="H9066" s="3" t="s">
        <v>58</v>
      </c>
    </row>
    <row r="9067" spans="1:8" ht="90" x14ac:dyDescent="0.25">
      <c r="A9067" s="3" t="s">
        <v>26331</v>
      </c>
      <c r="B9067" s="3"/>
      <c r="C9067" s="3" t="s">
        <v>26332</v>
      </c>
      <c r="D9067" s="3" t="s">
        <v>26333</v>
      </c>
      <c r="E9067" s="3" t="s">
        <v>26334</v>
      </c>
      <c r="F9067" s="3" t="str">
        <f>"317-477-7468"</f>
        <v>317-477-7468</v>
      </c>
      <c r="G9067" s="3">
        <v>323113</v>
      </c>
      <c r="H9067" s="3" t="s">
        <v>1606</v>
      </c>
    </row>
    <row r="9068" spans="1:8" ht="39" x14ac:dyDescent="0.25">
      <c r="A9068" s="3" t="s">
        <v>26335</v>
      </c>
      <c r="B9068" s="3"/>
      <c r="C9068" s="3" t="str">
        <f>"Framing, siding, roofing, painting both exterior and interior. Been in business for 15 years."</f>
        <v>Framing, siding, roofing, painting both exterior and interior. Been in business for 15 years.</v>
      </c>
      <c r="D9068" s="3" t="s">
        <v>9</v>
      </c>
      <c r="E9068" s="3" t="s">
        <v>46</v>
      </c>
      <c r="F9068" s="3" t="str">
        <f>"812-871-9922"</f>
        <v>812-871-9922</v>
      </c>
      <c r="G9068" s="3">
        <v>23</v>
      </c>
      <c r="H9068" s="3" t="s">
        <v>133</v>
      </c>
    </row>
    <row r="9069" spans="1:8" ht="141" x14ac:dyDescent="0.25">
      <c r="A9069" s="3" t="s">
        <v>26336</v>
      </c>
      <c r="B9069" s="3"/>
      <c r="C9069" s="3" t="s">
        <v>26337</v>
      </c>
      <c r="D9069" s="3" t="s">
        <v>26338</v>
      </c>
      <c r="E9069" s="3" t="s">
        <v>26339</v>
      </c>
      <c r="F9069" s="3" t="str">
        <f>"260-572-0060"</f>
        <v>260-572-0060</v>
      </c>
      <c r="G9069" s="3">
        <v>541990</v>
      </c>
      <c r="H9069" s="3" t="s">
        <v>378</v>
      </c>
    </row>
    <row r="9070" spans="1:8" ht="26.25" x14ac:dyDescent="0.25">
      <c r="A9070" s="3" t="s">
        <v>26340</v>
      </c>
      <c r="B9070" s="3"/>
      <c r="C9070" s="3" t="str">
        <f>"Road Construction, Haul for Hire, Sand, Gravel, Asphalt, Dirt Transportation"</f>
        <v>Road Construction, Haul for Hire, Sand, Gravel, Asphalt, Dirt Transportation</v>
      </c>
      <c r="D9070" s="3" t="s">
        <v>9</v>
      </c>
      <c r="E9070" s="3" t="s">
        <v>26341</v>
      </c>
      <c r="F9070" s="3" t="str">
        <f>"3176606396"</f>
        <v>3176606396</v>
      </c>
      <c r="G9070" s="3">
        <v>23</v>
      </c>
      <c r="H9070" s="3" t="s">
        <v>133</v>
      </c>
    </row>
    <row r="9071" spans="1:8" ht="26.25" x14ac:dyDescent="0.25">
      <c r="A9071" s="3" t="s">
        <v>26342</v>
      </c>
      <c r="B9071" s="3"/>
      <c r="C9071" s="2"/>
      <c r="D9071" s="3" t="s">
        <v>9</v>
      </c>
      <c r="E9071" s="3" t="s">
        <v>26343</v>
      </c>
      <c r="F9071" s="2"/>
      <c r="G9071" s="3">
        <v>813920</v>
      </c>
      <c r="H9071" s="3" t="s">
        <v>8755</v>
      </c>
    </row>
    <row r="9072" spans="1:8" ht="64.5" x14ac:dyDescent="0.25">
      <c r="A9072" s="3" t="s">
        <v>26344</v>
      </c>
      <c r="B9072" s="3"/>
      <c r="C9072" s="3" t="str">
        <f>"We are int eh business of selling, installing, and managing hhg performance wired and wireless network infrastucture components such as routers, switches, firewalls, secure remote access, and wireless."</f>
        <v>We are int eh business of selling, installing, and managing hhg performance wired and wireless network infrastucture components such as routers, switches, firewalls, secure remote access, and wireless.</v>
      </c>
      <c r="D9072" s="3" t="s">
        <v>26345</v>
      </c>
      <c r="E9072" s="3" t="s">
        <v>26346</v>
      </c>
      <c r="F9072" s="3" t="str">
        <f>"260-969-0850"</f>
        <v>260-969-0850</v>
      </c>
      <c r="G9072" s="3">
        <v>541512</v>
      </c>
      <c r="H9072" s="3" t="s">
        <v>19</v>
      </c>
    </row>
    <row r="9073" spans="1:8" ht="268.5" x14ac:dyDescent="0.25">
      <c r="A9073" s="3" t="s">
        <v>26347</v>
      </c>
      <c r="B9073" s="3"/>
      <c r="C9073" s="3" t="s">
        <v>26348</v>
      </c>
      <c r="D9073" s="3" t="s">
        <v>26349</v>
      </c>
      <c r="E9073" s="3" t="s">
        <v>26350</v>
      </c>
      <c r="F9073" s="3" t="str">
        <f>"812-430-2056"</f>
        <v>812-430-2056</v>
      </c>
      <c r="G9073" s="3">
        <v>541512</v>
      </c>
      <c r="H9073" s="3" t="s">
        <v>19</v>
      </c>
    </row>
    <row r="9074" spans="1:8" ht="39" x14ac:dyDescent="0.25">
      <c r="A9074" s="3" t="s">
        <v>26351</v>
      </c>
      <c r="B9074" s="3"/>
      <c r="C9074" s="3" t="str">
        <f>"To deliver the best possible technology solutions to help our clients improve IT efficiency and business profitability."</f>
        <v>To deliver the best possible technology solutions to help our clients improve IT efficiency and business profitability.</v>
      </c>
      <c r="D9074" s="3" t="s">
        <v>26352</v>
      </c>
      <c r="E9074" s="3" t="s">
        <v>26353</v>
      </c>
      <c r="F9074" s="3" t="str">
        <f>"972-421-1212"</f>
        <v>972-421-1212</v>
      </c>
      <c r="G9074" s="3">
        <v>541513</v>
      </c>
      <c r="H9074" s="3" t="s">
        <v>2401</v>
      </c>
    </row>
    <row r="9075" spans="1:8" ht="90" x14ac:dyDescent="0.25">
      <c r="A9075" s="3" t="s">
        <v>26354</v>
      </c>
      <c r="B9075" s="3"/>
      <c r="C9075" s="3" t="s">
        <v>26355</v>
      </c>
      <c r="D9075" s="3" t="s">
        <v>26356</v>
      </c>
      <c r="E9075" s="3" t="s">
        <v>26357</v>
      </c>
      <c r="F9075" s="3" t="str">
        <f>"317-502-3043"</f>
        <v>317-502-3043</v>
      </c>
      <c r="G9075" s="3">
        <v>541990</v>
      </c>
      <c r="H9075" s="3" t="s">
        <v>378</v>
      </c>
    </row>
    <row r="9076" spans="1:8" ht="64.5" x14ac:dyDescent="0.25">
      <c r="A9076" s="3" t="s">
        <v>26358</v>
      </c>
      <c r="B9076" s="3"/>
      <c r="C9076" s="3" t="str">
        <f>"Computer recycling, consulting, training, networking, setup, troubleshooting, installation, sales of computers and peripherals, upgrades, service, MCSE Certified, WBE"</f>
        <v>Computer recycling, consulting, training, networking, setup, troubleshooting, installation, sales of computers and peripherals, upgrades, service, MCSE Certified, WBE</v>
      </c>
      <c r="D9076" s="3" t="s">
        <v>26359</v>
      </c>
      <c r="E9076" s="3" t="s">
        <v>26360</v>
      </c>
      <c r="F9076" s="3" t="str">
        <f>"812-595-1137"</f>
        <v>812-595-1137</v>
      </c>
      <c r="G9076" s="3">
        <v>541513</v>
      </c>
      <c r="H9076" s="3" t="s">
        <v>2401</v>
      </c>
    </row>
    <row r="9077" spans="1:8" ht="115.5" x14ac:dyDescent="0.25">
      <c r="A9077" s="3" t="s">
        <v>26361</v>
      </c>
      <c r="B9077" s="3"/>
      <c r="C9077" s="3" t="s">
        <v>26362</v>
      </c>
      <c r="D9077" s="3" t="s">
        <v>26363</v>
      </c>
      <c r="E9077" s="3" t="s">
        <v>26364</v>
      </c>
      <c r="F9077" s="3" t="str">
        <f>"317-371-5923"</f>
        <v>317-371-5923</v>
      </c>
      <c r="G9077" s="3">
        <v>541511</v>
      </c>
      <c r="H9077" s="3" t="s">
        <v>122</v>
      </c>
    </row>
    <row r="9078" spans="1:8" ht="39" x14ac:dyDescent="0.25">
      <c r="A9078" s="3" t="s">
        <v>26365</v>
      </c>
      <c r="B9078" s="3"/>
      <c r="C9078" s="3" t="str">
        <f>"Heating &amp; Air conditioning, (HVAC/R) , Refrigeration, Temperature Control, Service &amp; new installation."</f>
        <v>Heating &amp; Air conditioning, (HVAC/R) , Refrigeration, Temperature Control, Service &amp; new installation.</v>
      </c>
      <c r="D9078" s="3" t="s">
        <v>26366</v>
      </c>
      <c r="E9078" s="3" t="s">
        <v>26367</v>
      </c>
      <c r="F9078" s="3" t="str">
        <f>"260-416-0329"</f>
        <v>260-416-0329</v>
      </c>
      <c r="G9078" s="3">
        <v>238220</v>
      </c>
      <c r="H9078" s="3" t="s">
        <v>348</v>
      </c>
    </row>
    <row r="9079" spans="1:8" ht="26.25" x14ac:dyDescent="0.25">
      <c r="A9079" s="3" t="s">
        <v>26368</v>
      </c>
      <c r="B9079" s="3"/>
      <c r="C9079" s="3" t="str">
        <f>"Technical Teaching Equipment for Education"</f>
        <v>Technical Teaching Equipment for Education</v>
      </c>
      <c r="D9079" s="3" t="s">
        <v>26369</v>
      </c>
      <c r="E9079" s="3" t="s">
        <v>26370</v>
      </c>
      <c r="F9079" s="3" t="str">
        <f>"770-651-8468"</f>
        <v>770-651-8468</v>
      </c>
      <c r="G9079" s="3">
        <v>454</v>
      </c>
      <c r="H9079" s="3" t="s">
        <v>2419</v>
      </c>
    </row>
    <row r="9080" spans="1:8" ht="166.5" x14ac:dyDescent="0.25">
      <c r="A9080" s="3" t="s">
        <v>26371</v>
      </c>
      <c r="B9080" s="3"/>
      <c r="C9080" s="3" t="s">
        <v>26372</v>
      </c>
      <c r="D9080" s="3" t="s">
        <v>26373</v>
      </c>
      <c r="E9080" s="3" t="s">
        <v>26374</v>
      </c>
      <c r="F9080" s="3" t="str">
        <f>"317 332-4403"</f>
        <v>317 332-4403</v>
      </c>
      <c r="G9080" s="3">
        <v>517</v>
      </c>
      <c r="H9080" s="3" t="s">
        <v>682</v>
      </c>
    </row>
    <row r="9081" spans="1:8" ht="64.5" x14ac:dyDescent="0.25">
      <c r="A9081" s="3" t="s">
        <v>26375</v>
      </c>
      <c r="B9081" s="3"/>
      <c r="C9081" s="3" t="str">
        <f>"A Veteran Certified VOSB company We Provide One-Solution to our customers Installing and Servicing tomorrows technology...... today! Design, Integrate, and Install your technology !"</f>
        <v>A Veteran Certified VOSB company We Provide One-Solution to our customers Installing and Servicing tomorrows technology...... today! Design, Integrate, and Install your technology !</v>
      </c>
      <c r="D9081" s="3" t="s">
        <v>26376</v>
      </c>
      <c r="E9081" s="3" t="s">
        <v>26374</v>
      </c>
      <c r="F9081" s="3" t="str">
        <f>"317 753-4903"</f>
        <v>317 753-4903</v>
      </c>
      <c r="G9081" s="3">
        <v>54151</v>
      </c>
      <c r="H9081" s="3" t="s">
        <v>188</v>
      </c>
    </row>
    <row r="9082" spans="1:8" ht="179.25" x14ac:dyDescent="0.25">
      <c r="A9082" s="3" t="s">
        <v>26377</v>
      </c>
      <c r="B9082" s="3"/>
      <c r="C9082" s="3" t="s">
        <v>26378</v>
      </c>
      <c r="D9082" s="3" t="s">
        <v>26379</v>
      </c>
      <c r="E9082" s="3" t="s">
        <v>26380</v>
      </c>
      <c r="F9082" s="3" t="str">
        <f>"317-731-5084"</f>
        <v>317-731-5084</v>
      </c>
      <c r="G9082" s="3">
        <v>541</v>
      </c>
      <c r="H9082" s="3" t="s">
        <v>179</v>
      </c>
    </row>
    <row r="9083" spans="1:8" ht="90" x14ac:dyDescent="0.25">
      <c r="A9083" s="3" t="s">
        <v>26381</v>
      </c>
      <c r="B9083" s="3"/>
      <c r="C9083" s="3" t="s">
        <v>26382</v>
      </c>
      <c r="D9083" s="3" t="s">
        <v>9</v>
      </c>
      <c r="E9083" s="3" t="s">
        <v>26383</v>
      </c>
      <c r="F9083" s="3" t="str">
        <f>"317-250-2350"</f>
        <v>317-250-2350</v>
      </c>
      <c r="G9083" s="3">
        <v>54161</v>
      </c>
      <c r="H9083" s="3" t="s">
        <v>1221</v>
      </c>
    </row>
    <row r="9084" spans="1:8" ht="153.75" x14ac:dyDescent="0.25">
      <c r="A9084" s="3" t="s">
        <v>26384</v>
      </c>
      <c r="B9084" s="3"/>
      <c r="C9084" s="3" t="s">
        <v>26385</v>
      </c>
      <c r="D9084" s="3" t="s">
        <v>9</v>
      </c>
      <c r="E9084" s="3" t="s">
        <v>26386</v>
      </c>
      <c r="F9084" s="3" t="str">
        <f>"260-625-2400"</f>
        <v>260-625-2400</v>
      </c>
      <c r="G9084" s="3">
        <v>541990</v>
      </c>
      <c r="H9084" s="3" t="s">
        <v>378</v>
      </c>
    </row>
    <row r="9085" spans="1:8" ht="128.25" x14ac:dyDescent="0.25">
      <c r="A9085" s="3" t="s">
        <v>26387</v>
      </c>
      <c r="B9085" s="3"/>
      <c r="C9085" s="3" t="s">
        <v>26388</v>
      </c>
      <c r="D9085" s="3" t="s">
        <v>26389</v>
      </c>
      <c r="E9085" s="3" t="s">
        <v>46</v>
      </c>
      <c r="F9085" s="3" t="str">
        <f>"317-524-6338"</f>
        <v>317-524-6338</v>
      </c>
      <c r="G9085" s="3">
        <v>54199</v>
      </c>
      <c r="H9085" s="3" t="s">
        <v>18110</v>
      </c>
    </row>
    <row r="9086" spans="1:8" ht="90" x14ac:dyDescent="0.25">
      <c r="A9086" s="3" t="s">
        <v>26390</v>
      </c>
      <c r="B9086" s="3"/>
      <c r="C9086" s="3" t="s">
        <v>26391</v>
      </c>
      <c r="D9086" s="3" t="s">
        <v>9</v>
      </c>
      <c r="E9086" s="3" t="s">
        <v>26392</v>
      </c>
      <c r="F9086" s="3" t="str">
        <f>"(317)773-2743"</f>
        <v>(317)773-2743</v>
      </c>
      <c r="G9086" s="3">
        <v>238210</v>
      </c>
      <c r="H9086" s="3" t="s">
        <v>306</v>
      </c>
    </row>
    <row r="9087" spans="1:8" ht="319.5" x14ac:dyDescent="0.25">
      <c r="A9087" s="3" t="s">
        <v>26393</v>
      </c>
      <c r="B9087" s="3"/>
      <c r="C9087" s="3" t="s">
        <v>26394</v>
      </c>
      <c r="D9087" s="3" t="s">
        <v>25932</v>
      </c>
      <c r="E9087" s="3" t="s">
        <v>25933</v>
      </c>
      <c r="F9087" s="3" t="str">
        <f>"(219)750-1225"</f>
        <v>(219)750-1225</v>
      </c>
      <c r="G9087" s="3">
        <v>54151</v>
      </c>
      <c r="H9087" s="3" t="s">
        <v>188</v>
      </c>
    </row>
    <row r="9088" spans="1:8" ht="294" x14ac:dyDescent="0.25">
      <c r="A9088" s="3" t="s">
        <v>26395</v>
      </c>
      <c r="B9088" s="3"/>
      <c r="C9088" s="3" t="s">
        <v>26396</v>
      </c>
      <c r="D9088" s="3" t="s">
        <v>26397</v>
      </c>
      <c r="E9088" s="3" t="s">
        <v>26398</v>
      </c>
      <c r="F9088" s="3" t="str">
        <f>"317-610-6100"</f>
        <v>317-610-6100</v>
      </c>
      <c r="G9088" s="3">
        <v>541512</v>
      </c>
      <c r="H9088" s="3" t="s">
        <v>19</v>
      </c>
    </row>
    <row r="9089" spans="1:8" ht="26.25" x14ac:dyDescent="0.25">
      <c r="A9089" s="3" t="s">
        <v>26399</v>
      </c>
      <c r="B9089" s="3"/>
      <c r="C9089" s="3" t="str">
        <f>"IT Consulting and staffing services. Computer custom programming services"</f>
        <v>IT Consulting and staffing services. Computer custom programming services</v>
      </c>
      <c r="D9089" s="3" t="s">
        <v>26400</v>
      </c>
      <c r="E9089" s="3" t="s">
        <v>26401</v>
      </c>
      <c r="F9089" s="3" t="str">
        <f>"212-785-1500"</f>
        <v>212-785-1500</v>
      </c>
      <c r="G9089" s="3">
        <v>541512</v>
      </c>
      <c r="H9089" s="3" t="s">
        <v>19</v>
      </c>
    </row>
    <row r="9090" spans="1:8" ht="77.25" x14ac:dyDescent="0.25">
      <c r="A9090" s="3" t="s">
        <v>26402</v>
      </c>
      <c r="B9090" s="3"/>
      <c r="C9090" s="3" t="str">
        <f>"Manufacturer's representative of waste oil furnaces and boilers, infrared/radiant heaters, air purifications systems, energy recovery systems, vehicle exhaust and smoke and fume exhaust systems and related HVAC equipment"</f>
        <v>Manufacturer's representative of waste oil furnaces and boilers, infrared/radiant heaters, air purifications systems, energy recovery systems, vehicle exhaust and smoke and fume exhaust systems and related HVAC equipment</v>
      </c>
      <c r="D9090" s="3" t="s">
        <v>26403</v>
      </c>
      <c r="E9090" s="3" t="s">
        <v>26404</v>
      </c>
      <c r="F9090" s="3" t="str">
        <f>"317.346.6692"</f>
        <v>317.346.6692</v>
      </c>
      <c r="G9090" s="3">
        <v>42172</v>
      </c>
      <c r="H9090" s="3" t="s">
        <v>3003</v>
      </c>
    </row>
    <row r="9091" spans="1:8" ht="26.25" x14ac:dyDescent="0.25">
      <c r="A9091" s="3" t="s">
        <v>26405</v>
      </c>
      <c r="B9091" s="3"/>
      <c r="C9091" s="3" t="str">
        <f>"Tecton Corporation is a General Contractor."</f>
        <v>Tecton Corporation is a General Contractor.</v>
      </c>
      <c r="D9091" s="3" t="s">
        <v>9</v>
      </c>
      <c r="E9091" s="3" t="s">
        <v>46</v>
      </c>
      <c r="F9091" s="3" t="str">
        <f>"260-484-4848"</f>
        <v>260-484-4848</v>
      </c>
      <c r="G9091" s="3">
        <v>236</v>
      </c>
      <c r="H9091" s="3" t="s">
        <v>291</v>
      </c>
    </row>
    <row r="9092" spans="1:8" ht="39" x14ac:dyDescent="0.25">
      <c r="A9092" s="3" t="s">
        <v>26406</v>
      </c>
      <c r="B9092" s="3"/>
      <c r="C9092" s="3" t="str">
        <f>"Manufacturer, warehousing and distribution of corrugated shipping containers (formerly Design Packaging)"</f>
        <v>Manufacturer, warehousing and distribution of corrugated shipping containers (formerly Design Packaging)</v>
      </c>
      <c r="D9092" s="3" t="s">
        <v>26407</v>
      </c>
      <c r="E9092" s="3" t="s">
        <v>46</v>
      </c>
      <c r="F9092" s="3" t="str">
        <f>"800/345-7077"</f>
        <v>800/345-7077</v>
      </c>
      <c r="G9092" s="3">
        <v>322211</v>
      </c>
      <c r="H9092" s="3" t="s">
        <v>2605</v>
      </c>
    </row>
    <row r="9093" spans="1:8" ht="64.5" x14ac:dyDescent="0.25">
      <c r="A9093" s="3" t="s">
        <v>26408</v>
      </c>
      <c r="B9093" s="3"/>
      <c r="C9093" s="3" t="str">
        <f>"Dream Obtainer is a full social service program offering individual and group counseling , HIV counseling, parent intervention, reentry assistance and family and marriage counseling"</f>
        <v>Dream Obtainer is a full social service program offering individual and group counseling , HIV counseling, parent intervention, reentry assistance and family and marriage counseling</v>
      </c>
      <c r="D9093" s="3" t="s">
        <v>9</v>
      </c>
      <c r="E9093" s="3" t="s">
        <v>26409</v>
      </c>
      <c r="F9093" s="3" t="str">
        <f>"2193975117"</f>
        <v>2193975117</v>
      </c>
      <c r="G9093" s="3">
        <v>235</v>
      </c>
      <c r="H9093" s="3" t="s">
        <v>259</v>
      </c>
    </row>
    <row r="9094" spans="1:8" ht="166.5" x14ac:dyDescent="0.25">
      <c r="A9094" s="3" t="s">
        <v>26410</v>
      </c>
      <c r="B9094" s="3"/>
      <c r="C9094" s="3" t="s">
        <v>26411</v>
      </c>
      <c r="D9094" s="3" t="s">
        <v>26412</v>
      </c>
      <c r="E9094" s="3" t="s">
        <v>26413</v>
      </c>
      <c r="F9094" s="2"/>
      <c r="G9094" s="3">
        <v>54151</v>
      </c>
      <c r="H9094" s="3" t="s">
        <v>188</v>
      </c>
    </row>
    <row r="9095" spans="1:8" ht="153.75" x14ac:dyDescent="0.25">
      <c r="A9095" s="3" t="s">
        <v>26414</v>
      </c>
      <c r="B9095" s="3"/>
      <c r="C9095" s="3" t="s">
        <v>26415</v>
      </c>
      <c r="D9095" s="3" t="s">
        <v>26416</v>
      </c>
      <c r="E9095" s="3" t="s">
        <v>26417</v>
      </c>
      <c r="F9095" s="3" t="str">
        <f>"317-575-1108"</f>
        <v>317-575-1108</v>
      </c>
      <c r="G9095" s="3">
        <v>711510</v>
      </c>
      <c r="H9095" s="3" t="s">
        <v>1980</v>
      </c>
    </row>
    <row r="9096" spans="1:8" ht="26.25" x14ac:dyDescent="0.25">
      <c r="A9096" s="3" t="s">
        <v>26418</v>
      </c>
      <c r="B9096" s="3"/>
      <c r="C9096" s="2"/>
      <c r="D9096" s="3" t="s">
        <v>26419</v>
      </c>
      <c r="E9096" s="3" t="s">
        <v>46</v>
      </c>
      <c r="F9096" s="3" t="str">
        <f>"317 390 8585"</f>
        <v>317 390 8585</v>
      </c>
      <c r="G9096" s="3">
        <v>517</v>
      </c>
      <c r="H9096" s="3" t="s">
        <v>682</v>
      </c>
    </row>
    <row r="9097" spans="1:8" ht="319.5" x14ac:dyDescent="0.25">
      <c r="A9097" s="3" t="s">
        <v>26420</v>
      </c>
      <c r="B9097" s="3"/>
      <c r="C9097" s="3" t="s">
        <v>26421</v>
      </c>
      <c r="D9097" s="3" t="s">
        <v>26422</v>
      </c>
      <c r="E9097" s="3" t="s">
        <v>26423</v>
      </c>
      <c r="F9097" s="3" t="str">
        <f>"800-800-1729"</f>
        <v>800-800-1729</v>
      </c>
      <c r="G9097" s="3">
        <v>5133</v>
      </c>
      <c r="H9097" s="3" t="s">
        <v>682</v>
      </c>
    </row>
    <row r="9098" spans="1:8" ht="102.75" x14ac:dyDescent="0.25">
      <c r="A9098" s="3" t="s">
        <v>26424</v>
      </c>
      <c r="B9098" s="3"/>
      <c r="C9098" s="3" t="s">
        <v>26425</v>
      </c>
      <c r="D9098" s="3" t="s">
        <v>26426</v>
      </c>
      <c r="E9098" s="3" t="s">
        <v>26427</v>
      </c>
      <c r="F9098" s="3" t="str">
        <f>"317-547-1924"</f>
        <v>317-547-1924</v>
      </c>
      <c r="G9098" s="3">
        <v>624</v>
      </c>
      <c r="H9098" s="3" t="s">
        <v>6524</v>
      </c>
    </row>
    <row r="9099" spans="1:8" ht="115.5" x14ac:dyDescent="0.25">
      <c r="A9099" s="3" t="s">
        <v>26424</v>
      </c>
      <c r="B9099" s="3"/>
      <c r="C9099" s="3" t="s">
        <v>26428</v>
      </c>
      <c r="D9099" s="3" t="s">
        <v>26429</v>
      </c>
      <c r="E9099" s="3" t="s">
        <v>26430</v>
      </c>
      <c r="F9099" s="3" t="str">
        <f>"317-818-6888"</f>
        <v>317-818-6888</v>
      </c>
      <c r="G9099" s="3">
        <v>54161</v>
      </c>
      <c r="H9099" s="3" t="s">
        <v>1221</v>
      </c>
    </row>
    <row r="9100" spans="1:8" ht="179.25" x14ac:dyDescent="0.25">
      <c r="A9100" s="3" t="s">
        <v>26431</v>
      </c>
      <c r="B9100" s="3"/>
      <c r="C9100" s="3" t="s">
        <v>26432</v>
      </c>
      <c r="D9100" s="3" t="s">
        <v>26433</v>
      </c>
      <c r="E9100" s="3" t="s">
        <v>26434</v>
      </c>
      <c r="F9100" s="3" t="str">
        <f>"317-275-7200"</f>
        <v>317-275-7200</v>
      </c>
      <c r="G9100" s="3">
        <v>517</v>
      </c>
      <c r="H9100" s="3" t="s">
        <v>682</v>
      </c>
    </row>
    <row r="9101" spans="1:8" ht="26.25" x14ac:dyDescent="0.25">
      <c r="A9101" s="3" t="s">
        <v>26435</v>
      </c>
      <c r="B9101" s="3"/>
      <c r="C9101" s="3" t="str">
        <f>"Telecommunications consulting services."</f>
        <v>Telecommunications consulting services.</v>
      </c>
      <c r="D9101" s="3" t="s">
        <v>26436</v>
      </c>
      <c r="E9101" s="3" t="s">
        <v>46</v>
      </c>
      <c r="F9101" s="3" t="str">
        <f>"317-783-7554"</f>
        <v>317-783-7554</v>
      </c>
      <c r="G9101" s="3">
        <v>5133</v>
      </c>
      <c r="H9101" s="3" t="s">
        <v>682</v>
      </c>
    </row>
    <row r="9102" spans="1:8" ht="128.25" x14ac:dyDescent="0.25">
      <c r="A9102" s="3" t="s">
        <v>26437</v>
      </c>
      <c r="B9102" s="3"/>
      <c r="C9102" s="3" t="s">
        <v>26438</v>
      </c>
      <c r="D9102" s="3" t="s">
        <v>26439</v>
      </c>
      <c r="E9102" s="3" t="s">
        <v>26440</v>
      </c>
      <c r="F9102" s="3" t="str">
        <f>"317-272-8800"</f>
        <v>317-272-8800</v>
      </c>
      <c r="G9102" s="3">
        <v>423690</v>
      </c>
      <c r="H9102" s="3" t="s">
        <v>6724</v>
      </c>
    </row>
    <row r="9103" spans="1:8" ht="166.5" x14ac:dyDescent="0.25">
      <c r="A9103" s="3" t="s">
        <v>26441</v>
      </c>
      <c r="B9103" s="3"/>
      <c r="C9103" s="3" t="s">
        <v>26442</v>
      </c>
      <c r="D9103" s="3" t="s">
        <v>26443</v>
      </c>
      <c r="E9103" s="3" t="s">
        <v>26444</v>
      </c>
      <c r="F9103" s="3" t="str">
        <f>"888-420-1126"</f>
        <v>888-420-1126</v>
      </c>
      <c r="G9103" s="3">
        <v>511140</v>
      </c>
      <c r="H9103" s="3" t="s">
        <v>13735</v>
      </c>
    </row>
    <row r="9104" spans="1:8" ht="128.25" x14ac:dyDescent="0.25">
      <c r="A9104" s="3" t="s">
        <v>26445</v>
      </c>
      <c r="B9104" s="3"/>
      <c r="C9104" s="3" t="s">
        <v>26446</v>
      </c>
      <c r="D9104" s="3" t="s">
        <v>26447</v>
      </c>
      <c r="E9104" s="3" t="s">
        <v>26448</v>
      </c>
      <c r="F9104" s="3" t="str">
        <f>"317-275-2800"</f>
        <v>317-275-2800</v>
      </c>
      <c r="G9104" s="3">
        <v>517</v>
      </c>
      <c r="H9104" s="3" t="s">
        <v>682</v>
      </c>
    </row>
    <row r="9105" spans="1:8" ht="90" x14ac:dyDescent="0.25">
      <c r="A9105" s="3" t="s">
        <v>26449</v>
      </c>
      <c r="B9105" s="3"/>
      <c r="C9105" s="3" t="s">
        <v>26450</v>
      </c>
      <c r="D9105" s="3" t="s">
        <v>26451</v>
      </c>
      <c r="E9105" s="3" t="s">
        <v>26452</v>
      </c>
      <c r="F9105" s="3" t="str">
        <f>"317-872-8801"</f>
        <v>317-872-8801</v>
      </c>
      <c r="G9105" s="3">
        <v>512110</v>
      </c>
      <c r="H9105" s="3" t="s">
        <v>406</v>
      </c>
    </row>
    <row r="9106" spans="1:8" ht="90" x14ac:dyDescent="0.25">
      <c r="A9106" s="3" t="s">
        <v>26453</v>
      </c>
      <c r="B9106" s="3"/>
      <c r="C9106" s="3" t="s">
        <v>26454</v>
      </c>
      <c r="D9106" s="3" t="s">
        <v>26455</v>
      </c>
      <c r="E9106" s="3" t="s">
        <v>26456</v>
      </c>
      <c r="F9106" s="3" t="str">
        <f>"574-274-1162"</f>
        <v>574-274-1162</v>
      </c>
      <c r="G9106" s="3">
        <v>621112</v>
      </c>
      <c r="H9106" s="3" t="s">
        <v>1112</v>
      </c>
    </row>
    <row r="9107" spans="1:8" ht="26.25" x14ac:dyDescent="0.25">
      <c r="A9107" s="3" t="s">
        <v>26457</v>
      </c>
      <c r="B9107" s="3"/>
      <c r="C9107" s="3" t="str">
        <f>" "</f>
        <v xml:space="preserve"> </v>
      </c>
      <c r="D9107" s="3" t="s">
        <v>9</v>
      </c>
      <c r="E9107" s="3" t="s">
        <v>46</v>
      </c>
      <c r="F9107" s="2"/>
      <c r="G9107" s="3">
        <v>621999</v>
      </c>
      <c r="H9107" s="3" t="s">
        <v>3480</v>
      </c>
    </row>
    <row r="9108" spans="1:8" ht="77.25" x14ac:dyDescent="0.25">
      <c r="A9108" s="3" t="s">
        <v>26458</v>
      </c>
      <c r="B9108" s="3"/>
      <c r="C9108" s="3" t="str">
        <f>"Telliss, LLC is a progressive communication service provider based in Fishers, IN. Our services include long distance plans, on demand audio/web conferencing calling, prepaid calling cards/pins and operator and billing platforms."</f>
        <v>Telliss, LLC is a progressive communication service provider based in Fishers, IN. Our services include long distance plans, on demand audio/web conferencing calling, prepaid calling cards/pins and operator and billing platforms.</v>
      </c>
      <c r="D9108" s="3" t="s">
        <v>26459</v>
      </c>
      <c r="E9108" s="3" t="s">
        <v>26460</v>
      </c>
      <c r="F9108" s="3" t="str">
        <f>"317-915-2008"</f>
        <v>317-915-2008</v>
      </c>
      <c r="G9108" s="3">
        <v>517310</v>
      </c>
      <c r="H9108" s="3" t="s">
        <v>540</v>
      </c>
    </row>
    <row r="9109" spans="1:8" ht="77.25" x14ac:dyDescent="0.25">
      <c r="A9109" s="3" t="s">
        <v>26461</v>
      </c>
      <c r="B9109" s="3"/>
      <c r="C9109" s="3" t="str">
        <f>"Temco Enterprises, LLC is a licensed and fully insured general contractor specializing in roofing, siding and gutters although we can take care of any of your home improvement needs! Call us today for a free estimate."</f>
        <v>Temco Enterprises, LLC is a licensed and fully insured general contractor specializing in roofing, siding and gutters although we can take care of any of your home improvement needs! Call us today for a free estimate.</v>
      </c>
      <c r="D9109" s="3" t="s">
        <v>26462</v>
      </c>
      <c r="E9109" s="3" t="s">
        <v>26463</v>
      </c>
      <c r="F9109" s="3" t="str">
        <f>"8122827663"</f>
        <v>8122827663</v>
      </c>
      <c r="G9109" s="3">
        <v>236118</v>
      </c>
      <c r="H9109" s="3" t="s">
        <v>465</v>
      </c>
    </row>
    <row r="9110" spans="1:8" ht="51.75" x14ac:dyDescent="0.25">
      <c r="A9110" s="3" t="s">
        <v>26464</v>
      </c>
      <c r="B9110" s="3"/>
      <c r="C9110" s="3" t="str">
        <f>"Wholesale supplier of full line of printing products (business cards, announcements, letterhead, envelopes, post cards, etc.), rubber stamps, and full color materials."</f>
        <v>Wholesale supplier of full line of printing products (business cards, announcements, letterhead, envelopes, post cards, etc.), rubber stamps, and full color materials.</v>
      </c>
      <c r="D9110" s="3" t="s">
        <v>26465</v>
      </c>
      <c r="E9110" s="3" t="s">
        <v>46</v>
      </c>
      <c r="F9110" s="3" t="str">
        <f>"317-898-6688"</f>
        <v>317-898-6688</v>
      </c>
      <c r="G9110" s="3">
        <v>32311</v>
      </c>
      <c r="H9110" s="3" t="s">
        <v>531</v>
      </c>
    </row>
    <row r="9111" spans="1:8" ht="115.5" x14ac:dyDescent="0.25">
      <c r="A9111" s="3" t="s">
        <v>26466</v>
      </c>
      <c r="B9111" s="3"/>
      <c r="C9111" s="3" t="s">
        <v>26467</v>
      </c>
      <c r="D9111" s="3" t="s">
        <v>26468</v>
      </c>
      <c r="E9111" s="3" t="s">
        <v>26469</v>
      </c>
      <c r="F9111" s="3" t="str">
        <f>"855-483-6773"</f>
        <v>855-483-6773</v>
      </c>
      <c r="G9111" s="3">
        <v>624230</v>
      </c>
      <c r="H9111" s="3" t="s">
        <v>1984</v>
      </c>
    </row>
    <row r="9112" spans="1:8" ht="153.75" x14ac:dyDescent="0.25">
      <c r="A9112" s="3" t="s">
        <v>26470</v>
      </c>
      <c r="B9112" s="3"/>
      <c r="C9112" s="3" t="s">
        <v>26471</v>
      </c>
      <c r="D9112" s="3" t="s">
        <v>21578</v>
      </c>
      <c r="E9112" s="3" t="s">
        <v>26472</v>
      </c>
      <c r="F9112" s="3" t="str">
        <f>"260-420-2117"</f>
        <v>260-420-2117</v>
      </c>
      <c r="G9112" s="3">
        <v>561320</v>
      </c>
      <c r="H9112" s="3" t="s">
        <v>15</v>
      </c>
    </row>
    <row r="9113" spans="1:8" ht="26.25" x14ac:dyDescent="0.25">
      <c r="A9113" s="3" t="s">
        <v>26473</v>
      </c>
      <c r="B9113" s="3"/>
      <c r="C9113" s="3" t="str">
        <f>"Wholesale and retail supplier of seed, fertilizer and chemicals to the turf industry"</f>
        <v>Wholesale and retail supplier of seed, fertilizer and chemicals to the turf industry</v>
      </c>
      <c r="D9113" s="3" t="s">
        <v>26474</v>
      </c>
      <c r="E9113" s="3" t="s">
        <v>26475</v>
      </c>
      <c r="F9113" s="3" t="str">
        <f>"800-467-0158"</f>
        <v>800-467-0158</v>
      </c>
      <c r="G9113" s="3">
        <v>4442</v>
      </c>
      <c r="H9113" s="3" t="s">
        <v>852</v>
      </c>
    </row>
    <row r="9114" spans="1:8" ht="26.25" x14ac:dyDescent="0.25">
      <c r="A9114" s="3" t="s">
        <v>26476</v>
      </c>
      <c r="B9114" s="3"/>
      <c r="C9114" s="3" t="str">
        <f>"Dredging: (we hydraulicly remove material that has filled in a body of water)"</f>
        <v>Dredging: (we hydraulicly remove material that has filled in a body of water)</v>
      </c>
      <c r="D9114" s="3" t="s">
        <v>26477</v>
      </c>
      <c r="E9114" s="3" t="s">
        <v>26478</v>
      </c>
      <c r="F9114" s="3" t="str">
        <f>"812-466-5187"</f>
        <v>812-466-5187</v>
      </c>
      <c r="G9114" s="3">
        <v>2359</v>
      </c>
      <c r="H9114" s="3" t="s">
        <v>631</v>
      </c>
    </row>
    <row r="9115" spans="1:8" ht="26.25" x14ac:dyDescent="0.25">
      <c r="A9115" s="3" t="s">
        <v>26479</v>
      </c>
      <c r="B9115" s="3"/>
      <c r="C9115" s="3" t="str">
        <f>"Primary Care Physician- Pediatrician, taking care of infants and children"</f>
        <v>Primary Care Physician- Pediatrician, taking care of infants and children</v>
      </c>
      <c r="D9115" s="3" t="s">
        <v>9</v>
      </c>
      <c r="E9115" s="3" t="s">
        <v>46</v>
      </c>
      <c r="F9115" s="3" t="str">
        <f>"317-289-8708"</f>
        <v>317-289-8708</v>
      </c>
      <c r="G9115" s="3">
        <v>621111</v>
      </c>
      <c r="H9115" s="3" t="s">
        <v>2002</v>
      </c>
    </row>
    <row r="9116" spans="1:8" ht="64.5" x14ac:dyDescent="0.25">
      <c r="A9116" s="3" t="s">
        <v>26480</v>
      </c>
      <c r="B9116" s="3"/>
      <c r="C9116" s="3" t="str">
        <f>"Prestige Image is a locally owned and operated commercial janitorial business. Prestige Image offer a wide range of cleaning services including stripping and waxing of all floors."</f>
        <v>Prestige Image is a locally owned and operated commercial janitorial business. Prestige Image offer a wide range of cleaning services including stripping and waxing of all floors.</v>
      </c>
      <c r="D9116" s="3" t="s">
        <v>9</v>
      </c>
      <c r="E9116" s="3" t="s">
        <v>26481</v>
      </c>
      <c r="F9116" s="3" t="str">
        <f>"317-442-5113"</f>
        <v>317-442-5113</v>
      </c>
      <c r="G9116" s="3">
        <v>23599</v>
      </c>
      <c r="H9116" s="3" t="s">
        <v>248</v>
      </c>
    </row>
    <row r="9117" spans="1:8" ht="26.25" x14ac:dyDescent="0.25">
      <c r="A9117" s="3" t="s">
        <v>26482</v>
      </c>
      <c r="B9117" s="3"/>
      <c r="C9117" s="3" t="str">
        <f>"Sales and Service of Power Equipment"</f>
        <v>Sales and Service of Power Equipment</v>
      </c>
      <c r="D9117" s="3" t="s">
        <v>26483</v>
      </c>
      <c r="E9117" s="3" t="s">
        <v>26484</v>
      </c>
      <c r="F9117" s="3" t="str">
        <f>"219-838-3600"</f>
        <v>219-838-3600</v>
      </c>
      <c r="G9117" s="3">
        <v>44421</v>
      </c>
      <c r="H9117" s="3" t="s">
        <v>392</v>
      </c>
    </row>
    <row r="9118" spans="1:8" ht="115.5" x14ac:dyDescent="0.25">
      <c r="A9118" s="3" t="s">
        <v>26485</v>
      </c>
      <c r="B9118" s="3"/>
      <c r="C9118" s="3" t="s">
        <v>26486</v>
      </c>
      <c r="D9118" s="3" t="s">
        <v>26487</v>
      </c>
      <c r="E9118" s="3" t="s">
        <v>26488</v>
      </c>
      <c r="F9118" s="3" t="str">
        <f>"317-255-9491"</f>
        <v>317-255-9491</v>
      </c>
      <c r="G9118" s="3">
        <v>561790</v>
      </c>
      <c r="H9118" s="3" t="s">
        <v>2113</v>
      </c>
    </row>
    <row r="9119" spans="1:8" ht="39" x14ac:dyDescent="0.25">
      <c r="A9119" s="3" t="s">
        <v>26489</v>
      </c>
      <c r="B9119" s="3"/>
      <c r="C9119" s="3" t="str">
        <f>"Transportation and disposal of contaminated waste, Field Testing, drilling, excavations, geoprobe."</f>
        <v>Transportation and disposal of contaminated waste, Field Testing, drilling, excavations, geoprobe.</v>
      </c>
      <c r="D9119" s="3" t="s">
        <v>9</v>
      </c>
      <c r="E9119" s="3" t="s">
        <v>26490</v>
      </c>
      <c r="F9119" s="3" t="str">
        <f>"317-862-7714"</f>
        <v>317-862-7714</v>
      </c>
      <c r="G9119" s="3">
        <v>562910</v>
      </c>
      <c r="H9119" s="3" t="s">
        <v>2278</v>
      </c>
    </row>
    <row r="9120" spans="1:8" ht="141" x14ac:dyDescent="0.25">
      <c r="A9120" s="3" t="s">
        <v>26491</v>
      </c>
      <c r="B9120" s="3"/>
      <c r="C9120" s="3" t="s">
        <v>26492</v>
      </c>
      <c r="D9120" s="3" t="s">
        <v>26493</v>
      </c>
      <c r="E9120" s="3" t="s">
        <v>26494</v>
      </c>
      <c r="F9120" s="3" t="str">
        <f>"317-809-0852"</f>
        <v>317-809-0852</v>
      </c>
      <c r="G9120" s="3">
        <v>326199</v>
      </c>
      <c r="H9120" s="3" t="s">
        <v>2129</v>
      </c>
    </row>
    <row r="9121" spans="1:8" ht="77.25" x14ac:dyDescent="0.25">
      <c r="A9121" s="3" t="s">
        <v>26495</v>
      </c>
      <c r="B9121" s="3"/>
      <c r="C9121" s="3" t="str">
        <f>"Terre Haute Catholic Charities and the Terre Haute Catholic Charities Food Bank serve an area that includes 7 counties; Vigo, Clay, Sullivan, Vermillion, Parke, Greene and Knox. In calendar 2008 we distributed more than 1.8 million pounds of food."</f>
        <v>Terre Haute Catholic Charities and the Terre Haute Catholic Charities Food Bank serve an area that includes 7 counties; Vigo, Clay, Sullivan, Vermillion, Parke, Greene and Knox. In calendar 2008 we distributed more than 1.8 million pounds of food.</v>
      </c>
      <c r="D9121" s="3" t="s">
        <v>26496</v>
      </c>
      <c r="E9121" s="3" t="s">
        <v>46</v>
      </c>
      <c r="F9121" s="3" t="str">
        <f>"(812) 232-1447"</f>
        <v>(812) 232-1447</v>
      </c>
      <c r="G9121" s="3">
        <v>624120</v>
      </c>
      <c r="H9121" s="3" t="s">
        <v>22</v>
      </c>
    </row>
    <row r="9122" spans="1:8" ht="166.5" x14ac:dyDescent="0.25">
      <c r="A9122" s="3" t="s">
        <v>26497</v>
      </c>
      <c r="B9122" s="3"/>
      <c r="C9122" s="3" t="s">
        <v>26498</v>
      </c>
      <c r="D9122" s="3" t="s">
        <v>26499</v>
      </c>
      <c r="E9122" s="3" t="s">
        <v>26500</v>
      </c>
      <c r="F9122" s="3" t="str">
        <f>"812-234-4831"</f>
        <v>812-234-4831</v>
      </c>
      <c r="G9122" s="3">
        <v>4411</v>
      </c>
      <c r="H9122" s="3" t="s">
        <v>1015</v>
      </c>
    </row>
    <row r="9123" spans="1:8" ht="39" x14ac:dyDescent="0.25">
      <c r="A9123" s="3" t="s">
        <v>26501</v>
      </c>
      <c r="B9123" s="3"/>
      <c r="C9123" s="3" t="str">
        <f>"Sell, Rent and Repair Medical Equipment and Supplies to Business, Industry, Government and the Public."</f>
        <v>Sell, Rent and Repair Medical Equipment and Supplies to Business, Industry, Government and the Public.</v>
      </c>
      <c r="D9123" s="3" t="s">
        <v>9</v>
      </c>
      <c r="E9123" s="3" t="s">
        <v>46</v>
      </c>
      <c r="F9123" s="3" t="str">
        <f>"812-234-6084"</f>
        <v>812-234-6084</v>
      </c>
      <c r="G9123" s="3">
        <v>446199</v>
      </c>
      <c r="H9123" s="3" t="s">
        <v>1760</v>
      </c>
    </row>
    <row r="9124" spans="1:8" x14ac:dyDescent="0.25">
      <c r="A9124" s="3" t="s">
        <v>26502</v>
      </c>
      <c r="B9124" s="3"/>
      <c r="C9124" s="3" t="str">
        <f>" "</f>
        <v xml:space="preserve"> </v>
      </c>
      <c r="D9124" s="3" t="s">
        <v>9</v>
      </c>
      <c r="E9124" s="3" t="s">
        <v>46</v>
      </c>
      <c r="F9124" s="2"/>
      <c r="G9124" s="3">
        <v>622110</v>
      </c>
      <c r="H9124" s="3" t="s">
        <v>3335</v>
      </c>
    </row>
    <row r="9125" spans="1:8" ht="26.25" x14ac:dyDescent="0.25">
      <c r="A9125" s="3" t="s">
        <v>26503</v>
      </c>
      <c r="B9125" s="3"/>
      <c r="C9125" s="3" t="str">
        <f>"Retailer of Farm &amp; Home Supplies"</f>
        <v>Retailer of Farm &amp; Home Supplies</v>
      </c>
      <c r="D9125" s="3" t="s">
        <v>26504</v>
      </c>
      <c r="E9125" s="3" t="s">
        <v>26505</v>
      </c>
      <c r="F9125" s="3" t="str">
        <f>"217-235-7102"</f>
        <v>217-235-7102</v>
      </c>
      <c r="G9125" s="3">
        <v>444220</v>
      </c>
      <c r="H9125" s="3" t="s">
        <v>9963</v>
      </c>
    </row>
    <row r="9126" spans="1:8" ht="51.75" x14ac:dyDescent="0.25">
      <c r="A9126" s="3" t="s">
        <v>26506</v>
      </c>
      <c r="B9126" s="3"/>
      <c r="C9126" s="3" t="str">
        <f>"Business document writing, social media management, audio production, voiceover talent, website construction, publicity services,"</f>
        <v>Business document writing, social media management, audio production, voiceover talent, website construction, publicity services,</v>
      </c>
      <c r="D9126" s="3" t="s">
        <v>26507</v>
      </c>
      <c r="E9126" s="3" t="s">
        <v>26508</v>
      </c>
      <c r="F9126" s="3" t="str">
        <f>"317-432-5951"</f>
        <v>317-432-5951</v>
      </c>
      <c r="G9126" s="3">
        <v>541990</v>
      </c>
      <c r="H9126" s="3" t="s">
        <v>378</v>
      </c>
    </row>
    <row r="9127" spans="1:8" ht="51.75" x14ac:dyDescent="0.25">
      <c r="A9127" s="3" t="s">
        <v>26509</v>
      </c>
      <c r="B9127" s="3"/>
      <c r="C9127" s="3" t="str">
        <f>"residental, commercial, interior, exterior painting. Power washing, staining of decks and fences, wall paper removal and small drywall repairs"</f>
        <v>residental, commercial, interior, exterior painting. Power washing, staining of decks and fences, wall paper removal and small drywall repairs</v>
      </c>
      <c r="D9127" s="3" t="s">
        <v>9</v>
      </c>
      <c r="E9127" s="3" t="s">
        <v>26510</v>
      </c>
      <c r="F9127" s="3" t="str">
        <f>"3175013750"</f>
        <v>3175013750</v>
      </c>
      <c r="G9127" s="3">
        <v>238320</v>
      </c>
      <c r="H9127" s="3" t="s">
        <v>462</v>
      </c>
    </row>
    <row r="9128" spans="1:8" ht="26.25" x14ac:dyDescent="0.25">
      <c r="A9128" s="3" t="s">
        <v>26511</v>
      </c>
      <c r="B9128" s="3"/>
      <c r="C9128" s="2"/>
      <c r="D9128" s="3" t="s">
        <v>9</v>
      </c>
      <c r="E9128" s="3" t="s">
        <v>46</v>
      </c>
      <c r="F9128" s="2"/>
      <c r="G9128" s="3">
        <v>541370</v>
      </c>
      <c r="H9128" s="3" t="s">
        <v>160</v>
      </c>
    </row>
    <row r="9129" spans="1:8" ht="39" x14ac:dyDescent="0.25">
      <c r="A9129" s="3" t="s">
        <v>26512</v>
      </c>
      <c r="B9129" s="3"/>
      <c r="C9129" s="3" t="str">
        <f>"Outpatient counseling domestic violence batterer intervention, anger management, and substance abuse."</f>
        <v>Outpatient counseling domestic violence batterer intervention, anger management, and substance abuse.</v>
      </c>
      <c r="D9129" s="3" t="s">
        <v>26513</v>
      </c>
      <c r="E9129" s="3" t="s">
        <v>26514</v>
      </c>
      <c r="F9129" s="3" t="str">
        <f>"877-545-7698"</f>
        <v>877-545-7698</v>
      </c>
      <c r="G9129" s="3">
        <v>62142</v>
      </c>
      <c r="H9129" s="3" t="s">
        <v>990</v>
      </c>
    </row>
    <row r="9130" spans="1:8" ht="26.25" x14ac:dyDescent="0.25">
      <c r="A9130" s="3" t="s">
        <v>26515</v>
      </c>
      <c r="B9130" s="3"/>
      <c r="C9130" s="3" t="str">
        <f>"General Contractor specializing in institutional and commercial building."</f>
        <v>General Contractor specializing in institutional and commercial building.</v>
      </c>
      <c r="D9130" s="3" t="s">
        <v>9</v>
      </c>
      <c r="E9130" s="3" t="s">
        <v>26516</v>
      </c>
      <c r="F9130" s="3" t="str">
        <f>"3178493543"</f>
        <v>3178493543</v>
      </c>
      <c r="G9130" s="3">
        <v>236220</v>
      </c>
      <c r="H9130" s="3" t="s">
        <v>598</v>
      </c>
    </row>
    <row r="9131" spans="1:8" x14ac:dyDescent="0.25">
      <c r="A9131" s="3" t="s">
        <v>26517</v>
      </c>
      <c r="B9131" s="3"/>
      <c r="C9131" s="3" t="str">
        <f>" "</f>
        <v xml:space="preserve"> </v>
      </c>
      <c r="D9131" s="3" t="s">
        <v>9</v>
      </c>
      <c r="E9131" s="3" t="s">
        <v>46</v>
      </c>
      <c r="F9131" s="2"/>
      <c r="G9131" s="3">
        <v>23</v>
      </c>
      <c r="H9131" s="3" t="s">
        <v>133</v>
      </c>
    </row>
    <row r="9132" spans="1:8" ht="39" x14ac:dyDescent="0.25">
      <c r="A9132" s="3" t="s">
        <v>26518</v>
      </c>
      <c r="B9132" s="3"/>
      <c r="C9132" s="3" t="str">
        <f>"Commercial Appraisal and Appraisal Review Firm."</f>
        <v>Commercial Appraisal and Appraisal Review Firm.</v>
      </c>
      <c r="D9132" s="3" t="s">
        <v>26519</v>
      </c>
      <c r="E9132" s="3" t="s">
        <v>26520</v>
      </c>
      <c r="F9132" s="3" t="str">
        <f>"317-849-9925 (EXT. 117)"</f>
        <v>317-849-9925 (EXT. 117)</v>
      </c>
      <c r="G9132" s="3">
        <v>531320</v>
      </c>
      <c r="H9132" s="3" t="s">
        <v>34</v>
      </c>
    </row>
    <row r="9133" spans="1:8" ht="192" x14ac:dyDescent="0.25">
      <c r="A9133" s="3" t="s">
        <v>26521</v>
      </c>
      <c r="B9133" s="3"/>
      <c r="C9133" s="3" t="s">
        <v>26522</v>
      </c>
      <c r="D9133" s="3" t="s">
        <v>9</v>
      </c>
      <c r="E9133" s="3" t="s">
        <v>26523</v>
      </c>
      <c r="F9133" s="3" t="str">
        <f>"317-903-9366"</f>
        <v>317-903-9366</v>
      </c>
      <c r="G9133" s="3">
        <v>541820</v>
      </c>
      <c r="H9133" s="3" t="s">
        <v>795</v>
      </c>
    </row>
    <row r="9134" spans="1:8" ht="26.25" x14ac:dyDescent="0.25">
      <c r="A9134" s="3" t="s">
        <v>26524</v>
      </c>
      <c r="B9134" s="3"/>
      <c r="C9134" s="3" t="str">
        <f>"General Contractor"</f>
        <v>General Contractor</v>
      </c>
      <c r="D9134" s="3" t="s">
        <v>26525</v>
      </c>
      <c r="E9134" s="3" t="s">
        <v>26526</v>
      </c>
      <c r="F9134" s="3" t="str">
        <f>"812-273-2045"</f>
        <v>812-273-2045</v>
      </c>
      <c r="G9134" s="3">
        <v>23</v>
      </c>
      <c r="H9134" s="3" t="s">
        <v>133</v>
      </c>
    </row>
    <row r="9135" spans="1:8" ht="51.75" x14ac:dyDescent="0.25">
      <c r="A9135" s="3" t="s">
        <v>26527</v>
      </c>
      <c r="B9135" s="3"/>
      <c r="C9135" s="3" t="str">
        <f>"All facets of accounting. Finance, Bookkeeping, Taxes, Consulting, QuickBooks, many other areas. Also Property Management."</f>
        <v>All facets of accounting. Finance, Bookkeeping, Taxes, Consulting, QuickBooks, many other areas. Also Property Management.</v>
      </c>
      <c r="D9135" s="3" t="s">
        <v>9</v>
      </c>
      <c r="E9135" s="3" t="s">
        <v>26528</v>
      </c>
      <c r="F9135" s="3" t="str">
        <f>"317-872-3375"</f>
        <v>317-872-3375</v>
      </c>
      <c r="G9135" s="3">
        <v>541219</v>
      </c>
      <c r="H9135" s="3" t="s">
        <v>2010</v>
      </c>
    </row>
    <row r="9136" spans="1:8" ht="319.5" x14ac:dyDescent="0.25">
      <c r="A9136" s="3" t="s">
        <v>26529</v>
      </c>
      <c r="B9136" s="3"/>
      <c r="C9136" s="3" t="s">
        <v>26530</v>
      </c>
      <c r="D9136" s="3" t="s">
        <v>26531</v>
      </c>
      <c r="E9136" s="3" t="s">
        <v>46</v>
      </c>
      <c r="F9136" s="3" t="str">
        <f>"800 737 6077"</f>
        <v>800 737 6077</v>
      </c>
      <c r="G9136" s="3">
        <v>5133</v>
      </c>
      <c r="H9136" s="3" t="s">
        <v>682</v>
      </c>
    </row>
    <row r="9137" spans="1:8" ht="179.25" x14ac:dyDescent="0.25">
      <c r="A9137" s="3" t="s">
        <v>26532</v>
      </c>
      <c r="B9137" s="3"/>
      <c r="C9137" s="3" t="s">
        <v>26533</v>
      </c>
      <c r="D9137" s="3" t="s">
        <v>26534</v>
      </c>
      <c r="E9137" s="3" t="s">
        <v>26535</v>
      </c>
      <c r="F9137" s="3" t="str">
        <f>"1-800-827-0711"</f>
        <v>1-800-827-0711</v>
      </c>
      <c r="G9137" s="3">
        <v>4247</v>
      </c>
      <c r="H9137" s="3" t="s">
        <v>12377</v>
      </c>
    </row>
    <row r="9138" spans="1:8" ht="64.5" x14ac:dyDescent="0.25">
      <c r="A9138" s="3" t="s">
        <v>26536</v>
      </c>
      <c r="B9138" s="3"/>
      <c r="C9138" s="3" t="str">
        <f>"Bath Towel, Laundry Bag, Laundry Cart, Laundry Detergents and Janitorial Distribution. Dealing primarily with college, high school, professional sports organizations and municipalities."</f>
        <v>Bath Towel, Laundry Bag, Laundry Cart, Laundry Detergents and Janitorial Distribution. Dealing primarily with college, high school, professional sports organizations and municipalities.</v>
      </c>
      <c r="D9138" s="3" t="s">
        <v>26537</v>
      </c>
      <c r="E9138" s="3" t="s">
        <v>26538</v>
      </c>
      <c r="F9138" s="3" t="str">
        <f>"317-877-8081"</f>
        <v>317-877-8081</v>
      </c>
      <c r="G9138" s="3">
        <v>812331</v>
      </c>
      <c r="H9138" s="3" t="s">
        <v>18897</v>
      </c>
    </row>
    <row r="9139" spans="1:8" ht="319.5" x14ac:dyDescent="0.25">
      <c r="A9139" s="3" t="s">
        <v>26539</v>
      </c>
      <c r="B9139" s="3"/>
      <c r="C9139" s="3" t="s">
        <v>26540</v>
      </c>
      <c r="D9139" s="3" t="s">
        <v>26541</v>
      </c>
      <c r="E9139" s="3" t="s">
        <v>26542</v>
      </c>
      <c r="F9139" s="3" t="str">
        <f>"260-469-3131"</f>
        <v>260-469-3131</v>
      </c>
      <c r="G9139" s="3">
        <v>541511</v>
      </c>
      <c r="H9139" s="3" t="s">
        <v>122</v>
      </c>
    </row>
    <row r="9140" spans="1:8" ht="26.25" x14ac:dyDescent="0.25">
      <c r="A9140" s="3" t="s">
        <v>26543</v>
      </c>
      <c r="B9140" s="3"/>
      <c r="C9140" s="3" t="str">
        <f>"Manufacturer of custom made picture frames and art dealer of paintings ."</f>
        <v>Manufacturer of custom made picture frames and art dealer of paintings .</v>
      </c>
      <c r="D9140" s="3" t="s">
        <v>26544</v>
      </c>
      <c r="E9140" s="3" t="s">
        <v>26545</v>
      </c>
      <c r="F9140" s="3" t="str">
        <f>"219-362-2168"</f>
        <v>219-362-2168</v>
      </c>
      <c r="G9140" s="3">
        <v>339999</v>
      </c>
      <c r="H9140" s="3" t="s">
        <v>2044</v>
      </c>
    </row>
    <row r="9141" spans="1:8" x14ac:dyDescent="0.25">
      <c r="A9141" s="3" t="s">
        <v>26546</v>
      </c>
      <c r="B9141" s="3"/>
      <c r="C9141" s="3" t="str">
        <f>"contract drafting services"</f>
        <v>contract drafting services</v>
      </c>
      <c r="D9141" s="3" t="s">
        <v>9</v>
      </c>
      <c r="E9141" s="3" t="s">
        <v>26547</v>
      </c>
      <c r="F9141" s="2"/>
      <c r="G9141" s="3">
        <v>541340</v>
      </c>
      <c r="H9141" s="3" t="s">
        <v>4040</v>
      </c>
    </row>
    <row r="9142" spans="1:8" ht="243" x14ac:dyDescent="0.25">
      <c r="A9142" s="3" t="s">
        <v>26548</v>
      </c>
      <c r="B9142" s="3"/>
      <c r="C9142" s="3" t="s">
        <v>26549</v>
      </c>
      <c r="D9142" s="3" t="s">
        <v>26550</v>
      </c>
      <c r="E9142" s="3" t="s">
        <v>26551</v>
      </c>
      <c r="F9142" s="3" t="str">
        <f>"773-721-9797"</f>
        <v>773-721-9797</v>
      </c>
      <c r="G9142" s="3">
        <v>237990</v>
      </c>
      <c r="H9142" s="3" t="s">
        <v>2631</v>
      </c>
    </row>
    <row r="9143" spans="1:8" ht="102.75" x14ac:dyDescent="0.25">
      <c r="A9143" s="3" t="s">
        <v>26552</v>
      </c>
      <c r="B9143" s="3"/>
      <c r="C9143" s="3" t="s">
        <v>26553</v>
      </c>
      <c r="D9143" s="3" t="s">
        <v>26554</v>
      </c>
      <c r="E9143" s="3" t="s">
        <v>26555</v>
      </c>
      <c r="F9143" s="3" t="str">
        <f>"3175799670"</f>
        <v>3175799670</v>
      </c>
      <c r="G9143" s="3">
        <v>541613</v>
      </c>
      <c r="H9143" s="3" t="s">
        <v>558</v>
      </c>
    </row>
    <row r="9144" spans="1:8" ht="192" x14ac:dyDescent="0.25">
      <c r="A9144" s="3" t="s">
        <v>26556</v>
      </c>
      <c r="B9144" s="3"/>
      <c r="C9144" s="3" t="s">
        <v>26557</v>
      </c>
      <c r="D9144" s="3" t="s">
        <v>26558</v>
      </c>
      <c r="E9144" s="3" t="s">
        <v>26559</v>
      </c>
      <c r="F9144" s="3" t="str">
        <f>"877.506.5307"</f>
        <v>877.506.5307</v>
      </c>
      <c r="G9144" s="3">
        <v>511210</v>
      </c>
      <c r="H9144" s="3" t="s">
        <v>315</v>
      </c>
    </row>
    <row r="9145" spans="1:8" ht="179.25" x14ac:dyDescent="0.25">
      <c r="A9145" s="3" t="s">
        <v>26560</v>
      </c>
      <c r="B9145" s="3"/>
      <c r="C9145" s="3" t="s">
        <v>26561</v>
      </c>
      <c r="D9145" s="3" t="s">
        <v>26562</v>
      </c>
      <c r="E9145" s="3" t="s">
        <v>26563</v>
      </c>
      <c r="F9145" s="3" t="str">
        <f>"888-275-2336"</f>
        <v>888-275-2336</v>
      </c>
      <c r="G9145" s="3">
        <v>541611</v>
      </c>
      <c r="H9145" s="3" t="s">
        <v>278</v>
      </c>
    </row>
    <row r="9146" spans="1:8" ht="64.5" x14ac:dyDescent="0.25">
      <c r="A9146" s="3" t="s">
        <v>26564</v>
      </c>
      <c r="B9146" s="3"/>
      <c r="C9146" s="3" t="str">
        <f>"Full Service General Contractor including / Piping / Civil / Mechanical / Structural Steel / Overhead Crane Repair / Concrete Repair / Pipe Fabrication / Stud Welding and General Maintenance Contractor."</f>
        <v>Full Service General Contractor including / Piping / Civil / Mechanical / Structural Steel / Overhead Crane Repair / Concrete Repair / Pipe Fabrication / Stud Welding and General Maintenance Contractor.</v>
      </c>
      <c r="D9146" s="3" t="s">
        <v>26565</v>
      </c>
      <c r="E9146" s="3" t="s">
        <v>26566</v>
      </c>
      <c r="F9146" s="3" t="str">
        <f>"219-937-1508"</f>
        <v>219-937-1508</v>
      </c>
      <c r="G9146" s="3">
        <v>2389</v>
      </c>
      <c r="H9146" s="3" t="s">
        <v>1236</v>
      </c>
    </row>
    <row r="9147" spans="1:8" ht="166.5" x14ac:dyDescent="0.25">
      <c r="A9147" s="3" t="s">
        <v>26567</v>
      </c>
      <c r="B9147" s="3"/>
      <c r="C9147" s="3" t="s">
        <v>26568</v>
      </c>
      <c r="D9147" s="3" t="s">
        <v>26569</v>
      </c>
      <c r="E9147" s="3" t="s">
        <v>26570</v>
      </c>
      <c r="F9147" s="3" t="str">
        <f>"317-569-9500"</f>
        <v>317-569-9500</v>
      </c>
      <c r="G9147" s="3">
        <v>541611</v>
      </c>
      <c r="H9147" s="3" t="s">
        <v>278</v>
      </c>
    </row>
    <row r="9148" spans="1:8" ht="102.75" x14ac:dyDescent="0.25">
      <c r="A9148" s="3" t="s">
        <v>26571</v>
      </c>
      <c r="B9148" s="3"/>
      <c r="C9148" s="3" t="s">
        <v>26572</v>
      </c>
      <c r="D9148" s="3" t="s">
        <v>26573</v>
      </c>
      <c r="E9148" s="3" t="s">
        <v>26574</v>
      </c>
      <c r="F9148" s="3" t="str">
        <f>"219-796-9050"</f>
        <v>219-796-9050</v>
      </c>
      <c r="G9148" s="3">
        <v>541320</v>
      </c>
      <c r="H9148" s="3" t="s">
        <v>2241</v>
      </c>
    </row>
    <row r="9149" spans="1:8" ht="243" x14ac:dyDescent="0.25">
      <c r="A9149" s="3" t="s">
        <v>26575</v>
      </c>
      <c r="B9149" s="3"/>
      <c r="C9149" s="3" t="s">
        <v>26576</v>
      </c>
      <c r="D9149" s="3" t="s">
        <v>26577</v>
      </c>
      <c r="E9149" s="3" t="s">
        <v>26578</v>
      </c>
      <c r="F9149" s="3" t="str">
        <f>"260-407-6457"</f>
        <v>260-407-6457</v>
      </c>
      <c r="G9149" s="3">
        <v>5133</v>
      </c>
      <c r="H9149" s="3" t="s">
        <v>682</v>
      </c>
    </row>
    <row r="9150" spans="1:8" ht="39" x14ac:dyDescent="0.25">
      <c r="A9150" s="3" t="s">
        <v>26579</v>
      </c>
      <c r="B9150" s="3"/>
      <c r="C9150" s="3" t="str">
        <f>"Architectural and Engineering services for institutional buildings (Hospitals, Schools, Churches, and Office Buildings)."</f>
        <v>Architectural and Engineering services for institutional buildings (Hospitals, Schools, Churches, and Office Buildings).</v>
      </c>
      <c r="D9150" s="3" t="s">
        <v>9</v>
      </c>
      <c r="E9150" s="3" t="s">
        <v>26580</v>
      </c>
      <c r="F9150" s="3" t="str">
        <f>"219-923-8008"</f>
        <v>219-923-8008</v>
      </c>
      <c r="G9150" s="3">
        <v>541310</v>
      </c>
      <c r="H9150" s="3" t="s">
        <v>446</v>
      </c>
    </row>
    <row r="9151" spans="1:8" ht="39" x14ac:dyDescent="0.25">
      <c r="A9151" s="3" t="s">
        <v>26581</v>
      </c>
      <c r="B9151" s="3"/>
      <c r="C9151" s="3" t="str">
        <f>"We are a commercial bakery that sells wholesale to several stores and cafes throughout Chicagoland and Indiana."</f>
        <v>We are a commercial bakery that sells wholesale to several stores and cafes throughout Chicagoland and Indiana.</v>
      </c>
      <c r="D9151" s="3" t="s">
        <v>9</v>
      </c>
      <c r="E9151" s="3" t="s">
        <v>26582</v>
      </c>
      <c r="F9151" s="2"/>
      <c r="G9151" s="3">
        <v>311812</v>
      </c>
      <c r="H9151" s="3" t="s">
        <v>1752</v>
      </c>
    </row>
    <row r="9152" spans="1:8" x14ac:dyDescent="0.25">
      <c r="A9152" s="3" t="s">
        <v>26583</v>
      </c>
      <c r="B9152" s="3"/>
      <c r="C9152" s="3" t="str">
        <f>" "</f>
        <v xml:space="preserve"> </v>
      </c>
      <c r="D9152" s="3" t="s">
        <v>26584</v>
      </c>
      <c r="E9152" s="3" t="s">
        <v>46</v>
      </c>
      <c r="F9152" s="2"/>
      <c r="G9152" s="3">
        <v>541512</v>
      </c>
      <c r="H9152" s="3" t="s">
        <v>19</v>
      </c>
    </row>
    <row r="9153" spans="1:8" ht="64.5" x14ac:dyDescent="0.25">
      <c r="A9153" s="3" t="s">
        <v>26585</v>
      </c>
      <c r="B9153" s="3"/>
      <c r="C9153" s="3" t="str">
        <f>"We are RNs that provide CPR, first aid, AED, and OSHA training. We sell defibrillators and provide consulting service to set up PAD programs for corporations and businesses. We are WBE certified."</f>
        <v>We are RNs that provide CPR, first aid, AED, and OSHA training. We sell defibrillators and provide consulting service to set up PAD programs for corporations and businesses. We are WBE certified.</v>
      </c>
      <c r="D9153" s="3" t="s">
        <v>9</v>
      </c>
      <c r="E9153" s="3" t="s">
        <v>26586</v>
      </c>
      <c r="F9153" s="3" t="str">
        <f>"219-476-7025"</f>
        <v>219-476-7025</v>
      </c>
      <c r="G9153" s="3">
        <v>923120</v>
      </c>
      <c r="H9153" s="3" t="s">
        <v>611</v>
      </c>
    </row>
    <row r="9154" spans="1:8" ht="204.75" x14ac:dyDescent="0.25">
      <c r="A9154" s="3" t="s">
        <v>26587</v>
      </c>
      <c r="B9154" s="3"/>
      <c r="C9154" s="3" t="s">
        <v>26588</v>
      </c>
      <c r="D9154" s="3" t="s">
        <v>26589</v>
      </c>
      <c r="E9154" s="3" t="s">
        <v>26590</v>
      </c>
      <c r="F9154" s="3" t="str">
        <f>"317-636-3851"</f>
        <v>317-636-3851</v>
      </c>
      <c r="G9154" s="3">
        <v>61</v>
      </c>
      <c r="H9154" s="3" t="s">
        <v>140</v>
      </c>
    </row>
    <row r="9155" spans="1:8" ht="26.25" x14ac:dyDescent="0.25">
      <c r="A9155" s="3" t="s">
        <v>26591</v>
      </c>
      <c r="B9155" s="3"/>
      <c r="C9155" s="3" t="str">
        <f>"FOOD WHOLESALE"</f>
        <v>FOOD WHOLESALE</v>
      </c>
      <c r="D9155" s="3" t="s">
        <v>9</v>
      </c>
      <c r="E9155" s="3" t="s">
        <v>46</v>
      </c>
      <c r="F9155" s="3" t="str">
        <f>"3178496869"</f>
        <v>3178496869</v>
      </c>
      <c r="G9155" s="3">
        <v>424470</v>
      </c>
      <c r="H9155" s="3" t="s">
        <v>26592</v>
      </c>
    </row>
    <row r="9156" spans="1:8" ht="26.25" x14ac:dyDescent="0.25">
      <c r="A9156" s="3" t="s">
        <v>26593</v>
      </c>
      <c r="B9156" s="3"/>
      <c r="C9156" s="3" t="str">
        <f>"Short and Long Haul Flatbed transportation service. Over size transportation"</f>
        <v>Short and Long Haul Flatbed transportation service. Over size transportation</v>
      </c>
      <c r="D9156" s="3" t="s">
        <v>26594</v>
      </c>
      <c r="E9156" s="3" t="s">
        <v>26595</v>
      </c>
      <c r="F9156" s="3" t="str">
        <f>"812-346-1043"</f>
        <v>812-346-1043</v>
      </c>
      <c r="G9156" s="3">
        <v>484121</v>
      </c>
      <c r="H9156" s="3" t="s">
        <v>342</v>
      </c>
    </row>
    <row r="9157" spans="1:8" ht="64.5" x14ac:dyDescent="0.25">
      <c r="A9157" s="3" t="s">
        <v>26596</v>
      </c>
      <c r="B9157" s="3"/>
      <c r="C9157" s="3" t="str">
        <f>"We distribute Hardware, Tools, Fasteners, Personal Protection Equipment, Plumbing, Electrical, Janitorial Suppplies, Paint, Sundries, Maintenance Chemicals and Lawn and Garden Supplies."</f>
        <v>We distribute Hardware, Tools, Fasteners, Personal Protection Equipment, Plumbing, Electrical, Janitorial Suppplies, Paint, Sundries, Maintenance Chemicals and Lawn and Garden Supplies.</v>
      </c>
      <c r="D9157" s="3" t="s">
        <v>26597</v>
      </c>
      <c r="E9157" s="3" t="s">
        <v>26598</v>
      </c>
      <c r="F9157" s="3" t="str">
        <f>"800-777-9640"</f>
        <v>800-777-9640</v>
      </c>
      <c r="G9157" s="3">
        <v>423710</v>
      </c>
      <c r="H9157" s="3" t="s">
        <v>6956</v>
      </c>
    </row>
    <row r="9158" spans="1:8" ht="26.25" x14ac:dyDescent="0.25">
      <c r="A9158" s="3" t="s">
        <v>26599</v>
      </c>
      <c r="B9158" s="3"/>
      <c r="C9158" s="3" t="str">
        <f>"Corrugated Packaging Supplier. One-stop for every packaging need!"</f>
        <v>Corrugated Packaging Supplier. One-stop for every packaging need!</v>
      </c>
      <c r="D9158" s="3" t="s">
        <v>8895</v>
      </c>
      <c r="E9158" s="3" t="s">
        <v>8896</v>
      </c>
      <c r="F9158" s="3" t="str">
        <f>"(317) 842-7236"</f>
        <v>(317) 842-7236</v>
      </c>
      <c r="G9158" s="3">
        <v>51</v>
      </c>
      <c r="H9158" s="3" t="s">
        <v>252</v>
      </c>
    </row>
    <row r="9159" spans="1:8" ht="77.25" x14ac:dyDescent="0.25">
      <c r="A9159" s="3" t="s">
        <v>26600</v>
      </c>
      <c r="B9159" s="3"/>
      <c r="C9159" s="3" t="str">
        <f>"The Bradford Trade Company is an international provider of Industrial Grade Maintenance Repair and Operations supplies. The Bradford Trade Company works with Corporate and Government procurement clients to MRO needs."</f>
        <v>The Bradford Trade Company is an international provider of Industrial Grade Maintenance Repair and Operations supplies. The Bradford Trade Company works with Corporate and Government procurement clients to MRO needs.</v>
      </c>
      <c r="D9159" s="3" t="s">
        <v>9</v>
      </c>
      <c r="E9159" s="3" t="s">
        <v>26601</v>
      </c>
      <c r="F9159" s="3" t="str">
        <f>"2196140574"</f>
        <v>2196140574</v>
      </c>
      <c r="G9159" s="3">
        <v>42</v>
      </c>
      <c r="H9159" s="3" t="s">
        <v>674</v>
      </c>
    </row>
    <row r="9160" spans="1:8" ht="204.75" x14ac:dyDescent="0.25">
      <c r="A9160" s="3" t="s">
        <v>26602</v>
      </c>
      <c r="B9160" s="3"/>
      <c r="C9160" s="3" t="s">
        <v>26603</v>
      </c>
      <c r="D9160" s="3" t="s">
        <v>26604</v>
      </c>
      <c r="E9160" s="3" t="s">
        <v>26605</v>
      </c>
      <c r="F9160" s="3" t="str">
        <f>"317627-9831"</f>
        <v>317627-9831</v>
      </c>
      <c r="G9160" s="3">
        <v>531</v>
      </c>
      <c r="H9160" s="3" t="s">
        <v>74</v>
      </c>
    </row>
    <row r="9161" spans="1:8" ht="26.25" x14ac:dyDescent="0.25">
      <c r="A9161" s="3" t="s">
        <v>26606</v>
      </c>
      <c r="B9161" s="3"/>
      <c r="C9161" s="3" t="str">
        <f>"Child Advocacy Center"</f>
        <v>Child Advocacy Center</v>
      </c>
      <c r="D9161" s="3" t="s">
        <v>26607</v>
      </c>
      <c r="E9161" s="3" t="s">
        <v>26608</v>
      </c>
      <c r="F9161" s="3" t="str">
        <f>"574-282-1414"</f>
        <v>574-282-1414</v>
      </c>
      <c r="G9161" s="3">
        <v>8133</v>
      </c>
      <c r="H9161" s="3" t="s">
        <v>5487</v>
      </c>
    </row>
    <row r="9162" spans="1:8" ht="39" x14ac:dyDescent="0.25">
      <c r="A9162" s="3" t="s">
        <v>26609</v>
      </c>
      <c r="B9162" s="3"/>
      <c r="C9162" s="3" t="str">
        <f>"A distributor for turf and forage seeds, farm supplies, lawn and garden supplies, horticultural supplies, bird feed and salt."</f>
        <v>A distributor for turf and forage seeds, farm supplies, lawn and garden supplies, horticultural supplies, bird feed and salt.</v>
      </c>
      <c r="D9162" s="3" t="s">
        <v>26610</v>
      </c>
      <c r="E9162" s="3" t="s">
        <v>46</v>
      </c>
      <c r="F9162" s="3" t="str">
        <f>"(800)888-2896"</f>
        <v>(800)888-2896</v>
      </c>
      <c r="G9162" s="3">
        <v>4225</v>
      </c>
      <c r="H9162" s="3" t="s">
        <v>26611</v>
      </c>
    </row>
    <row r="9163" spans="1:8" ht="39" x14ac:dyDescent="0.25">
      <c r="A9163" s="3" t="s">
        <v>26612</v>
      </c>
      <c r="B9163" s="3"/>
      <c r="C9163" s="3" t="str">
        <f>"A Cake shop that sells cupcakes, cakes and cookies. Along with hot chocolate, ice teas and coffees."</f>
        <v>A Cake shop that sells cupcakes, cakes and cookies. Along with hot chocolate, ice teas and coffees.</v>
      </c>
      <c r="D9163" s="3" t="s">
        <v>26613</v>
      </c>
      <c r="E9163" s="3" t="s">
        <v>26614</v>
      </c>
      <c r="F9163" s="3" t="str">
        <f>"3172572253"</f>
        <v>3172572253</v>
      </c>
      <c r="G9163" s="3">
        <v>311812</v>
      </c>
      <c r="H9163" s="3" t="s">
        <v>1752</v>
      </c>
    </row>
    <row r="9164" spans="1:8" ht="26.25" x14ac:dyDescent="0.25">
      <c r="A9164" s="3" t="s">
        <v>26615</v>
      </c>
      <c r="B9164" s="3"/>
      <c r="C9164" s="3" t="str">
        <f>"Marketing, Public Relations, Events"</f>
        <v>Marketing, Public Relations, Events</v>
      </c>
      <c r="D9164" s="3" t="s">
        <v>26616</v>
      </c>
      <c r="E9164" s="3" t="s">
        <v>26617</v>
      </c>
      <c r="F9164" s="3" t="str">
        <f>"305-372-3388"</f>
        <v>305-372-3388</v>
      </c>
      <c r="G9164" s="3">
        <v>54182</v>
      </c>
      <c r="H9164" s="3" t="s">
        <v>795</v>
      </c>
    </row>
    <row r="9165" spans="1:8" ht="64.5" x14ac:dyDescent="0.25">
      <c r="A9165" s="3" t="s">
        <v>26618</v>
      </c>
      <c r="B9165" s="3"/>
      <c r="C9165" s="3" t="str">
        <f>"The Candy Emporium features fine chocolates, chocolate favorites, fudge, nostalgic candy, kids candy, over 75 kinds of licorice, tea, teapots, tea gadgets, tea books, and other odd ball items."</f>
        <v>The Candy Emporium features fine chocolates, chocolate favorites, fudge, nostalgic candy, kids candy, over 75 kinds of licorice, tea, teapots, tea gadgets, tea books, and other odd ball items.</v>
      </c>
      <c r="D9165" s="3" t="s">
        <v>26619</v>
      </c>
      <c r="E9165" s="3" t="s">
        <v>26620</v>
      </c>
      <c r="F9165" s="3" t="str">
        <f>"812-988-1488"</f>
        <v>812-988-1488</v>
      </c>
      <c r="G9165" s="3">
        <v>445292</v>
      </c>
      <c r="H9165" s="3" t="s">
        <v>26621</v>
      </c>
    </row>
    <row r="9166" spans="1:8" ht="26.25" x14ac:dyDescent="0.25">
      <c r="A9166" s="3" t="s">
        <v>26622</v>
      </c>
      <c r="B9166" s="3"/>
      <c r="C9166" s="3" t="str">
        <f>"Provides career and training information for counselors"</f>
        <v>Provides career and training information for counselors</v>
      </c>
      <c r="D9166" s="3" t="s">
        <v>26623</v>
      </c>
      <c r="E9166" s="3" t="s">
        <v>26624</v>
      </c>
      <c r="F9166" s="3" t="str">
        <f>"8005908090"</f>
        <v>8005908090</v>
      </c>
      <c r="G9166" s="3">
        <v>541511</v>
      </c>
      <c r="H9166" s="3" t="s">
        <v>122</v>
      </c>
    </row>
    <row r="9167" spans="1:8" ht="90" x14ac:dyDescent="0.25">
      <c r="A9167" s="3" t="s">
        <v>26625</v>
      </c>
      <c r="B9167" s="3"/>
      <c r="C9167" s="3" t="str">
        <f>"The Caring Corner LLC is a multifaceted social service company. We provide individual and family therapy, crisis intervention, adoption support services, adn substance abuse assessment and monitoring to residents of Lke County Indiana."</f>
        <v>The Caring Corner LLC is a multifaceted social service company. We provide individual and family therapy, crisis intervention, adoption support services, adn substance abuse assessment and monitoring to residents of Lke County Indiana.</v>
      </c>
      <c r="D9167" s="3" t="s">
        <v>26626</v>
      </c>
      <c r="E9167" s="3" t="s">
        <v>26627</v>
      </c>
      <c r="F9167" s="3" t="str">
        <f>"219-884-8484"</f>
        <v>219-884-8484</v>
      </c>
      <c r="G9167" s="3">
        <v>621330</v>
      </c>
      <c r="H9167" s="3" t="s">
        <v>2643</v>
      </c>
    </row>
    <row r="9168" spans="1:8" ht="39" x14ac:dyDescent="0.25">
      <c r="A9168" s="3" t="s">
        <v>26628</v>
      </c>
      <c r="B9168" s="3"/>
      <c r="C9168" s="3" t="str">
        <f>"CBG Inc. is a full service distributor of chemicals, industrial supplies, specialty chemicals and raw materials."</f>
        <v>CBG Inc. is a full service distributor of chemicals, industrial supplies, specialty chemicals and raw materials.</v>
      </c>
      <c r="D9168" s="3" t="s">
        <v>26629</v>
      </c>
      <c r="E9168" s="3" t="s">
        <v>26630</v>
      </c>
      <c r="F9168" s="3" t="str">
        <f>"(219) 977-9645"</f>
        <v>(219) 977-9645</v>
      </c>
      <c r="G9168" s="3">
        <v>42269</v>
      </c>
      <c r="H9168" s="3" t="s">
        <v>12117</v>
      </c>
    </row>
    <row r="9169" spans="1:8" ht="51.75" x14ac:dyDescent="0.25">
      <c r="A9169" s="3" t="s">
        <v>26631</v>
      </c>
      <c r="B9169" s="3"/>
      <c r="C9169" s="3" t="str">
        <f>"Caulking/Sealing, masonry walls, concrete decks, sidewalks &amp; drives, windows &amp; doors, bath &amp; kitchen areas, interior &amp; exterior, firecaulking, etc."</f>
        <v>Caulking/Sealing, masonry walls, concrete decks, sidewalks &amp; drives, windows &amp; doors, bath &amp; kitchen areas, interior &amp; exterior, firecaulking, etc.</v>
      </c>
      <c r="D9169" s="3" t="s">
        <v>26632</v>
      </c>
      <c r="E9169" s="3" t="s">
        <v>26633</v>
      </c>
      <c r="F9169" s="3" t="str">
        <f>"765-346-1130"</f>
        <v>765-346-1130</v>
      </c>
      <c r="G9169" s="3">
        <v>238990</v>
      </c>
      <c r="H9169" s="3" t="s">
        <v>481</v>
      </c>
    </row>
    <row r="9170" spans="1:8" ht="39" x14ac:dyDescent="0.25">
      <c r="A9170" s="3" t="s">
        <v>26634</v>
      </c>
      <c r="B9170" s="3"/>
      <c r="C9170" s="3" t="str">
        <f>"We provide a large array of behavioral health services including Employee Assistance Programs."</f>
        <v>We provide a large array of behavioral health services including Employee Assistance Programs.</v>
      </c>
      <c r="D9170" s="3" t="s">
        <v>26635</v>
      </c>
      <c r="E9170" s="3" t="s">
        <v>26636</v>
      </c>
      <c r="F9170" s="3" t="str">
        <f>"765.649.8161"</f>
        <v>765.649.8161</v>
      </c>
      <c r="G9170" s="3">
        <v>621420</v>
      </c>
      <c r="H9170" s="3" t="s">
        <v>990</v>
      </c>
    </row>
    <row r="9171" spans="1:8" ht="179.25" x14ac:dyDescent="0.25">
      <c r="A9171" s="3" t="s">
        <v>26637</v>
      </c>
      <c r="B9171" s="3"/>
      <c r="C9171" s="3" t="s">
        <v>26638</v>
      </c>
      <c r="D9171" s="3" t="s">
        <v>26639</v>
      </c>
      <c r="E9171" s="3" t="s">
        <v>26640</v>
      </c>
      <c r="F9171" s="3" t="str">
        <f>"3177964116"</f>
        <v>3177964116</v>
      </c>
      <c r="G9171" s="3">
        <v>485320</v>
      </c>
      <c r="H9171" s="3" t="s">
        <v>3750</v>
      </c>
    </row>
    <row r="9172" spans="1:8" ht="26.25" x14ac:dyDescent="0.25">
      <c r="A9172" s="3" t="s">
        <v>26641</v>
      </c>
      <c r="B9172" s="3"/>
      <c r="C9172" s="3" t="str">
        <f>"Retail clothing."</f>
        <v>Retail clothing.</v>
      </c>
      <c r="D9172" s="3" t="s">
        <v>9</v>
      </c>
      <c r="E9172" s="3" t="s">
        <v>26642</v>
      </c>
      <c r="F9172" s="3" t="str">
        <f>"317-888-7467"</f>
        <v>317-888-7467</v>
      </c>
      <c r="G9172" s="3">
        <v>44</v>
      </c>
      <c r="H9172" s="3" t="s">
        <v>574</v>
      </c>
    </row>
    <row r="9173" spans="1:8" ht="26.25" x14ac:dyDescent="0.25">
      <c r="A9173" s="3" t="s">
        <v>26643</v>
      </c>
      <c r="B9173" s="3"/>
      <c r="C9173" s="3" t="str">
        <f>"residential treatment facility"</f>
        <v>residential treatment facility</v>
      </c>
      <c r="D9173" s="3" t="s">
        <v>26644</v>
      </c>
      <c r="E9173" s="3" t="s">
        <v>26645</v>
      </c>
      <c r="F9173" s="3" t="str">
        <f>"574-259-5666"</f>
        <v>574-259-5666</v>
      </c>
      <c r="G9173" s="3">
        <v>623990</v>
      </c>
      <c r="H9173" s="3" t="s">
        <v>11066</v>
      </c>
    </row>
    <row r="9174" spans="1:8" ht="90" x14ac:dyDescent="0.25">
      <c r="A9174" s="3" t="s">
        <v>26646</v>
      </c>
      <c r="B9174" s="3"/>
      <c r="C9174" s="3" t="str">
        <f>"The Chimney Guys provide chimney sweeping, inspections and repairs in compliance with National Fire Protection Association (NFPA) 211 standards for Chimneys, Fireplaces, Vents and Solid Fuel Burening Appliances. We are located near Terre Haute, IN."</f>
        <v>The Chimney Guys provide chimney sweeping, inspections and repairs in compliance with National Fire Protection Association (NFPA) 211 standards for Chimneys, Fireplaces, Vents and Solid Fuel Burening Appliances. We are located near Terre Haute, IN.</v>
      </c>
      <c r="D9174" s="3" t="s">
        <v>9</v>
      </c>
      <c r="E9174" s="3" t="s">
        <v>26647</v>
      </c>
      <c r="F9174" s="3" t="str">
        <f>"812-240-6552"</f>
        <v>812-240-6552</v>
      </c>
      <c r="G9174" s="3">
        <v>561790</v>
      </c>
      <c r="H9174" s="3" t="s">
        <v>2113</v>
      </c>
    </row>
    <row r="9175" spans="1:8" ht="26.25" x14ac:dyDescent="0.25">
      <c r="A9175" s="3" t="s">
        <v>26648</v>
      </c>
      <c r="B9175" s="3"/>
      <c r="C9175" s="3" t="str">
        <f>"Mechanical systems consulting."</f>
        <v>Mechanical systems consulting.</v>
      </c>
      <c r="D9175" s="3" t="s">
        <v>9</v>
      </c>
      <c r="E9175" s="3" t="s">
        <v>26649</v>
      </c>
      <c r="F9175" s="3" t="str">
        <f>"3174452233"</f>
        <v>3174452233</v>
      </c>
      <c r="G9175" s="3">
        <v>238220</v>
      </c>
      <c r="H9175" s="3" t="s">
        <v>348</v>
      </c>
    </row>
    <row r="9176" spans="1:8" ht="77.25" x14ac:dyDescent="0.25">
      <c r="A9176" s="3" t="s">
        <v>26650</v>
      </c>
      <c r="B9176" s="3"/>
      <c r="C9176" s="3" t="str">
        <f>"We are a home based business built on trust, quality and understanding. Providing professional yet personal cleaning for all of your Commercial, Residential &amp; Construction needs. We will take care of your dirty work!"</f>
        <v>We are a home based business built on trust, quality and understanding. Providing professional yet personal cleaning for all of your Commercial, Residential &amp; Construction needs. We will take care of your dirty work!</v>
      </c>
      <c r="D9176" s="3" t="s">
        <v>9</v>
      </c>
      <c r="E9176" s="3" t="s">
        <v>26651</v>
      </c>
      <c r="F9176" s="3" t="str">
        <f>"317-513-8406"</f>
        <v>317-513-8406</v>
      </c>
      <c r="G9176" s="3">
        <v>561720</v>
      </c>
      <c r="H9176" s="3" t="s">
        <v>222</v>
      </c>
    </row>
    <row r="9177" spans="1:8" ht="26.25" x14ac:dyDescent="0.25">
      <c r="A9177" s="3" t="s">
        <v>26652</v>
      </c>
      <c r="B9177" s="3"/>
      <c r="C9177" s="3" t="str">
        <f>"The Cleaning Team, Inc. provides residential and commercial housekeeping services."</f>
        <v>The Cleaning Team, Inc. provides residential and commercial housekeeping services.</v>
      </c>
      <c r="D9177" s="3" t="s">
        <v>9</v>
      </c>
      <c r="E9177" s="3" t="s">
        <v>46</v>
      </c>
      <c r="F9177" s="2"/>
      <c r="G9177" s="3">
        <v>561720</v>
      </c>
      <c r="H9177" s="3" t="s">
        <v>222</v>
      </c>
    </row>
    <row r="9178" spans="1:8" ht="64.5" x14ac:dyDescent="0.25">
      <c r="A9178" s="3" t="s">
        <v>26653</v>
      </c>
      <c r="B9178" s="3"/>
      <c r="C9178" s="3" t="str">
        <f>"Victory Vending, is a full service vending company. We offer vending machine placement, restocking and vending machine repairs. 24-Hour Service and Maintenance available."</f>
        <v>Victory Vending, is a full service vending company. We offer vending machine placement, restocking and vending machine repairs. 24-Hour Service and Maintenance available.</v>
      </c>
      <c r="D9178" s="3" t="s">
        <v>9</v>
      </c>
      <c r="E9178" s="3" t="s">
        <v>26654</v>
      </c>
      <c r="F9178" s="3" t="str">
        <f>"317-875-2394"</f>
        <v>317-875-2394</v>
      </c>
      <c r="G9178" s="3">
        <v>454210</v>
      </c>
      <c r="H9178" s="3" t="s">
        <v>2889</v>
      </c>
    </row>
    <row r="9179" spans="1:8" ht="64.5" x14ac:dyDescent="0.25">
      <c r="A9179" s="3" t="s">
        <v>26655</v>
      </c>
      <c r="B9179" s="3"/>
      <c r="C9179" s="3" t="str">
        <f>"The individual consumer has more influence now than ever before. We possess the power to unleash your originality, passion, vision, potential, and innovation by turning insights into actions."</f>
        <v>The individual consumer has more influence now than ever before. We possess the power to unleash your originality, passion, vision, potential, and innovation by turning insights into actions.</v>
      </c>
      <c r="D9179" s="3" t="s">
        <v>26656</v>
      </c>
      <c r="E9179" s="3" t="s">
        <v>26657</v>
      </c>
      <c r="F9179" s="3" t="str">
        <f>"312-388-1179"</f>
        <v>312-388-1179</v>
      </c>
      <c r="G9179" s="3">
        <v>541810</v>
      </c>
      <c r="H9179" s="3" t="s">
        <v>976</v>
      </c>
    </row>
    <row r="9180" spans="1:8" ht="77.25" x14ac:dyDescent="0.25">
      <c r="A9180" s="3" t="s">
        <v>26658</v>
      </c>
      <c r="B9180" s="3"/>
      <c r="C9180" s="3" t="str">
        <f>"The Complete Listing is a multifunction agency that specializes in business-to-business industries and provides consulting &amp; support in staffing, training, marketing, communications, public relations, and education."</f>
        <v>The Complete Listing is a multifunction agency that specializes in business-to-business industries and provides consulting &amp; support in staffing, training, marketing, communications, public relations, and education.</v>
      </c>
      <c r="D9180" s="3" t="s">
        <v>26659</v>
      </c>
      <c r="E9180" s="3" t="s">
        <v>26660</v>
      </c>
      <c r="F9180" s="2"/>
      <c r="G9180" s="3">
        <v>54161</v>
      </c>
      <c r="H9180" s="3" t="s">
        <v>1221</v>
      </c>
    </row>
    <row r="9181" spans="1:8" ht="102.75" x14ac:dyDescent="0.25">
      <c r="A9181" s="3" t="s">
        <v>26661</v>
      </c>
      <c r="B9181" s="3"/>
      <c r="C9181" s="3" t="s">
        <v>26662</v>
      </c>
      <c r="D9181" s="3" t="s">
        <v>9</v>
      </c>
      <c r="E9181" s="3" t="s">
        <v>26663</v>
      </c>
      <c r="F9181" s="3" t="str">
        <f>"812 322 1350"</f>
        <v>812 322 1350</v>
      </c>
      <c r="G9181" s="3">
        <v>56172</v>
      </c>
      <c r="H9181" s="3" t="s">
        <v>222</v>
      </c>
    </row>
    <row r="9182" spans="1:8" ht="115.5" x14ac:dyDescent="0.25">
      <c r="A9182" s="3" t="s">
        <v>26664</v>
      </c>
      <c r="B9182" s="3"/>
      <c r="C9182" s="3" t="s">
        <v>26665</v>
      </c>
      <c r="D9182" s="3" t="s">
        <v>9</v>
      </c>
      <c r="E9182" s="3" t="s">
        <v>26666</v>
      </c>
      <c r="F9182" s="3" t="str">
        <f>"219-608-0717"</f>
        <v>219-608-0717</v>
      </c>
      <c r="G9182" s="3">
        <v>236220</v>
      </c>
      <c r="H9182" s="3" t="s">
        <v>598</v>
      </c>
    </row>
    <row r="9183" spans="1:8" ht="26.25" x14ac:dyDescent="0.25">
      <c r="A9183" s="3" t="s">
        <v>26667</v>
      </c>
      <c r="B9183" s="3"/>
      <c r="C9183" s="3" t="str">
        <f>"The Corsaro Group is a business consulting firm."</f>
        <v>The Corsaro Group is a business consulting firm.</v>
      </c>
      <c r="D9183" s="3" t="s">
        <v>26668</v>
      </c>
      <c r="E9183" s="3" t="s">
        <v>26669</v>
      </c>
      <c r="F9183" s="3" t="str">
        <f>"317-291-7274"</f>
        <v>317-291-7274</v>
      </c>
      <c r="G9183" s="3">
        <v>541611</v>
      </c>
      <c r="H9183" s="3" t="s">
        <v>278</v>
      </c>
    </row>
    <row r="9184" spans="1:8" ht="64.5" x14ac:dyDescent="0.25">
      <c r="A9184" s="3" t="s">
        <v>26670</v>
      </c>
      <c r="B9184" s="3"/>
      <c r="C9184" s="3" t="str">
        <f>"We are in the business of matching up doctors searching for jobs with our clients who have positions available. Our clients are hospitals, clinics and groups which are located nationwide."</f>
        <v>We are in the business of matching up doctors searching for jobs with our clients who have positions available. Our clients are hospitals, clinics and groups which are located nationwide.</v>
      </c>
      <c r="D9184" s="3" t="s">
        <v>26671</v>
      </c>
      <c r="E9184" s="3" t="s">
        <v>26672</v>
      </c>
      <c r="F9184" s="3" t="str">
        <f>"8123310645"</f>
        <v>8123310645</v>
      </c>
      <c r="G9184" s="3">
        <v>5613</v>
      </c>
      <c r="H9184" s="3" t="s">
        <v>1882</v>
      </c>
    </row>
    <row r="9185" spans="1:8" ht="102.75" x14ac:dyDescent="0.25">
      <c r="A9185" s="3" t="s">
        <v>26673</v>
      </c>
      <c r="B9185" s="3"/>
      <c r="C9185" s="3" t="s">
        <v>26674</v>
      </c>
      <c r="D9185" s="3" t="s">
        <v>9</v>
      </c>
      <c r="E9185" s="3" t="s">
        <v>26675</v>
      </c>
      <c r="F9185" s="3" t="str">
        <f>"(317) 225-7138"</f>
        <v>(317) 225-7138</v>
      </c>
      <c r="G9185" s="3">
        <v>23</v>
      </c>
      <c r="H9185" s="3" t="s">
        <v>133</v>
      </c>
    </row>
    <row r="9186" spans="1:8" ht="90" x14ac:dyDescent="0.25">
      <c r="A9186" s="3" t="s">
        <v>26676</v>
      </c>
      <c r="B9186" s="3"/>
      <c r="C9186" s="3" t="s">
        <v>26677</v>
      </c>
      <c r="D9186" s="3" t="s">
        <v>9</v>
      </c>
      <c r="E9186" s="3" t="s">
        <v>26678</v>
      </c>
      <c r="F9186" s="3" t="str">
        <f>"317-596-9531"</f>
        <v>317-596-9531</v>
      </c>
      <c r="G9186" s="3">
        <v>541810</v>
      </c>
      <c r="H9186" s="3" t="s">
        <v>976</v>
      </c>
    </row>
    <row r="9187" spans="1:8" ht="294" x14ac:dyDescent="0.25">
      <c r="A9187" s="3" t="s">
        <v>26679</v>
      </c>
      <c r="B9187" s="3"/>
      <c r="C9187" s="3" t="s">
        <v>26680</v>
      </c>
      <c r="D9187" s="3" t="s">
        <v>26681</v>
      </c>
      <c r="E9187" s="3" t="s">
        <v>26682</v>
      </c>
      <c r="F9187" s="3" t="str">
        <f>"330-541-3725"</f>
        <v>330-541-3725</v>
      </c>
      <c r="G9187" s="3">
        <v>561730</v>
      </c>
      <c r="H9187" s="3" t="s">
        <v>65</v>
      </c>
    </row>
    <row r="9188" spans="1:8" ht="39" x14ac:dyDescent="0.25">
      <c r="A9188" s="3" t="s">
        <v>26683</v>
      </c>
      <c r="B9188" s="3"/>
      <c r="C9188" s="3" t="str">
        <f>"The Dean of Green LLC specializes in providing eco-friendly supply chain solutions."</f>
        <v>The Dean of Green LLC specializes in providing eco-friendly supply chain solutions.</v>
      </c>
      <c r="D9188" s="3" t="s">
        <v>26684</v>
      </c>
      <c r="E9188" s="3" t="s">
        <v>26685</v>
      </c>
      <c r="F9188" s="3" t="str">
        <f>"2197756384"</f>
        <v>2197756384</v>
      </c>
      <c r="G9188" s="3">
        <v>48</v>
      </c>
      <c r="H9188" s="3" t="s">
        <v>104</v>
      </c>
    </row>
    <row r="9189" spans="1:8" ht="64.5" x14ac:dyDescent="0.25">
      <c r="A9189" s="3" t="s">
        <v>26686</v>
      </c>
      <c r="B9189" s="3"/>
      <c r="C9189" s="3" t="str">
        <f>"We provide services to Dentist that include repair and maintanence of handpieces, sharpening/retiping of dental instruments. We offer dental supplies at very affordable prices and sell new and used handpieces."</f>
        <v>We provide services to Dentist that include repair and maintanence of handpieces, sharpening/retiping of dental instruments. We offer dental supplies at very affordable prices and sell new and used handpieces.</v>
      </c>
      <c r="D9189" s="3" t="s">
        <v>9</v>
      </c>
      <c r="E9189" s="3" t="s">
        <v>46</v>
      </c>
      <c r="F9189" s="2"/>
      <c r="G9189" s="3">
        <v>8112</v>
      </c>
      <c r="H9189" s="3" t="s">
        <v>13567</v>
      </c>
    </row>
    <row r="9190" spans="1:8" ht="39" x14ac:dyDescent="0.25">
      <c r="A9190" s="3" t="s">
        <v>26687</v>
      </c>
      <c r="B9190" s="3"/>
      <c r="C9190" s="3" t="str">
        <f>"Professional graphic arts, commercial design, business forms, and website development services."</f>
        <v>Professional graphic arts, commercial design, business forms, and website development services.</v>
      </c>
      <c r="D9190" s="3" t="s">
        <v>26688</v>
      </c>
      <c r="E9190" s="3" t="s">
        <v>26689</v>
      </c>
      <c r="F9190" s="3" t="str">
        <f>"317-938-8182"</f>
        <v>317-938-8182</v>
      </c>
      <c r="G9190" s="3">
        <v>541430</v>
      </c>
      <c r="H9190" s="3" t="s">
        <v>78</v>
      </c>
    </row>
    <row r="9191" spans="1:8" x14ac:dyDescent="0.25">
      <c r="A9191" s="3" t="s">
        <v>26690</v>
      </c>
      <c r="B9191" s="3"/>
      <c r="C9191" s="3" t="str">
        <f>" "</f>
        <v xml:space="preserve"> </v>
      </c>
      <c r="D9191" s="3" t="s">
        <v>9</v>
      </c>
      <c r="E9191" s="3" t="s">
        <v>46</v>
      </c>
      <c r="F9191" s="2"/>
      <c r="G9191" s="3">
        <v>561720</v>
      </c>
      <c r="H9191" s="3" t="s">
        <v>222</v>
      </c>
    </row>
    <row r="9192" spans="1:8" ht="115.5" x14ac:dyDescent="0.25">
      <c r="A9192" s="3" t="s">
        <v>26691</v>
      </c>
      <c r="B9192" s="3"/>
      <c r="C9192" s="3" t="s">
        <v>26692</v>
      </c>
      <c r="D9192" s="3" t="s">
        <v>26693</v>
      </c>
      <c r="E9192" s="3" t="s">
        <v>26694</v>
      </c>
      <c r="F9192" s="3" t="str">
        <f>"(765)449-3483"</f>
        <v>(765)449-3483</v>
      </c>
      <c r="G9192" s="3">
        <v>451110</v>
      </c>
      <c r="H9192" s="3" t="s">
        <v>3110</v>
      </c>
    </row>
    <row r="9193" spans="1:8" ht="90" x14ac:dyDescent="0.25">
      <c r="A9193" s="3" t="s">
        <v>26695</v>
      </c>
      <c r="B9193" s="3"/>
      <c r="C9193" s="3" t="s">
        <v>26696</v>
      </c>
      <c r="D9193" s="3" t="s">
        <v>26697</v>
      </c>
      <c r="E9193" s="3" t="s">
        <v>26698</v>
      </c>
      <c r="F9193" s="3" t="str">
        <f>"317.208.4800"</f>
        <v>317.208.4800</v>
      </c>
      <c r="G9193" s="3">
        <v>541990</v>
      </c>
      <c r="H9193" s="3" t="s">
        <v>378</v>
      </c>
    </row>
    <row r="9194" spans="1:8" ht="153.75" x14ac:dyDescent="0.25">
      <c r="A9194" s="3" t="s">
        <v>26699</v>
      </c>
      <c r="B9194" s="3"/>
      <c r="C9194" s="3" t="s">
        <v>26700</v>
      </c>
      <c r="D9194" s="3" t="s">
        <v>9</v>
      </c>
      <c r="E9194" s="3" t="s">
        <v>26701</v>
      </c>
      <c r="F9194" s="3" t="str">
        <f>"574-277-7778"</f>
        <v>574-277-7778</v>
      </c>
      <c r="G9194" s="3">
        <v>238310</v>
      </c>
      <c r="H9194" s="3" t="s">
        <v>2526</v>
      </c>
    </row>
    <row r="9195" spans="1:8" ht="26.25" x14ac:dyDescent="0.25">
      <c r="A9195" s="3" t="s">
        <v>26702</v>
      </c>
      <c r="B9195" s="3"/>
      <c r="C9195" s="3" t="str">
        <f>"Administrative, Management and Marketing services."</f>
        <v>Administrative, Management and Marketing services.</v>
      </c>
      <c r="D9195" s="3" t="s">
        <v>26703</v>
      </c>
      <c r="E9195" s="3" t="s">
        <v>26704</v>
      </c>
      <c r="F9195" s="3" t="str">
        <f>"888.290.4004"</f>
        <v>888.290.4004</v>
      </c>
      <c r="G9195" s="3">
        <v>541611</v>
      </c>
      <c r="H9195" s="3" t="s">
        <v>278</v>
      </c>
    </row>
    <row r="9196" spans="1:8" ht="51.75" x14ac:dyDescent="0.25">
      <c r="A9196" s="3" t="s">
        <v>26705</v>
      </c>
      <c r="B9196" s="3"/>
      <c r="C9196" s="3" t="str">
        <f>"We distribute a complete line of janitorial supplies including floor equipment, cleaning chemicals paper supplies, restaurant equipment and supplies."</f>
        <v>We distribute a complete line of janitorial supplies including floor equipment, cleaning chemicals paper supplies, restaurant equipment and supplies.</v>
      </c>
      <c r="D9196" s="3" t="s">
        <v>9</v>
      </c>
      <c r="E9196" s="3" t="s">
        <v>26706</v>
      </c>
      <c r="F9196" s="3" t="str">
        <f>"219-879-1001"</f>
        <v>219-879-1001</v>
      </c>
      <c r="G9196" s="3">
        <v>423990</v>
      </c>
      <c r="H9196" s="3" t="s">
        <v>983</v>
      </c>
    </row>
    <row r="9197" spans="1:8" ht="64.5" x14ac:dyDescent="0.25">
      <c r="A9197" s="3" t="s">
        <v>26707</v>
      </c>
      <c r="B9197" s="3"/>
      <c r="C9197" s="3" t="str">
        <f>"Provider of project management and support services on service/product development projects, particularly on financial and/or marketing aspects of said projects"</f>
        <v>Provider of project management and support services on service/product development projects, particularly on financial and/or marketing aspects of said projects</v>
      </c>
      <c r="D9197" s="3" t="s">
        <v>9</v>
      </c>
      <c r="E9197" s="3" t="s">
        <v>26708</v>
      </c>
      <c r="F9197" s="2"/>
      <c r="G9197" s="3">
        <v>541611</v>
      </c>
      <c r="H9197" s="3" t="s">
        <v>278</v>
      </c>
    </row>
    <row r="9198" spans="1:8" ht="115.5" x14ac:dyDescent="0.25">
      <c r="A9198" s="3" t="s">
        <v>26709</v>
      </c>
      <c r="B9198" s="3"/>
      <c r="C9198" s="3" t="s">
        <v>26710</v>
      </c>
      <c r="D9198" s="3" t="s">
        <v>26711</v>
      </c>
      <c r="E9198" s="3" t="s">
        <v>26712</v>
      </c>
      <c r="F9198" s="3" t="str">
        <f>"317-954-1304"</f>
        <v>317-954-1304</v>
      </c>
      <c r="G9198" s="3">
        <v>448140</v>
      </c>
      <c r="H9198" s="3" t="s">
        <v>26713</v>
      </c>
    </row>
    <row r="9199" spans="1:8" ht="128.25" x14ac:dyDescent="0.25">
      <c r="A9199" s="3" t="s">
        <v>26714</v>
      </c>
      <c r="B9199" s="3"/>
      <c r="C9199" s="3" t="s">
        <v>26715</v>
      </c>
      <c r="D9199" s="3" t="s">
        <v>26716</v>
      </c>
      <c r="E9199" s="3" t="s">
        <v>26717</v>
      </c>
      <c r="F9199" s="3" t="str">
        <f>"3172415600"</f>
        <v>3172415600</v>
      </c>
      <c r="G9199" s="3">
        <v>541910</v>
      </c>
      <c r="H9199" s="3" t="s">
        <v>510</v>
      </c>
    </row>
    <row r="9200" spans="1:8" ht="39" x14ac:dyDescent="0.25">
      <c r="A9200" s="3" t="s">
        <v>26718</v>
      </c>
      <c r="B9200" s="3"/>
      <c r="C9200" s="3" t="str">
        <f>"THE FIX sells, repairs, and rents outdoor power equipment including mowers, trimmers, chainsaws, blowers, etc."</f>
        <v>THE FIX sells, repairs, and rents outdoor power equipment including mowers, trimmers, chainsaws, blowers, etc.</v>
      </c>
      <c r="D9200" s="3" t="s">
        <v>26719</v>
      </c>
      <c r="E9200" s="3" t="s">
        <v>26720</v>
      </c>
      <c r="F9200" s="3" t="str">
        <f>"317-873-9000"</f>
        <v>317-873-9000</v>
      </c>
      <c r="G9200" s="3">
        <v>811411</v>
      </c>
      <c r="H9200" s="3" t="s">
        <v>24667</v>
      </c>
    </row>
    <row r="9201" spans="1:8" ht="77.25" x14ac:dyDescent="0.25">
      <c r="A9201" s="3" t="s">
        <v>26721</v>
      </c>
      <c r="B9201" s="3"/>
      <c r="C9201" s="3" t="str">
        <f>"A full service retail florist and event planner. Specializing in special events, corporate, and weddings. All areas of fresh flowers, plants, artificial flowers and plants, rental of furniture, tents, table, chairs. Specialty gifts for all occasions."</f>
        <v>A full service retail florist and event planner. Specializing in special events, corporate, and weddings. All areas of fresh flowers, plants, artificial flowers and plants, rental of furniture, tents, table, chairs. Specialty gifts for all occasions.</v>
      </c>
      <c r="D9201" s="3" t="s">
        <v>26722</v>
      </c>
      <c r="E9201" s="3" t="s">
        <v>26723</v>
      </c>
      <c r="F9201" s="3" t="str">
        <f>"765-778-2047"</f>
        <v>765-778-2047</v>
      </c>
      <c r="G9201" s="3">
        <v>453110</v>
      </c>
      <c r="H9201" s="3" t="s">
        <v>2584</v>
      </c>
    </row>
    <row r="9202" spans="1:8" ht="102.75" x14ac:dyDescent="0.25">
      <c r="A9202" s="3" t="s">
        <v>26724</v>
      </c>
      <c r="B9202" s="3"/>
      <c r="C9202" s="3" t="s">
        <v>26725</v>
      </c>
      <c r="D9202" s="3" t="s">
        <v>26726</v>
      </c>
      <c r="E9202" s="3" t="s">
        <v>26727</v>
      </c>
      <c r="F9202" s="3" t="str">
        <f>"317-396-2696"</f>
        <v>317-396-2696</v>
      </c>
      <c r="G9202" s="3">
        <v>445291</v>
      </c>
      <c r="H9202" s="3" t="s">
        <v>26728</v>
      </c>
    </row>
    <row r="9203" spans="1:8" ht="179.25" x14ac:dyDescent="0.25">
      <c r="A9203" s="3" t="s">
        <v>26729</v>
      </c>
      <c r="B9203" s="3"/>
      <c r="C9203" s="3" t="s">
        <v>26730</v>
      </c>
      <c r="D9203" s="3" t="s">
        <v>9</v>
      </c>
      <c r="E9203" s="3" t="s">
        <v>26731</v>
      </c>
      <c r="F9203" s="2"/>
      <c r="G9203" s="3">
        <v>541800</v>
      </c>
      <c r="H9203" s="2"/>
    </row>
    <row r="9204" spans="1:8" ht="141" x14ac:dyDescent="0.25">
      <c r="A9204" s="3" t="s">
        <v>26732</v>
      </c>
      <c r="B9204" s="3"/>
      <c r="C9204" s="3" t="s">
        <v>26733</v>
      </c>
      <c r="D9204" s="3" t="s">
        <v>26734</v>
      </c>
      <c r="E9204" s="3" t="s">
        <v>26735</v>
      </c>
      <c r="F9204" s="3" t="str">
        <f>"765-448-4771"</f>
        <v>765-448-4771</v>
      </c>
      <c r="G9204" s="3">
        <v>442299</v>
      </c>
      <c r="H9204" s="3" t="s">
        <v>951</v>
      </c>
    </row>
    <row r="9205" spans="1:8" ht="230.25" x14ac:dyDescent="0.25">
      <c r="A9205" s="3" t="s">
        <v>26736</v>
      </c>
      <c r="B9205" s="3"/>
      <c r="C9205" s="3" t="s">
        <v>26737</v>
      </c>
      <c r="D9205" s="3" t="s">
        <v>26738</v>
      </c>
      <c r="E9205" s="3" t="s">
        <v>26739</v>
      </c>
      <c r="F9205" s="3" t="str">
        <f>"219-325-4436"</f>
        <v>219-325-4436</v>
      </c>
      <c r="G9205" s="3">
        <v>5415</v>
      </c>
      <c r="H9205" s="3" t="s">
        <v>188</v>
      </c>
    </row>
    <row r="9206" spans="1:8" ht="26.25" x14ac:dyDescent="0.25">
      <c r="A9206" s="3" t="s">
        <v>26740</v>
      </c>
      <c r="B9206" s="3"/>
      <c r="C9206" s="3" t="str">
        <f>"Provider of Life and Health Insurance services"</f>
        <v>Provider of Life and Health Insurance services</v>
      </c>
      <c r="D9206" s="3" t="s">
        <v>26741</v>
      </c>
      <c r="E9206" s="3" t="s">
        <v>46</v>
      </c>
      <c r="F9206" s="3" t="str">
        <f>"317-574-4242"</f>
        <v>317-574-4242</v>
      </c>
      <c r="G9206" s="3">
        <v>524210</v>
      </c>
      <c r="H9206" s="3" t="s">
        <v>1183</v>
      </c>
    </row>
    <row r="9207" spans="1:8" ht="281.25" x14ac:dyDescent="0.25">
      <c r="A9207" s="3" t="s">
        <v>26742</v>
      </c>
      <c r="B9207" s="3"/>
      <c r="C9207" s="3" t="s">
        <v>26743</v>
      </c>
      <c r="D9207" s="3" t="s">
        <v>26744</v>
      </c>
      <c r="E9207" s="3" t="s">
        <v>26745</v>
      </c>
      <c r="F9207" s="3" t="str">
        <f>"317-549-5553"</f>
        <v>317-549-5553</v>
      </c>
      <c r="G9207" s="3">
        <v>811212</v>
      </c>
      <c r="H9207" s="3" t="s">
        <v>1632</v>
      </c>
    </row>
    <row r="9208" spans="1:8" ht="51.75" x14ac:dyDescent="0.25">
      <c r="A9208" s="3" t="s">
        <v>26746</v>
      </c>
      <c r="B9208" s="3"/>
      <c r="C9208" s="3" t="str">
        <f>"we do hanging and finishing of drywall, wallpaper removal and installation, Install suspended ceilings and any type of painting interior or exterior"</f>
        <v>we do hanging and finishing of drywall, wallpaper removal and installation, Install suspended ceilings and any type of painting interior or exterior</v>
      </c>
      <c r="D9208" s="3" t="s">
        <v>9</v>
      </c>
      <c r="E9208" s="3" t="s">
        <v>46</v>
      </c>
      <c r="F9208" s="2"/>
      <c r="G9208" s="3">
        <v>238320</v>
      </c>
      <c r="H9208" s="3" t="s">
        <v>462</v>
      </c>
    </row>
    <row r="9209" spans="1:8" ht="64.5" x14ac:dyDescent="0.25">
      <c r="A9209" s="3" t="s">
        <v>26747</v>
      </c>
      <c r="B9209" s="3"/>
      <c r="C9209" s="3" t="str">
        <f>"Distributor of waterproofing, masonry and concrete supplies, restoration products, coatings, sealants, water repellents, architectural/engineering specified manufacturers."</f>
        <v>Distributor of waterproofing, masonry and concrete supplies, restoration products, coatings, sealants, water repellents, architectural/engineering specified manufacturers.</v>
      </c>
      <c r="D9209" s="3" t="s">
        <v>26748</v>
      </c>
      <c r="E9209" s="3" t="s">
        <v>11149</v>
      </c>
      <c r="F9209" s="3" t="str">
        <f>"317-873-8973"</f>
        <v>317-873-8973</v>
      </c>
      <c r="G9209" s="3">
        <v>423390</v>
      </c>
      <c r="H9209" s="3" t="s">
        <v>1863</v>
      </c>
    </row>
    <row r="9210" spans="1:8" ht="128.25" x14ac:dyDescent="0.25">
      <c r="A9210" s="3" t="s">
        <v>26749</v>
      </c>
      <c r="B9210" s="3"/>
      <c r="C9210" s="3" t="s">
        <v>26750</v>
      </c>
      <c r="D9210" s="3" t="s">
        <v>9</v>
      </c>
      <c r="E9210" s="3" t="s">
        <v>26751</v>
      </c>
      <c r="F9210" s="3" t="str">
        <f>"317-782-1800"</f>
        <v>317-782-1800</v>
      </c>
      <c r="G9210" s="3">
        <v>423840</v>
      </c>
      <c r="H9210" s="3" t="s">
        <v>553</v>
      </c>
    </row>
    <row r="9211" spans="1:8" ht="26.25" x14ac:dyDescent="0.25">
      <c r="A9211" s="3" t="s">
        <v>26752</v>
      </c>
      <c r="B9211" s="3"/>
      <c r="C9211" s="2"/>
      <c r="D9211" s="3" t="s">
        <v>9</v>
      </c>
      <c r="E9211" s="3" t="s">
        <v>26753</v>
      </c>
      <c r="F9211" s="3" t="str">
        <f>"219-322-7033"</f>
        <v>219-322-7033</v>
      </c>
      <c r="G9211" s="3">
        <v>561730</v>
      </c>
      <c r="H9211" s="3" t="s">
        <v>65</v>
      </c>
    </row>
    <row r="9212" spans="1:8" ht="204.75" x14ac:dyDescent="0.25">
      <c r="A9212" s="3" t="s">
        <v>26754</v>
      </c>
      <c r="B9212" s="3"/>
      <c r="C9212" s="3" t="s">
        <v>26755</v>
      </c>
      <c r="D9212" s="3" t="s">
        <v>26756</v>
      </c>
      <c r="E9212" s="3" t="s">
        <v>26757</v>
      </c>
      <c r="F9212" s="3" t="str">
        <f>"317-497-0824"</f>
        <v>317-497-0824</v>
      </c>
      <c r="G9212" s="3">
        <v>561510</v>
      </c>
      <c r="H9212" s="3" t="s">
        <v>288</v>
      </c>
    </row>
    <row r="9213" spans="1:8" ht="268.5" x14ac:dyDescent="0.25">
      <c r="A9213" s="3" t="s">
        <v>26758</v>
      </c>
      <c r="B9213" s="3"/>
      <c r="C9213" s="3" t="s">
        <v>26759</v>
      </c>
      <c r="D9213" s="3" t="s">
        <v>26760</v>
      </c>
      <c r="E9213" s="3" t="s">
        <v>26761</v>
      </c>
      <c r="F9213" s="3" t="str">
        <f>"219-926-1000 X206"</f>
        <v>219-926-1000 X206</v>
      </c>
      <c r="G9213" s="3">
        <v>541990</v>
      </c>
      <c r="H9213" s="3" t="s">
        <v>378</v>
      </c>
    </row>
    <row r="9214" spans="1:8" ht="179.25" x14ac:dyDescent="0.25">
      <c r="A9214" s="3" t="s">
        <v>26762</v>
      </c>
      <c r="B9214" s="3"/>
      <c r="C9214" s="3" t="s">
        <v>26763</v>
      </c>
      <c r="D9214" s="3" t="s">
        <v>26764</v>
      </c>
      <c r="E9214" s="3" t="s">
        <v>26765</v>
      </c>
      <c r="F9214" s="3" t="str">
        <f>"317-926-3091"</f>
        <v>317-926-3091</v>
      </c>
      <c r="G9214" s="3">
        <v>54182</v>
      </c>
      <c r="H9214" s="3" t="s">
        <v>795</v>
      </c>
    </row>
    <row r="9215" spans="1:8" ht="26.25" x14ac:dyDescent="0.25">
      <c r="A9215" s="3" t="s">
        <v>26766</v>
      </c>
      <c r="B9215" s="3"/>
      <c r="C9215" s="3" t="str">
        <f>"Law Practice offering counsel and advise on legal and business matters."</f>
        <v>Law Practice offering counsel and advise on legal and business matters.</v>
      </c>
      <c r="D9215" s="3" t="s">
        <v>26767</v>
      </c>
      <c r="E9215" s="3" t="s">
        <v>26768</v>
      </c>
      <c r="F9215" s="3" t="str">
        <f>"317-446-8844"</f>
        <v>317-446-8844</v>
      </c>
      <c r="G9215" s="3">
        <v>541110</v>
      </c>
      <c r="H9215" s="3" t="s">
        <v>2978</v>
      </c>
    </row>
    <row r="9216" spans="1:8" ht="26.25" x14ac:dyDescent="0.25">
      <c r="A9216" s="3" t="s">
        <v>26769</v>
      </c>
      <c r="B9216" s="3"/>
      <c r="C9216" s="3" t="str">
        <f>"Investigative and security service solutions."</f>
        <v>Investigative and security service solutions.</v>
      </c>
      <c r="D9216" s="3" t="s">
        <v>9</v>
      </c>
      <c r="E9216" s="3" t="s">
        <v>26770</v>
      </c>
      <c r="F9216" s="3" t="str">
        <f>"260-410-3040"</f>
        <v>260-410-3040</v>
      </c>
      <c r="G9216" s="3">
        <v>5616</v>
      </c>
      <c r="H9216" s="3" t="s">
        <v>415</v>
      </c>
    </row>
    <row r="9217" spans="1:8" ht="39" x14ac:dyDescent="0.25">
      <c r="A9217" s="3" t="s">
        <v>26771</v>
      </c>
      <c r="B9217" s="3"/>
      <c r="C9217" s="3" t="str">
        <f>"Manufacturers representative of several lines of HVAC equipment in the hydronic sector."</f>
        <v>Manufacturers representative of several lines of HVAC equipment in the hydronic sector.</v>
      </c>
      <c r="D9217" s="3" t="s">
        <v>26772</v>
      </c>
      <c r="E9217" s="3" t="s">
        <v>26773</v>
      </c>
      <c r="F9217" s="3" t="str">
        <f>"317-856-5266"</f>
        <v>317-856-5266</v>
      </c>
      <c r="G9217" s="3">
        <v>423720</v>
      </c>
      <c r="H9217" s="3" t="s">
        <v>2695</v>
      </c>
    </row>
    <row r="9218" spans="1:8" ht="319.5" x14ac:dyDescent="0.25">
      <c r="A9218" s="3" t="s">
        <v>26774</v>
      </c>
      <c r="B9218" s="3"/>
      <c r="C9218" s="3" t="s">
        <v>26775</v>
      </c>
      <c r="D9218" s="3" t="s">
        <v>26776</v>
      </c>
      <c r="E9218" s="3" t="s">
        <v>46</v>
      </c>
      <c r="F9218" s="3" t="str">
        <f>"260-563-1102"</f>
        <v>260-563-1102</v>
      </c>
      <c r="G9218" s="3">
        <v>722320</v>
      </c>
      <c r="H9218" s="3" t="s">
        <v>266</v>
      </c>
    </row>
    <row r="9219" spans="1:8" ht="51.75" x14ac:dyDescent="0.25">
      <c r="A9219" s="3" t="s">
        <v>26777</v>
      </c>
      <c r="B9219" s="3"/>
      <c r="C9219" s="3" t="str">
        <f>"The Housewife provides services from personal/corporate cleaning of homes and buildings, to planning of events, also personal or corporate"</f>
        <v>The Housewife provides services from personal/corporate cleaning of homes and buildings, to planning of events, also personal or corporate</v>
      </c>
      <c r="D9219" s="3" t="s">
        <v>26778</v>
      </c>
      <c r="E9219" s="3" t="s">
        <v>26779</v>
      </c>
      <c r="F9219" s="3" t="str">
        <f>"317-652-1516"</f>
        <v>317-652-1516</v>
      </c>
      <c r="G9219" s="3">
        <v>812990</v>
      </c>
      <c r="H9219" s="3" t="s">
        <v>294</v>
      </c>
    </row>
    <row r="9220" spans="1:8" ht="90" x14ac:dyDescent="0.25">
      <c r="A9220" s="3" t="s">
        <v>26780</v>
      </c>
      <c r="B9220" s="3"/>
      <c r="C9220" s="3" t="str">
        <f>"Nyhart is an employee owned business administers and consults on flexible spending accounts/COBRA and defined benefit / defined contribtuion retirement plans. Nyhart also provides expertise in consulting on and designing employee benefit programs."</f>
        <v>Nyhart is an employee owned business administers and consults on flexible spending accounts/COBRA and defined benefit / defined contribtuion retirement plans. Nyhart also provides expertise in consulting on and designing employee benefit programs.</v>
      </c>
      <c r="D9220" s="3" t="s">
        <v>26781</v>
      </c>
      <c r="E9220" s="3" t="s">
        <v>46</v>
      </c>
      <c r="F9220" s="3" t="str">
        <f>"317-845-3500"</f>
        <v>317-845-3500</v>
      </c>
      <c r="G9220" s="3">
        <v>5251</v>
      </c>
      <c r="H9220" s="3" t="s">
        <v>22944</v>
      </c>
    </row>
    <row r="9221" spans="1:8" ht="153.75" x14ac:dyDescent="0.25">
      <c r="A9221" s="3" t="s">
        <v>26782</v>
      </c>
      <c r="B9221" s="3"/>
      <c r="C9221" s="3" t="s">
        <v>26783</v>
      </c>
      <c r="D9221" s="3" t="s">
        <v>9</v>
      </c>
      <c r="E9221" s="3" t="s">
        <v>26784</v>
      </c>
      <c r="F9221" s="3" t="str">
        <f>"219-871-0530"</f>
        <v>219-871-0530</v>
      </c>
      <c r="G9221" s="3">
        <v>333995</v>
      </c>
      <c r="H9221" s="3" t="s">
        <v>12594</v>
      </c>
    </row>
    <row r="9222" spans="1:8" ht="77.25" x14ac:dyDescent="0.25">
      <c r="A9222" s="3" t="s">
        <v>26785</v>
      </c>
      <c r="B9222" s="3"/>
      <c r="C9222" s="3" t="str">
        <f>"Professional Services Consulting, Specializing in Payroll Consulting and Services, Pre-employment Background Screening and Drug Testing and Information Technology; Electronic Medical Records and Document Management and Imaging"</f>
        <v>Professional Services Consulting, Specializing in Payroll Consulting and Services, Pre-employment Background Screening and Drug Testing and Information Technology; Electronic Medical Records and Document Management and Imaging</v>
      </c>
      <c r="D9222" s="3" t="s">
        <v>26786</v>
      </c>
      <c r="E9222" s="3" t="s">
        <v>26787</v>
      </c>
      <c r="F9222" s="3" t="str">
        <f>"317-513-4036"</f>
        <v>317-513-4036</v>
      </c>
      <c r="G9222" s="3">
        <v>541214</v>
      </c>
      <c r="H9222" s="3" t="s">
        <v>3680</v>
      </c>
    </row>
    <row r="9223" spans="1:8" ht="90" x14ac:dyDescent="0.25">
      <c r="A9223" s="3" t="s">
        <v>26788</v>
      </c>
      <c r="B9223" s="3"/>
      <c r="C9223" s="3" t="s">
        <v>26789</v>
      </c>
      <c r="D9223" s="3" t="s">
        <v>26790</v>
      </c>
      <c r="E9223" s="3" t="s">
        <v>26791</v>
      </c>
      <c r="F9223" s="3" t="str">
        <f>"765-939-9226"</f>
        <v>765-939-9226</v>
      </c>
      <c r="G9223" s="3">
        <v>624120</v>
      </c>
      <c r="H9223" s="3" t="s">
        <v>22</v>
      </c>
    </row>
    <row r="9224" spans="1:8" ht="26.25" x14ac:dyDescent="0.25">
      <c r="A9224" s="3" t="s">
        <v>26792</v>
      </c>
      <c r="B9224" s="3"/>
      <c r="C9224" s="3" t="str">
        <f>" "</f>
        <v xml:space="preserve"> </v>
      </c>
      <c r="D9224" s="3" t="s">
        <v>9</v>
      </c>
      <c r="E9224" s="3" t="s">
        <v>26793</v>
      </c>
      <c r="F9224" s="3" t="str">
        <f>"317.633.4870"</f>
        <v>317.633.4870</v>
      </c>
      <c r="G9224" s="3">
        <v>5182</v>
      </c>
      <c r="H9224" s="3" t="s">
        <v>3133</v>
      </c>
    </row>
    <row r="9225" spans="1:8" ht="102.75" x14ac:dyDescent="0.25">
      <c r="A9225" s="3" t="s">
        <v>26794</v>
      </c>
      <c r="B9225" s="3"/>
      <c r="C9225" s="3" t="s">
        <v>26795</v>
      </c>
      <c r="D9225" s="3" t="s">
        <v>26796</v>
      </c>
      <c r="E9225" s="3" t="s">
        <v>26797</v>
      </c>
      <c r="F9225" s="3" t="str">
        <f>"317-639-4661"</f>
        <v>317-639-4661</v>
      </c>
      <c r="G9225" s="3">
        <v>611513</v>
      </c>
      <c r="H9225" s="3" t="s">
        <v>5516</v>
      </c>
    </row>
    <row r="9226" spans="1:8" ht="90" x14ac:dyDescent="0.25">
      <c r="A9226" s="3" t="s">
        <v>26798</v>
      </c>
      <c r="B9226" s="3"/>
      <c r="C9226" s="3" t="str">
        <f>"The Indiana State Council of the Emergency Nurses Association is a professional membership organization dedicated to the excellence in emergency nursing and emergency care through integration of leadership, education, advocacy, mentoring, and innovation."</f>
        <v>The Indiana State Council of the Emergency Nurses Association is a professional membership organization dedicated to the excellence in emergency nursing and emergency care through integration of leadership, education, advocacy, mentoring, and innovation.</v>
      </c>
      <c r="D9226" s="3" t="s">
        <v>26799</v>
      </c>
      <c r="E9226" s="3" t="s">
        <v>46</v>
      </c>
      <c r="F9226" s="2"/>
      <c r="G9226" s="3">
        <v>54199</v>
      </c>
      <c r="H9226" s="3" t="s">
        <v>18110</v>
      </c>
    </row>
    <row r="9227" spans="1:8" ht="51.75" x14ac:dyDescent="0.25">
      <c r="A9227" s="3" t="s">
        <v>26800</v>
      </c>
      <c r="B9227" s="3"/>
      <c r="C9227" s="3" t="str">
        <f>"Gannett is a media and marketing solutions company with a diverse portfolio of broadcast, digital, mobile and publishing companies."</f>
        <v>Gannett is a media and marketing solutions company with a diverse portfolio of broadcast, digital, mobile and publishing companies.</v>
      </c>
      <c r="D9227" s="3" t="s">
        <v>26801</v>
      </c>
      <c r="E9227" s="3" t="s">
        <v>46</v>
      </c>
      <c r="F9227" s="2"/>
      <c r="G9227" s="3">
        <v>511110</v>
      </c>
      <c r="H9227" s="3" t="s">
        <v>8225</v>
      </c>
    </row>
    <row r="9228" spans="1:8" ht="141" x14ac:dyDescent="0.25">
      <c r="A9228" s="3" t="s">
        <v>26802</v>
      </c>
      <c r="B9228" s="3"/>
      <c r="C9228" s="3" t="s">
        <v>26803</v>
      </c>
      <c r="D9228" s="3" t="s">
        <v>9</v>
      </c>
      <c r="E9228" s="3" t="s">
        <v>46</v>
      </c>
      <c r="F9228" s="2"/>
      <c r="G9228" s="3">
        <v>611430</v>
      </c>
      <c r="H9228" s="3" t="s">
        <v>1224</v>
      </c>
    </row>
    <row r="9229" spans="1:8" ht="319.5" x14ac:dyDescent="0.25">
      <c r="A9229" s="3" t="s">
        <v>26804</v>
      </c>
      <c r="B9229" s="3"/>
      <c r="C9229" s="3" t="s">
        <v>26805</v>
      </c>
      <c r="D9229" s="3" t="s">
        <v>26806</v>
      </c>
      <c r="E9229" s="3" t="s">
        <v>26807</v>
      </c>
      <c r="F9229" s="3" t="str">
        <f>"317.263.9655"</f>
        <v>317.263.9655</v>
      </c>
      <c r="G9229" s="3">
        <v>541310</v>
      </c>
      <c r="H9229" s="3" t="s">
        <v>446</v>
      </c>
    </row>
    <row r="9230" spans="1:8" ht="51.75" x14ac:dyDescent="0.25">
      <c r="A9230" s="3" t="s">
        <v>26808</v>
      </c>
      <c r="B9230" s="3"/>
      <c r="C9230" s="3" t="str">
        <f>"Business Development, logistics services, consulting, transportation, technical writing, services, instruction, documentation"</f>
        <v>Business Development, logistics services, consulting, transportation, technical writing, services, instruction, documentation</v>
      </c>
      <c r="D9230" s="3" t="s">
        <v>9</v>
      </c>
      <c r="E9230" s="3" t="s">
        <v>26809</v>
      </c>
      <c r="F9230" s="3" t="str">
        <f>"260-418-2750"</f>
        <v>260-418-2750</v>
      </c>
      <c r="G9230" s="3">
        <v>541614</v>
      </c>
      <c r="H9230" s="3" t="s">
        <v>107</v>
      </c>
    </row>
    <row r="9231" spans="1:8" ht="51.75" x14ac:dyDescent="0.25">
      <c r="A9231" s="3" t="s">
        <v>26810</v>
      </c>
      <c r="B9231" s="3"/>
      <c r="C9231" s="3" t="str">
        <f>"Cleaning Chemicals, Equipment, Supplies and Rentals. Also we have a serivce repaire department for equipment. We have a warewash and laundry department as well."</f>
        <v>Cleaning Chemicals, Equipment, Supplies and Rentals. Also we have a serivce repaire department for equipment. We have a warewash and laundry department as well.</v>
      </c>
      <c r="D9231" s="3" t="s">
        <v>26811</v>
      </c>
      <c r="E9231" s="3" t="s">
        <v>26812</v>
      </c>
      <c r="F9231" s="3" t="str">
        <f>"800-589-8615"</f>
        <v>800-589-8615</v>
      </c>
      <c r="G9231" s="3">
        <v>423850</v>
      </c>
      <c r="H9231" s="3" t="s">
        <v>419</v>
      </c>
    </row>
    <row r="9232" spans="1:8" ht="128.25" x14ac:dyDescent="0.25">
      <c r="A9232" s="3" t="s">
        <v>26813</v>
      </c>
      <c r="B9232" s="3"/>
      <c r="C9232" s="3" t="s">
        <v>26814</v>
      </c>
      <c r="D9232" s="3" t="s">
        <v>9</v>
      </c>
      <c r="E9232" s="3" t="s">
        <v>26815</v>
      </c>
      <c r="F9232" s="2"/>
      <c r="G9232" s="3">
        <v>5311</v>
      </c>
      <c r="H9232" s="3" t="s">
        <v>23183</v>
      </c>
    </row>
    <row r="9233" spans="1:8" ht="179.25" x14ac:dyDescent="0.25">
      <c r="A9233" s="3" t="s">
        <v>26816</v>
      </c>
      <c r="B9233" s="3"/>
      <c r="C9233" s="3" t="s">
        <v>26817</v>
      </c>
      <c r="D9233" s="3" t="s">
        <v>26818</v>
      </c>
      <c r="E9233" s="3" t="s">
        <v>26819</v>
      </c>
      <c r="F9233" s="3" t="str">
        <f>"317.941.2200"</f>
        <v>317.941.2200</v>
      </c>
      <c r="G9233" s="3">
        <v>621330</v>
      </c>
      <c r="H9233" s="3" t="s">
        <v>2643</v>
      </c>
    </row>
    <row r="9234" spans="1:8" ht="77.25" x14ac:dyDescent="0.25">
      <c r="A9234" s="3" t="s">
        <v>26820</v>
      </c>
      <c r="B9234" s="3"/>
      <c r="C9234" s="3" t="str">
        <f>"Karges makes high end wood casegoods. All items are made to customer's specifications and are made in our Evansville, Indiana factory. Karges has manufactured furniture since 1886 and is still owned and run by the Karges family."</f>
        <v>Karges makes high end wood casegoods. All items are made to customer's specifications and are made in our Evansville, Indiana factory. Karges has manufactured furniture since 1886 and is still owned and run by the Karges family.</v>
      </c>
      <c r="D9234" s="3" t="s">
        <v>26821</v>
      </c>
      <c r="E9234" s="3" t="s">
        <v>26822</v>
      </c>
      <c r="F9234" s="3" t="str">
        <f>"812-425-2291"</f>
        <v>812-425-2291</v>
      </c>
      <c r="G9234" s="3">
        <v>337</v>
      </c>
      <c r="H9234" s="3" t="s">
        <v>6695</v>
      </c>
    </row>
    <row r="9235" spans="1:8" ht="51.75" x14ac:dyDescent="0.25">
      <c r="A9235" s="3" t="s">
        <v>26823</v>
      </c>
      <c r="B9235" s="3"/>
      <c r="C9235" s="3" t="str">
        <f>"Structural Engineering, Program and Facilities Management, Construction Management and Support Services, Property Management"</f>
        <v>Structural Engineering, Program and Facilities Management, Construction Management and Support Services, Property Management</v>
      </c>
      <c r="D9235" s="3" t="s">
        <v>26824</v>
      </c>
      <c r="E9235" s="3" t="s">
        <v>26825</v>
      </c>
      <c r="F9235" s="3" t="str">
        <f>"317-297-5601"</f>
        <v>317-297-5601</v>
      </c>
      <c r="G9235" s="3">
        <v>541330</v>
      </c>
      <c r="H9235" s="3" t="s">
        <v>82</v>
      </c>
    </row>
    <row r="9236" spans="1:8" ht="26.25" x14ac:dyDescent="0.25">
      <c r="A9236" s="3" t="s">
        <v>26826</v>
      </c>
      <c r="B9236" s="3"/>
      <c r="C9236" s="3" t="str">
        <f>" "</f>
        <v xml:space="preserve"> </v>
      </c>
      <c r="D9236" s="3" t="s">
        <v>26827</v>
      </c>
      <c r="E9236" s="3" t="s">
        <v>46</v>
      </c>
      <c r="F9236" s="2"/>
      <c r="G9236" s="3">
        <v>541611</v>
      </c>
      <c r="H9236" s="3" t="s">
        <v>278</v>
      </c>
    </row>
    <row r="9237" spans="1:8" ht="115.5" x14ac:dyDescent="0.25">
      <c r="A9237" s="3" t="s">
        <v>26828</v>
      </c>
      <c r="B9237" s="3"/>
      <c r="C9237" s="3" t="s">
        <v>26829</v>
      </c>
      <c r="D9237" s="3" t="s">
        <v>26830</v>
      </c>
      <c r="E9237" s="3" t="s">
        <v>9493</v>
      </c>
      <c r="F9237" s="3" t="str">
        <f>"317-339-3600"</f>
        <v>317-339-3600</v>
      </c>
      <c r="G9237" s="3">
        <v>624310</v>
      </c>
      <c r="H9237" s="3" t="s">
        <v>488</v>
      </c>
    </row>
    <row r="9238" spans="1:8" ht="26.25" x14ac:dyDescent="0.25">
      <c r="A9238" s="3" t="s">
        <v>26831</v>
      </c>
      <c r="B9238" s="3"/>
      <c r="C9238" s="3" t="str">
        <f>"Provide consulting and procurement services."</f>
        <v>Provide consulting and procurement services.</v>
      </c>
      <c r="D9238" s="3" t="s">
        <v>9</v>
      </c>
      <c r="E9238" s="3" t="s">
        <v>26832</v>
      </c>
      <c r="F9238" s="3" t="str">
        <f>"317-345-6515"</f>
        <v>317-345-6515</v>
      </c>
      <c r="G9238" s="3">
        <v>23</v>
      </c>
      <c r="H9238" s="3" t="s">
        <v>133</v>
      </c>
    </row>
    <row r="9239" spans="1:8" ht="64.5" x14ac:dyDescent="0.25">
      <c r="A9239" s="3" t="s">
        <v>26833</v>
      </c>
      <c r="B9239" s="3"/>
      <c r="C9239" s="3" t="str">
        <f>"University Sleep Products has been the pioneer in residence hall mattress technology, durability, and safety since 1905. Our products set the standard for quality."</f>
        <v>University Sleep Products has been the pioneer in residence hall mattress technology, durability, and safety since 1905. Our products set the standard for quality.</v>
      </c>
      <c r="D9239" s="3" t="s">
        <v>26834</v>
      </c>
      <c r="E9239" s="3" t="s">
        <v>26835</v>
      </c>
      <c r="F9239" s="3" t="str">
        <f>"765-373-8355"</f>
        <v>765-373-8355</v>
      </c>
      <c r="G9239" s="3">
        <v>33791</v>
      </c>
      <c r="H9239" s="3" t="s">
        <v>12853</v>
      </c>
    </row>
    <row r="9240" spans="1:8" ht="128.25" x14ac:dyDescent="0.25">
      <c r="A9240" s="3" t="s">
        <v>26836</v>
      </c>
      <c r="B9240" s="3"/>
      <c r="C9240" s="3" t="s">
        <v>26837</v>
      </c>
      <c r="D9240" s="3" t="s">
        <v>26838</v>
      </c>
      <c r="E9240" s="3" t="s">
        <v>26839</v>
      </c>
      <c r="F9240" s="3" t="str">
        <f>"574-291-5510"</f>
        <v>574-291-5510</v>
      </c>
      <c r="G9240" s="3">
        <v>524210</v>
      </c>
      <c r="H9240" s="3" t="s">
        <v>1183</v>
      </c>
    </row>
    <row r="9241" spans="1:8" ht="39" x14ac:dyDescent="0.25">
      <c r="A9241" s="3" t="s">
        <v>26840</v>
      </c>
      <c r="B9241" s="3"/>
      <c r="C9241" s="3" t="str">
        <f>"Employment litigation firm assisting clients with a wide variety of employment related issues."</f>
        <v>Employment litigation firm assisting clients with a wide variety of employment related issues.</v>
      </c>
      <c r="D9241" s="3" t="s">
        <v>26841</v>
      </c>
      <c r="E9241" s="3" t="s">
        <v>26842</v>
      </c>
      <c r="F9241" s="3" t="str">
        <f>"317-491-1050"</f>
        <v>317-491-1050</v>
      </c>
      <c r="G9241" s="3">
        <v>5411</v>
      </c>
      <c r="H9241" s="3" t="s">
        <v>87</v>
      </c>
    </row>
    <row r="9242" spans="1:8" ht="26.25" x14ac:dyDescent="0.25">
      <c r="A9242" s="3" t="s">
        <v>26843</v>
      </c>
      <c r="B9242" s="3"/>
      <c r="C9242" s="2"/>
      <c r="D9242" s="3" t="s">
        <v>9</v>
      </c>
      <c r="E9242" s="3" t="s">
        <v>26844</v>
      </c>
      <c r="F9242" s="3" t="str">
        <f>"2199447084"</f>
        <v>2199447084</v>
      </c>
      <c r="G9242" s="3">
        <v>561730</v>
      </c>
      <c r="H9242" s="3" t="s">
        <v>65</v>
      </c>
    </row>
    <row r="9243" spans="1:8" ht="306.75" x14ac:dyDescent="0.25">
      <c r="A9243" s="3" t="s">
        <v>26845</v>
      </c>
      <c r="B9243" s="3"/>
      <c r="C9243" s="3" t="s">
        <v>26846</v>
      </c>
      <c r="D9243" s="3" t="s">
        <v>26847</v>
      </c>
      <c r="E9243" s="3" t="s">
        <v>26848</v>
      </c>
      <c r="F9243" s="3" t="str">
        <f>"502-966-5421"</f>
        <v>502-966-5421</v>
      </c>
      <c r="G9243" s="3">
        <v>32311</v>
      </c>
      <c r="H9243" s="3" t="s">
        <v>531</v>
      </c>
    </row>
    <row r="9244" spans="1:8" ht="128.25" x14ac:dyDescent="0.25">
      <c r="A9244" s="3" t="s">
        <v>26849</v>
      </c>
      <c r="B9244" s="3"/>
      <c r="C9244" s="3" t="s">
        <v>26850</v>
      </c>
      <c r="D9244" s="3" t="s">
        <v>26851</v>
      </c>
      <c r="E9244" s="3" t="s">
        <v>26852</v>
      </c>
      <c r="F9244" s="3" t="str">
        <f>"765 935-4234"</f>
        <v>765 935-4234</v>
      </c>
      <c r="G9244" s="3">
        <v>811490</v>
      </c>
      <c r="H9244" s="3" t="s">
        <v>1539</v>
      </c>
    </row>
    <row r="9245" spans="1:8" ht="166.5" x14ac:dyDescent="0.25">
      <c r="A9245" s="3" t="s">
        <v>26853</v>
      </c>
      <c r="B9245" s="3"/>
      <c r="C9245" s="3" t="s">
        <v>26854</v>
      </c>
      <c r="D9245" s="3" t="s">
        <v>26855</v>
      </c>
      <c r="E9245" s="3" t="s">
        <v>26856</v>
      </c>
      <c r="F9245" s="3" t="str">
        <f>"317-805-4870"</f>
        <v>317-805-4870</v>
      </c>
      <c r="G9245" s="3">
        <v>541613</v>
      </c>
      <c r="H9245" s="3" t="s">
        <v>558</v>
      </c>
    </row>
    <row r="9246" spans="1:8" ht="26.25" x14ac:dyDescent="0.25">
      <c r="A9246" s="3" t="s">
        <v>26857</v>
      </c>
      <c r="B9246" s="3"/>
      <c r="C9246" s="3" t="str">
        <f>"Training, Consulting and Data Analysis"</f>
        <v>Training, Consulting and Data Analysis</v>
      </c>
      <c r="D9246" s="3" t="s">
        <v>9</v>
      </c>
      <c r="E9246" s="3" t="s">
        <v>26858</v>
      </c>
      <c r="F9246" s="3" t="str">
        <f>"765-287-1120"</f>
        <v>765-287-1120</v>
      </c>
      <c r="G9246" s="3">
        <v>561499</v>
      </c>
      <c r="H9246" s="3" t="s">
        <v>3092</v>
      </c>
    </row>
    <row r="9247" spans="1:8" ht="230.25" x14ac:dyDescent="0.25">
      <c r="A9247" s="3" t="s">
        <v>26859</v>
      </c>
      <c r="B9247" s="3"/>
      <c r="C9247" s="3" t="s">
        <v>26860</v>
      </c>
      <c r="D9247" s="3" t="s">
        <v>26861</v>
      </c>
      <c r="E9247" s="3" t="s">
        <v>26862</v>
      </c>
      <c r="F9247" s="3" t="str">
        <f>"260-407-1776"</f>
        <v>260-407-1776</v>
      </c>
      <c r="G9247" s="3">
        <v>5415</v>
      </c>
      <c r="H9247" s="3" t="s">
        <v>188</v>
      </c>
    </row>
    <row r="9248" spans="1:8" ht="192" x14ac:dyDescent="0.25">
      <c r="A9248" s="3" t="s">
        <v>26863</v>
      </c>
      <c r="B9248" s="3"/>
      <c r="C9248" s="3" t="s">
        <v>26864</v>
      </c>
      <c r="D9248" s="3" t="s">
        <v>9</v>
      </c>
      <c r="E9248" s="3" t="s">
        <v>26865</v>
      </c>
      <c r="F9248" s="3" t="str">
        <f>"888789WASH"</f>
        <v>888789WASH</v>
      </c>
      <c r="G9248" s="3">
        <v>561720</v>
      </c>
      <c r="H9248" s="3" t="s">
        <v>222</v>
      </c>
    </row>
    <row r="9249" spans="1:8" ht="204.75" x14ac:dyDescent="0.25">
      <c r="A9249" s="3" t="s">
        <v>26866</v>
      </c>
      <c r="B9249" s="3"/>
      <c r="C9249" s="3" t="s">
        <v>26867</v>
      </c>
      <c r="D9249" s="3" t="s">
        <v>26868</v>
      </c>
      <c r="E9249" s="3" t="s">
        <v>26869</v>
      </c>
      <c r="F9249" s="3" t="str">
        <f>"260-499-4479"</f>
        <v>260-499-4479</v>
      </c>
      <c r="G9249" s="3">
        <v>621330</v>
      </c>
      <c r="H9249" s="3" t="s">
        <v>2643</v>
      </c>
    </row>
    <row r="9250" spans="1:8" ht="204.75" x14ac:dyDescent="0.25">
      <c r="A9250" s="3" t="s">
        <v>26870</v>
      </c>
      <c r="B9250" s="3"/>
      <c r="C9250" s="3" t="s">
        <v>26871</v>
      </c>
      <c r="D9250" s="3" t="s">
        <v>26872</v>
      </c>
      <c r="E9250" s="3" t="s">
        <v>26873</v>
      </c>
      <c r="F9250" s="3" t="str">
        <f>"317-752-7686"</f>
        <v>317-752-7686</v>
      </c>
      <c r="G9250" s="3">
        <v>541211</v>
      </c>
      <c r="H9250" s="3" t="s">
        <v>337</v>
      </c>
    </row>
    <row r="9251" spans="1:8" ht="39" x14ac:dyDescent="0.25">
      <c r="A9251" s="3" t="s">
        <v>26874</v>
      </c>
      <c r="B9251" s="3"/>
      <c r="C9251" s="3" t="str">
        <f>"A media planning and buying agency specializing in business-to-consumer and business-to-business advertising."</f>
        <v>A media planning and buying agency specializing in business-to-consumer and business-to-business advertising.</v>
      </c>
      <c r="D9251" s="3" t="s">
        <v>26875</v>
      </c>
      <c r="E9251" s="3" t="s">
        <v>26876</v>
      </c>
      <c r="F9251" s="3" t="str">
        <f>"317-345-1475"</f>
        <v>317-345-1475</v>
      </c>
      <c r="G9251" s="3">
        <v>541830</v>
      </c>
      <c r="H9251" s="3" t="s">
        <v>20412</v>
      </c>
    </row>
    <row r="9252" spans="1:8" ht="115.5" x14ac:dyDescent="0.25">
      <c r="A9252" s="3" t="s">
        <v>26877</v>
      </c>
      <c r="B9252" s="3"/>
      <c r="C9252" s="3" t="s">
        <v>26878</v>
      </c>
      <c r="D9252" s="3" t="s">
        <v>9</v>
      </c>
      <c r="E9252" s="3" t="s">
        <v>46</v>
      </c>
      <c r="F9252" s="3" t="str">
        <f>"317-359-1539"</f>
        <v>317-359-1539</v>
      </c>
      <c r="G9252" s="3">
        <v>722410</v>
      </c>
      <c r="H9252" s="3" t="s">
        <v>25951</v>
      </c>
    </row>
    <row r="9253" spans="1:8" ht="115.5" x14ac:dyDescent="0.25">
      <c r="A9253" s="3" t="s">
        <v>26879</v>
      </c>
      <c r="B9253" s="3"/>
      <c r="C9253" s="3" t="s">
        <v>26880</v>
      </c>
      <c r="D9253" s="3" t="s">
        <v>9</v>
      </c>
      <c r="E9253" s="3" t="s">
        <v>26881</v>
      </c>
      <c r="F9253" s="3" t="str">
        <f>"219-617-8939"</f>
        <v>219-617-8939</v>
      </c>
      <c r="G9253" s="3">
        <v>5614</v>
      </c>
      <c r="H9253" s="3" t="s">
        <v>847</v>
      </c>
    </row>
    <row r="9254" spans="1:8" ht="115.5" x14ac:dyDescent="0.25">
      <c r="A9254" s="3" t="s">
        <v>26882</v>
      </c>
      <c r="B9254" s="3"/>
      <c r="C9254" s="3" t="s">
        <v>26883</v>
      </c>
      <c r="D9254" s="3" t="s">
        <v>26884</v>
      </c>
      <c r="E9254" s="3" t="s">
        <v>26885</v>
      </c>
      <c r="F9254" s="3" t="str">
        <f>"317.297.2888"</f>
        <v>317.297.2888</v>
      </c>
      <c r="G9254" s="3">
        <v>56192</v>
      </c>
      <c r="H9254" s="3" t="s">
        <v>7034</v>
      </c>
    </row>
    <row r="9255" spans="1:8" ht="217.5" x14ac:dyDescent="0.25">
      <c r="A9255" s="3" t="s">
        <v>26886</v>
      </c>
      <c r="B9255" s="3"/>
      <c r="C9255" s="3" t="s">
        <v>26887</v>
      </c>
      <c r="D9255" s="3" t="s">
        <v>26888</v>
      </c>
      <c r="E9255" s="3" t="s">
        <v>26889</v>
      </c>
      <c r="F9255" s="3" t="str">
        <f>"317.570.9355"</f>
        <v>317.570.9355</v>
      </c>
      <c r="G9255" s="3">
        <v>541890</v>
      </c>
      <c r="H9255" s="3" t="s">
        <v>401</v>
      </c>
    </row>
    <row r="9256" spans="1:8" ht="26.25" x14ac:dyDescent="0.25">
      <c r="A9256" s="3" t="s">
        <v>26890</v>
      </c>
      <c r="B9256" s="3"/>
      <c r="C9256" s="2"/>
      <c r="D9256" s="3" t="s">
        <v>26891</v>
      </c>
      <c r="E9256" s="3" t="s">
        <v>26892</v>
      </c>
      <c r="F9256" s="3" t="str">
        <f>"317-706-1114"</f>
        <v>317-706-1114</v>
      </c>
      <c r="G9256" s="3">
        <v>52231</v>
      </c>
      <c r="H9256" s="3" t="s">
        <v>12771</v>
      </c>
    </row>
    <row r="9257" spans="1:8" ht="141" x14ac:dyDescent="0.25">
      <c r="A9257" s="3" t="s">
        <v>26893</v>
      </c>
      <c r="B9257" s="3"/>
      <c r="C9257" s="3" t="s">
        <v>26894</v>
      </c>
      <c r="D9257" s="3" t="s">
        <v>26895</v>
      </c>
      <c r="E9257" s="3" t="s">
        <v>26896</v>
      </c>
      <c r="F9257" s="3" t="str">
        <f>"317-577-7600"</f>
        <v>317-577-7600</v>
      </c>
      <c r="G9257" s="3">
        <v>314999</v>
      </c>
      <c r="H9257" s="3" t="s">
        <v>6142</v>
      </c>
    </row>
    <row r="9258" spans="1:8" ht="26.25" x14ac:dyDescent="0.25">
      <c r="A9258" s="3" t="s">
        <v>26897</v>
      </c>
      <c r="B9258" s="3"/>
      <c r="C9258" s="3" t="str">
        <f>"retail lawn and garden equipment"</f>
        <v>retail lawn and garden equipment</v>
      </c>
      <c r="D9258" s="3" t="s">
        <v>9</v>
      </c>
      <c r="E9258" s="3" t="s">
        <v>26898</v>
      </c>
      <c r="F9258" s="3" t="str">
        <f>"317-831-8601"</f>
        <v>317-831-8601</v>
      </c>
      <c r="G9258" s="3">
        <v>444210</v>
      </c>
      <c r="H9258" s="3" t="s">
        <v>392</v>
      </c>
    </row>
    <row r="9259" spans="1:8" ht="77.25" x14ac:dyDescent="0.25">
      <c r="A9259" s="3" t="s">
        <v>26899</v>
      </c>
      <c r="B9259" s="3"/>
      <c r="C9259" s="3" t="str">
        <f>"The Myka Lynn Corporation was created to serve Indiana Early Intervention providers. Currently we offer a web based electronic billing system for First Steps providers. We are expanding our operations to include complete central finance office operations."</f>
        <v>The Myka Lynn Corporation was created to serve Indiana Early Intervention providers. Currently we offer a web based electronic billing system for First Steps providers. We are expanding our operations to include complete central finance office operations.</v>
      </c>
      <c r="D9259" s="3" t="s">
        <v>26900</v>
      </c>
      <c r="E9259" s="3" t="s">
        <v>26901</v>
      </c>
      <c r="F9259" s="3" t="str">
        <f>"260-637-1177"</f>
        <v>260-637-1177</v>
      </c>
      <c r="G9259" s="3">
        <v>5182</v>
      </c>
      <c r="H9259" s="3" t="s">
        <v>3133</v>
      </c>
    </row>
    <row r="9260" spans="1:8" ht="64.5" x14ac:dyDescent="0.25">
      <c r="A9260" s="3" t="s">
        <v>26902</v>
      </c>
      <c r="B9260" s="3"/>
      <c r="C9260" s="3" t="str">
        <f>"The Naked Solution provides a variety of solutions to government entities as well as the public including but not limited to moving services, security, landscaping and janitorial."</f>
        <v>The Naked Solution provides a variety of solutions to government entities as well as the public including but not limited to moving services, security, landscaping and janitorial.</v>
      </c>
      <c r="D9260" s="3" t="s">
        <v>9</v>
      </c>
      <c r="E9260" s="3" t="s">
        <v>26903</v>
      </c>
      <c r="F9260" s="3" t="str">
        <f>"985.221.7225"</f>
        <v>985.221.7225</v>
      </c>
      <c r="G9260" s="3">
        <v>484210</v>
      </c>
      <c r="H9260" s="3" t="s">
        <v>8993</v>
      </c>
    </row>
    <row r="9261" spans="1:8" ht="115.5" x14ac:dyDescent="0.25">
      <c r="A9261" s="3" t="s">
        <v>26904</v>
      </c>
      <c r="B9261" s="3"/>
      <c r="C9261" s="3" t="s">
        <v>26905</v>
      </c>
      <c r="D9261" s="3" t="s">
        <v>26906</v>
      </c>
      <c r="E9261" s="3" t="s">
        <v>26907</v>
      </c>
      <c r="F9261" s="3" t="str">
        <f>"317-721-1747"</f>
        <v>317-721-1747</v>
      </c>
      <c r="G9261" s="3">
        <v>541613</v>
      </c>
      <c r="H9261" s="3" t="s">
        <v>558</v>
      </c>
    </row>
    <row r="9262" spans="1:8" ht="64.5" x14ac:dyDescent="0.25">
      <c r="A9262" s="3" t="s">
        <v>26908</v>
      </c>
      <c r="B9262" s="3"/>
      <c r="C9262" s="3" t="str">
        <f>"New York Blower is one of the leading manufacturers of fans and fan accessories used primarily in the industrial sector. We also provide fans to the commercial market as well."</f>
        <v>New York Blower is one of the leading manufacturers of fans and fan accessories used primarily in the industrial sector. We also provide fans to the commercial market as well.</v>
      </c>
      <c r="D9262" s="3" t="s">
        <v>26909</v>
      </c>
      <c r="E9262" s="3" t="s">
        <v>26910</v>
      </c>
      <c r="F9262" s="3" t="str">
        <f>"630-794-5700"</f>
        <v>630-794-5700</v>
      </c>
      <c r="G9262" s="3">
        <v>3312</v>
      </c>
      <c r="H9262" s="3" t="s">
        <v>1251</v>
      </c>
    </row>
    <row r="9263" spans="1:8" ht="64.5" x14ac:dyDescent="0.25">
      <c r="A9263" s="3" t="s">
        <v>26911</v>
      </c>
      <c r="B9263" s="3"/>
      <c r="C9263" s="3" t="str">
        <f>"Providing building materials and concrete accessories for both residential and commercial use. Also providing Interior Decorating services for both residential and commercial spaces."</f>
        <v>Providing building materials and concrete accessories for both residential and commercial use. Also providing Interior Decorating services for both residential and commercial spaces.</v>
      </c>
      <c r="D9263" s="3" t="s">
        <v>9</v>
      </c>
      <c r="E9263" s="3" t="s">
        <v>26912</v>
      </c>
      <c r="F9263" s="3" t="str">
        <f>"513-520-9504"</f>
        <v>513-520-9504</v>
      </c>
      <c r="G9263" s="3">
        <v>423310</v>
      </c>
      <c r="H9263" s="3" t="s">
        <v>19361</v>
      </c>
    </row>
    <row r="9264" spans="1:8" ht="90" x14ac:dyDescent="0.25">
      <c r="A9264" s="3" t="s">
        <v>26913</v>
      </c>
      <c r="B9264" s="3"/>
      <c r="C9264" s="3" t="s">
        <v>26914</v>
      </c>
      <c r="D9264" s="3" t="s">
        <v>26915</v>
      </c>
      <c r="E9264" s="3" t="s">
        <v>26916</v>
      </c>
      <c r="F9264" s="3" t="str">
        <f>"765-676-5100"</f>
        <v>765-676-5100</v>
      </c>
      <c r="G9264" s="3">
        <v>551111</v>
      </c>
      <c r="H9264" s="3" t="s">
        <v>23725</v>
      </c>
    </row>
    <row r="9265" spans="1:8" ht="90" x14ac:dyDescent="0.25">
      <c r="A9265" s="3" t="s">
        <v>26917</v>
      </c>
      <c r="B9265" s="3"/>
      <c r="C9265" s="3" t="s">
        <v>26918</v>
      </c>
      <c r="D9265" s="3" t="s">
        <v>26919</v>
      </c>
      <c r="E9265" s="3" t="s">
        <v>26920</v>
      </c>
      <c r="F9265" s="3" t="str">
        <f>"888-290-1206"</f>
        <v>888-290-1206</v>
      </c>
      <c r="G9265" s="3">
        <v>524292</v>
      </c>
      <c r="H9265" s="3" t="s">
        <v>4892</v>
      </c>
    </row>
    <row r="9266" spans="1:8" ht="166.5" x14ac:dyDescent="0.25">
      <c r="A9266" s="3" t="s">
        <v>26921</v>
      </c>
      <c r="B9266" s="3"/>
      <c r="C9266" s="3" t="s">
        <v>26922</v>
      </c>
      <c r="D9266" s="3" t="s">
        <v>26923</v>
      </c>
      <c r="E9266" s="3" t="s">
        <v>26924</v>
      </c>
      <c r="F9266" s="3" t="str">
        <f>"800-742-9760"</f>
        <v>800-742-9760</v>
      </c>
      <c r="G9266" s="3">
        <v>453210</v>
      </c>
      <c r="H9266" s="3" t="s">
        <v>431</v>
      </c>
    </row>
    <row r="9267" spans="1:8" ht="255.75" x14ac:dyDescent="0.25">
      <c r="A9267" s="3" t="s">
        <v>26925</v>
      </c>
      <c r="B9267" s="3"/>
      <c r="C9267" s="3" t="s">
        <v>26926</v>
      </c>
      <c r="D9267" s="3" t="s">
        <v>26927</v>
      </c>
      <c r="E9267" s="3" t="s">
        <v>26928</v>
      </c>
      <c r="F9267" s="3" t="str">
        <f>"317-402-8827"</f>
        <v>317-402-8827</v>
      </c>
      <c r="G9267" s="3">
        <v>541512</v>
      </c>
      <c r="H9267" s="3" t="s">
        <v>19</v>
      </c>
    </row>
    <row r="9268" spans="1:8" ht="115.5" x14ac:dyDescent="0.25">
      <c r="A9268" s="3" t="s">
        <v>26929</v>
      </c>
      <c r="B9268" s="3"/>
      <c r="C9268" s="3" t="s">
        <v>26930</v>
      </c>
      <c r="D9268" s="3" t="s">
        <v>26931</v>
      </c>
      <c r="E9268" s="3" t="s">
        <v>26932</v>
      </c>
      <c r="F9268" s="3" t="str">
        <f>"317-627-8860"</f>
        <v>317-627-8860</v>
      </c>
      <c r="G9268" s="3">
        <v>541511</v>
      </c>
      <c r="H9268" s="3" t="s">
        <v>122</v>
      </c>
    </row>
    <row r="9269" spans="1:8" ht="51.75" x14ac:dyDescent="0.25">
      <c r="A9269" s="3" t="s">
        <v>26933</v>
      </c>
      <c r="B9269" s="3"/>
      <c r="C9269" s="3" t="str">
        <f>"The Organized Assistant provides freelance administrative and marketing services remotely or in your office for project based or on-going work assignments."</f>
        <v>The Organized Assistant provides freelance administrative and marketing services remotely or in your office for project based or on-going work assignments.</v>
      </c>
      <c r="D9269" s="3" t="s">
        <v>26934</v>
      </c>
      <c r="E9269" s="3" t="s">
        <v>26935</v>
      </c>
      <c r="F9269" s="3" t="str">
        <f>"317-674-8921"</f>
        <v>317-674-8921</v>
      </c>
      <c r="G9269" s="3">
        <v>561110</v>
      </c>
      <c r="H9269" s="3" t="s">
        <v>4383</v>
      </c>
    </row>
    <row r="9270" spans="1:8" ht="128.25" x14ac:dyDescent="0.25">
      <c r="A9270" s="3" t="s">
        <v>26936</v>
      </c>
      <c r="B9270" s="3"/>
      <c r="C9270" s="3" t="s">
        <v>26937</v>
      </c>
      <c r="D9270" s="3" t="s">
        <v>26938</v>
      </c>
      <c r="E9270" s="3" t="s">
        <v>26939</v>
      </c>
      <c r="F9270" s="3" t="str">
        <f>"317-882-7222"</f>
        <v>317-882-7222</v>
      </c>
      <c r="G9270" s="3">
        <v>541430</v>
      </c>
      <c r="H9270" s="3" t="s">
        <v>78</v>
      </c>
    </row>
    <row r="9271" spans="1:8" ht="26.25" x14ac:dyDescent="0.25">
      <c r="A9271" s="3" t="s">
        <v>26940</v>
      </c>
      <c r="B9271" s="3"/>
      <c r="C9271" s="3" t="str">
        <f>"We are PMP certified project managers, &amp; provide all phases of PM expertise."</f>
        <v>We are PMP certified project managers, &amp; provide all phases of PM expertise.</v>
      </c>
      <c r="D9271" s="3" t="s">
        <v>26941</v>
      </c>
      <c r="E9271" s="3" t="s">
        <v>46</v>
      </c>
      <c r="F9271" s="3" t="str">
        <f>"(317) 902-7105"</f>
        <v>(317) 902-7105</v>
      </c>
      <c r="G9271" s="3">
        <v>541519</v>
      </c>
      <c r="H9271" s="3" t="s">
        <v>898</v>
      </c>
    </row>
    <row r="9272" spans="1:8" ht="90" x14ac:dyDescent="0.25">
      <c r="A9272" s="3" t="s">
        <v>26942</v>
      </c>
      <c r="B9272" s="3"/>
      <c r="C9272" s="3" t="str">
        <f>"We have offices in Gary, South Bend and Indianapolis. We are family owned and operated since 1917. We provide commercial contract cleaning, construction clean up, window cleaning, floor maintenance and janitorial supplies and equipment."</f>
        <v>We have offices in Gary, South Bend and Indianapolis. We are family owned and operated since 1917. We provide commercial contract cleaning, construction clean up, window cleaning, floor maintenance and janitorial supplies and equipment.</v>
      </c>
      <c r="D9272" s="3" t="s">
        <v>26943</v>
      </c>
      <c r="E9272" s="3" t="s">
        <v>26944</v>
      </c>
      <c r="F9272" s="3" t="str">
        <f>"219-769-1363"</f>
        <v>219-769-1363</v>
      </c>
      <c r="G9272" s="3">
        <v>561720</v>
      </c>
      <c r="H9272" s="3" t="s">
        <v>222</v>
      </c>
    </row>
    <row r="9273" spans="1:8" ht="26.25" x14ac:dyDescent="0.25">
      <c r="A9273" s="3" t="s">
        <v>26945</v>
      </c>
      <c r="B9273" s="3"/>
      <c r="C9273" s="3" t="str">
        <f>"Retail Insurance Agency"</f>
        <v>Retail Insurance Agency</v>
      </c>
      <c r="D9273" s="3" t="s">
        <v>9</v>
      </c>
      <c r="E9273" s="3" t="s">
        <v>26946</v>
      </c>
      <c r="F9273" s="3" t="str">
        <f>"765-564-2828"</f>
        <v>765-564-2828</v>
      </c>
      <c r="G9273" s="3">
        <v>524210</v>
      </c>
      <c r="H9273" s="3" t="s">
        <v>1183</v>
      </c>
    </row>
    <row r="9274" spans="1:8" ht="51.75" x14ac:dyDescent="0.25">
      <c r="A9274" s="3" t="s">
        <v>26947</v>
      </c>
      <c r="B9274" s="3"/>
      <c r="C9274" s="3" t="str">
        <f>"We provide Mobile Resource Management for fleets of all sizes by combining GPS technology with wireless cellular to provide data to reduce fleet costs."</f>
        <v>We provide Mobile Resource Management for fleets of all sizes by combining GPS technology with wireless cellular to provide data to reduce fleet costs.</v>
      </c>
      <c r="D9274" s="3" t="s">
        <v>26948</v>
      </c>
      <c r="E9274" s="3" t="s">
        <v>26949</v>
      </c>
      <c r="F9274" s="3" t="str">
        <f>"812-327-9562"</f>
        <v>812-327-9562</v>
      </c>
      <c r="G9274" s="3">
        <v>51333</v>
      </c>
      <c r="H9274" s="3" t="s">
        <v>540</v>
      </c>
    </row>
    <row r="9275" spans="1:8" ht="128.25" x14ac:dyDescent="0.25">
      <c r="A9275" s="3" t="s">
        <v>26950</v>
      </c>
      <c r="B9275" s="3"/>
      <c r="C9275" s="3" t="s">
        <v>26951</v>
      </c>
      <c r="D9275" s="3" t="s">
        <v>9</v>
      </c>
      <c r="E9275" s="3" t="s">
        <v>46</v>
      </c>
      <c r="F9275" s="2"/>
      <c r="G9275" s="3">
        <v>423420</v>
      </c>
      <c r="H9275" s="3" t="s">
        <v>521</v>
      </c>
    </row>
    <row r="9276" spans="1:8" ht="39" x14ac:dyDescent="0.25">
      <c r="A9276" s="3" t="s">
        <v>26952</v>
      </c>
      <c r="B9276" s="3"/>
      <c r="C9276" s="3" t="str">
        <f>"Advertising specialty items and services. Anything to promote, reward, advertise, create good will."</f>
        <v>Advertising specialty items and services. Anything to promote, reward, advertise, create good will.</v>
      </c>
      <c r="D9276" s="3" t="s">
        <v>26953</v>
      </c>
      <c r="E9276" s="3" t="s">
        <v>26954</v>
      </c>
      <c r="F9276" s="3" t="str">
        <f>"877-773-6191"</f>
        <v>877-773-6191</v>
      </c>
      <c r="G9276" s="3">
        <v>541890</v>
      </c>
      <c r="H9276" s="3" t="s">
        <v>401</v>
      </c>
    </row>
    <row r="9277" spans="1:8" ht="166.5" x14ac:dyDescent="0.25">
      <c r="A9277" s="3" t="s">
        <v>26955</v>
      </c>
      <c r="B9277" s="3"/>
      <c r="C9277" s="3" t="s">
        <v>26956</v>
      </c>
      <c r="D9277" s="3" t="s">
        <v>26957</v>
      </c>
      <c r="E9277" s="3" t="s">
        <v>26958</v>
      </c>
      <c r="F9277" s="3" t="str">
        <f>"1-888-420-9443"</f>
        <v>1-888-420-9443</v>
      </c>
      <c r="G9277" s="3">
        <v>541612</v>
      </c>
      <c r="H9277" s="3" t="s">
        <v>1923</v>
      </c>
    </row>
    <row r="9278" spans="1:8" ht="26.25" x14ac:dyDescent="0.25">
      <c r="A9278" s="3" t="s">
        <v>26959</v>
      </c>
      <c r="B9278" s="3"/>
      <c r="C9278" s="3" t="str">
        <f>"Graphic Design and Printing, Black &amp; White and Color Copies, up to 12 x 18"</f>
        <v>Graphic Design and Printing, Black &amp; White and Color Copies, up to 12 x 18</v>
      </c>
      <c r="D9278" s="3" t="s">
        <v>9</v>
      </c>
      <c r="E9278" s="3" t="s">
        <v>26960</v>
      </c>
      <c r="F9278" s="3" t="str">
        <f>"260-768-7878"</f>
        <v>260-768-7878</v>
      </c>
      <c r="G9278" s="3">
        <v>32311</v>
      </c>
      <c r="H9278" s="3" t="s">
        <v>531</v>
      </c>
    </row>
    <row r="9279" spans="1:8" ht="102.75" x14ac:dyDescent="0.25">
      <c r="A9279" s="3" t="s">
        <v>26961</v>
      </c>
      <c r="B9279" s="3"/>
      <c r="C9279" s="3" t="s">
        <v>26962</v>
      </c>
      <c r="D9279" s="3" t="s">
        <v>26963</v>
      </c>
      <c r="E9279" s="3" t="s">
        <v>26964</v>
      </c>
      <c r="F9279" s="3" t="str">
        <f>"317.536.1655"</f>
        <v>317.536.1655</v>
      </c>
      <c r="G9279" s="3">
        <v>54161</v>
      </c>
      <c r="H9279" s="3" t="s">
        <v>1221</v>
      </c>
    </row>
    <row r="9280" spans="1:8" ht="64.5" x14ac:dyDescent="0.25">
      <c r="A9280" s="3" t="s">
        <v>26965</v>
      </c>
      <c r="B9280" s="3"/>
      <c r="C9280" s="3" t="str">
        <f>"TRS provides customizable online registration and event management services for conferences, meetings, volunteers, and tours. TRS also provides general admission ticketing."</f>
        <v>TRS provides customizable online registration and event management services for conferences, meetings, volunteers, and tours. TRS also provides general admission ticketing.</v>
      </c>
      <c r="D9280" s="3" t="s">
        <v>12721</v>
      </c>
      <c r="E9280" s="3" t="s">
        <v>22744</v>
      </c>
      <c r="F9280" s="3" t="str">
        <f>"(317) 548-4090"</f>
        <v>(317) 548-4090</v>
      </c>
      <c r="G9280" s="3">
        <v>511210</v>
      </c>
      <c r="H9280" s="3" t="s">
        <v>315</v>
      </c>
    </row>
    <row r="9281" spans="1:8" ht="26.25" x14ac:dyDescent="0.25">
      <c r="A9281" s="3" t="s">
        <v>26966</v>
      </c>
      <c r="B9281" s="3"/>
      <c r="C9281" s="3" t="str">
        <f>"TEMP STAFFING"</f>
        <v>TEMP STAFFING</v>
      </c>
      <c r="D9281" s="3" t="s">
        <v>26967</v>
      </c>
      <c r="E9281" s="3" t="s">
        <v>26968</v>
      </c>
      <c r="F9281" s="3" t="str">
        <f>"317-2633840"</f>
        <v>317-2633840</v>
      </c>
      <c r="G9281" s="3">
        <v>561320</v>
      </c>
      <c r="H9281" s="3" t="s">
        <v>15</v>
      </c>
    </row>
    <row r="9282" spans="1:8" ht="102.75" x14ac:dyDescent="0.25">
      <c r="A9282" s="3" t="s">
        <v>26969</v>
      </c>
      <c r="B9282" s="3"/>
      <c r="C9282" s="3" t="s">
        <v>26970</v>
      </c>
      <c r="D9282" s="3" t="s">
        <v>26971</v>
      </c>
      <c r="E9282" s="3" t="s">
        <v>26972</v>
      </c>
      <c r="F9282" s="3" t="str">
        <f>"5742694207"</f>
        <v>5742694207</v>
      </c>
      <c r="G9282" s="3">
        <v>541611</v>
      </c>
      <c r="H9282" s="3" t="s">
        <v>278</v>
      </c>
    </row>
    <row r="9283" spans="1:8" ht="51.75" x14ac:dyDescent="0.25">
      <c r="A9283" s="3" t="s">
        <v>26973</v>
      </c>
      <c r="B9283" s="3"/>
      <c r="C9283" s="3" t="str">
        <f>"Wholesale/retail supplier of auto parts, automotive paint and industrial supplies. Privately owned and in business in Indiana for 77 years."</f>
        <v>Wholesale/retail supplier of auto parts, automotive paint and industrial supplies. Privately owned and in business in Indiana for 77 years.</v>
      </c>
      <c r="D9283" s="3" t="s">
        <v>26974</v>
      </c>
      <c r="E9283" s="3" t="s">
        <v>26975</v>
      </c>
      <c r="F9283" s="3" t="str">
        <f>"574-234-3143"</f>
        <v>574-234-3143</v>
      </c>
      <c r="G9283" s="3">
        <v>441310</v>
      </c>
      <c r="H9283" s="3" t="s">
        <v>1699</v>
      </c>
    </row>
    <row r="9284" spans="1:8" ht="90" x14ac:dyDescent="0.25">
      <c r="A9284" s="3" t="s">
        <v>26976</v>
      </c>
      <c r="B9284" s="3"/>
      <c r="C9284" s="3" t="s">
        <v>26977</v>
      </c>
      <c r="D9284" s="3" t="s">
        <v>26978</v>
      </c>
      <c r="E9284" s="3" t="s">
        <v>26979</v>
      </c>
      <c r="F9284" s="3" t="str">
        <f>"8129343485"</f>
        <v>8129343485</v>
      </c>
      <c r="G9284" s="3">
        <v>337</v>
      </c>
      <c r="H9284" s="3" t="s">
        <v>6695</v>
      </c>
    </row>
    <row r="9285" spans="1:8" ht="51.75" x14ac:dyDescent="0.25">
      <c r="A9285" s="3" t="s">
        <v>26980</v>
      </c>
      <c r="B9285" s="3"/>
      <c r="C9285" s="3" t="str">
        <f>"Printing of insurance related materials. Publishing of books, magazines &amp; news letters. Coverage of insurance policies and products."</f>
        <v>Printing of insurance related materials. Publishing of books, magazines &amp; news letters. Coverage of insurance policies and products.</v>
      </c>
      <c r="D9285" s="3" t="s">
        <v>26981</v>
      </c>
      <c r="E9285" s="3" t="s">
        <v>26982</v>
      </c>
      <c r="F9285" s="3" t="str">
        <f>"317-582-1600"</f>
        <v>317-582-1600</v>
      </c>
      <c r="G9285" s="3">
        <v>511120</v>
      </c>
      <c r="H9285" s="3" t="s">
        <v>149</v>
      </c>
    </row>
    <row r="9286" spans="1:8" ht="102.75" x14ac:dyDescent="0.25">
      <c r="A9286" s="3" t="s">
        <v>26983</v>
      </c>
      <c r="B9286" s="3"/>
      <c r="C9286" s="3" t="s">
        <v>26984</v>
      </c>
      <c r="D9286" s="3" t="s">
        <v>9</v>
      </c>
      <c r="E9286" s="3" t="s">
        <v>46</v>
      </c>
      <c r="F9286" s="3" t="str">
        <f>"219-864-8402"</f>
        <v>219-864-8402</v>
      </c>
      <c r="G9286" s="3">
        <v>45</v>
      </c>
      <c r="H9286" s="3" t="s">
        <v>574</v>
      </c>
    </row>
    <row r="9287" spans="1:8" ht="26.25" x14ac:dyDescent="0.25">
      <c r="A9287" s="3" t="s">
        <v>26985</v>
      </c>
      <c r="B9287" s="3"/>
      <c r="C9287" s="3" t="str">
        <f>"Video Conferencing and webcasting and Corporate communications and training."</f>
        <v>Video Conferencing and webcasting and Corporate communications and training.</v>
      </c>
      <c r="D9287" s="3" t="s">
        <v>26986</v>
      </c>
      <c r="E9287" s="3" t="s">
        <v>26987</v>
      </c>
      <c r="F9287" s="3" t="str">
        <f>"317-926-2841"</f>
        <v>317-926-2841</v>
      </c>
      <c r="G9287" s="3">
        <v>561499</v>
      </c>
      <c r="H9287" s="3" t="s">
        <v>3092</v>
      </c>
    </row>
    <row r="9288" spans="1:8" ht="102.75" x14ac:dyDescent="0.25">
      <c r="A9288" s="3" t="s">
        <v>26988</v>
      </c>
      <c r="B9288" s="3"/>
      <c r="C9288" s="3" t="s">
        <v>26989</v>
      </c>
      <c r="D9288" s="3" t="s">
        <v>9</v>
      </c>
      <c r="E9288" s="3" t="s">
        <v>46</v>
      </c>
      <c r="F9288" s="2"/>
      <c r="G9288" s="3">
        <v>5412</v>
      </c>
      <c r="H9288" s="3" t="s">
        <v>311</v>
      </c>
    </row>
    <row r="9289" spans="1:8" ht="26.25" x14ac:dyDescent="0.25">
      <c r="A9289" s="3" t="s">
        <v>26990</v>
      </c>
      <c r="B9289" s="3"/>
      <c r="C9289" s="3" t="str">
        <f>"Project Administration Construction Management Owner's Representation"</f>
        <v>Project Administration Construction Management Owner's Representation</v>
      </c>
      <c r="D9289" s="3" t="s">
        <v>26991</v>
      </c>
      <c r="E9289" s="3" t="s">
        <v>26992</v>
      </c>
      <c r="F9289" s="3" t="str">
        <f>"317-783-6151"</f>
        <v>317-783-6151</v>
      </c>
      <c r="G9289" s="3">
        <v>541990</v>
      </c>
      <c r="H9289" s="3" t="s">
        <v>378</v>
      </c>
    </row>
    <row r="9290" spans="1:8" ht="39" x14ac:dyDescent="0.25">
      <c r="A9290" s="3" t="s">
        <v>26993</v>
      </c>
      <c r="B9290" s="3"/>
      <c r="C9290" s="3" t="str">
        <f>"Provide staffing for speech therapy, occupational therapy, and physical therapy primarily in the public school setting."</f>
        <v>Provide staffing for speech therapy, occupational therapy, and physical therapy primarily in the public school setting.</v>
      </c>
      <c r="D9290" s="3" t="s">
        <v>26994</v>
      </c>
      <c r="E9290" s="3" t="s">
        <v>26995</v>
      </c>
      <c r="F9290" s="3" t="str">
        <f>"317-331-2824"</f>
        <v>317-331-2824</v>
      </c>
      <c r="G9290" s="3">
        <v>621340</v>
      </c>
      <c r="H9290" s="3" t="s">
        <v>987</v>
      </c>
    </row>
    <row r="9291" spans="1:8" ht="77.25" x14ac:dyDescent="0.25">
      <c r="A9291" s="3" t="s">
        <v>26996</v>
      </c>
      <c r="B9291" s="3"/>
      <c r="C9291" s="3" t="str">
        <f>"State of the Art Surveillance and Security Dealer. Providing DVRs, High Definition Cameras and GPS/Tracking Units. Specializing in Covert Surveillance from Nanny Cameras to Commercial Covert Cameras."</f>
        <v>State of the Art Surveillance and Security Dealer. Providing DVRs, High Definition Cameras and GPS/Tracking Units. Specializing in Covert Surveillance from Nanny Cameras to Commercial Covert Cameras.</v>
      </c>
      <c r="D9291" s="3" t="s">
        <v>26997</v>
      </c>
      <c r="E9291" s="3" t="s">
        <v>26998</v>
      </c>
      <c r="F9291" s="3" t="str">
        <f>"260-484-0404"</f>
        <v>260-484-0404</v>
      </c>
      <c r="G9291" s="3">
        <v>56162</v>
      </c>
      <c r="H9291" s="3" t="s">
        <v>1276</v>
      </c>
    </row>
    <row r="9292" spans="1:8" ht="115.5" x14ac:dyDescent="0.25">
      <c r="A9292" s="3" t="s">
        <v>26999</v>
      </c>
      <c r="B9292" s="3"/>
      <c r="C9292" s="3" t="s">
        <v>27000</v>
      </c>
      <c r="D9292" s="3" t="s">
        <v>27001</v>
      </c>
      <c r="E9292" s="3" t="s">
        <v>27002</v>
      </c>
      <c r="F9292" s="3" t="str">
        <f>"317-591-1935"</f>
        <v>317-591-1935</v>
      </c>
      <c r="G9292" s="3">
        <v>541613</v>
      </c>
      <c r="H9292" s="3" t="s">
        <v>558</v>
      </c>
    </row>
    <row r="9293" spans="1:8" ht="51.75" x14ac:dyDescent="0.25">
      <c r="A9293" s="3" t="s">
        <v>27003</v>
      </c>
      <c r="B9293" s="3"/>
      <c r="C9293" s="3" t="str">
        <f>"plumbing and heating distributor located in Peru,IN and Warsaw,IN covering most of North central Indiana. 85% resdential and 15% commercial."</f>
        <v>plumbing and heating distributor located in Peru,IN and Warsaw,IN covering most of North central Indiana. 85% resdential and 15% commercial.</v>
      </c>
      <c r="D9293" s="3" t="s">
        <v>27004</v>
      </c>
      <c r="E9293" s="3" t="s">
        <v>27005</v>
      </c>
      <c r="F9293" s="3" t="str">
        <f>"765-473-6671"</f>
        <v>765-473-6671</v>
      </c>
      <c r="G9293" s="3">
        <v>423720</v>
      </c>
      <c r="H9293" s="3" t="s">
        <v>2695</v>
      </c>
    </row>
    <row r="9294" spans="1:8" ht="26.25" x14ac:dyDescent="0.25">
      <c r="A9294" s="3" t="s">
        <v>27006</v>
      </c>
      <c r="B9294" s="3"/>
      <c r="C9294" s="3" t="str">
        <f>"No-contract linen service, sales and rentals."</f>
        <v>No-contract linen service, sales and rentals.</v>
      </c>
      <c r="D9294" s="3" t="s">
        <v>27007</v>
      </c>
      <c r="E9294" s="3" t="s">
        <v>46</v>
      </c>
      <c r="F9294" s="3" t="str">
        <f>"3176838810"</f>
        <v>3176838810</v>
      </c>
      <c r="G9294" s="3">
        <v>81233</v>
      </c>
      <c r="H9294" s="3" t="s">
        <v>27008</v>
      </c>
    </row>
    <row r="9295" spans="1:8" x14ac:dyDescent="0.25">
      <c r="A9295" s="3" t="s">
        <v>27009</v>
      </c>
      <c r="B9295" s="3"/>
      <c r="C9295" s="2"/>
      <c r="D9295" s="3" t="s">
        <v>9</v>
      </c>
      <c r="E9295" s="3" t="s">
        <v>46</v>
      </c>
      <c r="F9295" s="2"/>
      <c r="G9295" s="3">
        <v>561730</v>
      </c>
      <c r="H9295" s="3" t="s">
        <v>65</v>
      </c>
    </row>
    <row r="9296" spans="1:8" ht="255.75" x14ac:dyDescent="0.25">
      <c r="A9296" s="3" t="s">
        <v>27010</v>
      </c>
      <c r="B9296" s="3"/>
      <c r="C9296" s="3" t="s">
        <v>27011</v>
      </c>
      <c r="D9296" s="3" t="s">
        <v>27012</v>
      </c>
      <c r="E9296" s="3" t="s">
        <v>27013</v>
      </c>
      <c r="F9296" s="3" t="str">
        <f>"317-846-9619"</f>
        <v>317-846-9619</v>
      </c>
      <c r="G9296" s="3">
        <v>721199</v>
      </c>
      <c r="H9296" s="3" t="s">
        <v>27014</v>
      </c>
    </row>
    <row r="9297" spans="1:8" ht="90" x14ac:dyDescent="0.25">
      <c r="A9297" s="3" t="s">
        <v>27015</v>
      </c>
      <c r="B9297" s="3"/>
      <c r="C9297" s="3" t="str">
        <f>"We are a locally owned and operated, The UPS Store,We have the knowledge and expertise to handle all of your mailbox, packing, shipping, and professional printing needs and we are passionate about what we do! We're confident you'll be glad you did."</f>
        <v>We are a locally owned and operated, The UPS Store,We have the knowledge and expertise to handle all of your mailbox, packing, shipping, and professional printing needs and we are passionate about what we do! We're confident you'll be glad you did.</v>
      </c>
      <c r="D9297" s="3" t="s">
        <v>27016</v>
      </c>
      <c r="E9297" s="3" t="s">
        <v>27017</v>
      </c>
      <c r="F9297" s="3" t="str">
        <f>"812-279-2200"</f>
        <v>812-279-2200</v>
      </c>
      <c r="G9297" s="3">
        <v>453210</v>
      </c>
      <c r="H9297" s="3" t="s">
        <v>431</v>
      </c>
    </row>
    <row r="9298" spans="1:8" ht="26.25" x14ac:dyDescent="0.25">
      <c r="A9298" s="3" t="s">
        <v>27018</v>
      </c>
      <c r="B9298" s="3"/>
      <c r="C9298" s="3" t="str">
        <f>"Supplier and consultant for automotive/ truck/ sales/ leasing and parts"</f>
        <v>Supplier and consultant for automotive/ truck/ sales/ leasing and parts</v>
      </c>
      <c r="D9298" s="3" t="s">
        <v>9</v>
      </c>
      <c r="E9298" s="3" t="s">
        <v>27019</v>
      </c>
      <c r="F9298" s="3" t="str">
        <f>"317-352-0319"</f>
        <v>317-352-0319</v>
      </c>
      <c r="G9298" s="3">
        <v>441110</v>
      </c>
      <c r="H9298" s="3" t="s">
        <v>2588</v>
      </c>
    </row>
    <row r="9299" spans="1:8" ht="51.75" x14ac:dyDescent="0.25">
      <c r="A9299" s="3" t="s">
        <v>27020</v>
      </c>
      <c r="B9299" s="3"/>
      <c r="C9299" s="3" t="str">
        <f>"We have over 100,000 hardback and softback volumns of used and rare books. We provide special searches for those hard to find books and textbooks."</f>
        <v>We have over 100,000 hardback and softback volumns of used and rare books. We provide special searches for those hard to find books and textbooks.</v>
      </c>
      <c r="D9299" s="3" t="s">
        <v>27021</v>
      </c>
      <c r="E9299" s="3" t="s">
        <v>27022</v>
      </c>
      <c r="F9299" s="3" t="str">
        <f>"317-837-5640"</f>
        <v>317-837-5640</v>
      </c>
      <c r="G9299" s="3">
        <v>424120</v>
      </c>
      <c r="H9299" s="3" t="s">
        <v>411</v>
      </c>
    </row>
    <row r="9300" spans="1:8" ht="64.5" x14ac:dyDescent="0.25">
      <c r="A9300" s="3" t="s">
        <v>27023</v>
      </c>
      <c r="B9300" s="3"/>
      <c r="C9300" s="3" t="str">
        <f>"Sell scrubs and shoes manufactured by various companies inculuding Barco, Cherokee, Landau, and Peaches Sell medical supplies manufactured by Prestige and Littmann"</f>
        <v>Sell scrubs and shoes manufactured by various companies inculuding Barco, Cherokee, Landau, and Peaches Sell medical supplies manufactured by Prestige and Littmann</v>
      </c>
      <c r="D9300" s="3" t="s">
        <v>9</v>
      </c>
      <c r="E9300" s="3" t="s">
        <v>27024</v>
      </c>
      <c r="F9300" s="3" t="str">
        <f>"812-238-9228"</f>
        <v>812-238-9228</v>
      </c>
      <c r="G9300" s="3">
        <v>448190</v>
      </c>
      <c r="H9300" s="3" t="s">
        <v>12557</v>
      </c>
    </row>
    <row r="9301" spans="1:8" ht="64.5" x14ac:dyDescent="0.25">
      <c r="A9301" s="3" t="s">
        <v>27025</v>
      </c>
      <c r="B9301" s="3"/>
      <c r="C9301" s="3" t="str">
        <f>"Abrasive waterjet cutting services. Stocking mild steel, aluminum and stainless steel available for immediate processing. Largest machine in area with a 144"" x 144"" cutting envelope and 3 cutting heads."</f>
        <v>Abrasive waterjet cutting services. Stocking mild steel, aluminum and stainless steel available for immediate processing. Largest machine in area with a 144" x 144" cutting envelope and 3 cutting heads.</v>
      </c>
      <c r="D9301" s="3" t="s">
        <v>27026</v>
      </c>
      <c r="E9301" s="3" t="s">
        <v>27027</v>
      </c>
      <c r="F9301" s="3" t="str">
        <f>"219-872-4581"</f>
        <v>219-872-4581</v>
      </c>
      <c r="G9301" s="3">
        <v>3399</v>
      </c>
      <c r="H9301" s="3" t="s">
        <v>2236</v>
      </c>
    </row>
    <row r="9302" spans="1:8" ht="153.75" x14ac:dyDescent="0.25">
      <c r="A9302" s="3" t="s">
        <v>27028</v>
      </c>
      <c r="B9302" s="3"/>
      <c r="C9302" s="3" t="s">
        <v>27029</v>
      </c>
      <c r="D9302" s="3" t="s">
        <v>9</v>
      </c>
      <c r="E9302" s="3" t="s">
        <v>27030</v>
      </c>
      <c r="F9302" s="3" t="str">
        <f>"812-723-0036"</f>
        <v>812-723-0036</v>
      </c>
      <c r="G9302" s="3">
        <v>443111</v>
      </c>
      <c r="H9302" s="3" t="s">
        <v>11614</v>
      </c>
    </row>
    <row r="9303" spans="1:8" ht="319.5" x14ac:dyDescent="0.25">
      <c r="A9303" s="3" t="s">
        <v>27031</v>
      </c>
      <c r="B9303" s="3"/>
      <c r="C9303" s="3" t="s">
        <v>27032</v>
      </c>
      <c r="D9303" s="3" t="s">
        <v>27033</v>
      </c>
      <c r="E9303" s="3" t="s">
        <v>27034</v>
      </c>
      <c r="F9303" s="3" t="str">
        <f>"260-471-9769"</f>
        <v>260-471-9769</v>
      </c>
      <c r="G9303" s="3">
        <v>611430</v>
      </c>
      <c r="H9303" s="3" t="s">
        <v>1224</v>
      </c>
    </row>
    <row r="9304" spans="1:8" ht="319.5" x14ac:dyDescent="0.25">
      <c r="A9304" s="3" t="s">
        <v>27035</v>
      </c>
      <c r="B9304" s="3"/>
      <c r="C9304" s="3" t="s">
        <v>27036</v>
      </c>
      <c r="D9304" s="3" t="s">
        <v>9</v>
      </c>
      <c r="E9304" s="3" t="s">
        <v>27037</v>
      </c>
      <c r="F9304" s="3" t="str">
        <f>"765-967-2216"</f>
        <v>765-967-2216</v>
      </c>
      <c r="G9304" s="3">
        <v>623220</v>
      </c>
      <c r="H9304" s="3" t="s">
        <v>17001</v>
      </c>
    </row>
    <row r="9305" spans="1:8" ht="115.5" x14ac:dyDescent="0.25">
      <c r="A9305" s="3" t="s">
        <v>27038</v>
      </c>
      <c r="B9305" s="3"/>
      <c r="C9305" s="3" t="s">
        <v>27039</v>
      </c>
      <c r="D9305" s="3" t="s">
        <v>27040</v>
      </c>
      <c r="E9305" s="3" t="s">
        <v>27041</v>
      </c>
      <c r="F9305" s="3" t="str">
        <f>"3175868070"</f>
        <v>3175868070</v>
      </c>
      <c r="G9305" s="3">
        <v>81219</v>
      </c>
      <c r="H9305" s="3" t="s">
        <v>12225</v>
      </c>
    </row>
    <row r="9306" spans="1:8" ht="26.25" x14ac:dyDescent="0.25">
      <c r="A9306" s="3" t="s">
        <v>27042</v>
      </c>
      <c r="B9306" s="3"/>
      <c r="C9306" s="3" t="str">
        <f>"A sales process consulting firm for fast growth companies."</f>
        <v>A sales process consulting firm for fast growth companies.</v>
      </c>
      <c r="D9306" s="3" t="s">
        <v>27043</v>
      </c>
      <c r="E9306" s="3" t="s">
        <v>27044</v>
      </c>
      <c r="F9306" s="3" t="str">
        <f>"317 815 1172"</f>
        <v>317 815 1172</v>
      </c>
      <c r="G9306" s="3">
        <v>522220</v>
      </c>
      <c r="H9306" s="3" t="s">
        <v>4071</v>
      </c>
    </row>
    <row r="9307" spans="1:8" ht="141" x14ac:dyDescent="0.25">
      <c r="A9307" s="3" t="s">
        <v>27045</v>
      </c>
      <c r="B9307" s="3"/>
      <c r="C9307" s="3" t="s">
        <v>27046</v>
      </c>
      <c r="D9307" s="3" t="s">
        <v>27047</v>
      </c>
      <c r="E9307" s="3" t="s">
        <v>27048</v>
      </c>
      <c r="F9307" s="3" t="str">
        <f>"(317) 730-6802"</f>
        <v>(317) 730-6802</v>
      </c>
      <c r="G9307" s="3">
        <v>7223</v>
      </c>
      <c r="H9307" s="3" t="s">
        <v>13091</v>
      </c>
    </row>
    <row r="9308" spans="1:8" ht="230.25" x14ac:dyDescent="0.25">
      <c r="A9308" s="3" t="s">
        <v>27049</v>
      </c>
      <c r="B9308" s="3"/>
      <c r="C9308" s="3" t="s">
        <v>27050</v>
      </c>
      <c r="D9308" s="3" t="s">
        <v>27051</v>
      </c>
      <c r="E9308" s="3" t="s">
        <v>27052</v>
      </c>
      <c r="F9308" s="3" t="str">
        <f>"812-266-0692"</f>
        <v>812-266-0692</v>
      </c>
      <c r="G9308" s="3">
        <v>621399</v>
      </c>
      <c r="H9308" s="3" t="s">
        <v>2306</v>
      </c>
    </row>
    <row r="9309" spans="1:8" ht="51.75" x14ac:dyDescent="0.25">
      <c r="A9309" s="3" t="s">
        <v>27053</v>
      </c>
      <c r="B9309" s="3"/>
      <c r="C9309" s="3" t="str">
        <f>"We sell books, games and toys. Our customers buy primarily for children and teens but we also special order any book a customer wants to buy."</f>
        <v>We sell books, games and toys. Our customers buy primarily for children and teens but we also special order any book a customer wants to buy.</v>
      </c>
      <c r="D9309" s="3" t="s">
        <v>27054</v>
      </c>
      <c r="E9309" s="3" t="s">
        <v>27055</v>
      </c>
      <c r="F9309" s="3" t="str">
        <f>"317-773-0920"</f>
        <v>317-773-0920</v>
      </c>
      <c r="G9309" s="3">
        <v>4512</v>
      </c>
      <c r="H9309" s="3" t="s">
        <v>27056</v>
      </c>
    </row>
    <row r="9310" spans="1:8" ht="141" x14ac:dyDescent="0.25">
      <c r="A9310" s="3" t="s">
        <v>27057</v>
      </c>
      <c r="B9310" s="3"/>
      <c r="C9310" s="3" t="s">
        <v>27058</v>
      </c>
      <c r="D9310" s="3" t="s">
        <v>27059</v>
      </c>
      <c r="E9310" s="3" t="s">
        <v>27060</v>
      </c>
      <c r="F9310" s="3" t="str">
        <f>"317-999-5154"</f>
        <v>317-999-5154</v>
      </c>
      <c r="G9310" s="3">
        <v>238390</v>
      </c>
      <c r="H9310" s="3" t="s">
        <v>2109</v>
      </c>
    </row>
    <row r="9311" spans="1:8" ht="26.25" x14ac:dyDescent="0.25">
      <c r="A9311" s="3" t="s">
        <v>27061</v>
      </c>
      <c r="B9311" s="3"/>
      <c r="C9311" s="3" t="str">
        <f>"Embroidery"</f>
        <v>Embroidery</v>
      </c>
      <c r="D9311" s="3" t="s">
        <v>9</v>
      </c>
      <c r="E9311" s="3" t="s">
        <v>27062</v>
      </c>
      <c r="F9311" s="3" t="str">
        <f>"574-277-5822"</f>
        <v>574-277-5822</v>
      </c>
      <c r="G9311" s="3">
        <v>313222</v>
      </c>
      <c r="H9311" s="3" t="s">
        <v>26083</v>
      </c>
    </row>
    <row r="9312" spans="1:8" ht="26.25" x14ac:dyDescent="0.25">
      <c r="A9312" s="3" t="s">
        <v>27063</v>
      </c>
      <c r="B9312" s="3"/>
      <c r="C9312" s="3" t="str">
        <f>"Wireless Communications Retailer, service provider and accessory retailer"</f>
        <v>Wireless Communications Retailer, service provider and accessory retailer</v>
      </c>
      <c r="D9312" s="3" t="s">
        <v>9</v>
      </c>
      <c r="E9312" s="3" t="s">
        <v>46</v>
      </c>
      <c r="F9312" s="3" t="str">
        <f>"812-949-3130"</f>
        <v>812-949-3130</v>
      </c>
      <c r="G9312" s="3">
        <v>517212</v>
      </c>
      <c r="H9312" s="3" t="s">
        <v>6947</v>
      </c>
    </row>
    <row r="9313" spans="1:8" ht="39" x14ac:dyDescent="0.25">
      <c r="A9313" s="3" t="s">
        <v>27064</v>
      </c>
      <c r="B9313" s="3"/>
      <c r="C9313" s="3" t="str">
        <f>"Commercial appraisal for condemnation, mortgage, etc., located in northeastern Indiana."</f>
        <v>Commercial appraisal for condemnation, mortgage, etc., located in northeastern Indiana.</v>
      </c>
      <c r="D9313" s="3" t="s">
        <v>9</v>
      </c>
      <c r="E9313" s="3" t="s">
        <v>27065</v>
      </c>
      <c r="F9313" s="3" t="str">
        <f>"260-422-2752"</f>
        <v>260-422-2752</v>
      </c>
      <c r="G9313" s="3">
        <v>531320</v>
      </c>
      <c r="H9313" s="3" t="s">
        <v>34</v>
      </c>
    </row>
    <row r="9314" spans="1:8" ht="255.75" x14ac:dyDescent="0.25">
      <c r="A9314" s="3" t="s">
        <v>27066</v>
      </c>
      <c r="B9314" s="3"/>
      <c r="C9314" s="3" t="s">
        <v>27067</v>
      </c>
      <c r="D9314" s="3" t="s">
        <v>27068</v>
      </c>
      <c r="E9314" s="3" t="s">
        <v>27069</v>
      </c>
      <c r="F9314" s="3" t="str">
        <f>"317.203.0819"</f>
        <v>317.203.0819</v>
      </c>
      <c r="G9314" s="3">
        <v>541512</v>
      </c>
      <c r="H9314" s="3" t="s">
        <v>19</v>
      </c>
    </row>
    <row r="9315" spans="1:8" ht="90" x14ac:dyDescent="0.25">
      <c r="A9315" s="3" t="s">
        <v>27070</v>
      </c>
      <c r="B9315" s="3"/>
      <c r="C9315" s="3" t="s">
        <v>27071</v>
      </c>
      <c r="D9315" s="3" t="s">
        <v>27072</v>
      </c>
      <c r="E9315" s="3" t="s">
        <v>46</v>
      </c>
      <c r="F9315" s="3" t="str">
        <f>"317-353-3825"</f>
        <v>317-353-3825</v>
      </c>
      <c r="G9315" s="3">
        <v>5411</v>
      </c>
      <c r="H9315" s="3" t="s">
        <v>87</v>
      </c>
    </row>
    <row r="9316" spans="1:8" ht="128.25" x14ac:dyDescent="0.25">
      <c r="A9316" s="3" t="s">
        <v>27073</v>
      </c>
      <c r="B9316" s="3"/>
      <c r="C9316" s="3" t="s">
        <v>27074</v>
      </c>
      <c r="D9316" s="3" t="s">
        <v>27075</v>
      </c>
      <c r="E9316" s="3" t="s">
        <v>27076</v>
      </c>
      <c r="F9316" s="3" t="str">
        <f>"317-475-9862"</f>
        <v>317-475-9862</v>
      </c>
      <c r="G9316" s="3">
        <v>5415</v>
      </c>
      <c r="H9316" s="3" t="s">
        <v>188</v>
      </c>
    </row>
    <row r="9317" spans="1:8" ht="153.75" x14ac:dyDescent="0.25">
      <c r="A9317" s="3" t="s">
        <v>27077</v>
      </c>
      <c r="B9317" s="3"/>
      <c r="C9317" s="3" t="s">
        <v>27078</v>
      </c>
      <c r="D9317" s="3" t="s">
        <v>27079</v>
      </c>
      <c r="E9317" s="3" t="s">
        <v>27080</v>
      </c>
      <c r="F9317" s="3" t="str">
        <f>"888.544.6742"</f>
        <v>888.544.6742</v>
      </c>
      <c r="G9317" s="3">
        <v>42</v>
      </c>
      <c r="H9317" s="3" t="s">
        <v>674</v>
      </c>
    </row>
    <row r="9318" spans="1:8" ht="217.5" x14ac:dyDescent="0.25">
      <c r="A9318" s="3" t="s">
        <v>27081</v>
      </c>
      <c r="B9318" s="3"/>
      <c r="C9318" s="3" t="s">
        <v>27082</v>
      </c>
      <c r="D9318" s="3" t="s">
        <v>27083</v>
      </c>
      <c r="E9318" s="3" t="s">
        <v>27084</v>
      </c>
      <c r="F9318" s="3" t="str">
        <f>"765-381-3696"</f>
        <v>765-381-3696</v>
      </c>
      <c r="G9318" s="3">
        <v>541511</v>
      </c>
      <c r="H9318" s="3" t="s">
        <v>122</v>
      </c>
    </row>
    <row r="9319" spans="1:8" ht="90" x14ac:dyDescent="0.25">
      <c r="A9319" s="3" t="s">
        <v>27085</v>
      </c>
      <c r="B9319" s="3"/>
      <c r="C9319" s="3" t="s">
        <v>27086</v>
      </c>
      <c r="D9319" s="3" t="s">
        <v>27087</v>
      </c>
      <c r="E9319" s="3" t="s">
        <v>27088</v>
      </c>
      <c r="F9319" s="3" t="str">
        <f>"317-849-4444"</f>
        <v>317-849-4444</v>
      </c>
      <c r="G9319" s="3">
        <v>5415</v>
      </c>
      <c r="H9319" s="3" t="s">
        <v>188</v>
      </c>
    </row>
    <row r="9320" spans="1:8" ht="51.75" x14ac:dyDescent="0.25">
      <c r="A9320" s="3" t="s">
        <v>27089</v>
      </c>
      <c r="B9320" s="3"/>
      <c r="C9320" s="3" t="str">
        <f>"Theracare, Inc. provides Physical, Occupational, and Speech Therapists for services in a wide variety of settings on a contracted basis."</f>
        <v>Theracare, Inc. provides Physical, Occupational, and Speech Therapists for services in a wide variety of settings on a contracted basis.</v>
      </c>
      <c r="D9320" s="3" t="s">
        <v>27090</v>
      </c>
      <c r="E9320" s="3" t="s">
        <v>46</v>
      </c>
      <c r="F9320" s="3" t="str">
        <f>"317-841-7005"</f>
        <v>317-841-7005</v>
      </c>
      <c r="G9320" s="3">
        <v>621340</v>
      </c>
      <c r="H9320" s="3" t="s">
        <v>987</v>
      </c>
    </row>
    <row r="9321" spans="1:8" ht="39" x14ac:dyDescent="0.25">
      <c r="A9321" s="3" t="s">
        <v>27091</v>
      </c>
      <c r="B9321" s="3"/>
      <c r="C9321" s="3" t="str">
        <f>"We provide Durable Medical Equipment for the special needs pediatric population. We also provide pediatric OT and PT services."</f>
        <v>We provide Durable Medical Equipment for the special needs pediatric population. We also provide pediatric OT and PT services.</v>
      </c>
      <c r="D9321" s="3" t="s">
        <v>9</v>
      </c>
      <c r="E9321" s="3" t="s">
        <v>27092</v>
      </c>
      <c r="F9321" s="3" t="str">
        <f>"765-563-6868"</f>
        <v>765-563-6868</v>
      </c>
      <c r="G9321" s="3">
        <v>446199</v>
      </c>
      <c r="H9321" s="3" t="s">
        <v>1760</v>
      </c>
    </row>
    <row r="9322" spans="1:8" ht="39" x14ac:dyDescent="0.25">
      <c r="A9322" s="3" t="s">
        <v>27093</v>
      </c>
      <c r="B9322" s="3"/>
      <c r="C9322" s="3" t="str">
        <f>"Commercial construction- division 7- sealants, fire stopping, expansion joints and intumescent material."</f>
        <v>Commercial construction- division 7- sealants, fire stopping, expansion joints and intumescent material.</v>
      </c>
      <c r="D9322" s="3" t="s">
        <v>9</v>
      </c>
      <c r="E9322" s="3" t="s">
        <v>27094</v>
      </c>
      <c r="F9322" s="3" t="str">
        <f>"317-872-2726"</f>
        <v>317-872-2726</v>
      </c>
      <c r="G9322" s="3">
        <v>238310</v>
      </c>
      <c r="H9322" s="3" t="s">
        <v>2526</v>
      </c>
    </row>
    <row r="9323" spans="1:8" ht="64.5" x14ac:dyDescent="0.25">
      <c r="A9323" s="3" t="s">
        <v>27095</v>
      </c>
      <c r="B9323" s="3"/>
      <c r="C9323" s="3" t="str">
        <f>"ThermalTech Engineering, Inc. is an MEP engineering firm specializing in energy saving studies and designs for utility systems. We have offices in Cincinnati, Lawrenceburg, Kalamazoo, and Dallas."</f>
        <v>ThermalTech Engineering, Inc. is an MEP engineering firm specializing in energy saving studies and designs for utility systems. We have offices in Cincinnati, Lawrenceburg, Kalamazoo, and Dallas.</v>
      </c>
      <c r="D9323" s="3" t="s">
        <v>27096</v>
      </c>
      <c r="E9323" s="3" t="s">
        <v>27097</v>
      </c>
      <c r="F9323" s="3" t="str">
        <f>"513-561-2271"</f>
        <v>513-561-2271</v>
      </c>
      <c r="G9323" s="3">
        <v>541330</v>
      </c>
      <c r="H9323" s="3" t="s">
        <v>82</v>
      </c>
    </row>
    <row r="9324" spans="1:8" ht="102.75" x14ac:dyDescent="0.25">
      <c r="A9324" s="3" t="s">
        <v>27098</v>
      </c>
      <c r="B9324" s="3"/>
      <c r="C9324" s="3" t="s">
        <v>27099</v>
      </c>
      <c r="D9324" s="3" t="s">
        <v>27100</v>
      </c>
      <c r="E9324" s="3" t="s">
        <v>27101</v>
      </c>
      <c r="F9324" s="3" t="str">
        <f>"765-714-4237"</f>
        <v>765-714-4237</v>
      </c>
      <c r="G9324" s="3">
        <v>541330</v>
      </c>
      <c r="H9324" s="3" t="s">
        <v>82</v>
      </c>
    </row>
    <row r="9325" spans="1:8" ht="51.75" x14ac:dyDescent="0.25">
      <c r="A9325" s="3" t="s">
        <v>27102</v>
      </c>
      <c r="B9325" s="3"/>
      <c r="C9325" s="3" t="str">
        <f>"Steam system performance consulting, focusing on health care and life sciences. Specialize in solving ""wet pack"" problems in sterilizers and autoclaves."</f>
        <v>Steam system performance consulting, focusing on health care and life sciences. Specialize in solving "wet pack" problems in sterilizers and autoclaves.</v>
      </c>
      <c r="D9325" s="3" t="s">
        <v>27100</v>
      </c>
      <c r="E9325" s="3" t="s">
        <v>27101</v>
      </c>
      <c r="F9325" s="3" t="str">
        <f>"765-714-4237"</f>
        <v>765-714-4237</v>
      </c>
      <c r="G9325" s="3">
        <v>541330</v>
      </c>
      <c r="H9325" s="3" t="s">
        <v>82</v>
      </c>
    </row>
    <row r="9326" spans="1:8" ht="77.25" x14ac:dyDescent="0.25">
      <c r="A9326" s="3" t="s">
        <v>27103</v>
      </c>
      <c r="B9326" s="3"/>
      <c r="C9326" s="3" t="str">
        <f>"Sell office supplies, office furniture and provide interior design services. We have next day delivery on over 30,000 of the above items in our trading area. Online ordering is also available through our website."</f>
        <v>Sell office supplies, office furniture and provide interior design services. We have next day delivery on over 30,000 of the above items in our trading area. Online ordering is also available through our website.</v>
      </c>
      <c r="D9326" s="3" t="s">
        <v>27104</v>
      </c>
      <c r="E9326" s="3" t="s">
        <v>27105</v>
      </c>
      <c r="F9326" s="3" t="str">
        <f>"812-235-8149"</f>
        <v>812-235-8149</v>
      </c>
      <c r="G9326" s="3">
        <v>453210</v>
      </c>
      <c r="H9326" s="3" t="s">
        <v>431</v>
      </c>
    </row>
    <row r="9327" spans="1:8" ht="26.25" x14ac:dyDescent="0.25">
      <c r="A9327" s="3" t="s">
        <v>27106</v>
      </c>
      <c r="B9327" s="3"/>
      <c r="C9327" s="3" t="str">
        <f>"General Contractor for water and wastewater treatment plants."</f>
        <v>General Contractor for water and wastewater treatment plants.</v>
      </c>
      <c r="D9327" s="3" t="s">
        <v>27107</v>
      </c>
      <c r="E9327" s="3" t="s">
        <v>27108</v>
      </c>
      <c r="F9327" s="3" t="str">
        <f>"317-867-3462"</f>
        <v>317-867-3462</v>
      </c>
      <c r="G9327" s="3">
        <v>237990</v>
      </c>
      <c r="H9327" s="3" t="s">
        <v>2631</v>
      </c>
    </row>
    <row r="9328" spans="1:8" ht="39" x14ac:dyDescent="0.25">
      <c r="A9328" s="3" t="s">
        <v>27109</v>
      </c>
      <c r="B9328" s="3"/>
      <c r="C9328" s="3" t="str">
        <f>"non-union construction company building industrial, municipal and commercial work. Will manage work or sub work"</f>
        <v>non-union construction company building industrial, municipal and commercial work. Will manage work or sub work</v>
      </c>
      <c r="D9328" s="3" t="s">
        <v>27110</v>
      </c>
      <c r="E9328" s="3" t="s">
        <v>46</v>
      </c>
      <c r="F9328" s="3" t="str">
        <f>"317-401-1955"</f>
        <v>317-401-1955</v>
      </c>
      <c r="G9328" s="3">
        <v>23</v>
      </c>
      <c r="H9328" s="3" t="s">
        <v>133</v>
      </c>
    </row>
    <row r="9329" spans="1:8" ht="255.75" x14ac:dyDescent="0.25">
      <c r="A9329" s="3" t="s">
        <v>27111</v>
      </c>
      <c r="B9329" s="3"/>
      <c r="C9329" s="3" t="s">
        <v>27112</v>
      </c>
      <c r="D9329" s="3" t="s">
        <v>27113</v>
      </c>
      <c r="E9329" s="3" t="s">
        <v>27114</v>
      </c>
      <c r="F9329" s="3" t="str">
        <f>"219-487-6236"</f>
        <v>219-487-6236</v>
      </c>
      <c r="G9329" s="3">
        <v>5416</v>
      </c>
      <c r="H9329" s="3" t="s">
        <v>194</v>
      </c>
    </row>
    <row r="9330" spans="1:8" ht="51.75" x14ac:dyDescent="0.25">
      <c r="A9330" s="3" t="s">
        <v>27115</v>
      </c>
      <c r="B9330" s="3"/>
      <c r="C9330" s="3" t="str">
        <f>"Think Tank NTG is a full computer systems integrator that provides Novell, Microsoft, Cisco, Citrix, HP and IBM solutions. Security work and Software Development."</f>
        <v>Think Tank NTG is a full computer systems integrator that provides Novell, Microsoft, Cisco, Citrix, HP and IBM solutions. Security work and Software Development.</v>
      </c>
      <c r="D9330" s="3" t="s">
        <v>27116</v>
      </c>
      <c r="E9330" s="3" t="s">
        <v>27117</v>
      </c>
      <c r="F9330" s="3" t="str">
        <f>"800-501-3282"</f>
        <v>800-501-3282</v>
      </c>
      <c r="G9330" s="3">
        <v>42143</v>
      </c>
      <c r="H9330" s="3" t="s">
        <v>6377</v>
      </c>
    </row>
    <row r="9331" spans="1:8" ht="51.75" x14ac:dyDescent="0.25">
      <c r="A9331" s="3" t="s">
        <v>27118</v>
      </c>
      <c r="B9331" s="3"/>
      <c r="C9331" s="3" t="str">
        <f>"Wholesale Full Line Spice Company Our line of spices meets the needs of all food service industry areas. We will be expanding our line with the addition of coffee in 2006."</f>
        <v>Wholesale Full Line Spice Company Our line of spices meets the needs of all food service industry areas. We will be expanding our line with the addition of coffee in 2006.</v>
      </c>
      <c r="D9331" s="3" t="s">
        <v>9</v>
      </c>
      <c r="E9331" s="3" t="s">
        <v>27119</v>
      </c>
      <c r="F9331" s="3" t="str">
        <f>"219-921-0088"</f>
        <v>219-921-0088</v>
      </c>
      <c r="G9331" s="3">
        <v>42512</v>
      </c>
      <c r="H9331" s="3" t="s">
        <v>58</v>
      </c>
    </row>
    <row r="9332" spans="1:8" ht="115.5" x14ac:dyDescent="0.25">
      <c r="A9332" s="3" t="s">
        <v>27120</v>
      </c>
      <c r="B9332" s="3"/>
      <c r="C9332" s="3" t="s">
        <v>27121</v>
      </c>
      <c r="D9332" s="3" t="s">
        <v>27122</v>
      </c>
      <c r="E9332" s="3" t="s">
        <v>27123</v>
      </c>
      <c r="F9332" s="3" t="str">
        <f>"765 324 2161"</f>
        <v>765 324 2161</v>
      </c>
      <c r="G9332" s="3">
        <v>311611</v>
      </c>
      <c r="H9332" s="3" t="s">
        <v>27124</v>
      </c>
    </row>
    <row r="9333" spans="1:8" ht="179.25" x14ac:dyDescent="0.25">
      <c r="A9333" s="3" t="s">
        <v>27125</v>
      </c>
      <c r="B9333" s="3"/>
      <c r="C9333" s="3" t="s">
        <v>27126</v>
      </c>
      <c r="D9333" s="3" t="s">
        <v>27127</v>
      </c>
      <c r="E9333" s="3" t="s">
        <v>27128</v>
      </c>
      <c r="F9333" s="3" t="str">
        <f>"317-219-7662"</f>
        <v>317-219-7662</v>
      </c>
      <c r="G9333" s="3">
        <v>453110</v>
      </c>
      <c r="H9333" s="3" t="s">
        <v>2584</v>
      </c>
    </row>
    <row r="9334" spans="1:8" ht="39" x14ac:dyDescent="0.25">
      <c r="A9334" s="3" t="s">
        <v>27129</v>
      </c>
      <c r="B9334" s="3"/>
      <c r="C9334" s="3" t="str">
        <f>"Agricultural, industrial and automotive radiator repair and sales, lawn and garden service and parts sales"</f>
        <v>Agricultural, industrial and automotive radiator repair and sales, lawn and garden service and parts sales</v>
      </c>
      <c r="D9334" s="3" t="s">
        <v>9</v>
      </c>
      <c r="E9334" s="3" t="s">
        <v>46</v>
      </c>
      <c r="F9334" s="3" t="str">
        <f>"317-831-1860"</f>
        <v>317-831-1860</v>
      </c>
      <c r="G9334" s="3">
        <v>8111</v>
      </c>
      <c r="H9334" s="3" t="s">
        <v>3587</v>
      </c>
    </row>
    <row r="9335" spans="1:8" ht="115.5" x14ac:dyDescent="0.25">
      <c r="A9335" s="3" t="s">
        <v>27130</v>
      </c>
      <c r="B9335" s="3"/>
      <c r="C9335" s="3" t="s">
        <v>27131</v>
      </c>
      <c r="D9335" s="3" t="s">
        <v>27132</v>
      </c>
      <c r="E9335" s="3" t="s">
        <v>27133</v>
      </c>
      <c r="F9335" s="3" t="str">
        <f>"574-226-2640"</f>
        <v>574-226-2640</v>
      </c>
      <c r="G9335" s="3">
        <v>5415</v>
      </c>
      <c r="H9335" s="3" t="s">
        <v>188</v>
      </c>
    </row>
    <row r="9336" spans="1:8" ht="64.5" x14ac:dyDescent="0.25">
      <c r="A9336" s="3" t="s">
        <v>27134</v>
      </c>
      <c r="B9336" s="3"/>
      <c r="C9336" s="3" t="str">
        <f>"Reseller of Fargo (&amp;other) photo ID systems, supplies. Production of ID and loyalty badges, photo IDs. Servicing of Fargo printers. Engraved &amp; vinyl signs. Banners. Reseller of Waddell Display Cases."</f>
        <v>Reseller of Fargo (&amp;other) photo ID systems, supplies. Production of ID and loyalty badges, photo IDs. Servicing of Fargo printers. Engraved &amp; vinyl signs. Banners. Reseller of Waddell Display Cases.</v>
      </c>
      <c r="D9336" s="3" t="s">
        <v>962</v>
      </c>
      <c r="E9336" s="3" t="s">
        <v>27135</v>
      </c>
      <c r="F9336" s="3" t="str">
        <f>"317-488-1030"</f>
        <v>317-488-1030</v>
      </c>
      <c r="G9336" s="3">
        <v>453998</v>
      </c>
      <c r="H9336" s="3" t="s">
        <v>112</v>
      </c>
    </row>
    <row r="9337" spans="1:8" ht="39" x14ac:dyDescent="0.25">
      <c r="A9337" s="3" t="s">
        <v>27136</v>
      </c>
      <c r="B9337" s="3"/>
      <c r="C9337" s="3" t="str">
        <f>"Business of optometry: comprehensive vision exams, eyeglasses and contact lenses."</f>
        <v>Business of optometry: comprehensive vision exams, eyeglasses and contact lenses.</v>
      </c>
      <c r="D9337" s="3" t="s">
        <v>9</v>
      </c>
      <c r="E9337" s="3" t="s">
        <v>27137</v>
      </c>
      <c r="F9337" s="3" t="str">
        <f>"765-647-6883"</f>
        <v>765-647-6883</v>
      </c>
      <c r="G9337" s="3">
        <v>621320</v>
      </c>
      <c r="H9337" s="3" t="s">
        <v>9878</v>
      </c>
    </row>
    <row r="9338" spans="1:8" ht="128.25" x14ac:dyDescent="0.25">
      <c r="A9338" s="3" t="s">
        <v>27138</v>
      </c>
      <c r="B9338" s="3"/>
      <c r="C9338" s="3" t="s">
        <v>27139</v>
      </c>
      <c r="D9338" s="3" t="s">
        <v>27140</v>
      </c>
      <c r="E9338" s="3" t="s">
        <v>27141</v>
      </c>
      <c r="F9338" s="3" t="str">
        <f>"574.233.9111"</f>
        <v>574.233.9111</v>
      </c>
      <c r="G9338" s="3">
        <v>532490</v>
      </c>
      <c r="H9338" s="3" t="s">
        <v>1673</v>
      </c>
    </row>
    <row r="9339" spans="1:8" ht="26.25" x14ac:dyDescent="0.25">
      <c r="A9339" s="3" t="s">
        <v>27142</v>
      </c>
      <c r="B9339" s="3"/>
      <c r="C9339" s="3" t="str">
        <f>"IT consulting firm/retail"</f>
        <v>IT consulting firm/retail</v>
      </c>
      <c r="D9339" s="3" t="s">
        <v>27143</v>
      </c>
      <c r="E9339" s="3" t="s">
        <v>27144</v>
      </c>
      <c r="F9339" s="3" t="str">
        <f>"317-477-8324"</f>
        <v>317-477-8324</v>
      </c>
      <c r="G9339" s="3">
        <v>5614</v>
      </c>
      <c r="H9339" s="3" t="s">
        <v>847</v>
      </c>
    </row>
    <row r="9340" spans="1:8" ht="115.5" x14ac:dyDescent="0.25">
      <c r="A9340" s="3" t="s">
        <v>27145</v>
      </c>
      <c r="B9340" s="3"/>
      <c r="C9340" s="3" t="s">
        <v>27146</v>
      </c>
      <c r="D9340" s="3" t="s">
        <v>9</v>
      </c>
      <c r="E9340" s="3" t="s">
        <v>27147</v>
      </c>
      <c r="F9340" s="3" t="str">
        <f>"812-235-0900"</f>
        <v>812-235-0900</v>
      </c>
      <c r="G9340" s="3">
        <v>335129</v>
      </c>
      <c r="H9340" s="3" t="s">
        <v>16701</v>
      </c>
    </row>
    <row r="9341" spans="1:8" ht="26.25" x14ac:dyDescent="0.25">
      <c r="A9341" s="3" t="s">
        <v>27148</v>
      </c>
      <c r="B9341" s="3"/>
      <c r="C9341" s="3" t="str">
        <f>"Complete HVACR, Service and installation"</f>
        <v>Complete HVACR, Service and installation</v>
      </c>
      <c r="D9341" s="3" t="s">
        <v>27149</v>
      </c>
      <c r="E9341" s="3" t="s">
        <v>27150</v>
      </c>
      <c r="F9341" s="3" t="str">
        <f>"317-997-1083"</f>
        <v>317-997-1083</v>
      </c>
      <c r="G9341" s="3">
        <v>238220</v>
      </c>
      <c r="H9341" s="3" t="s">
        <v>348</v>
      </c>
    </row>
    <row r="9342" spans="1:8" ht="115.5" x14ac:dyDescent="0.25">
      <c r="A9342" s="3" t="s">
        <v>27151</v>
      </c>
      <c r="B9342" s="3"/>
      <c r="C9342" s="3" t="s">
        <v>27152</v>
      </c>
      <c r="D9342" s="3" t="s">
        <v>27153</v>
      </c>
      <c r="E9342" s="3" t="s">
        <v>27154</v>
      </c>
      <c r="F9342" s="3" t="str">
        <f>"765-741-9446"</f>
        <v>765-741-9446</v>
      </c>
      <c r="G9342" s="3">
        <v>453210</v>
      </c>
      <c r="H9342" s="3" t="s">
        <v>431</v>
      </c>
    </row>
    <row r="9343" spans="1:8" ht="166.5" x14ac:dyDescent="0.25">
      <c r="A9343" s="3" t="s">
        <v>27155</v>
      </c>
      <c r="B9343" s="3"/>
      <c r="C9343" s="3" t="s">
        <v>27156</v>
      </c>
      <c r="D9343" s="3" t="s">
        <v>27157</v>
      </c>
      <c r="E9343" s="3" t="s">
        <v>27158</v>
      </c>
      <c r="F9343" s="3" t="str">
        <f>"317-894-5508"</f>
        <v>317-894-5508</v>
      </c>
      <c r="G9343" s="3">
        <v>541611</v>
      </c>
      <c r="H9343" s="3" t="s">
        <v>278</v>
      </c>
    </row>
    <row r="9344" spans="1:8" ht="128.25" x14ac:dyDescent="0.25">
      <c r="A9344" s="3" t="s">
        <v>27159</v>
      </c>
      <c r="B9344" s="3"/>
      <c r="C9344" s="3" t="s">
        <v>27160</v>
      </c>
      <c r="D9344" s="3" t="s">
        <v>27161</v>
      </c>
      <c r="E9344" s="3" t="s">
        <v>27162</v>
      </c>
      <c r="F9344" s="3" t="str">
        <f>"574-256-1914"</f>
        <v>574-256-1914</v>
      </c>
      <c r="G9344" s="3">
        <v>54133</v>
      </c>
      <c r="H9344" s="3" t="s">
        <v>82</v>
      </c>
    </row>
    <row r="9345" spans="1:8" ht="230.25" x14ac:dyDescent="0.25">
      <c r="A9345" s="3" t="s">
        <v>27163</v>
      </c>
      <c r="B9345" s="3"/>
      <c r="C9345" s="3" t="s">
        <v>27164</v>
      </c>
      <c r="D9345" s="3" t="s">
        <v>9</v>
      </c>
      <c r="E9345" s="3" t="s">
        <v>27165</v>
      </c>
      <c r="F9345" s="3" t="str">
        <f>"317-408-5158"</f>
        <v>317-408-5158</v>
      </c>
      <c r="G9345" s="3">
        <v>5614</v>
      </c>
      <c r="H9345" s="3" t="s">
        <v>847</v>
      </c>
    </row>
    <row r="9346" spans="1:8" ht="319.5" x14ac:dyDescent="0.25">
      <c r="A9346" s="3" t="s">
        <v>27166</v>
      </c>
      <c r="B9346" s="3"/>
      <c r="C9346" s="3" t="s">
        <v>27167</v>
      </c>
      <c r="D9346" s="3" t="s">
        <v>27168</v>
      </c>
      <c r="E9346" s="3" t="s">
        <v>27169</v>
      </c>
      <c r="F9346" s="3" t="str">
        <f>"317-972-6868"</f>
        <v>317-972-6868</v>
      </c>
      <c r="G9346" s="3">
        <v>541720</v>
      </c>
      <c r="H9346" s="3" t="s">
        <v>1123</v>
      </c>
    </row>
    <row r="9347" spans="1:8" ht="39" x14ac:dyDescent="0.25">
      <c r="A9347" s="3" t="s">
        <v>27170</v>
      </c>
      <c r="B9347" s="3"/>
      <c r="C9347" s="3" t="str">
        <f>"Design and sales of portable trade show displays and graphics; graphic design and production; storage and rental of displays."</f>
        <v>Design and sales of portable trade show displays and graphics; graphic design and production; storage and rental of displays.</v>
      </c>
      <c r="D9347" s="3" t="s">
        <v>27171</v>
      </c>
      <c r="E9347" s="3" t="s">
        <v>27172</v>
      </c>
      <c r="F9347" s="3" t="str">
        <f>"317/915-1500X222"</f>
        <v>317/915-1500X222</v>
      </c>
      <c r="G9347" s="3">
        <v>54185</v>
      </c>
      <c r="H9347" s="3" t="s">
        <v>9509</v>
      </c>
    </row>
    <row r="9348" spans="1:8" ht="51.75" x14ac:dyDescent="0.25">
      <c r="A9348" s="3" t="s">
        <v>27173</v>
      </c>
      <c r="B9348" s="3"/>
      <c r="C9348" s="3" t="str">
        <f>"Microsoft Office SharePoint Server consulting services including: architecture, governance, development, infrastructure, training, and support."</f>
        <v>Microsoft Office SharePoint Server consulting services including: architecture, governance, development, infrastructure, training, and support.</v>
      </c>
      <c r="D9348" s="3" t="s">
        <v>27174</v>
      </c>
      <c r="E9348" s="3" t="s">
        <v>27175</v>
      </c>
      <c r="F9348" s="3" t="str">
        <f>"317-844-5310"</f>
        <v>317-844-5310</v>
      </c>
      <c r="G9348" s="3">
        <v>541512</v>
      </c>
      <c r="H9348" s="3" t="s">
        <v>19</v>
      </c>
    </row>
    <row r="9349" spans="1:8" ht="51.75" x14ac:dyDescent="0.25">
      <c r="A9349" s="3" t="s">
        <v>27176</v>
      </c>
      <c r="B9349" s="3"/>
      <c r="C9349" s="3" t="str">
        <f>"Thornton Bothers Concrete is a local family owned business. We perform quality cast in place concrete. We can perform small jobs up to large commercial concrete."</f>
        <v>Thornton Bothers Concrete is a local family owned business. We perform quality cast in place concrete. We can perform small jobs up to large commercial concrete.</v>
      </c>
      <c r="D9349" s="3" t="s">
        <v>27177</v>
      </c>
      <c r="E9349" s="3" t="s">
        <v>27178</v>
      </c>
      <c r="F9349" s="2"/>
      <c r="G9349" s="3">
        <v>23571</v>
      </c>
      <c r="H9349" s="3" t="s">
        <v>576</v>
      </c>
    </row>
    <row r="9350" spans="1:8" ht="141" x14ac:dyDescent="0.25">
      <c r="A9350" s="3" t="s">
        <v>27179</v>
      </c>
      <c r="B9350" s="3"/>
      <c r="C9350" s="3" t="s">
        <v>27180</v>
      </c>
      <c r="D9350" s="3" t="s">
        <v>27181</v>
      </c>
      <c r="E9350" s="3" t="s">
        <v>27182</v>
      </c>
      <c r="F9350" s="3" t="str">
        <f>"949-842-2638"</f>
        <v>949-842-2638</v>
      </c>
      <c r="G9350" s="3">
        <v>54161</v>
      </c>
      <c r="H9350" s="3" t="s">
        <v>1221</v>
      </c>
    </row>
    <row r="9351" spans="1:8" ht="90" x14ac:dyDescent="0.25">
      <c r="A9351" s="3" t="s">
        <v>27183</v>
      </c>
      <c r="B9351" s="3"/>
      <c r="C9351" s="3" t="s">
        <v>27184</v>
      </c>
      <c r="D9351" s="3" t="s">
        <v>27185</v>
      </c>
      <c r="E9351" s="3" t="s">
        <v>27186</v>
      </c>
      <c r="F9351" s="3" t="str">
        <f>"317-921-3000"</f>
        <v>317-921-3000</v>
      </c>
      <c r="G9351" s="3">
        <v>332722</v>
      </c>
      <c r="H9351" s="3" t="s">
        <v>7727</v>
      </c>
    </row>
    <row r="9352" spans="1:8" ht="39" x14ac:dyDescent="0.25">
      <c r="A9352" s="3" t="s">
        <v>27187</v>
      </c>
      <c r="B9352" s="3"/>
      <c r="C9352" s="3" t="str">
        <f>"Technical and IT Consultants providing technical writing, validation, and business analysis."</f>
        <v>Technical and IT Consultants providing technical writing, validation, and business analysis.</v>
      </c>
      <c r="D9352" s="3" t="s">
        <v>9</v>
      </c>
      <c r="E9352" s="3" t="s">
        <v>27188</v>
      </c>
      <c r="F9352" s="3" t="str">
        <f>"3174603634"</f>
        <v>3174603634</v>
      </c>
      <c r="G9352" s="3">
        <v>541990</v>
      </c>
      <c r="H9352" s="3" t="s">
        <v>378</v>
      </c>
    </row>
    <row r="9353" spans="1:8" ht="102.75" x14ac:dyDescent="0.25">
      <c r="A9353" s="3" t="s">
        <v>27189</v>
      </c>
      <c r="B9353" s="3"/>
      <c r="C9353" s="3" t="s">
        <v>27190</v>
      </c>
      <c r="D9353" s="3" t="s">
        <v>27191</v>
      </c>
      <c r="E9353" s="3" t="s">
        <v>27192</v>
      </c>
      <c r="F9353" s="3" t="str">
        <f>"812-423-6800"</f>
        <v>812-423-6800</v>
      </c>
      <c r="G9353" s="3">
        <v>5413</v>
      </c>
      <c r="H9353" s="3" t="s">
        <v>1116</v>
      </c>
    </row>
    <row r="9354" spans="1:8" ht="128.25" x14ac:dyDescent="0.25">
      <c r="A9354" s="3" t="s">
        <v>27193</v>
      </c>
      <c r="B9354" s="3"/>
      <c r="C9354" s="3" t="s">
        <v>27194</v>
      </c>
      <c r="D9354" s="3" t="s">
        <v>9</v>
      </c>
      <c r="E9354" s="3" t="s">
        <v>27195</v>
      </c>
      <c r="F9354" s="3" t="str">
        <f>"812-340-1840"</f>
        <v>812-340-1840</v>
      </c>
      <c r="G9354" s="3">
        <v>238910</v>
      </c>
      <c r="H9354" s="3" t="s">
        <v>886</v>
      </c>
    </row>
    <row r="9355" spans="1:8" ht="77.25" x14ac:dyDescent="0.25">
      <c r="A9355" s="3" t="s">
        <v>27196</v>
      </c>
      <c r="B9355" s="3"/>
      <c r="C9355" s="3" t="str">
        <f>"World's Largest Traditional Archery Supplier. Celebrating 20 years with over 250 years of experience and knowledge! 100% Customer Satisfaction Guaranteed! Check out our TOMAHAWK BOWS and the easy 90 Days Same as Cash payment option."</f>
        <v>World's Largest Traditional Archery Supplier. Celebrating 20 years with over 250 years of experience and knowledge! 100% Customer Satisfaction Guaranteed! Check out our TOMAHAWK BOWS and the easy 90 Days Same as Cash payment option.</v>
      </c>
      <c r="D9355" s="3" t="s">
        <v>27197</v>
      </c>
      <c r="E9355" s="3" t="s">
        <v>27198</v>
      </c>
      <c r="F9355" s="3" t="str">
        <f>"260.587.9501"</f>
        <v>260.587.9501</v>
      </c>
      <c r="G9355" s="3">
        <v>451110</v>
      </c>
      <c r="H9355" s="3" t="s">
        <v>3110</v>
      </c>
    </row>
    <row r="9356" spans="1:8" x14ac:dyDescent="0.25">
      <c r="A9356" s="3" t="s">
        <v>27199</v>
      </c>
      <c r="B9356" s="3"/>
      <c r="C9356" s="2"/>
      <c r="D9356" s="3" t="s">
        <v>9</v>
      </c>
      <c r="E9356" s="3" t="s">
        <v>46</v>
      </c>
      <c r="F9356" s="2"/>
      <c r="G9356" s="3">
        <v>444130</v>
      </c>
      <c r="H9356" s="3" t="s">
        <v>2597</v>
      </c>
    </row>
    <row r="9357" spans="1:8" ht="179.25" x14ac:dyDescent="0.25">
      <c r="A9357" s="3" t="s">
        <v>27200</v>
      </c>
      <c r="B9357" s="3"/>
      <c r="C9357" s="3" t="s">
        <v>27201</v>
      </c>
      <c r="D9357" s="3" t="s">
        <v>27202</v>
      </c>
      <c r="E9357" s="3" t="s">
        <v>27203</v>
      </c>
      <c r="F9357" s="3" t="str">
        <f>"812-988-9905"</f>
        <v>812-988-9905</v>
      </c>
      <c r="G9357" s="3">
        <v>561720</v>
      </c>
      <c r="H9357" s="3" t="s">
        <v>222</v>
      </c>
    </row>
    <row r="9358" spans="1:8" ht="102.75" x14ac:dyDescent="0.25">
      <c r="A9358" s="3" t="s">
        <v>27204</v>
      </c>
      <c r="B9358" s="3"/>
      <c r="C9358" s="3" t="str">
        <f>"services include brand management, image management (media training, opportunity planning,media buying) Strategy (mission development,board &amp; staff development,research,process mapping)Design (logos/identity,collateral,websites)Publishing,Advocacy"</f>
        <v>services include brand management, image management (media training, opportunity planning,media buying) Strategy (mission development,board &amp; staff development,research,process mapping)Design (logos/identity,collateral,websites)Publishing,Advocacy</v>
      </c>
      <c r="D9358" s="3" t="s">
        <v>27205</v>
      </c>
      <c r="E9358" s="3" t="s">
        <v>27206</v>
      </c>
      <c r="F9358" s="3" t="str">
        <f>"317-488-8927"</f>
        <v>317-488-8927</v>
      </c>
      <c r="G9358" s="3">
        <v>23599</v>
      </c>
      <c r="H9358" s="3" t="s">
        <v>248</v>
      </c>
    </row>
    <row r="9359" spans="1:8" ht="26.25" x14ac:dyDescent="0.25">
      <c r="A9359" s="3" t="s">
        <v>27207</v>
      </c>
      <c r="B9359" s="3"/>
      <c r="C9359" s="3" t="str">
        <f>"Cleaning and janitorial services"</f>
        <v>Cleaning and janitorial services</v>
      </c>
      <c r="D9359" s="3" t="s">
        <v>9</v>
      </c>
      <c r="E9359" s="3" t="s">
        <v>27208</v>
      </c>
      <c r="F9359" s="3" t="str">
        <f>"317-506-5887"</f>
        <v>317-506-5887</v>
      </c>
      <c r="G9359" s="3">
        <v>561720</v>
      </c>
      <c r="H9359" s="3" t="s">
        <v>222</v>
      </c>
    </row>
    <row r="9360" spans="1:8" ht="77.25" x14ac:dyDescent="0.25">
      <c r="A9360" s="3" t="s">
        <v>27209</v>
      </c>
      <c r="B9360" s="3"/>
      <c r="C9360" s="3" t="str">
        <f>"A sales and engineering based firm with a focus on electric heating elements, temperature controls, power controls, and LED lighting components. Serving both the OEM and End User markets. See web site for additional information."</f>
        <v>A sales and engineering based firm with a focus on electric heating elements, temperature controls, power controls, and LED lighting components. Serving both the OEM and End User markets. See web site for additional information.</v>
      </c>
      <c r="D9360" s="3" t="s">
        <v>27210</v>
      </c>
      <c r="E9360" s="3" t="s">
        <v>27211</v>
      </c>
      <c r="F9360" s="3" t="str">
        <f>"317-846-9710"</f>
        <v>317-846-9710</v>
      </c>
      <c r="G9360" s="3">
        <v>54133</v>
      </c>
      <c r="H9360" s="3" t="s">
        <v>82</v>
      </c>
    </row>
    <row r="9361" spans="1:8" ht="26.25" x14ac:dyDescent="0.25">
      <c r="A9361" s="3" t="s">
        <v>27212</v>
      </c>
      <c r="B9361" s="3"/>
      <c r="C9361" s="3" t="str">
        <f>"Training and Leadership Development for Emerging Leaders"</f>
        <v>Training and Leadership Development for Emerging Leaders</v>
      </c>
      <c r="D9361" s="3" t="s">
        <v>27213</v>
      </c>
      <c r="E9361" s="3" t="s">
        <v>27214</v>
      </c>
      <c r="F9361" s="3" t="str">
        <f>"765-437-1325"</f>
        <v>765-437-1325</v>
      </c>
      <c r="G9361" s="3">
        <v>611430</v>
      </c>
      <c r="H9361" s="3" t="s">
        <v>1224</v>
      </c>
    </row>
    <row r="9362" spans="1:8" ht="51.75" x14ac:dyDescent="0.25">
      <c r="A9362" s="3" t="s">
        <v>27215</v>
      </c>
      <c r="B9362" s="3"/>
      <c r="C9362" s="3" t="str">
        <f>"Tiffany Auto Transport is an auto transport brokerage facillitating fair and equitable agreements between our customers and carriers."</f>
        <v>Tiffany Auto Transport is an auto transport brokerage facillitating fair and equitable agreements between our customers and carriers.</v>
      </c>
      <c r="D9362" s="3" t="s">
        <v>9</v>
      </c>
      <c r="E9362" s="3" t="s">
        <v>27216</v>
      </c>
      <c r="F9362" s="3" t="str">
        <f>"5133730833"</f>
        <v>5133730833</v>
      </c>
      <c r="G9362" s="3">
        <v>488510</v>
      </c>
      <c r="H9362" s="3" t="s">
        <v>562</v>
      </c>
    </row>
    <row r="9363" spans="1:8" ht="141" x14ac:dyDescent="0.25">
      <c r="A9363" s="3" t="s">
        <v>27217</v>
      </c>
      <c r="B9363" s="3"/>
      <c r="C9363" s="3" t="s">
        <v>27218</v>
      </c>
      <c r="D9363" s="3" t="s">
        <v>27219</v>
      </c>
      <c r="E9363" s="3" t="s">
        <v>27220</v>
      </c>
      <c r="F9363" s="3" t="str">
        <f>"317-872-8113"</f>
        <v>317-872-8113</v>
      </c>
      <c r="G9363" s="3">
        <v>332322</v>
      </c>
      <c r="H9363" s="3" t="s">
        <v>2534</v>
      </c>
    </row>
    <row r="9364" spans="1:8" ht="51.75" x14ac:dyDescent="0.25">
      <c r="A9364" s="3" t="s">
        <v>27221</v>
      </c>
      <c r="B9364" s="3"/>
      <c r="C9364" s="3" t="str">
        <f>"New, removal, replacement of concrete curbs, sidewalks, driveways, slabs, machine pads, foundations. Decorative &amp; colored concrete pavement and driveways"</f>
        <v>New, removal, replacement of concrete curbs, sidewalks, driveways, slabs, machine pads, foundations. Decorative &amp; colored concrete pavement and driveways</v>
      </c>
      <c r="D9364" s="3" t="s">
        <v>9</v>
      </c>
      <c r="E9364" s="3" t="s">
        <v>27222</v>
      </c>
      <c r="F9364" s="3" t="str">
        <f>"(317) 244-1962"</f>
        <v>(317) 244-1962</v>
      </c>
      <c r="G9364" s="3">
        <v>2357</v>
      </c>
      <c r="H9364" s="3" t="s">
        <v>576</v>
      </c>
    </row>
    <row r="9365" spans="1:8" ht="243" x14ac:dyDescent="0.25">
      <c r="A9365" s="3" t="s">
        <v>27223</v>
      </c>
      <c r="B9365" s="3"/>
      <c r="C9365" s="3" t="s">
        <v>27224</v>
      </c>
      <c r="D9365" s="3" t="s">
        <v>27225</v>
      </c>
      <c r="E9365" s="3" t="s">
        <v>27226</v>
      </c>
      <c r="F9365" s="3" t="str">
        <f>"317-383-7324"</f>
        <v>317-383-7324</v>
      </c>
      <c r="G9365" s="3">
        <v>425120</v>
      </c>
      <c r="H9365" s="3" t="s">
        <v>58</v>
      </c>
    </row>
    <row r="9366" spans="1:8" ht="268.5" x14ac:dyDescent="0.25">
      <c r="A9366" s="3" t="s">
        <v>27227</v>
      </c>
      <c r="B9366" s="3"/>
      <c r="C9366" s="3" t="s">
        <v>27228</v>
      </c>
      <c r="D9366" s="3" t="s">
        <v>27229</v>
      </c>
      <c r="E9366" s="3" t="s">
        <v>27230</v>
      </c>
      <c r="F9366" s="3" t="str">
        <f>"260-494-1700"</f>
        <v>260-494-1700</v>
      </c>
      <c r="G9366" s="3">
        <v>517310</v>
      </c>
      <c r="H9366" s="3" t="s">
        <v>540</v>
      </c>
    </row>
    <row r="9367" spans="1:8" ht="153.75" x14ac:dyDescent="0.25">
      <c r="A9367" s="3" t="s">
        <v>27231</v>
      </c>
      <c r="B9367" s="3"/>
      <c r="C9367" s="3" t="s">
        <v>27232</v>
      </c>
      <c r="D9367" s="3" t="s">
        <v>9</v>
      </c>
      <c r="E9367" s="3" t="s">
        <v>27233</v>
      </c>
      <c r="F9367" s="3" t="str">
        <f>"765 489-5556"</f>
        <v>765 489-5556</v>
      </c>
      <c r="G9367" s="3">
        <v>323</v>
      </c>
      <c r="H9367" s="3" t="s">
        <v>302</v>
      </c>
    </row>
    <row r="9368" spans="1:8" ht="166.5" x14ac:dyDescent="0.25">
      <c r="A9368" s="3" t="s">
        <v>27234</v>
      </c>
      <c r="B9368" s="3"/>
      <c r="C9368" s="3" t="s">
        <v>27235</v>
      </c>
      <c r="D9368" s="3" t="s">
        <v>9</v>
      </c>
      <c r="E9368" s="3" t="s">
        <v>27236</v>
      </c>
      <c r="F9368" s="3" t="str">
        <f>"812-376-0342"</f>
        <v>812-376-0342</v>
      </c>
      <c r="G9368" s="3">
        <v>23</v>
      </c>
      <c r="H9368" s="3" t="s">
        <v>133</v>
      </c>
    </row>
    <row r="9369" spans="1:8" ht="26.25" x14ac:dyDescent="0.25">
      <c r="A9369" s="3" t="s">
        <v>27237</v>
      </c>
      <c r="B9369" s="3"/>
      <c r="C9369" s="3" t="str">
        <f>"Residential or commercial remodeling construction. Member of the BBB."</f>
        <v>Residential or commercial remodeling construction. Member of the BBB.</v>
      </c>
      <c r="D9369" s="3" t="s">
        <v>9</v>
      </c>
      <c r="E9369" s="3" t="s">
        <v>46</v>
      </c>
      <c r="F9369" s="3" t="str">
        <f>"317-834-2416"</f>
        <v>317-834-2416</v>
      </c>
      <c r="G9369" s="3">
        <v>236</v>
      </c>
      <c r="H9369" s="3" t="s">
        <v>291</v>
      </c>
    </row>
    <row r="9370" spans="1:8" ht="64.5" x14ac:dyDescent="0.25">
      <c r="A9370" s="3" t="s">
        <v>27238</v>
      </c>
      <c r="B9370" s="3"/>
      <c r="C9370" s="3" t="str">
        <f>"mobile sandblasting and paint removal business with the capabilities to work on-site to perform sandblasting of heavy equipment, automobiles, stone and brick structure restoration and graffiti removal"</f>
        <v>mobile sandblasting and paint removal business with the capabilities to work on-site to perform sandblasting of heavy equipment, automobiles, stone and brick structure restoration and graffiti removal</v>
      </c>
      <c r="D9370" s="3" t="s">
        <v>9</v>
      </c>
      <c r="E9370" s="3" t="s">
        <v>27239</v>
      </c>
      <c r="F9370" s="3" t="str">
        <f>"812-592-5699"</f>
        <v>812-592-5699</v>
      </c>
      <c r="G9370" s="3">
        <v>332813</v>
      </c>
      <c r="H9370" s="3" t="s">
        <v>12139</v>
      </c>
    </row>
    <row r="9371" spans="1:8" ht="77.25" x14ac:dyDescent="0.25">
      <c r="A9371" s="3" t="s">
        <v>27240</v>
      </c>
      <c r="B9371" s="3"/>
      <c r="C9371" s="3" t="str">
        <f>"Manufacturer of USDA bio-based premium wood protectant stain, and concrete sealer. Low VOC, Agriculturally renewable. US Green Building Council - Member Robust with 3-5 year Warranty. Protects against UV, Mold, Mildew and Algae."</f>
        <v>Manufacturer of USDA bio-based premium wood protectant stain, and concrete sealer. Low VOC, Agriculturally renewable. US Green Building Council - Member Robust with 3-5 year Warranty. Protects against UV, Mold, Mildew and Algae.</v>
      </c>
      <c r="D9371" s="3" t="s">
        <v>27241</v>
      </c>
      <c r="E9371" s="3" t="s">
        <v>27242</v>
      </c>
      <c r="F9371" s="3" t="str">
        <f>"800-203-5143"</f>
        <v>800-203-5143</v>
      </c>
      <c r="G9371" s="3">
        <v>325510</v>
      </c>
      <c r="H9371" s="3" t="s">
        <v>2050</v>
      </c>
    </row>
    <row r="9372" spans="1:8" ht="77.25" x14ac:dyDescent="0.25">
      <c r="A9372" s="3" t="s">
        <v>27243</v>
      </c>
      <c r="B9372" s="3"/>
      <c r="C9372" s="3" t="str">
        <f>"Timberline Rack supplies storage equipment and storage buildings to both commercial and industrial businesses. Timberline Rack offers material handling equipment and installations, pre engineered steel buildings and steel erection."</f>
        <v>Timberline Rack supplies storage equipment and storage buildings to both commercial and industrial businesses. Timberline Rack offers material handling equipment and installations, pre engineered steel buildings and steel erection.</v>
      </c>
      <c r="D9372" s="3" t="s">
        <v>27244</v>
      </c>
      <c r="E9372" s="3" t="s">
        <v>27245</v>
      </c>
      <c r="F9372" s="3" t="str">
        <f>"574 855-2017"</f>
        <v>574 855-2017</v>
      </c>
      <c r="G9372" s="3">
        <v>23332</v>
      </c>
      <c r="H9372" s="3" t="s">
        <v>598</v>
      </c>
    </row>
    <row r="9373" spans="1:8" ht="26.25" x14ac:dyDescent="0.25">
      <c r="A9373" s="3" t="s">
        <v>27246</v>
      </c>
      <c r="B9373" s="3"/>
      <c r="C9373" s="3" t="str">
        <f>"Commercial printing services"</f>
        <v>Commercial printing services</v>
      </c>
      <c r="D9373" s="3" t="s">
        <v>6678</v>
      </c>
      <c r="E9373" s="3" t="s">
        <v>27247</v>
      </c>
      <c r="F9373" s="3" t="str">
        <f>"(317)885-0213"</f>
        <v>(317)885-0213</v>
      </c>
      <c r="G9373" s="3">
        <v>323110</v>
      </c>
      <c r="H9373" s="3" t="s">
        <v>1900</v>
      </c>
    </row>
    <row r="9374" spans="1:8" ht="64.5" x14ac:dyDescent="0.25">
      <c r="A9374" s="3" t="s">
        <v>27248</v>
      </c>
      <c r="B9374" s="3"/>
      <c r="C9374" s="3" t="str">
        <f>"Provide payroll processing service to employers including direct deposit, reporting, tax filing and time clock equipment. Provide accounting/bookkeeping services."</f>
        <v>Provide payroll processing service to employers including direct deposit, reporting, tax filing and time clock equipment. Provide accounting/bookkeeping services.</v>
      </c>
      <c r="D9374" s="3" t="s">
        <v>27249</v>
      </c>
      <c r="E9374" s="3" t="s">
        <v>27250</v>
      </c>
      <c r="F9374" s="3" t="str">
        <f>"574-225-1500"</f>
        <v>574-225-1500</v>
      </c>
      <c r="G9374" s="3">
        <v>541214</v>
      </c>
      <c r="H9374" s="3" t="s">
        <v>3680</v>
      </c>
    </row>
    <row r="9375" spans="1:8" ht="77.25" x14ac:dyDescent="0.25">
      <c r="A9375" s="3" t="s">
        <v>27251</v>
      </c>
      <c r="B9375" s="3"/>
      <c r="C9375" s="3" t="str">
        <f>"Wired telecommunications over fiber optic facilities, as a high end provider of Image, Video, Voice &amp; Tier 1 Internet transport/access services. These services are delivered on a managed basis using Ethernet, DWDM and IP technologies."</f>
        <v>Wired telecommunications over fiber optic facilities, as a high end provider of Image, Video, Voice &amp; Tier 1 Internet transport/access services. These services are delivered on a managed basis using Ethernet, DWDM and IP technologies.</v>
      </c>
      <c r="D9375" s="3" t="s">
        <v>27252</v>
      </c>
      <c r="E9375" s="3" t="s">
        <v>27253</v>
      </c>
      <c r="F9375" s="3" t="str">
        <f>"317-713-8940"</f>
        <v>317-713-8940</v>
      </c>
      <c r="G9375" s="3">
        <v>517110</v>
      </c>
      <c r="H9375" s="3" t="s">
        <v>8574</v>
      </c>
    </row>
    <row r="9376" spans="1:8" ht="51.75" x14ac:dyDescent="0.25">
      <c r="A9376" s="3" t="s">
        <v>27254</v>
      </c>
      <c r="B9376" s="3"/>
      <c r="C9376" s="3" t="str">
        <f>"Very dependable on time lawn care, mulching and snow removal service. call 24 hours, 7 days a week. Time to Cut - Harold Russell 317-507-5082"</f>
        <v>Very dependable on time lawn care, mulching and snow removal service. call 24 hours, 7 days a week. Time to Cut - Harold Russell 317-507-5082</v>
      </c>
      <c r="D9376" s="3" t="s">
        <v>27255</v>
      </c>
      <c r="E9376" s="3" t="s">
        <v>27256</v>
      </c>
      <c r="F9376" s="3" t="str">
        <f>"317-507-5082"</f>
        <v>317-507-5082</v>
      </c>
      <c r="G9376" s="3">
        <v>561730</v>
      </c>
      <c r="H9376" s="3" t="s">
        <v>65</v>
      </c>
    </row>
    <row r="9377" spans="1:8" ht="26.25" x14ac:dyDescent="0.25">
      <c r="A9377" s="3" t="s">
        <v>27257</v>
      </c>
      <c r="B9377" s="3"/>
      <c r="C9377" s="3" t="str">
        <f>"We carrie uniforms, police duty gear, EMT supplies, and some Fire Equipment."</f>
        <v>We carrie uniforms, police duty gear, EMT supplies, and some Fire Equipment.</v>
      </c>
      <c r="D9377" s="3" t="s">
        <v>27258</v>
      </c>
      <c r="E9377" s="3" t="s">
        <v>46</v>
      </c>
      <c r="F9377" s="3" t="str">
        <f>"765-457-7930"</f>
        <v>765-457-7930</v>
      </c>
      <c r="G9377" s="3">
        <v>99999</v>
      </c>
      <c r="H9377" s="3" t="s">
        <v>8262</v>
      </c>
    </row>
    <row r="9378" spans="1:8" ht="217.5" x14ac:dyDescent="0.25">
      <c r="A9378" s="3" t="s">
        <v>27259</v>
      </c>
      <c r="B9378" s="3"/>
      <c r="C9378" s="3" t="s">
        <v>27260</v>
      </c>
      <c r="D9378" s="3" t="s">
        <v>9</v>
      </c>
      <c r="E9378" s="3" t="s">
        <v>27261</v>
      </c>
      <c r="F9378" s="3" t="str">
        <f>"317-873-9391"</f>
        <v>317-873-9391</v>
      </c>
      <c r="G9378" s="3">
        <v>54161</v>
      </c>
      <c r="H9378" s="3" t="s">
        <v>1221</v>
      </c>
    </row>
    <row r="9379" spans="1:8" ht="77.25" x14ac:dyDescent="0.25">
      <c r="A9379" s="3" t="s">
        <v>27262</v>
      </c>
      <c r="B9379" s="3"/>
      <c r="C9379" s="3" t="str">
        <f>"Your business has conference, meeting and event needs. You need everything from concepts, logistics, transportation, catering, decor and audio-visual we have the know-how, time and resources to make your needs a reality."</f>
        <v>Your business has conference, meeting and event needs. You need everything from concepts, logistics, transportation, catering, decor and audio-visual we have the know-how, time and resources to make your needs a reality.</v>
      </c>
      <c r="D9379" s="3" t="s">
        <v>27263</v>
      </c>
      <c r="E9379" s="3" t="s">
        <v>27264</v>
      </c>
      <c r="F9379" s="3" t="str">
        <f>"317-313-4046"</f>
        <v>317-313-4046</v>
      </c>
      <c r="G9379" s="3">
        <v>812990</v>
      </c>
      <c r="H9379" s="3" t="s">
        <v>294</v>
      </c>
    </row>
    <row r="9380" spans="1:8" ht="26.25" x14ac:dyDescent="0.25">
      <c r="A9380" s="3" t="s">
        <v>27265</v>
      </c>
      <c r="B9380" s="3"/>
      <c r="C9380" s="3" t="str">
        <f>"Access Control, Locksmith Services, Door and Security Hardware sold and serviced."</f>
        <v>Access Control, Locksmith Services, Door and Security Hardware sold and serviced.</v>
      </c>
      <c r="D9380" s="3" t="s">
        <v>27266</v>
      </c>
      <c r="E9380" s="3" t="s">
        <v>27267</v>
      </c>
      <c r="F9380" s="3" t="str">
        <f>"317-251-9003"</f>
        <v>317-251-9003</v>
      </c>
      <c r="G9380" s="3">
        <v>561622</v>
      </c>
      <c r="H9380" s="3" t="s">
        <v>43</v>
      </c>
    </row>
    <row r="9381" spans="1:8" ht="153.75" x14ac:dyDescent="0.25">
      <c r="A9381" s="3" t="s">
        <v>27268</v>
      </c>
      <c r="B9381" s="3"/>
      <c r="C9381" s="3" t="s">
        <v>27269</v>
      </c>
      <c r="D9381" s="3" t="s">
        <v>9</v>
      </c>
      <c r="E9381" s="3" t="s">
        <v>27270</v>
      </c>
      <c r="F9381" s="3" t="str">
        <f>"(317) 541-8468"</f>
        <v>(317) 541-8468</v>
      </c>
      <c r="G9381" s="3">
        <v>238150</v>
      </c>
      <c r="H9381" s="3" t="s">
        <v>2530</v>
      </c>
    </row>
    <row r="9382" spans="1:8" x14ac:dyDescent="0.25">
      <c r="A9382" s="3" t="s">
        <v>27271</v>
      </c>
      <c r="B9382" s="3"/>
      <c r="C9382" s="2"/>
      <c r="D9382" s="3" t="s">
        <v>9</v>
      </c>
      <c r="E9382" s="3" t="s">
        <v>46</v>
      </c>
      <c r="F9382" s="2"/>
      <c r="G9382" s="3">
        <v>44131</v>
      </c>
      <c r="H9382" s="3" t="s">
        <v>1699</v>
      </c>
    </row>
    <row r="9383" spans="1:8" ht="64.5" x14ac:dyDescent="0.25">
      <c r="A9383" s="3" t="s">
        <v>27272</v>
      </c>
      <c r="B9383" s="3"/>
      <c r="C9383" s="3" t="str">
        <f>"Architecture, Feasibility Studies, Design Consultation, Historic Buildings, Construction Management, Owner's Representative, Planning, Interior Design Consultation"</f>
        <v>Architecture, Feasibility Studies, Design Consultation, Historic Buildings, Construction Management, Owner's Representative, Planning, Interior Design Consultation</v>
      </c>
      <c r="D9383" s="3" t="s">
        <v>27273</v>
      </c>
      <c r="E9383" s="3" t="s">
        <v>27274</v>
      </c>
      <c r="F9383" s="3" t="str">
        <f>"574 518 1591"</f>
        <v>574 518 1591</v>
      </c>
      <c r="G9383" s="3">
        <v>541310</v>
      </c>
      <c r="H9383" s="3" t="s">
        <v>446</v>
      </c>
    </row>
    <row r="9384" spans="1:8" ht="26.25" x14ac:dyDescent="0.25">
      <c r="A9384" s="3" t="s">
        <v>27275</v>
      </c>
      <c r="B9384" s="3"/>
      <c r="C9384" s="3" t="str">
        <f>"Child Advocacy Center"</f>
        <v>Child Advocacy Center</v>
      </c>
      <c r="D9384" s="3" t="s">
        <v>27276</v>
      </c>
      <c r="E9384" s="3" t="s">
        <v>27277</v>
      </c>
      <c r="F9384" s="3" t="str">
        <f>"765-420-9764"</f>
        <v>765-420-9764</v>
      </c>
      <c r="G9384" s="3">
        <v>624110</v>
      </c>
      <c r="H9384" s="3" t="s">
        <v>628</v>
      </c>
    </row>
    <row r="9385" spans="1:8" ht="26.25" x14ac:dyDescent="0.25">
      <c r="A9385" s="3" t="s">
        <v>27278</v>
      </c>
      <c r="B9385" s="3"/>
      <c r="C9385" s="3" t="str">
        <f>" "</f>
        <v xml:space="preserve"> </v>
      </c>
      <c r="D9385" s="3" t="s">
        <v>27279</v>
      </c>
      <c r="E9385" s="3" t="s">
        <v>27280</v>
      </c>
      <c r="F9385" s="3" t="str">
        <f>"765-471-8828"</f>
        <v>765-471-8828</v>
      </c>
      <c r="G9385" s="3">
        <v>488490</v>
      </c>
      <c r="H9385" s="3" t="s">
        <v>4862</v>
      </c>
    </row>
    <row r="9386" spans="1:8" ht="51.75" x14ac:dyDescent="0.25">
      <c r="A9386" s="3" t="s">
        <v>27281</v>
      </c>
      <c r="B9386" s="3"/>
      <c r="C9386" s="3" t="str">
        <f>"A full service mechanical contractor providing plumbing, heating, and air conditioning service, remodel, and new installation."</f>
        <v>A full service mechanical contractor providing plumbing, heating, and air conditioning service, remodel, and new installation.</v>
      </c>
      <c r="D9386" s="3" t="s">
        <v>27282</v>
      </c>
      <c r="E9386" s="3" t="s">
        <v>27283</v>
      </c>
      <c r="F9386" s="3" t="str">
        <f>"260-625-6680"</f>
        <v>260-625-6680</v>
      </c>
      <c r="G9386" s="3">
        <v>238220</v>
      </c>
      <c r="H9386" s="3" t="s">
        <v>348</v>
      </c>
    </row>
    <row r="9387" spans="1:8" x14ac:dyDescent="0.25">
      <c r="A9387" s="3" t="s">
        <v>27284</v>
      </c>
      <c r="B9387" s="3"/>
      <c r="C9387" s="3" t="str">
        <f>" "</f>
        <v xml:space="preserve"> </v>
      </c>
      <c r="D9387" s="3" t="s">
        <v>9</v>
      </c>
      <c r="E9387" s="3" t="s">
        <v>46</v>
      </c>
      <c r="F9387" s="2"/>
      <c r="G9387" s="3">
        <v>921190</v>
      </c>
      <c r="H9387" s="3" t="s">
        <v>4809</v>
      </c>
    </row>
    <row r="9388" spans="1:8" ht="255.75" x14ac:dyDescent="0.25">
      <c r="A9388" s="3" t="s">
        <v>27285</v>
      </c>
      <c r="B9388" s="3"/>
      <c r="C9388" s="3" t="s">
        <v>27286</v>
      </c>
      <c r="D9388" s="3" t="s">
        <v>27287</v>
      </c>
      <c r="E9388" s="3" t="s">
        <v>27288</v>
      </c>
      <c r="F9388" s="3" t="str">
        <f>"765-675-3384"</f>
        <v>765-675-3384</v>
      </c>
      <c r="G9388" s="3">
        <v>81131</v>
      </c>
      <c r="H9388" s="3" t="s">
        <v>1895</v>
      </c>
    </row>
    <row r="9389" spans="1:8" ht="26.25" x14ac:dyDescent="0.25">
      <c r="A9389" s="3" t="s">
        <v>27289</v>
      </c>
      <c r="B9389" s="3"/>
      <c r="C9389" s="3" t="str">
        <f>" "</f>
        <v xml:space="preserve"> </v>
      </c>
      <c r="D9389" s="3" t="s">
        <v>27290</v>
      </c>
      <c r="E9389" s="3" t="s">
        <v>27291</v>
      </c>
      <c r="F9389" s="3" t="str">
        <f>"260-357-4187"</f>
        <v>260-357-4187</v>
      </c>
      <c r="G9389" s="3">
        <v>441320</v>
      </c>
      <c r="H9389" s="3" t="s">
        <v>190</v>
      </c>
    </row>
    <row r="9390" spans="1:8" ht="39" x14ac:dyDescent="0.25">
      <c r="A9390" s="3" t="s">
        <v>27292</v>
      </c>
      <c r="B9390" s="3"/>
      <c r="C9390" s="3" t="str">
        <f>"Tissue Source offers a full-service solution for animal tissue needs related to medical devices and bio-medical research."</f>
        <v>Tissue Source offers a full-service solution for animal tissue needs related to medical devices and bio-medical research.</v>
      </c>
      <c r="D9390" s="3" t="s">
        <v>27293</v>
      </c>
      <c r="E9390" s="3" t="s">
        <v>27294</v>
      </c>
      <c r="F9390" s="3" t="str">
        <f>"888-862-4008"</f>
        <v>888-862-4008</v>
      </c>
      <c r="G9390" s="3">
        <v>54</v>
      </c>
      <c r="H9390" s="3" t="s">
        <v>179</v>
      </c>
    </row>
    <row r="9391" spans="1:8" ht="39" x14ac:dyDescent="0.25">
      <c r="A9391" s="3" t="s">
        <v>27295</v>
      </c>
      <c r="B9391" s="3"/>
      <c r="C9391" s="3" t="str">
        <f>"Design/Build general contractor located in Northwest Indiana specializing in Industrial and Commercial construction"</f>
        <v>Design/Build general contractor located in Northwest Indiana specializing in Industrial and Commercial construction</v>
      </c>
      <c r="D9391" s="3" t="s">
        <v>27296</v>
      </c>
      <c r="E9391" s="3" t="s">
        <v>27297</v>
      </c>
      <c r="F9391" s="3" t="str">
        <f>"2198664651"</f>
        <v>2198664651</v>
      </c>
      <c r="G9391" s="3">
        <v>236210</v>
      </c>
      <c r="H9391" s="3" t="s">
        <v>1418</v>
      </c>
    </row>
    <row r="9392" spans="1:8" ht="102.75" x14ac:dyDescent="0.25">
      <c r="A9392" s="3" t="s">
        <v>27298</v>
      </c>
      <c r="B9392" s="3"/>
      <c r="C9392" s="3" t="s">
        <v>27299</v>
      </c>
      <c r="D9392" s="3" t="s">
        <v>27300</v>
      </c>
      <c r="E9392" s="3" t="s">
        <v>27301</v>
      </c>
      <c r="F9392" s="3" t="str">
        <f>"765-288-3118"</f>
        <v>765-288-3118</v>
      </c>
      <c r="G9392" s="3">
        <v>238210</v>
      </c>
      <c r="H9392" s="3" t="s">
        <v>306</v>
      </c>
    </row>
    <row r="9393" spans="1:8" ht="51.75" x14ac:dyDescent="0.25">
      <c r="A9393" s="3" t="s">
        <v>27302</v>
      </c>
      <c r="B9393" s="3"/>
      <c r="C9393" s="3" t="str">
        <f>"We offer solutions and installation of telephone and security systems including security monitoring. We also offer computer and cable networking solutions."</f>
        <v>We offer solutions and installation of telephone and security systems including security monitoring. We also offer computer and cable networking solutions.</v>
      </c>
      <c r="D9393" s="3" t="s">
        <v>27303</v>
      </c>
      <c r="E9393" s="3" t="s">
        <v>27304</v>
      </c>
      <c r="F9393" s="3" t="str">
        <f>"574-968-0953"</f>
        <v>574-968-0953</v>
      </c>
      <c r="G9393" s="3">
        <v>238210</v>
      </c>
      <c r="H9393" s="3" t="s">
        <v>306</v>
      </c>
    </row>
    <row r="9394" spans="1:8" ht="51.75" x14ac:dyDescent="0.25">
      <c r="A9394" s="3" t="s">
        <v>27305</v>
      </c>
      <c r="B9394" s="3"/>
      <c r="C9394" s="3" t="str">
        <f>"Roofing and Tree Service Contractor. Full service shingle or metal roof installations. Full service tree trimming, tree removals and brush clean up."</f>
        <v>Roofing and Tree Service Contractor. Full service shingle or metal roof installations. Full service tree trimming, tree removals and brush clean up.</v>
      </c>
      <c r="D9394" s="3" t="s">
        <v>9</v>
      </c>
      <c r="E9394" s="3" t="s">
        <v>27306</v>
      </c>
      <c r="F9394" s="3" t="str">
        <f>"812-665-9218"</f>
        <v>812-665-9218</v>
      </c>
      <c r="G9394" s="3">
        <v>561730</v>
      </c>
      <c r="H9394" s="3" t="s">
        <v>65</v>
      </c>
    </row>
    <row r="9395" spans="1:8" ht="26.25" x14ac:dyDescent="0.25">
      <c r="A9395" s="3" t="s">
        <v>27307</v>
      </c>
      <c r="B9395" s="3"/>
      <c r="C9395" s="3" t="str">
        <f>"Pumping septic tanks, holding tanks, and lift stations"</f>
        <v>Pumping septic tanks, holding tanks, and lift stations</v>
      </c>
      <c r="D9395" s="3" t="s">
        <v>9</v>
      </c>
      <c r="E9395" s="3" t="s">
        <v>46</v>
      </c>
      <c r="F9395" s="3" t="str">
        <f>"812-332-7663"</f>
        <v>812-332-7663</v>
      </c>
      <c r="G9395" s="3">
        <v>561790</v>
      </c>
      <c r="H9395" s="3" t="s">
        <v>2113</v>
      </c>
    </row>
    <row r="9396" spans="1:8" ht="26.25" x14ac:dyDescent="0.25">
      <c r="A9396" s="3" t="s">
        <v>27308</v>
      </c>
      <c r="B9396" s="3"/>
      <c r="C9396" s="3" t="str">
        <f>" "</f>
        <v xml:space="preserve"> </v>
      </c>
      <c r="D9396" s="3" t="s">
        <v>9</v>
      </c>
      <c r="E9396" s="3" t="s">
        <v>46</v>
      </c>
      <c r="F9396" s="3" t="str">
        <f>"3175039186"</f>
        <v>3175039186</v>
      </c>
      <c r="G9396" s="3">
        <v>2352</v>
      </c>
      <c r="H9396" s="3" t="s">
        <v>462</v>
      </c>
    </row>
    <row r="9397" spans="1:8" ht="102.75" x14ac:dyDescent="0.25">
      <c r="A9397" s="3" t="s">
        <v>27309</v>
      </c>
      <c r="B9397" s="3"/>
      <c r="C9397" s="3" t="s">
        <v>27310</v>
      </c>
      <c r="D9397" s="3" t="s">
        <v>27311</v>
      </c>
      <c r="E9397" s="3" t="s">
        <v>27312</v>
      </c>
      <c r="F9397" s="3" t="str">
        <f>"765.450.8862"</f>
        <v>765.450.8862</v>
      </c>
      <c r="G9397" s="3">
        <v>23599</v>
      </c>
      <c r="H9397" s="3" t="s">
        <v>248</v>
      </c>
    </row>
    <row r="9398" spans="1:8" ht="141" x14ac:dyDescent="0.25">
      <c r="A9398" s="3" t="s">
        <v>27313</v>
      </c>
      <c r="B9398" s="3"/>
      <c r="C9398" s="3" t="s">
        <v>27314</v>
      </c>
      <c r="D9398" s="3" t="s">
        <v>9</v>
      </c>
      <c r="E9398" s="3" t="s">
        <v>27315</v>
      </c>
      <c r="F9398" s="3" t="str">
        <f>"317.523.8963"</f>
        <v>317.523.8963</v>
      </c>
      <c r="G9398" s="3">
        <v>561110</v>
      </c>
      <c r="H9398" s="3" t="s">
        <v>4383</v>
      </c>
    </row>
    <row r="9399" spans="1:8" ht="268.5" x14ac:dyDescent="0.25">
      <c r="A9399" s="3" t="s">
        <v>27316</v>
      </c>
      <c r="B9399" s="3"/>
      <c r="C9399" s="3" t="s">
        <v>27317</v>
      </c>
      <c r="D9399" s="3" t="s">
        <v>27318</v>
      </c>
      <c r="E9399" s="3" t="s">
        <v>27319</v>
      </c>
      <c r="F9399" s="3" t="str">
        <f>"317-710-7836"</f>
        <v>317-710-7836</v>
      </c>
      <c r="G9399" s="3">
        <v>484121</v>
      </c>
      <c r="H9399" s="3" t="s">
        <v>342</v>
      </c>
    </row>
    <row r="9400" spans="1:8" ht="39" x14ac:dyDescent="0.25">
      <c r="A9400" s="3" t="s">
        <v>27320</v>
      </c>
      <c r="B9400" s="3"/>
      <c r="C9400" s="3" t="str">
        <f>"Freight broker working with a qualified carrier network to haul frieght of all kinds via Dry Van throughout the USA."</f>
        <v>Freight broker working with a qualified carrier network to haul frieght of all kinds via Dry Van throughout the USA.</v>
      </c>
      <c r="D9400" s="3" t="s">
        <v>27318</v>
      </c>
      <c r="E9400" s="3" t="s">
        <v>27319</v>
      </c>
      <c r="F9400" s="3" t="str">
        <f>"3176613974"</f>
        <v>3176613974</v>
      </c>
      <c r="G9400" s="3">
        <v>4885</v>
      </c>
      <c r="H9400" s="3" t="s">
        <v>562</v>
      </c>
    </row>
    <row r="9401" spans="1:8" ht="26.25" x14ac:dyDescent="0.25">
      <c r="A9401" s="3" t="s">
        <v>27321</v>
      </c>
      <c r="B9401" s="3"/>
      <c r="C9401" s="3" t="str">
        <f>"Provide services as a forensic document examiner."</f>
        <v>Provide services as a forensic document examiner.</v>
      </c>
      <c r="D9401" s="3" t="s">
        <v>9</v>
      </c>
      <c r="E9401" s="3" t="s">
        <v>27322</v>
      </c>
      <c r="F9401" s="2"/>
      <c r="G9401" s="3">
        <v>541380</v>
      </c>
      <c r="H9401" s="3" t="s">
        <v>226</v>
      </c>
    </row>
    <row r="9402" spans="1:8" ht="51.75" x14ac:dyDescent="0.25">
      <c r="A9402" s="3" t="s">
        <v>27323</v>
      </c>
      <c r="B9402" s="3"/>
      <c r="C9402" s="3" t="str">
        <f>"Services Include: Water and Fire Restoration, Mold Remediation, Air Duct Cleaning, Kitchen Exhaust Cleaning, and Carpet and Upholstery Cleaning"</f>
        <v>Services Include: Water and Fire Restoration, Mold Remediation, Air Duct Cleaning, Kitchen Exhaust Cleaning, and Carpet and Upholstery Cleaning</v>
      </c>
      <c r="D9402" s="3" t="s">
        <v>27324</v>
      </c>
      <c r="E9402" s="3" t="s">
        <v>27325</v>
      </c>
      <c r="F9402" s="3" t="str">
        <f>"219-879-1883"</f>
        <v>219-879-1883</v>
      </c>
      <c r="G9402" s="3">
        <v>23</v>
      </c>
      <c r="H9402" s="3" t="s">
        <v>133</v>
      </c>
    </row>
    <row r="9403" spans="1:8" ht="64.5" x14ac:dyDescent="0.25">
      <c r="A9403" s="3" t="s">
        <v>27326</v>
      </c>
      <c r="B9403" s="3"/>
      <c r="C9403" s="3" t="str">
        <f>"Specialty Trade Subcontractor providing Mechanical, Electrical and Plumbing Construction and Service for commercial, industrial, institutional, and utility projects."</f>
        <v>Specialty Trade Subcontractor providing Mechanical, Electrical and Plumbing Construction and Service for commercial, industrial, institutional, and utility projects.</v>
      </c>
      <c r="D9403" s="3" t="s">
        <v>9</v>
      </c>
      <c r="E9403" s="3" t="s">
        <v>27327</v>
      </c>
      <c r="F9403" s="3" t="str">
        <f>"918-902-2403"</f>
        <v>918-902-2403</v>
      </c>
      <c r="G9403" s="3">
        <v>238210</v>
      </c>
      <c r="H9403" s="3" t="s">
        <v>306</v>
      </c>
    </row>
    <row r="9404" spans="1:8" ht="192" x14ac:dyDescent="0.25">
      <c r="A9404" s="3" t="s">
        <v>27328</v>
      </c>
      <c r="B9404" s="3"/>
      <c r="C9404" s="3" t="s">
        <v>27329</v>
      </c>
      <c r="D9404" s="3" t="s">
        <v>27330</v>
      </c>
      <c r="E9404" s="3" t="s">
        <v>27331</v>
      </c>
      <c r="F9404" s="3" t="str">
        <f>"574-293-4000"</f>
        <v>574-293-4000</v>
      </c>
      <c r="G9404" s="3">
        <v>811213</v>
      </c>
      <c r="H9404" s="3" t="s">
        <v>1077</v>
      </c>
    </row>
    <row r="9405" spans="1:8" ht="39" x14ac:dyDescent="0.25">
      <c r="A9405" s="3" t="s">
        <v>27332</v>
      </c>
      <c r="B9405" s="3"/>
      <c r="C9405" s="3" t="str">
        <f>"We are a New Car Dealer who also sells Pre Owned vehicles, Parts Service and Collision repair."</f>
        <v>We are a New Car Dealer who also sells Pre Owned vehicles, Parts Service and Collision repair.</v>
      </c>
      <c r="D9405" s="3" t="s">
        <v>27333</v>
      </c>
      <c r="E9405" s="3" t="s">
        <v>27334</v>
      </c>
      <c r="F9405" s="3" t="str">
        <f>"3178054400"</f>
        <v>3178054400</v>
      </c>
      <c r="G9405" s="3">
        <v>441110</v>
      </c>
      <c r="H9405" s="3" t="s">
        <v>2588</v>
      </c>
    </row>
    <row r="9406" spans="1:8" ht="64.5" x14ac:dyDescent="0.25">
      <c r="A9406" s="3" t="s">
        <v>27332</v>
      </c>
      <c r="B9406" s="3"/>
      <c r="C9406" s="3" t="str">
        <f>"We are the largest wholesale distributor of Chrylser, Jeep, Ddge, Ram, and Fiat auto parts in the stat wih $1.8 million in inventory. We Also offer after market parts for all other makes and modeles."</f>
        <v>We are the largest wholesale distributor of Chrylser, Jeep, Ddge, Ram, and Fiat auto parts in the stat wih $1.8 million in inventory. We Also offer after market parts for all other makes and modeles.</v>
      </c>
      <c r="D9406" s="3" t="s">
        <v>27335</v>
      </c>
      <c r="E9406" s="3" t="s">
        <v>27336</v>
      </c>
      <c r="F9406" s="3" t="str">
        <f>"317-881-6791"</f>
        <v>317-881-6791</v>
      </c>
      <c r="G9406" s="3">
        <v>423120</v>
      </c>
      <c r="H9406" s="3" t="s">
        <v>1033</v>
      </c>
    </row>
    <row r="9407" spans="1:8" ht="26.25" x14ac:dyDescent="0.25">
      <c r="A9407" s="3" t="s">
        <v>27337</v>
      </c>
      <c r="B9407" s="3"/>
      <c r="C9407" s="3" t="str">
        <f>"Cars and Trucks cheaper in Milan"</f>
        <v>Cars and Trucks cheaper in Milan</v>
      </c>
      <c r="D9407" s="3" t="s">
        <v>27338</v>
      </c>
      <c r="E9407" s="3" t="s">
        <v>46</v>
      </c>
      <c r="F9407" s="3" t="str">
        <f>"812-654-3001"</f>
        <v>812-654-3001</v>
      </c>
      <c r="G9407" s="3">
        <v>44111</v>
      </c>
      <c r="H9407" s="3" t="s">
        <v>2588</v>
      </c>
    </row>
    <row r="9408" spans="1:8" ht="39" x14ac:dyDescent="0.25">
      <c r="A9408" s="3" t="s">
        <v>27339</v>
      </c>
      <c r="B9408" s="3"/>
      <c r="C9408" s="3" t="str">
        <f>"Automobile dealer selling and servicing cars and trucks. Subaru dealer of which most product is built in Lafayette, Indiana."</f>
        <v>Automobile dealer selling and servicing cars and trucks. Subaru dealer of which most product is built in Lafayette, Indiana.</v>
      </c>
      <c r="D9408" s="3" t="s">
        <v>27340</v>
      </c>
      <c r="E9408" s="3" t="s">
        <v>46</v>
      </c>
      <c r="F9408" s="3" t="str">
        <f>"3177057000"</f>
        <v>3177057000</v>
      </c>
      <c r="G9408" s="3">
        <v>441110</v>
      </c>
      <c r="H9408" s="3" t="s">
        <v>2588</v>
      </c>
    </row>
    <row r="9409" spans="1:8" ht="115.5" x14ac:dyDescent="0.25">
      <c r="A9409" s="3" t="s">
        <v>27341</v>
      </c>
      <c r="B9409" s="3"/>
      <c r="C9409" s="3" t="s">
        <v>27342</v>
      </c>
      <c r="D9409" s="3" t="s">
        <v>27343</v>
      </c>
      <c r="E9409" s="3" t="s">
        <v>27344</v>
      </c>
      <c r="F9409" s="3" t="str">
        <f>"317-259-4958"</f>
        <v>317-259-4958</v>
      </c>
      <c r="G9409" s="3">
        <v>541613</v>
      </c>
      <c r="H9409" s="3" t="s">
        <v>558</v>
      </c>
    </row>
    <row r="9410" spans="1:8" ht="90" x14ac:dyDescent="0.25">
      <c r="A9410" s="3" t="s">
        <v>27345</v>
      </c>
      <c r="B9410" s="3"/>
      <c r="C9410" s="3" t="str">
        <f>"Provider of Andersen Windows and Doors; Stanley Pro-Fit Windows and Doors; Masonite Exterior Door Units; HomeCrest, Nichols, and Shamrock Cabinets; Commercial Steel Doors; Interior Doors. Provider of replacement installation service for windows and doors."</f>
        <v>Provider of Andersen Windows and Doors; Stanley Pro-Fit Windows and Doors; Masonite Exterior Door Units; HomeCrest, Nichols, and Shamrock Cabinets; Commercial Steel Doors; Interior Doors. Provider of replacement installation service for windows and doors.</v>
      </c>
      <c r="D9410" s="3" t="s">
        <v>27346</v>
      </c>
      <c r="E9410" s="3" t="s">
        <v>27347</v>
      </c>
      <c r="F9410" s="3" t="str">
        <f>"812-330-8898"</f>
        <v>812-330-8898</v>
      </c>
      <c r="G9410" s="3">
        <v>238350</v>
      </c>
      <c r="H9410" s="3" t="s">
        <v>270</v>
      </c>
    </row>
    <row r="9411" spans="1:8" ht="51.75" x14ac:dyDescent="0.25">
      <c r="A9411" s="3" t="s">
        <v>27348</v>
      </c>
      <c r="B9411" s="3"/>
      <c r="C9411" s="3" t="str">
        <f>"We supply office supplies,office furniture, toner for laser, fax, copy machines, ink jets. Also, sell or lease Hewlett Packard MFP Copiers."</f>
        <v>We supply office supplies,office furniture, toner for laser, fax, copy machines, ink jets. Also, sell or lease Hewlett Packard MFP Copiers.</v>
      </c>
      <c r="D9411" s="3" t="s">
        <v>9</v>
      </c>
      <c r="E9411" s="3" t="s">
        <v>27349</v>
      </c>
      <c r="F9411" s="3" t="str">
        <f>"765-361-0382"</f>
        <v>765-361-0382</v>
      </c>
      <c r="G9411" s="3">
        <v>323</v>
      </c>
      <c r="H9411" s="3" t="s">
        <v>302</v>
      </c>
    </row>
    <row r="9412" spans="1:8" ht="26.25" x14ac:dyDescent="0.25">
      <c r="A9412" s="3" t="s">
        <v>27350</v>
      </c>
      <c r="B9412" s="3"/>
      <c r="C9412" s="3" t="str">
        <f>"General contracting and construction management."</f>
        <v>General contracting and construction management.</v>
      </c>
      <c r="D9412" s="3" t="s">
        <v>27351</v>
      </c>
      <c r="E9412" s="3" t="s">
        <v>46</v>
      </c>
      <c r="F9412" s="3" t="str">
        <f>"219 879-7321"</f>
        <v>219 879-7321</v>
      </c>
      <c r="G9412" s="3">
        <v>23</v>
      </c>
      <c r="H9412" s="3" t="s">
        <v>133</v>
      </c>
    </row>
    <row r="9413" spans="1:8" ht="26.25" x14ac:dyDescent="0.25">
      <c r="A9413" s="3" t="s">
        <v>27352</v>
      </c>
      <c r="B9413" s="3"/>
      <c r="C9413" s="3" t="str">
        <f>"Small bridge replacement, Commercial and residential construction"</f>
        <v>Small bridge replacement, Commercial and residential construction</v>
      </c>
      <c r="D9413" s="3" t="s">
        <v>27353</v>
      </c>
      <c r="E9413" s="3" t="s">
        <v>27354</v>
      </c>
      <c r="F9413" s="3" t="str">
        <f>"812.339.1763"</f>
        <v>812.339.1763</v>
      </c>
      <c r="G9413" s="3">
        <v>237310</v>
      </c>
      <c r="H9413" s="3" t="s">
        <v>768</v>
      </c>
    </row>
    <row r="9414" spans="1:8" ht="51.75" x14ac:dyDescent="0.25">
      <c r="A9414" s="3" t="s">
        <v>27355</v>
      </c>
      <c r="B9414" s="3"/>
      <c r="C9414" s="3" t="str">
        <f>"Go Green is a company that supplies construction materials to contractor such as mortar sand brick block anything needed for construction."</f>
        <v>Go Green is a company that supplies construction materials to contractor such as mortar sand brick block anything needed for construction.</v>
      </c>
      <c r="D9414" s="3" t="s">
        <v>9</v>
      </c>
      <c r="E9414" s="3" t="s">
        <v>27356</v>
      </c>
      <c r="F9414" s="3" t="str">
        <f>"3172523464"</f>
        <v>3172523464</v>
      </c>
      <c r="G9414" s="3">
        <v>561320</v>
      </c>
      <c r="H9414" s="3" t="s">
        <v>15</v>
      </c>
    </row>
    <row r="9415" spans="1:8" ht="26.25" x14ac:dyDescent="0.25">
      <c r="A9415" s="3" t="s">
        <v>27357</v>
      </c>
      <c r="B9415" s="3"/>
      <c r="C9415" s="3" t="str">
        <f>"Mowing, lawn fertilizer, weed &amp; pest control, landscape maint, &amp; snow removal"</f>
        <v>Mowing, lawn fertilizer, weed &amp; pest control, landscape maint, &amp; snow removal</v>
      </c>
      <c r="D9415" s="3" t="s">
        <v>27358</v>
      </c>
      <c r="E9415" s="3" t="s">
        <v>27359</v>
      </c>
      <c r="F9415" s="3" t="str">
        <f>"812-887-0645"</f>
        <v>812-887-0645</v>
      </c>
      <c r="G9415" s="3">
        <v>561730</v>
      </c>
      <c r="H9415" s="3" t="s">
        <v>65</v>
      </c>
    </row>
    <row r="9416" spans="1:8" ht="26.25" x14ac:dyDescent="0.25">
      <c r="A9416" s="3" t="s">
        <v>27360</v>
      </c>
      <c r="B9416" s="3"/>
      <c r="C9416" s="3" t="str">
        <f>"asphalt sealcoating, asphalt patching, asphalt crack sealing, paving"</f>
        <v>asphalt sealcoating, asphalt patching, asphalt crack sealing, paving</v>
      </c>
      <c r="D9416" s="3" t="s">
        <v>9</v>
      </c>
      <c r="E9416" s="3" t="s">
        <v>27361</v>
      </c>
      <c r="F9416" s="3" t="str">
        <f>"765-407-0971"</f>
        <v>765-407-0971</v>
      </c>
      <c r="G9416" s="3">
        <v>238990</v>
      </c>
      <c r="H9416" s="3" t="s">
        <v>481</v>
      </c>
    </row>
    <row r="9417" spans="1:8" ht="51.75" x14ac:dyDescent="0.25">
      <c r="A9417" s="3" t="s">
        <v>27362</v>
      </c>
      <c r="B9417" s="3"/>
      <c r="C9417" s="3" t="str">
        <f>"Case management for people with developmental disabilities, tutoring, provide training in self advocacy, home skills, community and home safety,"</f>
        <v>Case management for people with developmental disabilities, tutoring, provide training in self advocacy, home skills, community and home safety,</v>
      </c>
      <c r="D9417" s="3" t="s">
        <v>9</v>
      </c>
      <c r="E9417" s="3" t="s">
        <v>27363</v>
      </c>
      <c r="F9417" s="3" t="str">
        <f>"260-456-2581"</f>
        <v>260-456-2581</v>
      </c>
      <c r="G9417" s="3">
        <v>6241</v>
      </c>
      <c r="H9417" s="3" t="s">
        <v>2210</v>
      </c>
    </row>
    <row r="9418" spans="1:8" ht="281.25" x14ac:dyDescent="0.25">
      <c r="A9418" s="3" t="s">
        <v>27364</v>
      </c>
      <c r="B9418" s="3"/>
      <c r="C9418" s="3" t="s">
        <v>27365</v>
      </c>
      <c r="D9418" s="3" t="s">
        <v>9</v>
      </c>
      <c r="E9418" s="3" t="s">
        <v>27366</v>
      </c>
      <c r="F9418" s="3" t="str">
        <f>"317-695-0644"</f>
        <v>317-695-0644</v>
      </c>
      <c r="G9418" s="3">
        <v>54161</v>
      </c>
      <c r="H9418" s="3" t="s">
        <v>1221</v>
      </c>
    </row>
    <row r="9419" spans="1:8" ht="115.5" x14ac:dyDescent="0.25">
      <c r="A9419" s="3" t="s">
        <v>27367</v>
      </c>
      <c r="B9419" s="3"/>
      <c r="C9419" s="3" t="s">
        <v>27368</v>
      </c>
      <c r="D9419" s="3" t="s">
        <v>27369</v>
      </c>
      <c r="E9419" s="3" t="s">
        <v>27370</v>
      </c>
      <c r="F9419" s="3" t="str">
        <f>"317-260-8585"</f>
        <v>317-260-8585</v>
      </c>
      <c r="G9419" s="3">
        <v>561730</v>
      </c>
      <c r="H9419" s="3" t="s">
        <v>65</v>
      </c>
    </row>
    <row r="9420" spans="1:8" ht="77.25" x14ac:dyDescent="0.25">
      <c r="A9420" s="3" t="s">
        <v>27371</v>
      </c>
      <c r="B9420" s="3"/>
      <c r="C9420" s="3" t="str">
        <f>"Top Quality Data, LLC, Is a Telecommunications Contractor specializing in structured cabling. (voice and data cabling/equipment) fiber optics, CCTV (video surveillance system) and 3rd party testing."</f>
        <v>Top Quality Data, LLC, Is a Telecommunications Contractor specializing in structured cabling. (voice and data cabling/equipment) fiber optics, CCTV (video surveillance system) and 3rd party testing.</v>
      </c>
      <c r="D9420" s="3" t="s">
        <v>27372</v>
      </c>
      <c r="E9420" s="3" t="s">
        <v>27373</v>
      </c>
      <c r="F9420" s="3" t="str">
        <f>"317.283.3282"</f>
        <v>317.283.3282</v>
      </c>
      <c r="G9420" s="3">
        <v>238210</v>
      </c>
      <c r="H9420" s="3" t="s">
        <v>306</v>
      </c>
    </row>
    <row r="9421" spans="1:8" ht="230.25" x14ac:dyDescent="0.25">
      <c r="A9421" s="3" t="s">
        <v>27374</v>
      </c>
      <c r="B9421" s="3"/>
      <c r="C9421" s="3" t="s">
        <v>27375</v>
      </c>
      <c r="D9421" s="3" t="s">
        <v>27376</v>
      </c>
      <c r="E9421" s="3" t="s">
        <v>27377</v>
      </c>
      <c r="F9421" s="2"/>
      <c r="G9421" s="3">
        <v>541330</v>
      </c>
      <c r="H9421" s="3" t="s">
        <v>82</v>
      </c>
    </row>
    <row r="9422" spans="1:8" ht="217.5" x14ac:dyDescent="0.25">
      <c r="A9422" s="3" t="s">
        <v>27378</v>
      </c>
      <c r="B9422" s="3"/>
      <c r="C9422" s="3" t="s">
        <v>27379</v>
      </c>
      <c r="D9422" s="3" t="s">
        <v>27380</v>
      </c>
      <c r="E9422" s="3" t="s">
        <v>27381</v>
      </c>
      <c r="F9422" s="3" t="str">
        <f>"317-844-7496"</f>
        <v>317-844-7496</v>
      </c>
      <c r="G9422" s="3">
        <v>424310</v>
      </c>
      <c r="H9422" s="3" t="s">
        <v>15600</v>
      </c>
    </row>
    <row r="9423" spans="1:8" ht="26.25" x14ac:dyDescent="0.25">
      <c r="A9423" s="3" t="s">
        <v>27382</v>
      </c>
      <c r="B9423" s="3"/>
      <c r="C9423" s="3" t="str">
        <f>"Lawncare &amp; Snow Removal,Janitorial Cleaning of Commercial Business"</f>
        <v>Lawncare &amp; Snow Removal,Janitorial Cleaning of Commercial Business</v>
      </c>
      <c r="D9423" s="3" t="s">
        <v>9</v>
      </c>
      <c r="E9423" s="3" t="s">
        <v>46</v>
      </c>
      <c r="F9423" s="2"/>
      <c r="G9423" s="3">
        <v>81</v>
      </c>
      <c r="H9423" s="3" t="s">
        <v>751</v>
      </c>
    </row>
    <row r="9424" spans="1:8" ht="128.25" x14ac:dyDescent="0.25">
      <c r="A9424" s="3" t="s">
        <v>27383</v>
      </c>
      <c r="B9424" s="3"/>
      <c r="C9424" s="3" t="s">
        <v>27384</v>
      </c>
      <c r="D9424" s="3" t="s">
        <v>27385</v>
      </c>
      <c r="E9424" s="3" t="s">
        <v>27386</v>
      </c>
      <c r="F9424" s="3" t="str">
        <f>"212 709 5701"</f>
        <v>212 709 5701</v>
      </c>
      <c r="G9424" s="3">
        <v>523120</v>
      </c>
      <c r="H9424" s="3" t="s">
        <v>5173</v>
      </c>
    </row>
    <row r="9425" spans="1:8" ht="39" x14ac:dyDescent="0.25">
      <c r="A9425" s="3" t="s">
        <v>27387</v>
      </c>
      <c r="B9425" s="3"/>
      <c r="C9425" s="3" t="str">
        <f>"Toric Engineering provides control systems for water treatment and waste water treatments plants."</f>
        <v>Toric Engineering provides control systems for water treatment and waste water treatments plants.</v>
      </c>
      <c r="D9425" s="3" t="s">
        <v>27388</v>
      </c>
      <c r="E9425" s="3" t="s">
        <v>46</v>
      </c>
      <c r="F9425" s="3" t="str">
        <f>"317-718-1800"</f>
        <v>317-718-1800</v>
      </c>
      <c r="G9425" s="3">
        <v>238210</v>
      </c>
      <c r="H9425" s="3" t="s">
        <v>306</v>
      </c>
    </row>
    <row r="9426" spans="1:8" ht="166.5" x14ac:dyDescent="0.25">
      <c r="A9426" s="3" t="s">
        <v>27389</v>
      </c>
      <c r="B9426" s="3"/>
      <c r="C9426" s="3" t="s">
        <v>27390</v>
      </c>
      <c r="D9426" s="3" t="s">
        <v>27391</v>
      </c>
      <c r="E9426" s="3" t="s">
        <v>27392</v>
      </c>
      <c r="F9426" s="3" t="str">
        <f>"219-836-8918"</f>
        <v>219-836-8918</v>
      </c>
      <c r="G9426" s="3">
        <v>541330</v>
      </c>
      <c r="H9426" s="3" t="s">
        <v>82</v>
      </c>
    </row>
    <row r="9427" spans="1:8" ht="102.75" x14ac:dyDescent="0.25">
      <c r="A9427" s="3" t="s">
        <v>27393</v>
      </c>
      <c r="B9427" s="3"/>
      <c r="C9427" s="3" t="s">
        <v>27394</v>
      </c>
      <c r="D9427" s="3" t="s">
        <v>27395</v>
      </c>
      <c r="E9427" s="3" t="s">
        <v>27396</v>
      </c>
      <c r="F9427" s="3" t="str">
        <f>"(317) 248-9771"</f>
        <v>(317) 248-9771</v>
      </c>
      <c r="G9427" s="3">
        <v>722110</v>
      </c>
      <c r="H9427" s="3" t="s">
        <v>1307</v>
      </c>
    </row>
    <row r="9428" spans="1:8" ht="90" x14ac:dyDescent="0.25">
      <c r="A9428" s="3" t="s">
        <v>27397</v>
      </c>
      <c r="B9428" s="3"/>
      <c r="C9428" s="3" t="s">
        <v>27398</v>
      </c>
      <c r="D9428" s="3" t="s">
        <v>27399</v>
      </c>
      <c r="E9428" s="3" t="s">
        <v>46</v>
      </c>
      <c r="F9428" s="3" t="str">
        <f>"317-660-0300"</f>
        <v>317-660-0300</v>
      </c>
      <c r="G9428" s="3">
        <v>423420</v>
      </c>
      <c r="H9428" s="3" t="s">
        <v>521</v>
      </c>
    </row>
    <row r="9429" spans="1:8" ht="26.25" x14ac:dyDescent="0.25">
      <c r="A9429" s="3" t="s">
        <v>27400</v>
      </c>
      <c r="B9429" s="3"/>
      <c r="C9429" s="3" t="str">
        <f>"We offer newborn photography at hospitals located in the state of Indiana to families."</f>
        <v>We offer newborn photography at hospitals located in the state of Indiana to families.</v>
      </c>
      <c r="D9429" s="3" t="s">
        <v>27401</v>
      </c>
      <c r="E9429" s="3" t="s">
        <v>27402</v>
      </c>
      <c r="F9429" s="3" t="str">
        <f>"219-218-4906"</f>
        <v>219-218-4906</v>
      </c>
      <c r="G9429" s="3">
        <v>54192</v>
      </c>
      <c r="H9429" s="3" t="s">
        <v>2613</v>
      </c>
    </row>
    <row r="9430" spans="1:8" ht="64.5" x14ac:dyDescent="0.25">
      <c r="A9430" s="3" t="s">
        <v>27403</v>
      </c>
      <c r="B9430" s="3"/>
      <c r="C9430" s="3" t="str">
        <f>"We assess your technology needs, and tweak the appropriate software to fit your business processes. Effective accounting, contact relationship and website management."</f>
        <v>We assess your technology needs, and tweak the appropriate software to fit your business processes. Effective accounting, contact relationship and website management.</v>
      </c>
      <c r="D9430" s="3" t="s">
        <v>27404</v>
      </c>
      <c r="E9430" s="3" t="s">
        <v>27405</v>
      </c>
      <c r="F9430" s="3" t="str">
        <f>"317-885-0716"</f>
        <v>317-885-0716</v>
      </c>
      <c r="G9430" s="3">
        <v>541512</v>
      </c>
      <c r="H9430" s="3" t="s">
        <v>19</v>
      </c>
    </row>
    <row r="9431" spans="1:8" ht="26.25" x14ac:dyDescent="0.25">
      <c r="A9431" s="3" t="s">
        <v>27406</v>
      </c>
      <c r="B9431" s="3"/>
      <c r="C9431" s="3" t="str">
        <f>"Employee Benefits Insurance Broker"</f>
        <v>Employee Benefits Insurance Broker</v>
      </c>
      <c r="D9431" s="3" t="s">
        <v>27407</v>
      </c>
      <c r="E9431" s="3" t="s">
        <v>27408</v>
      </c>
      <c r="F9431" s="3" t="str">
        <f>"8124907262"</f>
        <v>8124907262</v>
      </c>
      <c r="G9431" s="3">
        <v>524210</v>
      </c>
      <c r="H9431" s="3" t="s">
        <v>1183</v>
      </c>
    </row>
    <row r="9432" spans="1:8" ht="115.5" x14ac:dyDescent="0.25">
      <c r="A9432" s="3" t="s">
        <v>27409</v>
      </c>
      <c r="B9432" s="3"/>
      <c r="C9432" s="3" t="s">
        <v>27410</v>
      </c>
      <c r="D9432" s="3" t="s">
        <v>9</v>
      </c>
      <c r="E9432" s="3" t="s">
        <v>27411</v>
      </c>
      <c r="F9432" s="3" t="str">
        <f>"(317) 409-5262"</f>
        <v>(317) 409-5262</v>
      </c>
      <c r="G9432" s="3">
        <v>541611</v>
      </c>
      <c r="H9432" s="3" t="s">
        <v>278</v>
      </c>
    </row>
    <row r="9433" spans="1:8" ht="26.25" x14ac:dyDescent="0.25">
      <c r="A9433" s="3" t="s">
        <v>27412</v>
      </c>
      <c r="B9433" s="3"/>
      <c r="C9433" s="3" t="str">
        <f>"New build construction Renovations Residential Commercial"</f>
        <v>New build construction Renovations Residential Commercial</v>
      </c>
      <c r="D9433" s="3" t="s">
        <v>27413</v>
      </c>
      <c r="E9433" s="3" t="s">
        <v>27414</v>
      </c>
      <c r="F9433" s="3" t="str">
        <f>"219-465-3877"</f>
        <v>219-465-3877</v>
      </c>
      <c r="G9433" s="3">
        <v>23</v>
      </c>
      <c r="H9433" s="3" t="s">
        <v>133</v>
      </c>
    </row>
    <row r="9434" spans="1:8" ht="51.75" x14ac:dyDescent="0.25">
      <c r="A9434" s="3" t="s">
        <v>27415</v>
      </c>
      <c r="B9434" s="3"/>
      <c r="C9434" s="3" t="str">
        <f>"Total Disposal provides commercial, industrial and residential waste hauling. We also offer dumpsters from 10-40 cubic yards."</f>
        <v>Total Disposal provides commercial, industrial and residential waste hauling. We also offer dumpsters from 10-40 cubic yards.</v>
      </c>
      <c r="D9434" s="3" t="s">
        <v>27416</v>
      </c>
      <c r="E9434" s="3" t="s">
        <v>27417</v>
      </c>
      <c r="F9434" s="3" t="str">
        <f>"2199441800"</f>
        <v>2199441800</v>
      </c>
      <c r="G9434" s="3">
        <v>562111</v>
      </c>
      <c r="H9434" s="3" t="s">
        <v>1818</v>
      </c>
    </row>
    <row r="9435" spans="1:8" ht="39" x14ac:dyDescent="0.25">
      <c r="A9435" s="3" t="s">
        <v>27418</v>
      </c>
      <c r="B9435" s="3"/>
      <c r="C9435" s="3" t="str">
        <f>"Commercial and residential pest control services. General pest control and termite control."</f>
        <v>Commercial and residential pest control services. General pest control and termite control.</v>
      </c>
      <c r="D9435" s="3" t="s">
        <v>27419</v>
      </c>
      <c r="E9435" s="3" t="s">
        <v>27420</v>
      </c>
      <c r="F9435" s="3" t="str">
        <f>"3177881840"</f>
        <v>3177881840</v>
      </c>
      <c r="G9435" s="3">
        <v>561710</v>
      </c>
      <c r="H9435" s="3" t="s">
        <v>946</v>
      </c>
    </row>
    <row r="9436" spans="1:8" ht="51.75" x14ac:dyDescent="0.25">
      <c r="A9436" s="3" t="s">
        <v>27421</v>
      </c>
      <c r="B9436" s="3"/>
      <c r="C9436" s="3" t="str">
        <f>"Full service advertising agency with full service printing, web, creative, media, account manangement, fulfillment and call center capabilities."</f>
        <v>Full service advertising agency with full service printing, web, creative, media, account manangement, fulfillment and call center capabilities.</v>
      </c>
      <c r="D9436" s="3" t="s">
        <v>27422</v>
      </c>
      <c r="E9436" s="3" t="s">
        <v>46</v>
      </c>
      <c r="F9436" s="3" t="str">
        <f>"317-791-9000"</f>
        <v>317-791-9000</v>
      </c>
      <c r="G9436" s="3">
        <v>541613</v>
      </c>
      <c r="H9436" s="3" t="s">
        <v>558</v>
      </c>
    </row>
    <row r="9437" spans="1:8" ht="90" x14ac:dyDescent="0.25">
      <c r="A9437" s="3" t="s">
        <v>27423</v>
      </c>
      <c r="B9437" s="3"/>
      <c r="C9437" s="3" t="str">
        <f>"Total Reward Solutions consults with clients in the areas of compensation, benefits, performance management, and reward/recognition programs. We have experience in over 20 different industries and with both for profit and not-for-profit entities."</f>
        <v>Total Reward Solutions consults with clients in the areas of compensation, benefits, performance management, and reward/recognition programs. We have experience in over 20 different industries and with both for profit and not-for-profit entities.</v>
      </c>
      <c r="D9437" s="3" t="s">
        <v>27424</v>
      </c>
      <c r="E9437" s="3" t="s">
        <v>27425</v>
      </c>
      <c r="F9437" s="3" t="str">
        <f>"317-589-8529"</f>
        <v>317-589-8529</v>
      </c>
      <c r="G9437" s="3">
        <v>541612</v>
      </c>
      <c r="H9437" s="3" t="s">
        <v>1923</v>
      </c>
    </row>
    <row r="9438" spans="1:8" ht="64.5" x14ac:dyDescent="0.25">
      <c r="A9438" s="3" t="s">
        <v>27426</v>
      </c>
      <c r="B9438" s="3"/>
      <c r="C9438" s="3" t="str">
        <f>"Provides secure on-stie document destruction of confidential material; paper, microfilm, plastic perscription bottles, CDs, and diskettes weekly, bi-weekly or monthly. We recycle all materials."</f>
        <v>Provides secure on-stie document destruction of confidential material; paper, microfilm, plastic perscription bottles, CDs, and diskettes weekly, bi-weekly or monthly. We recycle all materials.</v>
      </c>
      <c r="D9438" s="3" t="s">
        <v>27427</v>
      </c>
      <c r="E9438" s="3" t="s">
        <v>27428</v>
      </c>
      <c r="F9438" s="3" t="str">
        <f>"317-869-7889"</f>
        <v>317-869-7889</v>
      </c>
      <c r="G9438" s="3">
        <v>561990</v>
      </c>
      <c r="H9438" s="3" t="s">
        <v>219</v>
      </c>
    </row>
    <row r="9439" spans="1:8" ht="26.25" x14ac:dyDescent="0.25">
      <c r="A9439" s="3" t="s">
        <v>27429</v>
      </c>
      <c r="B9439" s="3"/>
      <c r="C9439" s="3" t="str">
        <f>"Information Technology staffing and consulting."</f>
        <v>Information Technology staffing and consulting.</v>
      </c>
      <c r="D9439" s="3" t="s">
        <v>9</v>
      </c>
      <c r="E9439" s="3" t="s">
        <v>27430</v>
      </c>
      <c r="F9439" s="3" t="str">
        <f>"8772693418"</f>
        <v>8772693418</v>
      </c>
      <c r="G9439" s="3">
        <v>541511</v>
      </c>
      <c r="H9439" s="3" t="s">
        <v>122</v>
      </c>
    </row>
    <row r="9440" spans="1:8" ht="39" x14ac:dyDescent="0.25">
      <c r="A9440" s="3" t="s">
        <v>27431</v>
      </c>
      <c r="B9440" s="3"/>
      <c r="C9440" s="3" t="str">
        <f>"Apply a non slip product on floors that are extremely slippery when wet. Also sell environmentally safe degreaser products."</f>
        <v>Apply a non slip product on floors that are extremely slippery when wet. Also sell environmentally safe degreaser products.</v>
      </c>
      <c r="D9440" s="3" t="s">
        <v>9</v>
      </c>
      <c r="E9440" s="3" t="s">
        <v>27432</v>
      </c>
      <c r="F9440" s="3" t="str">
        <f>"812-401-4550"</f>
        <v>812-401-4550</v>
      </c>
      <c r="G9440" s="3">
        <v>561720</v>
      </c>
      <c r="H9440" s="3" t="s">
        <v>222</v>
      </c>
    </row>
    <row r="9441" spans="1:8" ht="102.75" x14ac:dyDescent="0.25">
      <c r="A9441" s="3" t="s">
        <v>27433</v>
      </c>
      <c r="B9441" s="3"/>
      <c r="C9441" s="3" t="s">
        <v>27434</v>
      </c>
      <c r="D9441" s="3" t="s">
        <v>27435</v>
      </c>
      <c r="E9441" s="3" t="s">
        <v>27436</v>
      </c>
      <c r="F9441" s="3" t="str">
        <f>"317-596-3800X1241"</f>
        <v>317-596-3800X1241</v>
      </c>
      <c r="G9441" s="3">
        <v>541512</v>
      </c>
      <c r="H9441" s="3" t="s">
        <v>19</v>
      </c>
    </row>
    <row r="9442" spans="1:8" ht="204.75" x14ac:dyDescent="0.25">
      <c r="A9442" s="3" t="s">
        <v>27437</v>
      </c>
      <c r="B9442" s="3"/>
      <c r="C9442" s="3" t="s">
        <v>27438</v>
      </c>
      <c r="D9442" s="3" t="s">
        <v>27439</v>
      </c>
      <c r="E9442" s="3" t="s">
        <v>2619</v>
      </c>
      <c r="F9442" s="3" t="str">
        <f>"317-849-6688"</f>
        <v>317-849-6688</v>
      </c>
      <c r="G9442" s="3">
        <v>541810</v>
      </c>
      <c r="H9442" s="3" t="s">
        <v>976</v>
      </c>
    </row>
    <row r="9443" spans="1:8" ht="64.5" x14ac:dyDescent="0.25">
      <c r="A9443" s="3" t="s">
        <v>27440</v>
      </c>
      <c r="B9443" s="3"/>
      <c r="C9443" s="3" t="str">
        <f>"We provide professional care with a loving touch. Assisting in the daily activities of the elderly and disabled community. We prepare meals, assist with bathing, run errands with clients and companion care."</f>
        <v>We provide professional care with a loving touch. Assisting in the daily activities of the elderly and disabled community. We prepare meals, assist with bathing, run errands with clients and companion care.</v>
      </c>
      <c r="D9443" s="3" t="s">
        <v>26127</v>
      </c>
      <c r="E9443" s="3" t="s">
        <v>27441</v>
      </c>
      <c r="F9443" s="3" t="str">
        <f>"317-353-6778"</f>
        <v>317-353-6778</v>
      </c>
      <c r="G9443" s="3">
        <v>624120</v>
      </c>
      <c r="H9443" s="3" t="s">
        <v>22</v>
      </c>
    </row>
    <row r="9444" spans="1:8" ht="115.5" x14ac:dyDescent="0.25">
      <c r="A9444" s="3" t="s">
        <v>27442</v>
      </c>
      <c r="B9444" s="3"/>
      <c r="C9444" s="3" t="s">
        <v>27443</v>
      </c>
      <c r="D9444" s="3" t="s">
        <v>27444</v>
      </c>
      <c r="E9444" s="3" t="s">
        <v>27445</v>
      </c>
      <c r="F9444" s="3" t="str">
        <f>"317-897-5217"</f>
        <v>317-897-5217</v>
      </c>
      <c r="G9444" s="3">
        <v>621610</v>
      </c>
      <c r="H9444" s="3" t="s">
        <v>328</v>
      </c>
    </row>
    <row r="9445" spans="1:8" ht="77.25" x14ac:dyDescent="0.25">
      <c r="A9445" s="3" t="s">
        <v>27446</v>
      </c>
      <c r="B9445" s="3"/>
      <c r="C9445" s="3" t="str">
        <f>"Small Woman Minority HubZone certified business that providing web graphic design, hosting desktop publishing and E-commerce solutions to Sm. Business and Not for profits agencies. IT Training assistance and installation services available"</f>
        <v>Small Woman Minority HubZone certified business that providing web graphic design, hosting desktop publishing and E-commerce solutions to Sm. Business and Not for profits agencies. IT Training assistance and installation services available</v>
      </c>
      <c r="D9445" s="3" t="s">
        <v>27447</v>
      </c>
      <c r="E9445" s="3" t="s">
        <v>27448</v>
      </c>
      <c r="F9445" s="3" t="str">
        <f>"866-903-8227"</f>
        <v>866-903-8227</v>
      </c>
      <c r="G9445" s="3">
        <v>518210</v>
      </c>
      <c r="H9445" s="3" t="s">
        <v>3133</v>
      </c>
    </row>
    <row r="9446" spans="1:8" ht="230.25" x14ac:dyDescent="0.25">
      <c r="A9446" s="3" t="s">
        <v>27449</v>
      </c>
      <c r="B9446" s="3"/>
      <c r="C9446" s="3" t="s">
        <v>27450</v>
      </c>
      <c r="D9446" s="3" t="s">
        <v>27447</v>
      </c>
      <c r="E9446" s="3" t="s">
        <v>27448</v>
      </c>
      <c r="F9446" s="3" t="str">
        <f>"7652840305"</f>
        <v>7652840305</v>
      </c>
      <c r="G9446" s="3">
        <v>541511</v>
      </c>
      <c r="H9446" s="3" t="s">
        <v>122</v>
      </c>
    </row>
    <row r="9447" spans="1:8" ht="39" x14ac:dyDescent="0.25">
      <c r="A9447" s="3" t="s">
        <v>27451</v>
      </c>
      <c r="B9447" s="3"/>
      <c r="C9447" s="3" t="str">
        <f>"Precision dimensional inspection lab. We do precision measurement and inspection on parts made of a variety of material."</f>
        <v>Precision dimensional inspection lab. We do precision measurement and inspection on parts made of a variety of material.</v>
      </c>
      <c r="D9447" s="3" t="s">
        <v>27452</v>
      </c>
      <c r="E9447" s="3" t="s">
        <v>27453</v>
      </c>
      <c r="F9447" s="3" t="str">
        <f>"765-454-5888"</f>
        <v>765-454-5888</v>
      </c>
      <c r="G9447" s="3">
        <v>541380</v>
      </c>
      <c r="H9447" s="3" t="s">
        <v>226</v>
      </c>
    </row>
    <row r="9448" spans="1:8" ht="306.75" x14ac:dyDescent="0.25">
      <c r="A9448" s="3" t="s">
        <v>27454</v>
      </c>
      <c r="B9448" s="3"/>
      <c r="C9448" s="3" t="s">
        <v>27455</v>
      </c>
      <c r="D9448" s="3" t="s">
        <v>27456</v>
      </c>
      <c r="E9448" s="3" t="s">
        <v>27457</v>
      </c>
      <c r="F9448" s="3" t="str">
        <f>"(812) 876-9003"</f>
        <v>(812) 876-9003</v>
      </c>
      <c r="G9448" s="3">
        <v>621399</v>
      </c>
      <c r="H9448" s="3" t="s">
        <v>2306</v>
      </c>
    </row>
    <row r="9449" spans="1:8" ht="26.25" x14ac:dyDescent="0.25">
      <c r="A9449" s="3" t="s">
        <v>27458</v>
      </c>
      <c r="B9449" s="3"/>
      <c r="C9449" s="3" t="str">
        <f>"Snow and Ice Removal"</f>
        <v>Snow and Ice Removal</v>
      </c>
      <c r="D9449" s="3" t="s">
        <v>27459</v>
      </c>
      <c r="E9449" s="3" t="s">
        <v>46</v>
      </c>
      <c r="F9449" s="3" t="str">
        <f>"847-695-0080"</f>
        <v>847-695-0080</v>
      </c>
      <c r="G9449" s="3">
        <v>561730</v>
      </c>
      <c r="H9449" s="3" t="s">
        <v>65</v>
      </c>
    </row>
    <row r="9450" spans="1:8" ht="26.25" x14ac:dyDescent="0.25">
      <c r="A9450" s="3" t="s">
        <v>27460</v>
      </c>
      <c r="B9450" s="3"/>
      <c r="C9450" s="3" t="str">
        <f>"turck bodies sale and repair"</f>
        <v>turck bodies sale and repair</v>
      </c>
      <c r="D9450" s="3" t="s">
        <v>9</v>
      </c>
      <c r="E9450" s="3" t="s">
        <v>27461</v>
      </c>
      <c r="F9450" s="3" t="str">
        <f>"8128229600"</f>
        <v>8128229600</v>
      </c>
      <c r="G9450" s="3">
        <v>336211</v>
      </c>
      <c r="H9450" s="3" t="s">
        <v>6061</v>
      </c>
    </row>
    <row r="9451" spans="1:8" ht="115.5" x14ac:dyDescent="0.25">
      <c r="A9451" s="3" t="s">
        <v>27462</v>
      </c>
      <c r="B9451" s="3"/>
      <c r="C9451" s="3" t="s">
        <v>27463</v>
      </c>
      <c r="D9451" s="3" t="s">
        <v>9</v>
      </c>
      <c r="E9451" s="3" t="s">
        <v>27464</v>
      </c>
      <c r="F9451" s="3" t="str">
        <f>"812-331-2200"</f>
        <v>812-331-2200</v>
      </c>
      <c r="G9451" s="3">
        <v>4411</v>
      </c>
      <c r="H9451" s="3" t="s">
        <v>1015</v>
      </c>
    </row>
    <row r="9452" spans="1:8" ht="26.25" x14ac:dyDescent="0.25">
      <c r="A9452" s="3" t="s">
        <v>27465</v>
      </c>
      <c r="B9452" s="3"/>
      <c r="C9452" s="3" t="str">
        <f>"Hot Mix Asphalt material and Paving"</f>
        <v>Hot Mix Asphalt material and Paving</v>
      </c>
      <c r="D9452" s="3" t="s">
        <v>9</v>
      </c>
      <c r="E9452" s="3" t="s">
        <v>27466</v>
      </c>
      <c r="F9452" s="3" t="str">
        <f>"219-987-5450"</f>
        <v>219-987-5450</v>
      </c>
      <c r="G9452" s="3">
        <v>237310</v>
      </c>
      <c r="H9452" s="3" t="s">
        <v>768</v>
      </c>
    </row>
    <row r="9453" spans="1:8" ht="26.25" x14ac:dyDescent="0.25">
      <c r="A9453" s="3" t="s">
        <v>27467</v>
      </c>
      <c r="B9453" s="3"/>
      <c r="C9453" s="3" t="str">
        <f>"passenger transportation and full transportation services for handicaps"</f>
        <v>passenger transportation and full transportation services for handicaps</v>
      </c>
      <c r="D9453" s="3" t="s">
        <v>9</v>
      </c>
      <c r="E9453" s="3" t="s">
        <v>27468</v>
      </c>
      <c r="F9453" s="3" t="str">
        <f>"317-531-1462"</f>
        <v>317-531-1462</v>
      </c>
      <c r="G9453" s="3">
        <v>485</v>
      </c>
      <c r="H9453" s="3" t="s">
        <v>18553</v>
      </c>
    </row>
    <row r="9454" spans="1:8" x14ac:dyDescent="0.25">
      <c r="A9454" s="3" t="s">
        <v>27469</v>
      </c>
      <c r="B9454" s="3"/>
      <c r="C9454" s="3" t="str">
        <f>" "</f>
        <v xml:space="preserve"> </v>
      </c>
      <c r="D9454" s="3" t="s">
        <v>9</v>
      </c>
      <c r="E9454" s="3" t="s">
        <v>46</v>
      </c>
      <c r="F9454" s="2"/>
      <c r="G9454" s="3">
        <v>921110</v>
      </c>
      <c r="H9454" s="3" t="s">
        <v>5873</v>
      </c>
    </row>
    <row r="9455" spans="1:8" x14ac:dyDescent="0.25">
      <c r="A9455" s="3" t="s">
        <v>27470</v>
      </c>
      <c r="B9455" s="3"/>
      <c r="C9455" s="3" t="str">
        <f>" "</f>
        <v xml:space="preserve"> </v>
      </c>
      <c r="D9455" s="3" t="s">
        <v>9</v>
      </c>
      <c r="E9455" s="3" t="s">
        <v>46</v>
      </c>
      <c r="F9455" s="2"/>
      <c r="G9455" s="3">
        <v>921110</v>
      </c>
      <c r="H9455" s="3" t="s">
        <v>5873</v>
      </c>
    </row>
    <row r="9456" spans="1:8" x14ac:dyDescent="0.25">
      <c r="A9456" s="3" t="s">
        <v>27471</v>
      </c>
      <c r="B9456" s="3"/>
      <c r="C9456" s="3" t="str">
        <f>" "</f>
        <v xml:space="preserve"> </v>
      </c>
      <c r="D9456" s="3" t="s">
        <v>9</v>
      </c>
      <c r="E9456" s="3" t="s">
        <v>46</v>
      </c>
      <c r="F9456" s="2"/>
      <c r="G9456" s="3">
        <v>921110</v>
      </c>
      <c r="H9456" s="3" t="s">
        <v>5873</v>
      </c>
    </row>
    <row r="9457" spans="1:8" x14ac:dyDescent="0.25">
      <c r="A9457" s="3" t="s">
        <v>27472</v>
      </c>
      <c r="B9457" s="3"/>
      <c r="C9457" s="3" t="str">
        <f>" "</f>
        <v xml:space="preserve"> </v>
      </c>
      <c r="D9457" s="3" t="s">
        <v>9</v>
      </c>
      <c r="E9457" s="3" t="s">
        <v>46</v>
      </c>
      <c r="F9457" s="2"/>
      <c r="G9457" s="3">
        <v>921190</v>
      </c>
      <c r="H9457" s="3" t="s">
        <v>4809</v>
      </c>
    </row>
    <row r="9458" spans="1:8" ht="26.25" x14ac:dyDescent="0.25">
      <c r="A9458" s="3" t="s">
        <v>27473</v>
      </c>
      <c r="B9458" s="3"/>
      <c r="C9458" s="3" t="str">
        <f>"Custom designs, sales and service for cabinets and counter tops"</f>
        <v>Custom designs, sales and service for cabinets and counter tops</v>
      </c>
      <c r="D9458" s="3" t="s">
        <v>27474</v>
      </c>
      <c r="E9458" s="3" t="s">
        <v>27475</v>
      </c>
      <c r="F9458" s="3" t="str">
        <f>"317-839-9006"</f>
        <v>317-839-9006</v>
      </c>
      <c r="G9458" s="3">
        <v>444190</v>
      </c>
      <c r="H9458" s="3" t="s">
        <v>1188</v>
      </c>
    </row>
    <row r="9459" spans="1:8" ht="64.5" x14ac:dyDescent="0.25">
      <c r="A9459" s="3" t="s">
        <v>27476</v>
      </c>
      <c r="B9459" s="3"/>
      <c r="C9459" s="3" t="str">
        <f>"Our primary emphasis is the construction and maintenance of railroad track systems for industrial facilities. We are also on the recommended contractors list of all the major serving line railroads."</f>
        <v>Our primary emphasis is the construction and maintenance of railroad track systems for industrial facilities. We are also on the recommended contractors list of all the major serving line railroads.</v>
      </c>
      <c r="D9459" s="3" t="s">
        <v>27477</v>
      </c>
      <c r="E9459" s="3" t="s">
        <v>27478</v>
      </c>
      <c r="F9459" s="3" t="str">
        <f>"219-924-2304"</f>
        <v>219-924-2304</v>
      </c>
      <c r="G9459" s="3">
        <v>238</v>
      </c>
      <c r="H9459" s="3" t="s">
        <v>397</v>
      </c>
    </row>
    <row r="9460" spans="1:8" ht="26.25" x14ac:dyDescent="0.25">
      <c r="A9460" s="3" t="s">
        <v>27479</v>
      </c>
      <c r="B9460" s="3"/>
      <c r="C9460" s="3" t="str">
        <f>"Traffic control equipment rental, sales and installation."</f>
        <v>Traffic control equipment rental, sales and installation.</v>
      </c>
      <c r="D9460" s="3" t="s">
        <v>9</v>
      </c>
      <c r="E9460" s="3" t="s">
        <v>27480</v>
      </c>
      <c r="F9460" s="3" t="str">
        <f>"574-772-7001"</f>
        <v>574-772-7001</v>
      </c>
      <c r="G9460" s="3">
        <v>237310</v>
      </c>
      <c r="H9460" s="3" t="s">
        <v>768</v>
      </c>
    </row>
    <row r="9461" spans="1:8" ht="319.5" x14ac:dyDescent="0.25">
      <c r="A9461" s="3" t="s">
        <v>27481</v>
      </c>
      <c r="B9461" s="3"/>
      <c r="C9461" s="3" t="s">
        <v>27482</v>
      </c>
      <c r="D9461" s="3" t="s">
        <v>27483</v>
      </c>
      <c r="E9461" s="3" t="s">
        <v>27484</v>
      </c>
      <c r="F9461" s="3" t="str">
        <f>"317-745-7126"</f>
        <v>317-745-7126</v>
      </c>
      <c r="G9461" s="3">
        <v>541330</v>
      </c>
      <c r="H9461" s="3" t="s">
        <v>82</v>
      </c>
    </row>
    <row r="9462" spans="1:8" ht="128.25" x14ac:dyDescent="0.25">
      <c r="A9462" s="3" t="s">
        <v>27485</v>
      </c>
      <c r="B9462" s="3"/>
      <c r="C9462" s="3" t="s">
        <v>27486</v>
      </c>
      <c r="D9462" s="3" t="s">
        <v>27487</v>
      </c>
      <c r="E9462" s="3" t="s">
        <v>27488</v>
      </c>
      <c r="F9462" s="3" t="str">
        <f>"1-855-203-3096"</f>
        <v>1-855-203-3096</v>
      </c>
      <c r="G9462" s="3">
        <v>541611</v>
      </c>
      <c r="H9462" s="3" t="s">
        <v>278</v>
      </c>
    </row>
    <row r="9463" spans="1:8" ht="51.75" x14ac:dyDescent="0.25">
      <c r="A9463" s="3" t="s">
        <v>27489</v>
      </c>
      <c r="B9463" s="3"/>
      <c r="C9463" s="3" t="str">
        <f>"Provides Workforce Training and other communication services which increase professionalism and expand the company's visibility in Indiana and beyond."</f>
        <v>Provides Workforce Training and other communication services which increase professionalism and expand the company's visibility in Indiana and beyond.</v>
      </c>
      <c r="D9463" s="3" t="s">
        <v>27490</v>
      </c>
      <c r="E9463" s="3" t="s">
        <v>27491</v>
      </c>
      <c r="F9463" s="3" t="str">
        <f>"765-969-0351"</f>
        <v>765-969-0351</v>
      </c>
      <c r="G9463" s="3">
        <v>611430</v>
      </c>
      <c r="H9463" s="3" t="s">
        <v>1224</v>
      </c>
    </row>
    <row r="9464" spans="1:8" ht="332.25" x14ac:dyDescent="0.25">
      <c r="A9464" s="3" t="s">
        <v>27492</v>
      </c>
      <c r="B9464" s="3"/>
      <c r="C9464" s="3" t="s">
        <v>27493</v>
      </c>
      <c r="D9464" s="3" t="s">
        <v>27494</v>
      </c>
      <c r="E9464" s="3" t="s">
        <v>27495</v>
      </c>
      <c r="F9464" s="3" t="str">
        <f>"812/603-2688"</f>
        <v>812/603-2688</v>
      </c>
      <c r="G9464" s="3">
        <v>611430</v>
      </c>
      <c r="H9464" s="3" t="s">
        <v>1224</v>
      </c>
    </row>
    <row r="9465" spans="1:8" ht="64.5" x14ac:dyDescent="0.25">
      <c r="A9465" s="3" t="s">
        <v>27496</v>
      </c>
      <c r="B9465" s="3"/>
      <c r="C9465" s="3" t="str">
        <f>"Veterinary Technician &amp; Dog Trainer Puppy Kindergarten, Obedience, SOS Training Positive Training Methods; In home private lessons ""Life is a pain; Your dog does not have to be."""</f>
        <v>Veterinary Technician &amp; Dog Trainer Puppy Kindergarten, Obedience, SOS Training Positive Training Methods; In home private lessons "Life is a pain; Your dog does not have to be."</v>
      </c>
      <c r="D9465" s="3" t="s">
        <v>27497</v>
      </c>
      <c r="E9465" s="3" t="s">
        <v>27498</v>
      </c>
      <c r="F9465" s="3" t="str">
        <f>"260-232-4703"</f>
        <v>260-232-4703</v>
      </c>
      <c r="G9465" s="3">
        <v>812910</v>
      </c>
      <c r="H9465" s="3" t="s">
        <v>2294</v>
      </c>
    </row>
    <row r="9466" spans="1:8" ht="39" x14ac:dyDescent="0.25">
      <c r="A9466" s="3" t="s">
        <v>27499</v>
      </c>
      <c r="B9466" s="3"/>
      <c r="C9466" s="3" t="str">
        <f>"Training and consulting business for businesses, schools, and non-profit organizations."</f>
        <v>Training and consulting business for businesses, schools, and non-profit organizations.</v>
      </c>
      <c r="D9466" s="3" t="s">
        <v>9</v>
      </c>
      <c r="E9466" s="3" t="s">
        <v>27500</v>
      </c>
      <c r="F9466" s="3" t="str">
        <f>"260-349-1257"</f>
        <v>260-349-1257</v>
      </c>
      <c r="G9466" s="3">
        <v>5614</v>
      </c>
      <c r="H9466" s="3" t="s">
        <v>847</v>
      </c>
    </row>
    <row r="9467" spans="1:8" ht="26.25" x14ac:dyDescent="0.25">
      <c r="A9467" s="3" t="s">
        <v>27501</v>
      </c>
      <c r="B9467" s="3"/>
      <c r="C9467" s="3" t="str">
        <f>"Underground utilities (sewer/water), site development, general contracting."</f>
        <v>Underground utilities (sewer/water), site development, general contracting.</v>
      </c>
      <c r="D9467" s="3" t="s">
        <v>9</v>
      </c>
      <c r="E9467" s="3" t="s">
        <v>27502</v>
      </c>
      <c r="F9467" s="3" t="str">
        <f>"317-356-3514"</f>
        <v>317-356-3514</v>
      </c>
      <c r="G9467" s="3">
        <v>237310</v>
      </c>
      <c r="H9467" s="3" t="s">
        <v>768</v>
      </c>
    </row>
    <row r="9468" spans="1:8" ht="26.25" x14ac:dyDescent="0.25">
      <c r="A9468" s="3" t="s">
        <v>27503</v>
      </c>
      <c r="B9468" s="3"/>
      <c r="C9468" s="3" t="str">
        <f>"Interior Landscaping , Christmas Decorations and Gift Baskets"</f>
        <v>Interior Landscaping , Christmas Decorations and Gift Baskets</v>
      </c>
      <c r="D9468" s="3" t="s">
        <v>9</v>
      </c>
      <c r="E9468" s="3" t="s">
        <v>27504</v>
      </c>
      <c r="F9468" s="3" t="str">
        <f>"317-972-6760"</f>
        <v>317-972-6760</v>
      </c>
      <c r="G9468" s="3">
        <v>541410</v>
      </c>
      <c r="H9468" s="3" t="s">
        <v>687</v>
      </c>
    </row>
    <row r="9469" spans="1:8" ht="51.75" x14ac:dyDescent="0.25">
      <c r="A9469" s="3" t="s">
        <v>27505</v>
      </c>
      <c r="B9469" s="3"/>
      <c r="C9469" s="3" t="str">
        <f>"Consultant for Trucking Companies, DOT compliance, authorities, permits, plates, fuel taxes, drug &amp; alcohol testing, and much more."</f>
        <v>Consultant for Trucking Companies, DOT compliance, authorities, permits, plates, fuel taxes, drug &amp; alcohol testing, and much more.</v>
      </c>
      <c r="D9469" s="3" t="s">
        <v>9</v>
      </c>
      <c r="E9469" s="3" t="s">
        <v>27506</v>
      </c>
      <c r="F9469" s="3" t="str">
        <f>"(219) 261-3283"</f>
        <v>(219) 261-3283</v>
      </c>
      <c r="G9469" s="3">
        <v>488490</v>
      </c>
      <c r="H9469" s="3" t="s">
        <v>4862</v>
      </c>
    </row>
    <row r="9470" spans="1:8" ht="166.5" x14ac:dyDescent="0.25">
      <c r="A9470" s="3" t="s">
        <v>27507</v>
      </c>
      <c r="B9470" s="3"/>
      <c r="C9470" s="3" t="s">
        <v>27508</v>
      </c>
      <c r="D9470" s="3" t="s">
        <v>27509</v>
      </c>
      <c r="E9470" s="3" t="s">
        <v>27510</v>
      </c>
      <c r="F9470" s="3" t="str">
        <f>"2012218449"</f>
        <v>2012218449</v>
      </c>
      <c r="G9470" s="3">
        <v>811212</v>
      </c>
      <c r="H9470" s="3" t="s">
        <v>1632</v>
      </c>
    </row>
    <row r="9471" spans="1:8" ht="102.75" x14ac:dyDescent="0.25">
      <c r="A9471" s="3" t="s">
        <v>27511</v>
      </c>
      <c r="B9471" s="3"/>
      <c r="C9471" s="3" t="s">
        <v>27512</v>
      </c>
      <c r="D9471" s="3" t="s">
        <v>27513</v>
      </c>
      <c r="E9471" s="3" t="s">
        <v>27514</v>
      </c>
      <c r="F9471" s="3" t="str">
        <f>"317-466-0811"</f>
        <v>317-466-0811</v>
      </c>
      <c r="G9471" s="3">
        <v>512191</v>
      </c>
      <c r="H9471" s="3" t="s">
        <v>19055</v>
      </c>
    </row>
    <row r="9472" spans="1:8" ht="179.25" x14ac:dyDescent="0.25">
      <c r="A9472" s="3" t="s">
        <v>27515</v>
      </c>
      <c r="B9472" s="3"/>
      <c r="C9472" s="3" t="s">
        <v>27516</v>
      </c>
      <c r="D9472" s="3" t="s">
        <v>27517</v>
      </c>
      <c r="E9472" s="3" t="s">
        <v>27518</v>
      </c>
      <c r="F9472" s="3" t="str">
        <f>"800-440-9337"</f>
        <v>800-440-9337</v>
      </c>
      <c r="G9472" s="3">
        <v>337127</v>
      </c>
      <c r="H9472" s="3" t="s">
        <v>27519</v>
      </c>
    </row>
    <row r="9473" spans="1:8" ht="102.75" x14ac:dyDescent="0.25">
      <c r="A9473" s="3" t="s">
        <v>27520</v>
      </c>
      <c r="B9473" s="3"/>
      <c r="C9473" s="3" t="s">
        <v>27521</v>
      </c>
      <c r="D9473" s="3" t="s">
        <v>27522</v>
      </c>
      <c r="E9473" s="3" t="s">
        <v>27523</v>
      </c>
      <c r="F9473" s="3" t="str">
        <f>"574.266.4118"</f>
        <v>574.266.4118</v>
      </c>
      <c r="G9473" s="3">
        <v>314912</v>
      </c>
      <c r="H9473" s="3" t="s">
        <v>2875</v>
      </c>
    </row>
    <row r="9474" spans="1:8" ht="306.75" x14ac:dyDescent="0.25">
      <c r="A9474" s="3" t="s">
        <v>27524</v>
      </c>
      <c r="B9474" s="3"/>
      <c r="C9474" s="3" t="s">
        <v>27525</v>
      </c>
      <c r="D9474" s="3" t="s">
        <v>27526</v>
      </c>
      <c r="E9474" s="3" t="s">
        <v>27527</v>
      </c>
      <c r="F9474" s="3" t="str">
        <f>"(317)466-1749"</f>
        <v>(317)466-1749</v>
      </c>
      <c r="G9474" s="3">
        <v>62199</v>
      </c>
      <c r="H9474" s="3" t="s">
        <v>12652</v>
      </c>
    </row>
    <row r="9475" spans="1:8" ht="77.25" x14ac:dyDescent="0.25">
      <c r="A9475" s="3" t="s">
        <v>27528</v>
      </c>
      <c r="B9475" s="3"/>
      <c r="C9475" s="3" t="str">
        <f>"Translations InterAmerica Inc. provides translation services for businesses and nonprofits as well as interpretation services (English&lt;&gt;Spanish). Indiana Supreme Court certified interpreters are contracted for legal interpretation."</f>
        <v>Translations InterAmerica Inc. provides translation services for businesses and nonprofits as well as interpretation services (English&lt;&gt;Spanish). Indiana Supreme Court certified interpreters are contracted for legal interpretation.</v>
      </c>
      <c r="D9475" s="3" t="s">
        <v>9</v>
      </c>
      <c r="E9475" s="3" t="s">
        <v>27529</v>
      </c>
      <c r="F9475" s="3" t="str">
        <f>"317.276.4385"</f>
        <v>317.276.4385</v>
      </c>
      <c r="G9475" s="3">
        <v>541930</v>
      </c>
      <c r="H9475" s="3" t="s">
        <v>971</v>
      </c>
    </row>
    <row r="9476" spans="1:8" ht="64.5" x14ac:dyDescent="0.25">
      <c r="A9476" s="3" t="s">
        <v>27530</v>
      </c>
      <c r="B9476" s="3"/>
      <c r="C9476" s="3" t="str">
        <f>"Merchant service provider for credit card transactions, automated teller machines (ATM), point of sale computer systems (POS), automated clearing house (ACH), and other financial instruments."</f>
        <v>Merchant service provider for credit card transactions, automated teller machines (ATM), point of sale computer systems (POS), automated clearing house (ACH), and other financial instruments.</v>
      </c>
      <c r="D9476" s="3" t="s">
        <v>27531</v>
      </c>
      <c r="E9476" s="3" t="s">
        <v>27532</v>
      </c>
      <c r="F9476" s="3" t="str">
        <f>"317-566-8826"</f>
        <v>317-566-8826</v>
      </c>
      <c r="G9476" s="3">
        <v>52221</v>
      </c>
      <c r="H9476" s="3" t="s">
        <v>27533</v>
      </c>
    </row>
    <row r="9477" spans="1:8" ht="39" x14ac:dyDescent="0.25">
      <c r="A9477" s="3" t="s">
        <v>27534</v>
      </c>
      <c r="B9477" s="3"/>
      <c r="C9477" s="3" t="str">
        <f>"Installation, maintenence and guarantee of interior plants. Christmas decorations and gifts"</f>
        <v>Installation, maintenence and guarantee of interior plants. Christmas decorations and gifts</v>
      </c>
      <c r="D9477" s="3" t="s">
        <v>9</v>
      </c>
      <c r="E9477" s="3" t="s">
        <v>27535</v>
      </c>
      <c r="F9477" s="3" t="str">
        <f>"317-972-6760"</f>
        <v>317-972-6760</v>
      </c>
      <c r="G9477" s="3">
        <v>1114</v>
      </c>
      <c r="H9477" s="3" t="s">
        <v>3283</v>
      </c>
    </row>
    <row r="9478" spans="1:8" ht="115.5" x14ac:dyDescent="0.25">
      <c r="A9478" s="3" t="s">
        <v>27536</v>
      </c>
      <c r="B9478" s="3"/>
      <c r="C9478" s="3" t="s">
        <v>27537</v>
      </c>
      <c r="D9478" s="3" t="s">
        <v>27538</v>
      </c>
      <c r="E9478" s="3" t="s">
        <v>27539</v>
      </c>
      <c r="F9478" s="3" t="str">
        <f>"317-822-6269"</f>
        <v>317-822-6269</v>
      </c>
      <c r="G9478" s="3">
        <v>541330</v>
      </c>
      <c r="H9478" s="3" t="s">
        <v>82</v>
      </c>
    </row>
    <row r="9479" spans="1:8" ht="230.25" x14ac:dyDescent="0.25">
      <c r="A9479" s="3" t="s">
        <v>27540</v>
      </c>
      <c r="B9479" s="3"/>
      <c r="C9479" s="3" t="s">
        <v>27541</v>
      </c>
      <c r="D9479" s="3" t="s">
        <v>27542</v>
      </c>
      <c r="E9479" s="3" t="s">
        <v>27543</v>
      </c>
      <c r="F9479" s="3" t="str">
        <f>"866-569-3296"</f>
        <v>866-569-3296</v>
      </c>
      <c r="G9479" s="3">
        <v>481211</v>
      </c>
      <c r="H9479" s="3" t="s">
        <v>8795</v>
      </c>
    </row>
    <row r="9480" spans="1:8" ht="90" x14ac:dyDescent="0.25">
      <c r="A9480" s="3" t="s">
        <v>27544</v>
      </c>
      <c r="B9480" s="3"/>
      <c r="C9480" s="3" t="s">
        <v>27545</v>
      </c>
      <c r="D9480" s="3" t="s">
        <v>27546</v>
      </c>
      <c r="E9480" s="3" t="s">
        <v>27547</v>
      </c>
      <c r="F9480" s="3" t="str">
        <f>"303-495-5771"</f>
        <v>303-495-5771</v>
      </c>
      <c r="G9480" s="3">
        <v>561510</v>
      </c>
      <c r="H9480" s="3" t="s">
        <v>288</v>
      </c>
    </row>
    <row r="9481" spans="1:8" ht="39" x14ac:dyDescent="0.25">
      <c r="A9481" s="3" t="s">
        <v>27548</v>
      </c>
      <c r="B9481" s="3"/>
      <c r="C9481" s="3" t="str">
        <f>"Providing health screening, education, and assistance for persons with neurological disorders/injuries"</f>
        <v>Providing health screening, education, and assistance for persons with neurological disorders/injuries</v>
      </c>
      <c r="D9481" s="3" t="s">
        <v>9</v>
      </c>
      <c r="E9481" s="3" t="s">
        <v>27549</v>
      </c>
      <c r="F9481" s="3" t="str">
        <f>"(317)297-5354"</f>
        <v>(317)297-5354</v>
      </c>
      <c r="G9481" s="3">
        <v>62</v>
      </c>
      <c r="H9481" s="3" t="s">
        <v>1168</v>
      </c>
    </row>
    <row r="9482" spans="1:8" ht="77.25" x14ac:dyDescent="0.25">
      <c r="A9482" s="3" t="s">
        <v>27550</v>
      </c>
      <c r="B9482" s="3"/>
      <c r="C9482" s="3" t="str">
        <f>"Manufacturer of safety vests, flags, roll-up signs, wideload banners, other banners, stop/slow paddles and distributor of American Made cones, barricades, sign stands and various other traffic management devices."</f>
        <v>Manufacturer of safety vests, flags, roll-up signs, wideload banners, other banners, stop/slow paddles and distributor of American Made cones, barricades, sign stands and various other traffic management devices.</v>
      </c>
      <c r="D9482" s="3" t="s">
        <v>27551</v>
      </c>
      <c r="E9482" s="3" t="s">
        <v>27552</v>
      </c>
      <c r="F9482" s="3" t="str">
        <f>"1-800-688-7238"</f>
        <v>1-800-688-7238</v>
      </c>
      <c r="G9482" s="3">
        <v>315299</v>
      </c>
      <c r="H9482" s="3" t="s">
        <v>19186</v>
      </c>
    </row>
    <row r="9483" spans="1:8" ht="26.25" x14ac:dyDescent="0.25">
      <c r="A9483" s="3" t="s">
        <v>27553</v>
      </c>
      <c r="B9483" s="3"/>
      <c r="C9483" s="3" t="str">
        <f>" "</f>
        <v xml:space="preserve"> </v>
      </c>
      <c r="D9483" s="3" t="s">
        <v>27551</v>
      </c>
      <c r="E9483" s="3" t="s">
        <v>27552</v>
      </c>
      <c r="F9483" s="3" t="str">
        <f>"1-800-688-7238"</f>
        <v>1-800-688-7238</v>
      </c>
      <c r="G9483" s="3">
        <v>315</v>
      </c>
      <c r="H9483" s="3" t="s">
        <v>3603</v>
      </c>
    </row>
    <row r="9484" spans="1:8" ht="26.25" x14ac:dyDescent="0.25">
      <c r="A9484" s="3" t="s">
        <v>27554</v>
      </c>
      <c r="B9484" s="3"/>
      <c r="C9484" s="3" t="str">
        <f>"Real Estate Appraisal and Consulting services"</f>
        <v>Real Estate Appraisal and Consulting services</v>
      </c>
      <c r="D9484" s="3" t="s">
        <v>27555</v>
      </c>
      <c r="E9484" s="3" t="s">
        <v>27556</v>
      </c>
      <c r="F9484" s="3" t="str">
        <f>"317 255 4990"</f>
        <v>317 255 4990</v>
      </c>
      <c r="G9484" s="3">
        <v>531320</v>
      </c>
      <c r="H9484" s="3" t="s">
        <v>34</v>
      </c>
    </row>
    <row r="9485" spans="1:8" ht="153.75" x14ac:dyDescent="0.25">
      <c r="A9485" s="3" t="s">
        <v>27557</v>
      </c>
      <c r="B9485" s="3"/>
      <c r="C9485" s="3" t="s">
        <v>27558</v>
      </c>
      <c r="D9485" s="3" t="s">
        <v>27559</v>
      </c>
      <c r="E9485" s="3" t="s">
        <v>27560</v>
      </c>
      <c r="F9485" s="3" t="str">
        <f>"219.805.5288"</f>
        <v>219.805.5288</v>
      </c>
      <c r="G9485" s="3">
        <v>54143</v>
      </c>
      <c r="H9485" s="3" t="s">
        <v>78</v>
      </c>
    </row>
    <row r="9486" spans="1:8" ht="166.5" x14ac:dyDescent="0.25">
      <c r="A9486" s="3" t="s">
        <v>27561</v>
      </c>
      <c r="B9486" s="3"/>
      <c r="C9486" s="3" t="s">
        <v>27562</v>
      </c>
      <c r="D9486" s="3" t="s">
        <v>27563</v>
      </c>
      <c r="E9486" s="3" t="s">
        <v>27564</v>
      </c>
      <c r="F9486" s="3" t="str">
        <f>"574-234-9520"</f>
        <v>574-234-9520</v>
      </c>
      <c r="G9486" s="3">
        <v>3262</v>
      </c>
      <c r="H9486" s="3" t="s">
        <v>3669</v>
      </c>
    </row>
    <row r="9487" spans="1:8" ht="51.75" x14ac:dyDescent="0.25">
      <c r="A9487" s="3" t="s">
        <v>27565</v>
      </c>
      <c r="B9487" s="3"/>
      <c r="C9487" s="3" t="str">
        <f>"Tree of Lifebookstores, Inc. provides bookstore services to colleges and universities. Tree of Life also provides retail bookstores and cafe services."</f>
        <v>Tree of Lifebookstores, Inc. provides bookstore services to colleges and universities. Tree of Life also provides retail bookstores and cafe services.</v>
      </c>
      <c r="D9487" s="3" t="s">
        <v>27566</v>
      </c>
      <c r="E9487" s="3" t="s">
        <v>27567</v>
      </c>
      <c r="F9487" s="3" t="str">
        <f>"765-674-9530"</f>
        <v>765-674-9530</v>
      </c>
      <c r="G9487" s="3">
        <v>4512</v>
      </c>
      <c r="H9487" s="3" t="s">
        <v>27056</v>
      </c>
    </row>
    <row r="9488" spans="1:8" ht="26.25" x14ac:dyDescent="0.25">
      <c r="A9488" s="3" t="s">
        <v>27568</v>
      </c>
      <c r="B9488" s="3"/>
      <c r="C9488" s="3" t="str">
        <f>"Comprehensive tree-care and urban forestry services"</f>
        <v>Comprehensive tree-care and urban forestry services</v>
      </c>
      <c r="D9488" s="3" t="s">
        <v>27569</v>
      </c>
      <c r="E9488" s="3" t="s">
        <v>27570</v>
      </c>
      <c r="F9488" s="3" t="str">
        <f>"260 456 0171"</f>
        <v>260 456 0171</v>
      </c>
      <c r="G9488" s="3">
        <v>541990</v>
      </c>
      <c r="H9488" s="3" t="s">
        <v>378</v>
      </c>
    </row>
    <row r="9489" spans="1:8" ht="90" x14ac:dyDescent="0.25">
      <c r="A9489" s="3" t="s">
        <v>27571</v>
      </c>
      <c r="B9489" s="3"/>
      <c r="C9489" s="3" t="str">
        <f>"Treesh Logo Communications provides business and business professionals the resources (items and ideas) to drive brand name marketing. We offer logo apparel, gifts and incentives, branded business supplies, trade show giveaways, and customer mailers."</f>
        <v>Treesh Logo Communications provides business and business professionals the resources (items and ideas) to drive brand name marketing. We offer logo apparel, gifts and incentives, branded business supplies, trade show giveaways, and customer mailers.</v>
      </c>
      <c r="D9489" s="3" t="s">
        <v>26067</v>
      </c>
      <c r="E9489" s="3" t="s">
        <v>26068</v>
      </c>
      <c r="F9489" s="3" t="str">
        <f>"317-596-9306"</f>
        <v>317-596-9306</v>
      </c>
      <c r="G9489" s="3">
        <v>454390</v>
      </c>
      <c r="H9489" s="3" t="s">
        <v>1348</v>
      </c>
    </row>
    <row r="9490" spans="1:8" ht="102.75" x14ac:dyDescent="0.25">
      <c r="A9490" s="3" t="s">
        <v>27572</v>
      </c>
      <c r="B9490" s="3"/>
      <c r="C9490" s="3" t="s">
        <v>27573</v>
      </c>
      <c r="D9490" s="3" t="s">
        <v>27574</v>
      </c>
      <c r="E9490" s="3" t="s">
        <v>27575</v>
      </c>
      <c r="F9490" s="3" t="str">
        <f>"317-926-1727"</f>
        <v>317-926-1727</v>
      </c>
      <c r="G9490" s="3">
        <v>541810</v>
      </c>
      <c r="H9490" s="3" t="s">
        <v>976</v>
      </c>
    </row>
    <row r="9491" spans="1:8" ht="26.25" x14ac:dyDescent="0.25">
      <c r="A9491" s="3" t="s">
        <v>27576</v>
      </c>
      <c r="B9491" s="3"/>
      <c r="C9491" s="3" t="str">
        <f>" "</f>
        <v xml:space="preserve"> </v>
      </c>
      <c r="D9491" s="3" t="s">
        <v>27577</v>
      </c>
      <c r="E9491" s="3" t="s">
        <v>46</v>
      </c>
      <c r="F9491" s="3" t="str">
        <f>"574-753-7535"</f>
        <v>574-753-7535</v>
      </c>
      <c r="G9491" s="3">
        <v>4238</v>
      </c>
      <c r="H9491" s="3" t="s">
        <v>1565</v>
      </c>
    </row>
    <row r="9492" spans="1:8" ht="179.25" x14ac:dyDescent="0.25">
      <c r="A9492" s="3" t="s">
        <v>27578</v>
      </c>
      <c r="B9492" s="3"/>
      <c r="C9492" s="3" t="s">
        <v>27579</v>
      </c>
      <c r="D9492" s="3" t="s">
        <v>27580</v>
      </c>
      <c r="E9492" s="3" t="s">
        <v>27581</v>
      </c>
      <c r="F9492" s="3" t="str">
        <f>"800.808.4613"</f>
        <v>800.808.4613</v>
      </c>
      <c r="G9492" s="3">
        <v>561720</v>
      </c>
      <c r="H9492" s="3" t="s">
        <v>222</v>
      </c>
    </row>
    <row r="9493" spans="1:8" ht="102.75" x14ac:dyDescent="0.25">
      <c r="A9493" s="3" t="s">
        <v>27582</v>
      </c>
      <c r="B9493" s="3"/>
      <c r="C9493" s="3" t="s">
        <v>27583</v>
      </c>
      <c r="D9493" s="3" t="s">
        <v>27584</v>
      </c>
      <c r="E9493" s="3" t="s">
        <v>27585</v>
      </c>
      <c r="F9493" s="3" t="str">
        <f>"2604846365"</f>
        <v>2604846365</v>
      </c>
      <c r="G9493" s="3">
        <v>56172</v>
      </c>
      <c r="H9493" s="3" t="s">
        <v>222</v>
      </c>
    </row>
    <row r="9494" spans="1:8" ht="77.25" x14ac:dyDescent="0.25">
      <c r="A9494" s="3" t="s">
        <v>27586</v>
      </c>
      <c r="B9494" s="3"/>
      <c r="C9494" s="3" t="str">
        <f>"Tri State Utility is a truck equipment upfitter and final stage manufacturer. We procure blank cab &amp; chassis and install customer requested truck equipment, dump beds, flat beds, pto systems, hydraulic systems, salt &amp; sand spreaders and aerial devices."</f>
        <v>Tri State Utility is a truck equipment upfitter and final stage manufacturer. We procure blank cab &amp; chassis and install customer requested truck equipment, dump beds, flat beds, pto systems, hydraulic systems, salt &amp; sand spreaders and aerial devices.</v>
      </c>
      <c r="D9494" s="3" t="s">
        <v>24694</v>
      </c>
      <c r="E9494" s="3" t="s">
        <v>27587</v>
      </c>
      <c r="F9494" s="3" t="str">
        <f>"8124775555"</f>
        <v>8124775555</v>
      </c>
      <c r="G9494" s="3">
        <v>33331</v>
      </c>
      <c r="H9494" s="3" t="s">
        <v>27588</v>
      </c>
    </row>
    <row r="9495" spans="1:8" ht="153.75" x14ac:dyDescent="0.25">
      <c r="A9495" s="3" t="s">
        <v>27589</v>
      </c>
      <c r="B9495" s="3"/>
      <c r="C9495" s="3" t="s">
        <v>27590</v>
      </c>
      <c r="D9495" s="3" t="s">
        <v>27591</v>
      </c>
      <c r="E9495" s="3" t="s">
        <v>27592</v>
      </c>
      <c r="F9495" s="3" t="str">
        <f>"317-529-0461"</f>
        <v>317-529-0461</v>
      </c>
      <c r="G9495" s="3">
        <v>561612</v>
      </c>
      <c r="H9495" s="3" t="s">
        <v>362</v>
      </c>
    </row>
    <row r="9496" spans="1:8" ht="192" x14ac:dyDescent="0.25">
      <c r="A9496" s="3" t="s">
        <v>27593</v>
      </c>
      <c r="B9496" s="3"/>
      <c r="C9496" s="3" t="s">
        <v>27594</v>
      </c>
      <c r="D9496" s="3" t="s">
        <v>27595</v>
      </c>
      <c r="E9496" s="3" t="s">
        <v>27596</v>
      </c>
      <c r="F9496" s="3" t="str">
        <f>"2193249948"</f>
        <v>2193249948</v>
      </c>
      <c r="G9496" s="3">
        <v>517</v>
      </c>
      <c r="H9496" s="3" t="s">
        <v>682</v>
      </c>
    </row>
    <row r="9497" spans="1:8" ht="230.25" x14ac:dyDescent="0.25">
      <c r="A9497" s="3" t="s">
        <v>27597</v>
      </c>
      <c r="B9497" s="3"/>
      <c r="C9497" s="3" t="s">
        <v>27598</v>
      </c>
      <c r="D9497" s="3" t="s">
        <v>9</v>
      </c>
      <c r="E9497" s="3" t="s">
        <v>27599</v>
      </c>
      <c r="F9497" s="3" t="str">
        <f>"(812) 275-3304"</f>
        <v>(812) 275-3304</v>
      </c>
      <c r="G9497" s="3">
        <v>23</v>
      </c>
      <c r="H9497" s="3" t="s">
        <v>133</v>
      </c>
    </row>
    <row r="9498" spans="1:8" ht="39" x14ac:dyDescent="0.25">
      <c r="A9498" s="3" t="s">
        <v>27600</v>
      </c>
      <c r="B9498" s="3"/>
      <c r="C9498" s="3" t="str">
        <f>"Industrial, Commercial, and Home Equipment Rental."</f>
        <v>Industrial, Commercial, and Home Equipment Rental.</v>
      </c>
      <c r="D9498" s="3" t="s">
        <v>27601</v>
      </c>
      <c r="E9498" s="3" t="s">
        <v>27599</v>
      </c>
      <c r="F9498" s="3" t="str">
        <f>"8122757813"</f>
        <v>8122757813</v>
      </c>
      <c r="G9498" s="3">
        <v>53241</v>
      </c>
      <c r="H9498" s="3" t="s">
        <v>8798</v>
      </c>
    </row>
    <row r="9499" spans="1:8" ht="77.25" x14ac:dyDescent="0.25">
      <c r="A9499" s="3" t="s">
        <v>27602</v>
      </c>
      <c r="B9499" s="3"/>
      <c r="C9499" s="3" t="str">
        <f>"Our firm performs the following types of work: commerical construction, highway construction, general construction, right of way clearing, concrete work, masonry, carpentry, water and sewer lines, culverts, lift stations, etc"</f>
        <v>Our firm performs the following types of work: commerical construction, highway construction, general construction, right of way clearing, concrete work, masonry, carpentry, water and sewer lines, culverts, lift stations, etc</v>
      </c>
      <c r="D9499" s="3" t="s">
        <v>9</v>
      </c>
      <c r="E9499" s="3" t="s">
        <v>27603</v>
      </c>
      <c r="F9499" s="3" t="str">
        <f>"8122753304"</f>
        <v>8122753304</v>
      </c>
      <c r="G9499" s="3">
        <v>23332</v>
      </c>
      <c r="H9499" s="3" t="s">
        <v>598</v>
      </c>
    </row>
    <row r="9500" spans="1:8" ht="39" x14ac:dyDescent="0.25">
      <c r="A9500" s="3" t="s">
        <v>27604</v>
      </c>
      <c r="B9500" s="3"/>
      <c r="C9500" s="3" t="str">
        <f>"We do all types of waterfront and marine construction specializing in floating boat docks"</f>
        <v>We do all types of waterfront and marine construction specializing in floating boat docks</v>
      </c>
      <c r="D9500" s="3" t="s">
        <v>9</v>
      </c>
      <c r="E9500" s="3" t="s">
        <v>27605</v>
      </c>
      <c r="F9500" s="3" t="str">
        <f>"317-714-3850"</f>
        <v>317-714-3850</v>
      </c>
      <c r="G9500" s="3">
        <v>237990</v>
      </c>
      <c r="H9500" s="3" t="s">
        <v>2631</v>
      </c>
    </row>
    <row r="9501" spans="1:8" ht="179.25" x14ac:dyDescent="0.25">
      <c r="A9501" s="3" t="s">
        <v>27606</v>
      </c>
      <c r="B9501" s="3"/>
      <c r="C9501" s="3" t="s">
        <v>27607</v>
      </c>
      <c r="D9501" s="3" t="s">
        <v>27608</v>
      </c>
      <c r="E9501" s="3" t="s">
        <v>27609</v>
      </c>
      <c r="F9501" s="3" t="str">
        <f>"317-337-0940"</f>
        <v>317-337-0940</v>
      </c>
      <c r="G9501" s="3">
        <v>423830</v>
      </c>
      <c r="H9501" s="3" t="s">
        <v>172</v>
      </c>
    </row>
    <row r="9502" spans="1:8" ht="255.75" x14ac:dyDescent="0.25">
      <c r="A9502" s="3" t="s">
        <v>27610</v>
      </c>
      <c r="B9502" s="3"/>
      <c r="C9502" s="3" t="s">
        <v>27611</v>
      </c>
      <c r="D9502" s="3" t="s">
        <v>27612</v>
      </c>
      <c r="E9502" s="3" t="s">
        <v>27613</v>
      </c>
      <c r="F9502" s="3" t="str">
        <f>"260-665-3447"</f>
        <v>260-665-3447</v>
      </c>
      <c r="G9502" s="3">
        <v>3399</v>
      </c>
      <c r="H9502" s="3" t="s">
        <v>2236</v>
      </c>
    </row>
    <row r="9503" spans="1:8" ht="26.25" x14ac:dyDescent="0.25">
      <c r="A9503" s="3" t="s">
        <v>27614</v>
      </c>
      <c r="B9503" s="3"/>
      <c r="C9503" s="3" t="str">
        <f>"Specializing in plastic and metal ID or tag producing equipment."</f>
        <v>Specializing in plastic and metal ID or tag producing equipment.</v>
      </c>
      <c r="D9503" s="3" t="s">
        <v>9</v>
      </c>
      <c r="E9503" s="3" t="s">
        <v>46</v>
      </c>
      <c r="F9503" s="3" t="str">
        <f>"812-425-8426"</f>
        <v>812-425-8426</v>
      </c>
      <c r="G9503" s="3">
        <v>423420</v>
      </c>
      <c r="H9503" s="3" t="s">
        <v>521</v>
      </c>
    </row>
    <row r="9504" spans="1:8" ht="51.75" x14ac:dyDescent="0.25">
      <c r="A9504" s="3" t="s">
        <v>27615</v>
      </c>
      <c r="B9504" s="3"/>
      <c r="C9504" s="3" t="str">
        <f>"bearings, power transmission and motion control products; bearings, seals, sheaves, roller chain, sprockets, v-belts, o-rings, gear reducers,"</f>
        <v>bearings, power transmission and motion control products; bearings, seals, sheaves, roller chain, sprockets, v-belts, o-rings, gear reducers,</v>
      </c>
      <c r="D9504" s="3" t="s">
        <v>27616</v>
      </c>
      <c r="E9504" s="3" t="s">
        <v>27617</v>
      </c>
      <c r="F9504" s="3" t="str">
        <f>"812-425-1336"</f>
        <v>812-425-1336</v>
      </c>
      <c r="G9504" s="3">
        <v>423840</v>
      </c>
      <c r="H9504" s="3" t="s">
        <v>553</v>
      </c>
    </row>
    <row r="9505" spans="1:8" ht="39" x14ac:dyDescent="0.25">
      <c r="A9505" s="3" t="s">
        <v>27618</v>
      </c>
      <c r="B9505" s="3"/>
      <c r="C9505" s="3" t="str">
        <f>"We Offer a full line of Carpet Cleaning and Janitorial Services; including Commercial and Residential."</f>
        <v>We Offer a full line of Carpet Cleaning and Janitorial Services; including Commercial and Residential.</v>
      </c>
      <c r="D9505" s="3" t="s">
        <v>9</v>
      </c>
      <c r="E9505" s="3" t="s">
        <v>27619</v>
      </c>
      <c r="F9505" s="3" t="str">
        <f>"812-423-4042"</f>
        <v>812-423-4042</v>
      </c>
      <c r="G9505" s="3">
        <v>56172</v>
      </c>
      <c r="H9505" s="3" t="s">
        <v>222</v>
      </c>
    </row>
    <row r="9506" spans="1:8" ht="166.5" x14ac:dyDescent="0.25">
      <c r="A9506" s="3" t="s">
        <v>27620</v>
      </c>
      <c r="B9506" s="3"/>
      <c r="C9506" s="3" t="s">
        <v>27621</v>
      </c>
      <c r="D9506" s="3" t="s">
        <v>27622</v>
      </c>
      <c r="E9506" s="3" t="s">
        <v>27623</v>
      </c>
      <c r="F9506" s="3" t="str">
        <f>"812-425-0775"</f>
        <v>812-425-0775</v>
      </c>
      <c r="G9506" s="3">
        <v>11</v>
      </c>
      <c r="H9506" s="3" t="s">
        <v>175</v>
      </c>
    </row>
    <row r="9507" spans="1:8" ht="26.25" x14ac:dyDescent="0.25">
      <c r="A9507" s="3" t="s">
        <v>27624</v>
      </c>
      <c r="B9507" s="3"/>
      <c r="C9507" s="3" t="str">
        <f>"Sales and service of electronic circuit boards and electronic component sales."</f>
        <v>Sales and service of electronic circuit boards and electronic component sales.</v>
      </c>
      <c r="D9507" s="3" t="s">
        <v>27625</v>
      </c>
      <c r="E9507" s="3" t="s">
        <v>27626</v>
      </c>
      <c r="F9507" s="3" t="str">
        <f>"800-203-7484"</f>
        <v>800-203-7484</v>
      </c>
      <c r="G9507" s="3">
        <v>81121</v>
      </c>
      <c r="H9507" s="3" t="s">
        <v>13567</v>
      </c>
    </row>
    <row r="9508" spans="1:8" ht="26.25" x14ac:dyDescent="0.25">
      <c r="A9508" s="3" t="s">
        <v>27627</v>
      </c>
      <c r="B9508" s="3"/>
      <c r="C9508" s="3" t="str">
        <f>"repair and replace emergency generators"</f>
        <v>repair and replace emergency generators</v>
      </c>
      <c r="D9508" s="3" t="s">
        <v>27628</v>
      </c>
      <c r="E9508" s="3" t="s">
        <v>27629</v>
      </c>
      <c r="F9508" s="3" t="str">
        <f>"812-547-7031"</f>
        <v>812-547-7031</v>
      </c>
      <c r="G9508" s="3">
        <v>221119</v>
      </c>
      <c r="H9508" s="3" t="s">
        <v>12939</v>
      </c>
    </row>
    <row r="9509" spans="1:8" ht="51.75" x14ac:dyDescent="0.25">
      <c r="A9509" s="3" t="s">
        <v>27630</v>
      </c>
      <c r="B9509" s="3"/>
      <c r="C9509" s="3" t="str">
        <f>"We raise Corn, Soybeans, Hogs, Tomatoes, Cabbage, Indian Corn, mini gourds, mini pumpkins, large pumpkins, and Specialty Crops"</f>
        <v>We raise Corn, Soybeans, Hogs, Tomatoes, Cabbage, Indian Corn, mini gourds, mini pumpkins, large pumpkins, and Specialty Crops</v>
      </c>
      <c r="D9509" s="3" t="s">
        <v>27631</v>
      </c>
      <c r="E9509" s="3" t="s">
        <v>27632</v>
      </c>
      <c r="F9509" s="3" t="str">
        <f>"765 589 8336"</f>
        <v>765 589 8336</v>
      </c>
      <c r="G9509" s="3">
        <v>111</v>
      </c>
      <c r="H9509" s="3" t="s">
        <v>6077</v>
      </c>
    </row>
    <row r="9510" spans="1:8" ht="26.25" x14ac:dyDescent="0.25">
      <c r="A9510" s="3" t="s">
        <v>27633</v>
      </c>
      <c r="B9510" s="3"/>
      <c r="C9510" s="3" t="str">
        <f>"We sell mobile home parts, doors, windows, insulation, modular decks and buildings."</f>
        <v>We sell mobile home parts, doors, windows, insulation, modular decks and buildings.</v>
      </c>
      <c r="D9510" s="3" t="s">
        <v>9</v>
      </c>
      <c r="E9510" s="3" t="s">
        <v>27634</v>
      </c>
      <c r="F9510" s="3" t="str">
        <f>"8122650900"</f>
        <v>8122650900</v>
      </c>
      <c r="G9510" s="3">
        <v>453930</v>
      </c>
      <c r="H9510" s="3" t="s">
        <v>8257</v>
      </c>
    </row>
    <row r="9511" spans="1:8" ht="26.25" x14ac:dyDescent="0.25">
      <c r="A9511" s="3" t="s">
        <v>27635</v>
      </c>
      <c r="B9511" s="3"/>
      <c r="C9511" s="3" t="str">
        <f>"Commercial &amp; Residential electricians"</f>
        <v>Commercial &amp; Residential electricians</v>
      </c>
      <c r="D9511" s="3" t="s">
        <v>9</v>
      </c>
      <c r="E9511" s="3" t="s">
        <v>27636</v>
      </c>
      <c r="F9511" s="3" t="str">
        <f>"317-442-9085"</f>
        <v>317-442-9085</v>
      </c>
      <c r="G9511" s="3">
        <v>238210</v>
      </c>
      <c r="H9511" s="3" t="s">
        <v>306</v>
      </c>
    </row>
    <row r="9512" spans="1:8" ht="102.75" x14ac:dyDescent="0.25">
      <c r="A9512" s="3" t="s">
        <v>27637</v>
      </c>
      <c r="B9512" s="3"/>
      <c r="C9512" s="3" t="s">
        <v>27638</v>
      </c>
      <c r="D9512" s="3" t="s">
        <v>27639</v>
      </c>
      <c r="E9512" s="3" t="s">
        <v>27640</v>
      </c>
      <c r="F9512" s="3" t="str">
        <f>"317.595.0820"</f>
        <v>317.595.0820</v>
      </c>
      <c r="G9512" s="3">
        <v>541820</v>
      </c>
      <c r="H9512" s="3" t="s">
        <v>795</v>
      </c>
    </row>
    <row r="9513" spans="1:8" ht="153.75" x14ac:dyDescent="0.25">
      <c r="A9513" s="3" t="s">
        <v>27641</v>
      </c>
      <c r="B9513" s="3"/>
      <c r="C9513" s="3" t="s">
        <v>27642</v>
      </c>
      <c r="D9513" s="3" t="s">
        <v>27643</v>
      </c>
      <c r="E9513" s="3" t="s">
        <v>27644</v>
      </c>
      <c r="F9513" s="3" t="str">
        <f>"317-250-9735"</f>
        <v>317-250-9735</v>
      </c>
      <c r="G9513" s="3">
        <v>518210</v>
      </c>
      <c r="H9513" s="3" t="s">
        <v>3133</v>
      </c>
    </row>
    <row r="9514" spans="1:8" ht="102.75" x14ac:dyDescent="0.25">
      <c r="A9514" s="3" t="s">
        <v>27645</v>
      </c>
      <c r="B9514" s="3"/>
      <c r="C9514" s="3" t="s">
        <v>27646</v>
      </c>
      <c r="D9514" s="3" t="s">
        <v>27647</v>
      </c>
      <c r="E9514" s="3" t="s">
        <v>27648</v>
      </c>
      <c r="F9514" s="3" t="str">
        <f>"317-916-9901"</f>
        <v>317-916-9901</v>
      </c>
      <c r="G9514" s="3">
        <v>541820</v>
      </c>
      <c r="H9514" s="3" t="s">
        <v>795</v>
      </c>
    </row>
    <row r="9515" spans="1:8" ht="64.5" x14ac:dyDescent="0.25">
      <c r="A9515" s="3" t="s">
        <v>27649</v>
      </c>
      <c r="B9515" s="3"/>
      <c r="C9515" s="3" t="str">
        <f>"Trico produces it's own line of minority industrial cleaning/laundry products. Trico distributes a wide range of other related cleaning products. Trico distributes raw chemical materials."</f>
        <v>Trico produces it's own line of minority industrial cleaning/laundry products. Trico distributes a wide range of other related cleaning products. Trico distributes raw chemical materials.</v>
      </c>
      <c r="D9515" s="3" t="s">
        <v>27650</v>
      </c>
      <c r="E9515" s="3" t="s">
        <v>27651</v>
      </c>
      <c r="F9515" s="3" t="str">
        <f>"812961 0101"</f>
        <v>812961 0101</v>
      </c>
      <c r="G9515" s="3">
        <v>4246</v>
      </c>
      <c r="H9515" s="3" t="s">
        <v>3234</v>
      </c>
    </row>
    <row r="9516" spans="1:8" ht="26.25" x14ac:dyDescent="0.25">
      <c r="A9516" s="3" t="s">
        <v>27652</v>
      </c>
      <c r="B9516" s="3"/>
      <c r="C9516" s="3" t="str">
        <f>"small tri-axle trucking company and general construction services"</f>
        <v>small tri-axle trucking company and general construction services</v>
      </c>
      <c r="D9516" s="3" t="s">
        <v>9</v>
      </c>
      <c r="E9516" s="3" t="s">
        <v>27653</v>
      </c>
      <c r="F9516" s="3" t="str">
        <f>"/812-258-0525"</f>
        <v>/812-258-0525</v>
      </c>
      <c r="G9516" s="3">
        <v>484110</v>
      </c>
      <c r="H9516" s="3" t="s">
        <v>644</v>
      </c>
    </row>
    <row r="9517" spans="1:8" ht="26.25" x14ac:dyDescent="0.25">
      <c r="A9517" s="3" t="s">
        <v>27654</v>
      </c>
      <c r="B9517" s="3"/>
      <c r="C9517" s="3" t="str">
        <f>" "</f>
        <v xml:space="preserve"> </v>
      </c>
      <c r="D9517" s="3" t="s">
        <v>27655</v>
      </c>
      <c r="E9517" s="3" t="s">
        <v>27656</v>
      </c>
      <c r="F9517" s="3" t="str">
        <f>"317-789-0521"</f>
        <v>317-789-0521</v>
      </c>
      <c r="G9517" s="3">
        <v>236220</v>
      </c>
      <c r="H9517" s="3" t="s">
        <v>598</v>
      </c>
    </row>
    <row r="9518" spans="1:8" ht="102.75" x14ac:dyDescent="0.25">
      <c r="A9518" s="3" t="s">
        <v>27657</v>
      </c>
      <c r="B9518" s="3"/>
      <c r="C9518" s="3" t="s">
        <v>27658</v>
      </c>
      <c r="D9518" s="3" t="s">
        <v>27659</v>
      </c>
      <c r="E9518" s="3" t="s">
        <v>27660</v>
      </c>
      <c r="F9518" s="3" t="str">
        <f>"260-416-7131"</f>
        <v>260-416-7131</v>
      </c>
      <c r="G9518" s="3">
        <v>541611</v>
      </c>
      <c r="H9518" s="3" t="s">
        <v>278</v>
      </c>
    </row>
    <row r="9519" spans="1:8" ht="141" x14ac:dyDescent="0.25">
      <c r="A9519" s="3" t="s">
        <v>27661</v>
      </c>
      <c r="B9519" s="3"/>
      <c r="C9519" s="3" t="s">
        <v>27662</v>
      </c>
      <c r="D9519" s="3" t="s">
        <v>27663</v>
      </c>
      <c r="E9519" s="3" t="s">
        <v>27664</v>
      </c>
      <c r="F9519" s="3" t="str">
        <f>"317.670.2309"</f>
        <v>317.670.2309</v>
      </c>
      <c r="G9519" s="3">
        <v>541611</v>
      </c>
      <c r="H9519" s="3" t="s">
        <v>278</v>
      </c>
    </row>
    <row r="9520" spans="1:8" ht="39" x14ac:dyDescent="0.25">
      <c r="A9520" s="3" t="s">
        <v>27665</v>
      </c>
      <c r="B9520" s="3"/>
      <c r="C9520" s="3" t="str">
        <f>"Consultation, training and counseling for individuals and employers to increase success on the job."</f>
        <v>Consultation, training and counseling for individuals and employers to increase success on the job.</v>
      </c>
      <c r="D9520" s="3" t="s">
        <v>9</v>
      </c>
      <c r="E9520" s="3" t="s">
        <v>27666</v>
      </c>
      <c r="F9520" s="3" t="str">
        <f>"317 894 9847"</f>
        <v>317 894 9847</v>
      </c>
      <c r="G9520" s="3">
        <v>624310</v>
      </c>
      <c r="H9520" s="3" t="s">
        <v>488</v>
      </c>
    </row>
    <row r="9521" spans="1:8" ht="26.25" x14ac:dyDescent="0.25">
      <c r="A9521" s="3" t="s">
        <v>27667</v>
      </c>
      <c r="B9521" s="3"/>
      <c r="C9521" s="3" t="str">
        <f>"Commercial, industrial, and custom sheet metal contactors."</f>
        <v>Commercial, industrial, and custom sheet metal contactors.</v>
      </c>
      <c r="D9521" s="3" t="s">
        <v>27668</v>
      </c>
      <c r="E9521" s="3" t="s">
        <v>27669</v>
      </c>
      <c r="F9521" s="3" t="str">
        <f>"812-988-2769"</f>
        <v>812-988-2769</v>
      </c>
      <c r="G9521" s="3">
        <v>238220</v>
      </c>
      <c r="H9521" s="3" t="s">
        <v>348</v>
      </c>
    </row>
    <row r="9522" spans="1:8" ht="77.25" x14ac:dyDescent="0.25">
      <c r="A9522" s="3" t="s">
        <v>27670</v>
      </c>
      <c r="B9522" s="3"/>
      <c r="C9522" s="3" t="str">
        <f>"We are dedicated to producing quality photographs for your special event (weddings, graduations, corporate events, portraits, etc.). We take pride in our work and we know you will be pleased with our service."</f>
        <v>We are dedicated to producing quality photographs for your special event (weddings, graduations, corporate events, portraits, etc.). We take pride in our work and we know you will be pleased with our service.</v>
      </c>
      <c r="D9522" s="3" t="s">
        <v>27671</v>
      </c>
      <c r="E9522" s="3" t="s">
        <v>27672</v>
      </c>
      <c r="F9522" s="3" t="str">
        <f>"317-698-0607"</f>
        <v>317-698-0607</v>
      </c>
      <c r="G9522" s="3">
        <v>54192</v>
      </c>
      <c r="H9522" s="3" t="s">
        <v>2613</v>
      </c>
    </row>
    <row r="9523" spans="1:8" ht="128.25" x14ac:dyDescent="0.25">
      <c r="A9523" s="3" t="s">
        <v>27673</v>
      </c>
      <c r="B9523" s="3"/>
      <c r="C9523" s="3" t="s">
        <v>27674</v>
      </c>
      <c r="D9523" s="3" t="s">
        <v>27675</v>
      </c>
      <c r="E9523" s="3" t="s">
        <v>27676</v>
      </c>
      <c r="F9523" s="3" t="str">
        <f>"317.381.0968"</f>
        <v>317.381.0968</v>
      </c>
      <c r="G9523" s="3">
        <v>562</v>
      </c>
      <c r="H9523" s="3" t="s">
        <v>2798</v>
      </c>
    </row>
    <row r="9524" spans="1:8" ht="39" x14ac:dyDescent="0.25">
      <c r="A9524" s="3" t="s">
        <v>27677</v>
      </c>
      <c r="B9524" s="3"/>
      <c r="C9524" s="3" t="str">
        <f>"Sales, Service, Consulting of BusinessTelephone, Video Surveillance, Access Control and Security Systems"</f>
        <v>Sales, Service, Consulting of BusinessTelephone, Video Surveillance, Access Control and Security Systems</v>
      </c>
      <c r="D9524" s="3" t="s">
        <v>27678</v>
      </c>
      <c r="E9524" s="3" t="s">
        <v>27679</v>
      </c>
      <c r="F9524" s="3" t="str">
        <f>"219-951-4895"</f>
        <v>219-951-4895</v>
      </c>
      <c r="G9524" s="3">
        <v>541990</v>
      </c>
      <c r="H9524" s="3" t="s">
        <v>378</v>
      </c>
    </row>
    <row r="9525" spans="1:8" ht="217.5" x14ac:dyDescent="0.25">
      <c r="A9525" s="3" t="s">
        <v>27680</v>
      </c>
      <c r="B9525" s="3"/>
      <c r="C9525" s="3" t="s">
        <v>27681</v>
      </c>
      <c r="D9525" s="3" t="s">
        <v>9</v>
      </c>
      <c r="E9525" s="3" t="s">
        <v>46</v>
      </c>
      <c r="F9525" s="3" t="str">
        <f>"317-257-4500"</f>
        <v>317-257-4500</v>
      </c>
      <c r="G9525" s="3">
        <v>23822</v>
      </c>
      <c r="H9525" s="3" t="s">
        <v>348</v>
      </c>
    </row>
    <row r="9526" spans="1:8" ht="39" x14ac:dyDescent="0.25">
      <c r="A9526" s="3" t="s">
        <v>27682</v>
      </c>
      <c r="B9526" s="3"/>
      <c r="C9526" s="3" t="str">
        <f>"We provide snack food vending machines for snack rooms and other high-traffic areas."</f>
        <v>We provide snack food vending machines for snack rooms and other high-traffic areas.</v>
      </c>
      <c r="D9526" s="3" t="s">
        <v>9</v>
      </c>
      <c r="E9526" s="3" t="s">
        <v>27683</v>
      </c>
      <c r="F9526" s="3" t="str">
        <f>"317 546-1277"</f>
        <v>317 546-1277</v>
      </c>
      <c r="G9526" s="3">
        <v>722310</v>
      </c>
      <c r="H9526" s="3" t="s">
        <v>3051</v>
      </c>
    </row>
    <row r="9527" spans="1:8" ht="39" x14ac:dyDescent="0.25">
      <c r="A9527" s="3" t="s">
        <v>27684</v>
      </c>
      <c r="B9527" s="3"/>
      <c r="C9527" s="3" t="str">
        <f>"Wharehouse distridutor of heavy duty truck and trailer parts. Air brake componants,filters,lights, ect."</f>
        <v>Wharehouse distridutor of heavy duty truck and trailer parts. Air brake componants,filters,lights, ect.</v>
      </c>
      <c r="D9527" s="3" t="s">
        <v>9</v>
      </c>
      <c r="E9527" s="3" t="s">
        <v>27685</v>
      </c>
      <c r="F9527" s="3" t="str">
        <f>"812-478-5909"</f>
        <v>812-478-5909</v>
      </c>
      <c r="G9527" s="3">
        <v>44131</v>
      </c>
      <c r="H9527" s="3" t="s">
        <v>1699</v>
      </c>
    </row>
    <row r="9528" spans="1:8" ht="51.75" x14ac:dyDescent="0.25">
      <c r="A9528" s="3" t="s">
        <v>27686</v>
      </c>
      <c r="B9528" s="3"/>
      <c r="C9528" s="3" t="str">
        <f>"Promotional products: Hats, shirts, mugs, pens, golf balls, calendars, awards, plaques, badges, briefcase, etc.. We have almost 4000 items to choose from."</f>
        <v>Promotional products: Hats, shirts, mugs, pens, golf balls, calendars, awards, plaques, badges, briefcase, etc.. We have almost 4000 items to choose from.</v>
      </c>
      <c r="D9528" s="3" t="s">
        <v>27687</v>
      </c>
      <c r="E9528" s="3" t="s">
        <v>27688</v>
      </c>
      <c r="F9528" s="3" t="str">
        <f>"812-525-7642"</f>
        <v>812-525-7642</v>
      </c>
      <c r="G9528" s="3">
        <v>81391</v>
      </c>
      <c r="H9528" s="3" t="s">
        <v>1906</v>
      </c>
    </row>
    <row r="9529" spans="1:8" ht="294" x14ac:dyDescent="0.25">
      <c r="A9529" s="3" t="s">
        <v>27689</v>
      </c>
      <c r="B9529" s="3"/>
      <c r="C9529" s="3" t="s">
        <v>27690</v>
      </c>
      <c r="D9529" s="3" t="s">
        <v>27691</v>
      </c>
      <c r="E9529" s="3" t="s">
        <v>27692</v>
      </c>
      <c r="F9529" s="3" t="str">
        <f>"260-200-1111"</f>
        <v>260-200-1111</v>
      </c>
      <c r="G9529" s="3">
        <v>23611</v>
      </c>
      <c r="H9529" s="3" t="s">
        <v>3466</v>
      </c>
    </row>
    <row r="9530" spans="1:8" ht="51.75" x14ac:dyDescent="0.25">
      <c r="A9530" s="3" t="s">
        <v>27693</v>
      </c>
      <c r="B9530" s="3"/>
      <c r="C9530" s="3" t="str">
        <f>"Construction business specializing in sewer repair, drainage improvements, asphalt paving, pavement marking, sealcoating and concrete flat work."</f>
        <v>Construction business specializing in sewer repair, drainage improvements, asphalt paving, pavement marking, sealcoating and concrete flat work.</v>
      </c>
      <c r="D9530" s="3" t="s">
        <v>27694</v>
      </c>
      <c r="E9530" s="3" t="s">
        <v>27695</v>
      </c>
      <c r="F9530" s="3" t="str">
        <f>"812-948-6691"</f>
        <v>812-948-6691</v>
      </c>
      <c r="G9530" s="3">
        <v>237110</v>
      </c>
      <c r="H9530" s="3" t="s">
        <v>901</v>
      </c>
    </row>
    <row r="9531" spans="1:8" ht="26.25" x14ac:dyDescent="0.25">
      <c r="A9531" s="3" t="s">
        <v>27696</v>
      </c>
      <c r="B9531" s="3"/>
      <c r="C9531" s="3" t="str">
        <f>" "</f>
        <v xml:space="preserve"> </v>
      </c>
      <c r="D9531" s="3" t="s">
        <v>27697</v>
      </c>
      <c r="E9531" s="3" t="s">
        <v>46</v>
      </c>
      <c r="F9531" s="3" t="str">
        <f>"574-342-2255"</f>
        <v>574-342-2255</v>
      </c>
      <c r="G9531" s="3">
        <v>611110</v>
      </c>
      <c r="H9531" s="3" t="s">
        <v>3876</v>
      </c>
    </row>
    <row r="9532" spans="1:8" ht="51.75" x14ac:dyDescent="0.25">
      <c r="A9532" s="3" t="s">
        <v>27698</v>
      </c>
      <c r="B9532" s="3"/>
      <c r="C9532" s="3" t="str">
        <f>"Triumph Communication, Inc is a telecommunications interconnect, providing turnkey telephone system installations and cabling infrastructure."</f>
        <v>Triumph Communication, Inc is a telecommunications interconnect, providing turnkey telephone system installations and cabling infrastructure.</v>
      </c>
      <c r="D9532" s="3" t="s">
        <v>9</v>
      </c>
      <c r="E9532" s="3" t="s">
        <v>27699</v>
      </c>
      <c r="F9532" s="3" t="str">
        <f>"(317) 681-0556"</f>
        <v>(317) 681-0556</v>
      </c>
      <c r="G9532" s="3">
        <v>23599</v>
      </c>
      <c r="H9532" s="3" t="s">
        <v>248</v>
      </c>
    </row>
    <row r="9533" spans="1:8" ht="39" x14ac:dyDescent="0.25">
      <c r="A9533" s="3" t="s">
        <v>27700</v>
      </c>
      <c r="B9533" s="3"/>
      <c r="C9533" s="3" t="str">
        <f>"General contractor for exterior building installation of roofing, siding, trim, windows and doors."</f>
        <v>General contractor for exterior building installation of roofing, siding, trim, windows and doors.</v>
      </c>
      <c r="D9533" s="3" t="s">
        <v>9</v>
      </c>
      <c r="E9533" s="3" t="s">
        <v>27701</v>
      </c>
      <c r="F9533" s="2"/>
      <c r="G9533" s="3">
        <v>2381</v>
      </c>
      <c r="H9533" s="3" t="s">
        <v>6672</v>
      </c>
    </row>
    <row r="9534" spans="1:8" ht="306.75" x14ac:dyDescent="0.25">
      <c r="A9534" s="3" t="s">
        <v>27702</v>
      </c>
      <c r="B9534" s="3"/>
      <c r="C9534" s="3" t="s">
        <v>27703</v>
      </c>
      <c r="D9534" s="3" t="s">
        <v>27704</v>
      </c>
      <c r="E9534" s="3" t="s">
        <v>27705</v>
      </c>
      <c r="F9534" s="3" t="str">
        <f>"317.849.3363"</f>
        <v>317.849.3363</v>
      </c>
      <c r="G9534" s="3">
        <v>315299</v>
      </c>
      <c r="H9534" s="3" t="s">
        <v>19186</v>
      </c>
    </row>
    <row r="9535" spans="1:8" ht="230.25" x14ac:dyDescent="0.25">
      <c r="A9535" s="3" t="s">
        <v>27706</v>
      </c>
      <c r="B9535" s="3"/>
      <c r="C9535" s="3" t="s">
        <v>27707</v>
      </c>
      <c r="D9535" s="3" t="s">
        <v>26180</v>
      </c>
      <c r="E9535" s="3" t="s">
        <v>27708</v>
      </c>
      <c r="F9535" s="3" t="str">
        <f>"317.899.3456"</f>
        <v>317.899.3456</v>
      </c>
      <c r="G9535" s="3">
        <v>541519</v>
      </c>
      <c r="H9535" s="3" t="s">
        <v>898</v>
      </c>
    </row>
    <row r="9536" spans="1:8" ht="230.25" x14ac:dyDescent="0.25">
      <c r="A9536" s="3" t="s">
        <v>27709</v>
      </c>
      <c r="B9536" s="3"/>
      <c r="C9536" s="3" t="s">
        <v>26179</v>
      </c>
      <c r="D9536" s="3" t="s">
        <v>26180</v>
      </c>
      <c r="E9536" s="3" t="s">
        <v>27710</v>
      </c>
      <c r="F9536" s="3" t="str">
        <f>"317.899.3456"</f>
        <v>317.899.3456</v>
      </c>
      <c r="G9536" s="3">
        <v>541519</v>
      </c>
      <c r="H9536" s="3" t="s">
        <v>898</v>
      </c>
    </row>
    <row r="9537" spans="1:8" ht="77.25" x14ac:dyDescent="0.25">
      <c r="A9537" s="3" t="s">
        <v>27711</v>
      </c>
      <c r="B9537" s="3"/>
      <c r="C9537" s="3" t="str">
        <f>"Retail awards, Including but not limited to, trophies, plaques,lasered acrylics, medals, ribbons, plastic signs &amp; badges, photo &amp; graphic reproduction, printed mugs, computer &amp; laser engraving, etched glass &amp; crystal awards."</f>
        <v>Retail awards, Including but not limited to, trophies, plaques,lasered acrylics, medals, ribbons, plastic signs &amp; badges, photo &amp; graphic reproduction, printed mugs, computer &amp; laser engraving, etched glass &amp; crystal awards.</v>
      </c>
      <c r="D9537" s="3" t="s">
        <v>27712</v>
      </c>
      <c r="E9537" s="3" t="s">
        <v>27713</v>
      </c>
      <c r="F9537" s="3" t="str">
        <f>"317-782-3779"</f>
        <v>317-782-3779</v>
      </c>
      <c r="G9537" s="3">
        <v>44</v>
      </c>
      <c r="H9537" s="3" t="s">
        <v>574</v>
      </c>
    </row>
    <row r="9538" spans="1:8" ht="26.25" x14ac:dyDescent="0.25">
      <c r="A9538" s="3" t="s">
        <v>27714</v>
      </c>
      <c r="B9538" s="3"/>
      <c r="C9538" s="3" t="str">
        <f>"Computer services and networking."</f>
        <v>Computer services and networking.</v>
      </c>
      <c r="D9538" s="3" t="s">
        <v>27715</v>
      </c>
      <c r="E9538" s="3" t="s">
        <v>27716</v>
      </c>
      <c r="F9538" s="3" t="str">
        <f>"1-800-TROCOR1"</f>
        <v>1-800-TROCOR1</v>
      </c>
      <c r="G9538" s="3">
        <v>541513</v>
      </c>
      <c r="H9538" s="3" t="s">
        <v>2401</v>
      </c>
    </row>
    <row r="9539" spans="1:8" ht="115.5" x14ac:dyDescent="0.25">
      <c r="A9539" s="3" t="s">
        <v>27717</v>
      </c>
      <c r="B9539" s="3"/>
      <c r="C9539" s="3" t="s">
        <v>27718</v>
      </c>
      <c r="D9539" s="3" t="s">
        <v>27719</v>
      </c>
      <c r="E9539" s="3" t="s">
        <v>27720</v>
      </c>
      <c r="F9539" s="3" t="str">
        <f>"(317) 570-6730"</f>
        <v>(317) 570-6730</v>
      </c>
      <c r="G9539" s="3">
        <v>541620</v>
      </c>
      <c r="H9539" s="3" t="s">
        <v>216</v>
      </c>
    </row>
    <row r="9540" spans="1:8" ht="90" x14ac:dyDescent="0.25">
      <c r="A9540" s="3" t="s">
        <v>27721</v>
      </c>
      <c r="B9540" s="3"/>
      <c r="C9540" s="3" t="s">
        <v>27722</v>
      </c>
      <c r="D9540" s="3" t="s">
        <v>27723</v>
      </c>
      <c r="E9540" s="3" t="s">
        <v>27724</v>
      </c>
      <c r="F9540" s="3" t="str">
        <f>"574-533-0302"</f>
        <v>574-533-0302</v>
      </c>
      <c r="G9540" s="3">
        <v>4244</v>
      </c>
      <c r="H9540" s="3" t="s">
        <v>2311</v>
      </c>
    </row>
    <row r="9541" spans="1:8" ht="102.75" x14ac:dyDescent="0.25">
      <c r="A9541" s="3" t="s">
        <v>27725</v>
      </c>
      <c r="B9541" s="3"/>
      <c r="C9541" s="3" t="s">
        <v>27726</v>
      </c>
      <c r="D9541" s="3" t="s">
        <v>9</v>
      </c>
      <c r="E9541" s="3" t="s">
        <v>27727</v>
      </c>
      <c r="F9541" s="3" t="str">
        <f>"317-240-5020"</f>
        <v>317-240-5020</v>
      </c>
      <c r="G9541" s="3">
        <v>812112</v>
      </c>
      <c r="H9541" s="3" t="s">
        <v>1081</v>
      </c>
    </row>
    <row r="9542" spans="1:8" ht="64.5" x14ac:dyDescent="0.25">
      <c r="A9542" s="3" t="s">
        <v>27728</v>
      </c>
      <c r="B9542" s="3"/>
      <c r="C9542" s="3" t="str">
        <f>"Tru-Cut distributes engineered wood products and manufactures components from the boards. We provide cutting, CNC machining, and edgebanding of all wood board products."</f>
        <v>Tru-Cut distributes engineered wood products and manufactures components from the boards. We provide cutting, CNC machining, and edgebanding of all wood board products.</v>
      </c>
      <c r="D9542" s="3" t="s">
        <v>27729</v>
      </c>
      <c r="E9542" s="3" t="s">
        <v>27730</v>
      </c>
      <c r="F9542" s="3" t="str">
        <f>"765-683-9920"</f>
        <v>765-683-9920</v>
      </c>
      <c r="G9542" s="3">
        <v>321999</v>
      </c>
      <c r="H9542" s="3" t="s">
        <v>2185</v>
      </c>
    </row>
    <row r="9543" spans="1:8" ht="39" x14ac:dyDescent="0.25">
      <c r="A9543" s="3" t="s">
        <v>27731</v>
      </c>
      <c r="B9543" s="3"/>
      <c r="C9543" s="3" t="str">
        <f>"Manufacture flexible metal hose and bellows for Industrial, HVAC, and Vehicle Exhaust Applications."</f>
        <v>Manufacture flexible metal hose and bellows for Industrial, HVAC, and Vehicle Exhaust Applications.</v>
      </c>
      <c r="D9543" s="3" t="s">
        <v>27732</v>
      </c>
      <c r="E9543" s="3" t="s">
        <v>27733</v>
      </c>
      <c r="F9543" s="3" t="str">
        <f>"765-893-4403"</f>
        <v>765-893-4403</v>
      </c>
      <c r="G9543" s="3">
        <v>332</v>
      </c>
      <c r="H9543" s="3" t="s">
        <v>2580</v>
      </c>
    </row>
    <row r="9544" spans="1:8" ht="77.25" x14ac:dyDescent="0.25">
      <c r="A9544" s="3" t="s">
        <v>27734</v>
      </c>
      <c r="B9544" s="3"/>
      <c r="C9544" s="3" t="str">
        <f>"We are Indiana's largest landscaping, landscape maintenance, and lawn care company. We have won the Business Consumer's Choice award in two categories (Landscape Contracting and Lawn Maintenance) for 3 years in a row."</f>
        <v>We are Indiana's largest landscaping, landscape maintenance, and lawn care company. We have won the Business Consumer's Choice award in two categories (Landscape Contracting and Lawn Maintenance) for 3 years in a row.</v>
      </c>
      <c r="D9544" s="3" t="s">
        <v>27735</v>
      </c>
      <c r="E9544" s="3" t="s">
        <v>27736</v>
      </c>
      <c r="F9544" s="3" t="str">
        <f>"317-248-0605"</f>
        <v>317-248-0605</v>
      </c>
      <c r="G9544" s="3">
        <v>56173</v>
      </c>
      <c r="H9544" s="3" t="s">
        <v>65</v>
      </c>
    </row>
    <row r="9545" spans="1:8" ht="306.75" x14ac:dyDescent="0.25">
      <c r="A9545" s="3" t="s">
        <v>27737</v>
      </c>
      <c r="B9545" s="3"/>
      <c r="C9545" s="3" t="s">
        <v>27738</v>
      </c>
      <c r="D9545" s="3" t="s">
        <v>27739</v>
      </c>
      <c r="E9545" s="3" t="s">
        <v>27740</v>
      </c>
      <c r="F9545" s="3" t="str">
        <f>"317-813-0500"</f>
        <v>317-813-0500</v>
      </c>
      <c r="G9545" s="3">
        <v>541612</v>
      </c>
      <c r="H9545" s="3" t="s">
        <v>1923</v>
      </c>
    </row>
    <row r="9546" spans="1:8" ht="26.25" x14ac:dyDescent="0.25">
      <c r="A9546" s="3" t="s">
        <v>27741</v>
      </c>
      <c r="B9546" s="3"/>
      <c r="C9546" s="3" t="str">
        <f>"Dealer and Service for Tractors and trailers."</f>
        <v>Dealer and Service for Tractors and trailers.</v>
      </c>
      <c r="D9546" s="3" t="s">
        <v>27742</v>
      </c>
      <c r="E9546" s="3" t="s">
        <v>27743</v>
      </c>
      <c r="F9546" s="3" t="str">
        <f>"317-916-5313"</f>
        <v>317-916-5313</v>
      </c>
      <c r="G9546" s="3">
        <v>441</v>
      </c>
      <c r="H9546" s="3" t="s">
        <v>1556</v>
      </c>
    </row>
    <row r="9547" spans="1:8" ht="90" x14ac:dyDescent="0.25">
      <c r="A9547" s="3" t="s">
        <v>27744</v>
      </c>
      <c r="B9547" s="3"/>
      <c r="C9547" s="3" t="s">
        <v>27745</v>
      </c>
      <c r="D9547" s="3" t="s">
        <v>27746</v>
      </c>
      <c r="E9547" s="3" t="s">
        <v>27747</v>
      </c>
      <c r="F9547" s="3" t="str">
        <f>"317-769-2701"</f>
        <v>317-769-2701</v>
      </c>
      <c r="G9547" s="3">
        <v>454390</v>
      </c>
      <c r="H9547" s="3" t="s">
        <v>1348</v>
      </c>
    </row>
    <row r="9548" spans="1:8" ht="51.75" x14ac:dyDescent="0.25">
      <c r="A9548" s="3" t="s">
        <v>27748</v>
      </c>
      <c r="B9548" s="3"/>
      <c r="C9548" s="3" t="str">
        <f>"Home and Business Security Equipment Personal Emergency Response Systems Network Solutions Website development and Hosting"</f>
        <v>Home and Business Security Equipment Personal Emergency Response Systems Network Solutions Website development and Hosting</v>
      </c>
      <c r="D9548" s="3" t="s">
        <v>27749</v>
      </c>
      <c r="E9548" s="3" t="s">
        <v>46</v>
      </c>
      <c r="F9548" s="3" t="str">
        <f>"1.765.450.4213"</f>
        <v>1.765.450.4213</v>
      </c>
      <c r="G9548" s="3">
        <v>56162</v>
      </c>
      <c r="H9548" s="3" t="s">
        <v>1276</v>
      </c>
    </row>
    <row r="9549" spans="1:8" ht="39" x14ac:dyDescent="0.25">
      <c r="A9549" s="3" t="s">
        <v>27750</v>
      </c>
      <c r="B9549" s="3"/>
      <c r="C9549" s="3" t="str">
        <f>"Heat, Air Conditioning, Refrigeration, Boilers, Steam, Cooling Towers Mechanical contractor,"</f>
        <v>Heat, Air Conditioning, Refrigeration, Boilers, Steam, Cooling Towers Mechanical contractor,</v>
      </c>
      <c r="D9549" s="3" t="s">
        <v>27751</v>
      </c>
      <c r="E9549" s="3" t="s">
        <v>27752</v>
      </c>
      <c r="F9549" s="3" t="str">
        <f>"765-482-4200"</f>
        <v>765-482-4200</v>
      </c>
      <c r="G9549" s="3">
        <v>333415</v>
      </c>
      <c r="H9549" s="3" t="s">
        <v>1731</v>
      </c>
    </row>
    <row r="9550" spans="1:8" ht="115.5" x14ac:dyDescent="0.25">
      <c r="A9550" s="3" t="s">
        <v>27753</v>
      </c>
      <c r="B9550" s="3"/>
      <c r="C9550" s="3" t="s">
        <v>27754</v>
      </c>
      <c r="D9550" s="3" t="s">
        <v>27751</v>
      </c>
      <c r="E9550" s="3" t="s">
        <v>27755</v>
      </c>
      <c r="F9550" s="3" t="str">
        <f>"317-769-7458"</f>
        <v>317-769-7458</v>
      </c>
      <c r="G9550" s="3">
        <v>2351</v>
      </c>
      <c r="H9550" s="3" t="s">
        <v>892</v>
      </c>
    </row>
    <row r="9551" spans="1:8" ht="64.5" x14ac:dyDescent="0.25">
      <c r="A9551" s="3" t="s">
        <v>27756</v>
      </c>
      <c r="B9551" s="3"/>
      <c r="C9551" s="3" t="str">
        <f>"Commercial glass and glazing, windows, curtainwall, storefront, doors and hardware, art glass,stained glass,fire rated glass, security glass,film, marble fabrication"</f>
        <v>Commercial glass and glazing, windows, curtainwall, storefront, doors and hardware, art glass,stained glass,fire rated glass, security glass,film, marble fabrication</v>
      </c>
      <c r="D9551" s="3" t="s">
        <v>9</v>
      </c>
      <c r="E9551" s="3" t="s">
        <v>27757</v>
      </c>
      <c r="F9551" s="3" t="str">
        <f>"1-765-349-0213"</f>
        <v>1-765-349-0213</v>
      </c>
      <c r="G9551" s="3">
        <v>238150</v>
      </c>
      <c r="H9551" s="3" t="s">
        <v>2530</v>
      </c>
    </row>
    <row r="9552" spans="1:8" ht="64.5" x14ac:dyDescent="0.25">
      <c r="A9552" s="3" t="s">
        <v>27758</v>
      </c>
      <c r="B9552" s="3"/>
      <c r="C9552" s="3" t="str">
        <f>"Lubricants, Fuels, Aviation oils, Transport, Tankwagon, Bulk, Drum,Cases, Lubricant filtration, dehydration and particle counting, waste oil collector, antifreeze, solvents/cleaners, oil equipment &amp; service"</f>
        <v>Lubricants, Fuels, Aviation oils, Transport, Tankwagon, Bulk, Drum,Cases, Lubricant filtration, dehydration and particle counting, waste oil collector, antifreeze, solvents/cleaners, oil equipment &amp; service</v>
      </c>
      <c r="D9552" s="3" t="s">
        <v>27759</v>
      </c>
      <c r="E9552" s="3" t="s">
        <v>27760</v>
      </c>
      <c r="F9552" s="3" t="str">
        <f>"800-258-5823"</f>
        <v>800-258-5823</v>
      </c>
      <c r="G9552" s="3">
        <v>324110</v>
      </c>
      <c r="H9552" s="3" t="s">
        <v>24282</v>
      </c>
    </row>
    <row r="9553" spans="1:8" ht="192" x14ac:dyDescent="0.25">
      <c r="A9553" s="3" t="s">
        <v>27761</v>
      </c>
      <c r="B9553" s="3"/>
      <c r="C9553" s="3" t="s">
        <v>27762</v>
      </c>
      <c r="D9553" s="3" t="s">
        <v>9</v>
      </c>
      <c r="E9553" s="3" t="s">
        <v>27763</v>
      </c>
      <c r="F9553" s="3" t="str">
        <f>"317-756-7775"</f>
        <v>317-756-7775</v>
      </c>
      <c r="G9553" s="3">
        <v>45321</v>
      </c>
      <c r="H9553" s="3" t="s">
        <v>431</v>
      </c>
    </row>
    <row r="9554" spans="1:8" ht="153.75" x14ac:dyDescent="0.25">
      <c r="A9554" s="3" t="s">
        <v>27764</v>
      </c>
      <c r="B9554" s="3"/>
      <c r="C9554" s="3" t="s">
        <v>27765</v>
      </c>
      <c r="D9554" s="3" t="s">
        <v>27766</v>
      </c>
      <c r="E9554" s="3" t="s">
        <v>27767</v>
      </c>
      <c r="F9554" s="3" t="str">
        <f>"(812) 855-0516"</f>
        <v>(812) 855-0516</v>
      </c>
      <c r="G9554" s="3">
        <v>611310</v>
      </c>
      <c r="H9554" s="3" t="s">
        <v>2063</v>
      </c>
    </row>
    <row r="9555" spans="1:8" ht="26.25" x14ac:dyDescent="0.25">
      <c r="A9555" s="3" t="s">
        <v>27768</v>
      </c>
      <c r="B9555" s="3"/>
      <c r="C9555" s="3" t="str">
        <f>"We Clean Carpets, Furniture &amp; Drapery."</f>
        <v>We Clean Carpets, Furniture &amp; Drapery.</v>
      </c>
      <c r="D9555" s="3" t="s">
        <v>27769</v>
      </c>
      <c r="E9555" s="3" t="s">
        <v>46</v>
      </c>
      <c r="F9555" s="3" t="str">
        <f>"219-836-0779"</f>
        <v>219-836-0779</v>
      </c>
      <c r="G9555" s="3">
        <v>561740</v>
      </c>
      <c r="H9555" s="3" t="s">
        <v>241</v>
      </c>
    </row>
    <row r="9556" spans="1:8" ht="26.25" x14ac:dyDescent="0.25">
      <c r="A9556" s="3" t="s">
        <v>27770</v>
      </c>
      <c r="B9556" s="3"/>
      <c r="C9556" s="2"/>
      <c r="D9556" s="3" t="s">
        <v>9</v>
      </c>
      <c r="E9556" s="3" t="s">
        <v>46</v>
      </c>
      <c r="F9556" s="2"/>
      <c r="G9556" s="3">
        <v>541612</v>
      </c>
      <c r="H9556" s="3" t="s">
        <v>1923</v>
      </c>
    </row>
    <row r="9557" spans="1:8" ht="26.25" x14ac:dyDescent="0.25">
      <c r="A9557" s="3" t="s">
        <v>27771</v>
      </c>
      <c r="B9557" s="3"/>
      <c r="C9557" s="3" t="str">
        <f>"Provides desserts and baked goods for events and special occasions."</f>
        <v>Provides desserts and baked goods for events and special occasions.</v>
      </c>
      <c r="D9557" s="3" t="s">
        <v>9</v>
      </c>
      <c r="E9557" s="3" t="s">
        <v>46</v>
      </c>
      <c r="F9557" s="2"/>
      <c r="G9557" s="3">
        <v>72232</v>
      </c>
      <c r="H9557" s="3" t="s">
        <v>266</v>
      </c>
    </row>
    <row r="9558" spans="1:8" ht="39" x14ac:dyDescent="0.25">
      <c r="A9558" s="3" t="s">
        <v>27772</v>
      </c>
      <c r="B9558" s="3"/>
      <c r="C9558" s="3" t="str">
        <f>"Insurance restoration service i.e. restoration from fire, water, wind, odor damage. Also duct cleaning."</f>
        <v>Insurance restoration service i.e. restoration from fire, water, wind, odor damage. Also duct cleaning.</v>
      </c>
      <c r="D9558" s="3" t="s">
        <v>27773</v>
      </c>
      <c r="E9558" s="3" t="s">
        <v>27774</v>
      </c>
      <c r="F9558" s="3" t="str">
        <f>"812-282-9774"</f>
        <v>812-282-9774</v>
      </c>
      <c r="G9558" s="3">
        <v>2389</v>
      </c>
      <c r="H9558" s="3" t="s">
        <v>1236</v>
      </c>
    </row>
    <row r="9559" spans="1:8" ht="26.25" x14ac:dyDescent="0.25">
      <c r="A9559" s="3" t="s">
        <v>27775</v>
      </c>
      <c r="B9559" s="3"/>
      <c r="C9559" s="3" t="str">
        <f>"Engineering, Installation, &amp; Testing services for Telecom Equipment"</f>
        <v>Engineering, Installation, &amp; Testing services for Telecom Equipment</v>
      </c>
      <c r="D9559" s="3" t="s">
        <v>27776</v>
      </c>
      <c r="E9559" s="3" t="s">
        <v>27777</v>
      </c>
      <c r="F9559" s="3" t="str">
        <f>"219-977-8004"</f>
        <v>219-977-8004</v>
      </c>
      <c r="G9559" s="3">
        <v>541511</v>
      </c>
      <c r="H9559" s="3" t="s">
        <v>122</v>
      </c>
    </row>
    <row r="9560" spans="1:8" ht="64.5" x14ac:dyDescent="0.25">
      <c r="A9560" s="3" t="s">
        <v>27778</v>
      </c>
      <c r="B9560" s="3"/>
      <c r="C9560" s="3" t="str">
        <f>"Recruitment and placement of Information Technology personnel in the metro and surrounding Indianapolis areas at companies on a contract or permanent arrangement."</f>
        <v>Recruitment and placement of Information Technology personnel in the metro and surrounding Indianapolis areas at companies on a contract or permanent arrangement.</v>
      </c>
      <c r="D9560" s="3" t="s">
        <v>27779</v>
      </c>
      <c r="E9560" s="3" t="s">
        <v>27780</v>
      </c>
      <c r="F9560" s="3" t="str">
        <f>"317-523-6750"</f>
        <v>317-523-6750</v>
      </c>
      <c r="G9560" s="3">
        <v>561320</v>
      </c>
      <c r="H9560" s="3" t="s">
        <v>15</v>
      </c>
    </row>
    <row r="9561" spans="1:8" ht="39" x14ac:dyDescent="0.25">
      <c r="A9561" s="3" t="s">
        <v>27781</v>
      </c>
      <c r="B9561" s="3"/>
      <c r="C9561" s="3" t="str">
        <f>"Manufaturer of clear plastic tubes and containers that are used as packaging for products that are sold at retail."</f>
        <v>Manufaturer of clear plastic tubes and containers that are used as packaging for products that are sold at retail.</v>
      </c>
      <c r="D9561" s="3" t="s">
        <v>9</v>
      </c>
      <c r="E9561" s="3" t="s">
        <v>46</v>
      </c>
      <c r="F9561" s="2"/>
      <c r="G9561" s="3">
        <v>32612</v>
      </c>
      <c r="H9561" s="3" t="s">
        <v>27782</v>
      </c>
    </row>
    <row r="9562" spans="1:8" ht="77.25" x14ac:dyDescent="0.25">
      <c r="A9562" s="3" t="s">
        <v>27783</v>
      </c>
      <c r="B9562" s="3"/>
      <c r="C9562" s="3" t="str">
        <f>"Service, sales and installation of: walk in coolers/freezers, reach in coolers/freezers, prep tables, water fountains, ice machines of all types, heating and air conditioning, We also have a metals department for fabrication and welding."</f>
        <v>Service, sales and installation of: walk in coolers/freezers, reach in coolers/freezers, prep tables, water fountains, ice machines of all types, heating and air conditioning, We also have a metals department for fabrication and welding.</v>
      </c>
      <c r="D9562" s="3" t="s">
        <v>2449</v>
      </c>
      <c r="E9562" s="3" t="s">
        <v>27784</v>
      </c>
      <c r="F9562" s="3" t="str">
        <f>"317-787-9677"</f>
        <v>317-787-9677</v>
      </c>
      <c r="G9562" s="3">
        <v>238220</v>
      </c>
      <c r="H9562" s="3" t="s">
        <v>348</v>
      </c>
    </row>
    <row r="9563" spans="1:8" ht="102.75" x14ac:dyDescent="0.25">
      <c r="A9563" s="3" t="s">
        <v>27785</v>
      </c>
      <c r="B9563" s="3"/>
      <c r="C9563" s="3" t="s">
        <v>27786</v>
      </c>
      <c r="D9563" s="3" t="s">
        <v>9</v>
      </c>
      <c r="E9563" s="3" t="s">
        <v>27787</v>
      </c>
      <c r="F9563" s="3" t="str">
        <f>"3178943276"</f>
        <v>3178943276</v>
      </c>
      <c r="G9563" s="3">
        <v>561730</v>
      </c>
      <c r="H9563" s="3" t="s">
        <v>65</v>
      </c>
    </row>
    <row r="9564" spans="1:8" ht="26.25" x14ac:dyDescent="0.25">
      <c r="A9564" s="3" t="s">
        <v>27788</v>
      </c>
      <c r="B9564" s="3"/>
      <c r="C9564" s="3" t="str">
        <f>"Heating &amp; Air Services, Air Sealing Home and Weatherization."</f>
        <v>Heating &amp; Air Services, Air Sealing Home and Weatherization.</v>
      </c>
      <c r="D9564" s="3" t="s">
        <v>9</v>
      </c>
      <c r="E9564" s="3" t="s">
        <v>27789</v>
      </c>
      <c r="F9564" s="3" t="str">
        <f>"812-490-1807"</f>
        <v>812-490-1807</v>
      </c>
      <c r="G9564" s="3">
        <v>238220</v>
      </c>
      <c r="H9564" s="3" t="s">
        <v>348</v>
      </c>
    </row>
    <row r="9565" spans="1:8" ht="39" x14ac:dyDescent="0.25">
      <c r="A9565" s="3" t="s">
        <v>27790</v>
      </c>
      <c r="B9565" s="3"/>
      <c r="C9565" s="3" t="str">
        <f>"Contract Consulting Commercial and Industrial Maintenance Residential Service Mainenance Staffing"</f>
        <v>Contract Consulting Commercial and Industrial Maintenance Residential Service Mainenance Staffing</v>
      </c>
      <c r="D9565" s="3" t="s">
        <v>9</v>
      </c>
      <c r="E9565" s="3" t="s">
        <v>27791</v>
      </c>
      <c r="F9565" s="3" t="str">
        <f>"317-504-4174"</f>
        <v>317-504-4174</v>
      </c>
      <c r="G9565" s="3">
        <v>81</v>
      </c>
      <c r="H9565" s="3" t="s">
        <v>751</v>
      </c>
    </row>
    <row r="9566" spans="1:8" ht="51.75" x14ac:dyDescent="0.25">
      <c r="A9566" s="3" t="s">
        <v>27792</v>
      </c>
      <c r="B9566" s="3"/>
      <c r="C9566" s="3" t="str">
        <f>"Design and install office and home electronic systems including video systems, audio systems, telephone, security and home theater."</f>
        <v>Design and install office and home electronic systems including video systems, audio systems, telephone, security and home theater.</v>
      </c>
      <c r="D9566" s="3" t="s">
        <v>27793</v>
      </c>
      <c r="E9566" s="3" t="s">
        <v>27794</v>
      </c>
      <c r="F9566" s="3" t="str">
        <f>"(317)824-3000"</f>
        <v>(317)824-3000</v>
      </c>
      <c r="G9566" s="3">
        <v>238210</v>
      </c>
      <c r="H9566" s="3" t="s">
        <v>306</v>
      </c>
    </row>
    <row r="9567" spans="1:8" ht="39" x14ac:dyDescent="0.25">
      <c r="A9567" s="3" t="s">
        <v>27795</v>
      </c>
      <c r="B9567" s="3"/>
      <c r="C9567" s="3" t="str">
        <f>"Turner Construction Company of Indiana LLC provides Construction Management and General Contracting Services."</f>
        <v>Turner Construction Company of Indiana LLC provides Construction Management and General Contracting Services.</v>
      </c>
      <c r="D9567" s="3" t="s">
        <v>27796</v>
      </c>
      <c r="E9567" s="3" t="s">
        <v>27797</v>
      </c>
      <c r="F9567" s="3" t="str">
        <f>"317-573-2828"</f>
        <v>317-573-2828</v>
      </c>
      <c r="G9567" s="3">
        <v>2333</v>
      </c>
      <c r="H9567" s="3" t="s">
        <v>423</v>
      </c>
    </row>
    <row r="9568" spans="1:8" ht="39" x14ac:dyDescent="0.25">
      <c r="A9568" s="3" t="s">
        <v>27798</v>
      </c>
      <c r="B9568" s="3"/>
      <c r="C9568" s="3" t="str">
        <f>"Small trucking company providing local and regional trucking services LTL FTL and time critical"</f>
        <v>Small trucking company providing local and regional trucking services LTL FTL and time critical</v>
      </c>
      <c r="D9568" s="3" t="s">
        <v>9</v>
      </c>
      <c r="E9568" s="3" t="s">
        <v>27799</v>
      </c>
      <c r="F9568" s="3" t="str">
        <f>"3173662878"</f>
        <v>3173662878</v>
      </c>
      <c r="G9568" s="3">
        <v>484110</v>
      </c>
      <c r="H9568" s="3" t="s">
        <v>644</v>
      </c>
    </row>
    <row r="9569" spans="1:8" ht="217.5" x14ac:dyDescent="0.25">
      <c r="A9569" s="3" t="s">
        <v>27800</v>
      </c>
      <c r="B9569" s="3"/>
      <c r="C9569" s="3" t="s">
        <v>27801</v>
      </c>
      <c r="D9569" s="3" t="s">
        <v>27802</v>
      </c>
      <c r="E9569" s="3" t="s">
        <v>27803</v>
      </c>
      <c r="F9569" s="3" t="str">
        <f>"317-414-9334"</f>
        <v>317-414-9334</v>
      </c>
      <c r="G9569" s="3">
        <v>541611</v>
      </c>
      <c r="H9569" s="3" t="s">
        <v>278</v>
      </c>
    </row>
    <row r="9570" spans="1:8" ht="39" x14ac:dyDescent="0.25">
      <c r="A9570" s="3" t="s">
        <v>27804</v>
      </c>
      <c r="B9570" s="3"/>
      <c r="C9570" s="3" t="str">
        <f>"Commercial/Industrial HVAC, Boiler, Electrical, Piping, Welding, Cooling Towers, Chillers, Water Heaters"</f>
        <v>Commercial/Industrial HVAC, Boiler, Electrical, Piping, Welding, Cooling Towers, Chillers, Water Heaters</v>
      </c>
      <c r="D9570" s="3" t="s">
        <v>27805</v>
      </c>
      <c r="E9570" s="3" t="s">
        <v>27806</v>
      </c>
      <c r="F9570" s="3" t="str">
        <f>"317-535-8535"</f>
        <v>317-535-8535</v>
      </c>
      <c r="G9570" s="3">
        <v>238220</v>
      </c>
      <c r="H9570" s="3" t="s">
        <v>348</v>
      </c>
    </row>
    <row r="9571" spans="1:8" x14ac:dyDescent="0.25">
      <c r="A9571" s="3" t="s">
        <v>27807</v>
      </c>
      <c r="B9571" s="3"/>
      <c r="C9571" s="3" t="str">
        <f>" "</f>
        <v xml:space="preserve"> </v>
      </c>
      <c r="D9571" s="3" t="s">
        <v>9</v>
      </c>
      <c r="E9571" s="3" t="s">
        <v>46</v>
      </c>
      <c r="F9571" s="2"/>
      <c r="G9571" s="3">
        <v>11</v>
      </c>
      <c r="H9571" s="3" t="s">
        <v>175</v>
      </c>
    </row>
    <row r="9572" spans="1:8" ht="51.75" x14ac:dyDescent="0.25">
      <c r="A9572" s="3" t="s">
        <v>27808</v>
      </c>
      <c r="B9572" s="3"/>
      <c r="C9572" s="3" t="str">
        <f>"Custom mosaic tile design and install (large scale). Public art installments. Mosaic murals. Mosaic Artist. Terrazzo design and install."</f>
        <v>Custom mosaic tile design and install (large scale). Public art installments. Mosaic murals. Mosaic Artist. Terrazzo design and install.</v>
      </c>
      <c r="D9572" s="3" t="s">
        <v>27809</v>
      </c>
      <c r="E9572" s="3" t="s">
        <v>27810</v>
      </c>
      <c r="F9572" s="3" t="str">
        <f>"3176913609"</f>
        <v>3176913609</v>
      </c>
      <c r="G9572" s="3">
        <v>238340</v>
      </c>
      <c r="H9572" s="3" t="s">
        <v>7220</v>
      </c>
    </row>
    <row r="9573" spans="1:8" ht="77.25" x14ac:dyDescent="0.25">
      <c r="A9573" s="3" t="s">
        <v>27811</v>
      </c>
      <c r="B9573" s="3"/>
      <c r="C9573" s="3" t="str">
        <f>"Nursery and landscape company. Full service landscape company offering finish grading, all types of turf establishment, sod, retaining walls, irrigation systems and water features. Architectural and design services."</f>
        <v>Nursery and landscape company. Full service landscape company offering finish grading, all types of turf establishment, sod, retaining walls, irrigation systems and water features. Architectural and design services.</v>
      </c>
      <c r="D9573" s="3" t="s">
        <v>27812</v>
      </c>
      <c r="E9573" s="3" t="s">
        <v>46</v>
      </c>
      <c r="F9573" s="3" t="str">
        <f>"317-861-8733"</f>
        <v>317-861-8733</v>
      </c>
      <c r="G9573" s="3">
        <v>561730</v>
      </c>
      <c r="H9573" s="3" t="s">
        <v>65</v>
      </c>
    </row>
    <row r="9574" spans="1:8" ht="217.5" x14ac:dyDescent="0.25">
      <c r="A9574" s="3" t="s">
        <v>27813</v>
      </c>
      <c r="B9574" s="3"/>
      <c r="C9574" s="3" t="s">
        <v>27814</v>
      </c>
      <c r="D9574" s="3" t="s">
        <v>27815</v>
      </c>
      <c r="E9574" s="3" t="s">
        <v>27816</v>
      </c>
      <c r="F9574" s="3" t="str">
        <f>"877-894-6633"</f>
        <v>877-894-6633</v>
      </c>
      <c r="G9574" s="3">
        <v>423450</v>
      </c>
      <c r="H9574" s="3" t="s">
        <v>1406</v>
      </c>
    </row>
    <row r="9575" spans="1:8" ht="39" x14ac:dyDescent="0.25">
      <c r="A9575" s="3" t="s">
        <v>27817</v>
      </c>
      <c r="B9575" s="3"/>
      <c r="C9575" s="3" t="str">
        <f>"Commercial HVAC services, Johnson Controls METASYS controls service, programming, and installation."</f>
        <v>Commercial HVAC services, Johnson Controls METASYS controls service, programming, and installation.</v>
      </c>
      <c r="D9575" s="3" t="s">
        <v>9</v>
      </c>
      <c r="E9575" s="3" t="s">
        <v>46</v>
      </c>
      <c r="F9575" s="2"/>
      <c r="G9575" s="3">
        <v>238</v>
      </c>
      <c r="H9575" s="3" t="s">
        <v>397</v>
      </c>
    </row>
    <row r="9576" spans="1:8" ht="39" x14ac:dyDescent="0.25">
      <c r="A9576" s="3" t="s">
        <v>27818</v>
      </c>
      <c r="B9576" s="3"/>
      <c r="C9576" s="3" t="str">
        <f>"Women owned, general commodity, trucking company that hauls freight from state to state and locally."</f>
        <v>Women owned, general commodity, trucking company that hauls freight from state to state and locally.</v>
      </c>
      <c r="D9576" s="3" t="s">
        <v>9</v>
      </c>
      <c r="E9576" s="3" t="s">
        <v>27819</v>
      </c>
      <c r="F9576" s="3" t="str">
        <f>"3172414295"</f>
        <v>3172414295</v>
      </c>
      <c r="G9576" s="3">
        <v>484121</v>
      </c>
      <c r="H9576" s="3" t="s">
        <v>342</v>
      </c>
    </row>
    <row r="9577" spans="1:8" ht="39" x14ac:dyDescent="0.25">
      <c r="A9577" s="3" t="s">
        <v>27820</v>
      </c>
      <c r="B9577" s="3"/>
      <c r="C9577" s="3" t="str">
        <f>"Sales &amp; Service of New &amp; Preowned Boats, Motors, Trailers, Parts &amp; Accessory's Boat Storage, Since 1959."</f>
        <v>Sales &amp; Service of New &amp; Preowned Boats, Motors, Trailers, Parts &amp; Accessory's Boat Storage, Since 1959.</v>
      </c>
      <c r="D9577" s="3" t="s">
        <v>27821</v>
      </c>
      <c r="E9577" s="3" t="s">
        <v>27822</v>
      </c>
      <c r="F9577" s="3" t="str">
        <f>"812-649-4941"</f>
        <v>812-649-4941</v>
      </c>
      <c r="G9577" s="3">
        <v>45399</v>
      </c>
      <c r="H9577" s="3" t="s">
        <v>3215</v>
      </c>
    </row>
    <row r="9578" spans="1:8" ht="26.25" x14ac:dyDescent="0.25">
      <c r="A9578" s="3" t="s">
        <v>27823</v>
      </c>
      <c r="B9578" s="3"/>
      <c r="C9578" s="3" t="str">
        <f>"Battery warehouse selling all types of lead acid batteries"</f>
        <v>Battery warehouse selling all types of lead acid batteries</v>
      </c>
      <c r="D9578" s="3" t="s">
        <v>9</v>
      </c>
      <c r="E9578" s="3" t="s">
        <v>27824</v>
      </c>
      <c r="F9578" s="3" t="str">
        <f>"3172366288"</f>
        <v>3172366288</v>
      </c>
      <c r="G9578" s="3">
        <v>335911</v>
      </c>
      <c r="H9578" s="3" t="s">
        <v>14573</v>
      </c>
    </row>
    <row r="9579" spans="1:8" ht="115.5" x14ac:dyDescent="0.25">
      <c r="A9579" s="3" t="s">
        <v>27825</v>
      </c>
      <c r="B9579" s="3"/>
      <c r="C9579" s="3" t="s">
        <v>27826</v>
      </c>
      <c r="D9579" s="3" t="s">
        <v>9</v>
      </c>
      <c r="E9579" s="3" t="s">
        <v>46</v>
      </c>
      <c r="F9579" s="2"/>
      <c r="G9579" s="3">
        <v>811</v>
      </c>
      <c r="H9579" s="3" t="s">
        <v>816</v>
      </c>
    </row>
    <row r="9580" spans="1:8" ht="26.25" x14ac:dyDescent="0.25">
      <c r="A9580" s="3" t="s">
        <v>27827</v>
      </c>
      <c r="B9580" s="3"/>
      <c r="C9580" s="3" t="str">
        <f>"selling products associated with manufacturing/CONSTRUCTION"</f>
        <v>selling products associated with manufacturing/CONSTRUCTION</v>
      </c>
      <c r="D9580" s="3" t="s">
        <v>9</v>
      </c>
      <c r="E9580" s="3" t="s">
        <v>27828</v>
      </c>
      <c r="F9580" s="3" t="str">
        <f>"1-812-849-2374"</f>
        <v>1-812-849-2374</v>
      </c>
      <c r="G9580" s="3">
        <v>42171</v>
      </c>
      <c r="H9580" s="3" t="s">
        <v>27829</v>
      </c>
    </row>
    <row r="9581" spans="1:8" ht="39" x14ac:dyDescent="0.25">
      <c r="A9581" s="3" t="s">
        <v>27830</v>
      </c>
      <c r="B9581" s="3"/>
      <c r="C9581" s="3" t="str">
        <f>"We are an Insulation and Weatherization Company for pre exsisting and new structures."</f>
        <v>We are an Insulation and Weatherization Company for pre exsisting and new structures.</v>
      </c>
      <c r="D9581" s="3" t="s">
        <v>9</v>
      </c>
      <c r="E9581" s="3" t="s">
        <v>27831</v>
      </c>
      <c r="F9581" s="3" t="str">
        <f>"317-577-9890"</f>
        <v>317-577-9890</v>
      </c>
      <c r="G9581" s="3">
        <v>235</v>
      </c>
      <c r="H9581" s="3" t="s">
        <v>259</v>
      </c>
    </row>
    <row r="9582" spans="1:8" ht="281.25" x14ac:dyDescent="0.25">
      <c r="A9582" s="3" t="s">
        <v>27832</v>
      </c>
      <c r="B9582" s="3"/>
      <c r="C9582" s="3" t="s">
        <v>27833</v>
      </c>
      <c r="D9582" s="3" t="s">
        <v>27834</v>
      </c>
      <c r="E9582" s="3" t="s">
        <v>27835</v>
      </c>
      <c r="F9582" s="3" t="str">
        <f>"317-241-8396"</f>
        <v>317-241-8396</v>
      </c>
      <c r="G9582" s="3">
        <v>531120</v>
      </c>
      <c r="H9582" s="3" t="s">
        <v>2926</v>
      </c>
    </row>
    <row r="9583" spans="1:8" ht="141" x14ac:dyDescent="0.25">
      <c r="A9583" s="3" t="s">
        <v>27836</v>
      </c>
      <c r="B9583" s="3"/>
      <c r="C9583" s="3" t="s">
        <v>27837</v>
      </c>
      <c r="D9583" s="3" t="s">
        <v>27838</v>
      </c>
      <c r="E9583" s="3" t="s">
        <v>27839</v>
      </c>
      <c r="F9583" s="3" t="str">
        <f>"317-491-5536"</f>
        <v>317-491-5536</v>
      </c>
      <c r="G9583" s="3">
        <v>611430</v>
      </c>
      <c r="H9583" s="3" t="s">
        <v>1224</v>
      </c>
    </row>
    <row r="9584" spans="1:8" ht="51.75" x14ac:dyDescent="0.25">
      <c r="A9584" s="3" t="s">
        <v>27840</v>
      </c>
      <c r="B9584" s="3"/>
      <c r="C9584" s="3" t="str">
        <f>"Construction and road repair machinery sales and service, including boom trucks, drywall booms, cranes, bucket trucks, and asphalt repair machines."</f>
        <v>Construction and road repair machinery sales and service, including boom trucks, drywall booms, cranes, bucket trucks, and asphalt repair machines.</v>
      </c>
      <c r="D9584" s="3" t="s">
        <v>9</v>
      </c>
      <c r="E9584" s="3" t="s">
        <v>27841</v>
      </c>
      <c r="F9584" s="3" t="str">
        <f>"317-358-6303"</f>
        <v>317-358-6303</v>
      </c>
      <c r="G9584" s="3">
        <v>4238</v>
      </c>
      <c r="H9584" s="3" t="s">
        <v>1565</v>
      </c>
    </row>
    <row r="9585" spans="1:8" ht="64.5" x14ac:dyDescent="0.25">
      <c r="A9585" s="3" t="s">
        <v>27842</v>
      </c>
      <c r="B9585" s="3"/>
      <c r="C9585" s="3" t="str">
        <f>"U S Machinery offers sales and service of boom trucks, bucket trucks, drywall booms, mechanics trucks, hi-rail gear, and OSHA and FRA certified inspections of this type of equipment."</f>
        <v>U S Machinery offers sales and service of boom trucks, bucket trucks, drywall booms, mechanics trucks, hi-rail gear, and OSHA and FRA certified inspections of this type of equipment.</v>
      </c>
      <c r="D9585" s="3" t="s">
        <v>27843</v>
      </c>
      <c r="E9585" s="3" t="s">
        <v>27841</v>
      </c>
      <c r="F9585" s="3" t="str">
        <f>"317-921-3400"</f>
        <v>317-921-3400</v>
      </c>
      <c r="G9585" s="3">
        <v>4238</v>
      </c>
      <c r="H9585" s="3" t="s">
        <v>1565</v>
      </c>
    </row>
    <row r="9586" spans="1:8" ht="26.25" x14ac:dyDescent="0.25">
      <c r="A9586" s="3" t="s">
        <v>27844</v>
      </c>
      <c r="B9586" s="3"/>
      <c r="C9586" s="3" t="str">
        <f>"Cleaning business that offers cleaning for residential and commercial cleaning"</f>
        <v>Cleaning business that offers cleaning for residential and commercial cleaning</v>
      </c>
      <c r="D9586" s="3" t="s">
        <v>27845</v>
      </c>
      <c r="E9586" s="3" t="s">
        <v>27846</v>
      </c>
      <c r="F9586" s="3" t="str">
        <f>"219-945-6713"</f>
        <v>219-945-6713</v>
      </c>
      <c r="G9586" s="3">
        <v>561720</v>
      </c>
      <c r="H9586" s="3" t="s">
        <v>222</v>
      </c>
    </row>
    <row r="9587" spans="1:8" ht="102.75" x14ac:dyDescent="0.25">
      <c r="A9587" s="3" t="s">
        <v>27847</v>
      </c>
      <c r="B9587" s="3"/>
      <c r="C9587" s="3" t="s">
        <v>27848</v>
      </c>
      <c r="D9587" s="3" t="s">
        <v>27849</v>
      </c>
      <c r="E9587" s="3" t="s">
        <v>27850</v>
      </c>
      <c r="F9587" s="3" t="str">
        <f>"219-884-8888"</f>
        <v>219-884-8888</v>
      </c>
      <c r="G9587" s="3">
        <v>23</v>
      </c>
      <c r="H9587" s="3" t="s">
        <v>133</v>
      </c>
    </row>
    <row r="9588" spans="1:8" ht="153.75" x14ac:dyDescent="0.25">
      <c r="A9588" s="3" t="s">
        <v>27851</v>
      </c>
      <c r="B9588" s="3"/>
      <c r="C9588" s="3" t="s">
        <v>27852</v>
      </c>
      <c r="D9588" s="3" t="s">
        <v>27853</v>
      </c>
      <c r="E9588" s="3" t="s">
        <v>27854</v>
      </c>
      <c r="F9588" s="3" t="str">
        <f>"(800) 428-8968"</f>
        <v>(800) 428-8968</v>
      </c>
      <c r="G9588" s="3">
        <v>72231</v>
      </c>
      <c r="H9588" s="3" t="s">
        <v>1050</v>
      </c>
    </row>
    <row r="9589" spans="1:8" ht="26.25" x14ac:dyDescent="0.25">
      <c r="A9589" s="3" t="s">
        <v>27855</v>
      </c>
      <c r="B9589" s="3"/>
      <c r="C9589" s="3" t="str">
        <f>"SAnd, Gravel, &amp; Crushed Stone"</f>
        <v>SAnd, Gravel, &amp; Crushed Stone</v>
      </c>
      <c r="D9589" s="3" t="s">
        <v>27856</v>
      </c>
      <c r="E9589" s="3" t="s">
        <v>46</v>
      </c>
      <c r="F9589" s="3" t="str">
        <f>"317-872-6010"</f>
        <v>317-872-6010</v>
      </c>
      <c r="G9589" s="3">
        <v>212312</v>
      </c>
      <c r="H9589" s="3" t="s">
        <v>3264</v>
      </c>
    </row>
    <row r="9590" spans="1:8" ht="217.5" x14ac:dyDescent="0.25">
      <c r="A9590" s="3" t="s">
        <v>27857</v>
      </c>
      <c r="B9590" s="3"/>
      <c r="C9590" s="3" t="s">
        <v>27858</v>
      </c>
      <c r="D9590" s="3" t="s">
        <v>9</v>
      </c>
      <c r="E9590" s="3" t="s">
        <v>27859</v>
      </c>
      <c r="F9590" s="3" t="str">
        <f>"219-972-6300"</f>
        <v>219-972-6300</v>
      </c>
      <c r="G9590" s="3">
        <v>236118</v>
      </c>
      <c r="H9590" s="3" t="s">
        <v>465</v>
      </c>
    </row>
    <row r="9591" spans="1:8" ht="217.5" x14ac:dyDescent="0.25">
      <c r="A9591" s="3" t="s">
        <v>27860</v>
      </c>
      <c r="B9591" s="3"/>
      <c r="C9591" s="3" t="s">
        <v>27861</v>
      </c>
      <c r="D9591" s="3" t="s">
        <v>27862</v>
      </c>
      <c r="E9591" s="3" t="s">
        <v>27863</v>
      </c>
      <c r="F9591" s="3" t="str">
        <f>"800/270-0228"</f>
        <v>800/270-0228</v>
      </c>
      <c r="G9591" s="3">
        <v>541611</v>
      </c>
      <c r="H9591" s="3" t="s">
        <v>278</v>
      </c>
    </row>
    <row r="9592" spans="1:8" ht="26.25" x14ac:dyDescent="0.25">
      <c r="A9592" s="3" t="s">
        <v>27864</v>
      </c>
      <c r="B9592" s="3"/>
      <c r="C9592" s="3" t="str">
        <f>"Sales of uniforms, gear and equipment to the public safety industry."</f>
        <v>Sales of uniforms, gear and equipment to the public safety industry.</v>
      </c>
      <c r="D9592" s="3" t="s">
        <v>27865</v>
      </c>
      <c r="E9592" s="3" t="s">
        <v>27866</v>
      </c>
      <c r="F9592" s="3" t="str">
        <f>"317-822-8166"</f>
        <v>317-822-8166</v>
      </c>
      <c r="G9592" s="3">
        <v>453</v>
      </c>
      <c r="H9592" s="3" t="s">
        <v>2187</v>
      </c>
    </row>
    <row r="9593" spans="1:8" ht="115.5" x14ac:dyDescent="0.25">
      <c r="A9593" s="3" t="s">
        <v>27867</v>
      </c>
      <c r="B9593" s="3"/>
      <c r="C9593" s="3" t="s">
        <v>27868</v>
      </c>
      <c r="D9593" s="3" t="s">
        <v>27869</v>
      </c>
      <c r="E9593" s="3" t="s">
        <v>27870</v>
      </c>
      <c r="F9593" s="3" t="str">
        <f>"8006310651"</f>
        <v>8006310651</v>
      </c>
      <c r="G9593" s="3">
        <v>61171</v>
      </c>
      <c r="H9593" s="3" t="s">
        <v>508</v>
      </c>
    </row>
    <row r="9594" spans="1:8" ht="26.25" x14ac:dyDescent="0.25">
      <c r="A9594" s="3" t="s">
        <v>27871</v>
      </c>
      <c r="B9594" s="3"/>
      <c r="C9594" s="3" t="str">
        <f>"Law Enforcement and Public Safety equipment/gear/clothing/accessories"</f>
        <v>Law Enforcement and Public Safety equipment/gear/clothing/accessories</v>
      </c>
      <c r="D9594" s="3" t="s">
        <v>27872</v>
      </c>
      <c r="E9594" s="3" t="s">
        <v>27873</v>
      </c>
      <c r="F9594" s="3" t="str">
        <f>"317-822-8166"</f>
        <v>317-822-8166</v>
      </c>
      <c r="G9594" s="3">
        <v>453998</v>
      </c>
      <c r="H9594" s="3" t="s">
        <v>112</v>
      </c>
    </row>
    <row r="9595" spans="1:8" ht="51.75" x14ac:dyDescent="0.25">
      <c r="A9595" s="3" t="s">
        <v>27874</v>
      </c>
      <c r="B9595" s="3"/>
      <c r="C9595" s="3" t="str">
        <f>"Utility Data Resource Management, Inc. is a computer software dealer providing user-friendly software designed for pipeline inspections."</f>
        <v>Utility Data Resource Management, Inc. is a computer software dealer providing user-friendly software designed for pipeline inspections.</v>
      </c>
      <c r="D9595" s="3" t="s">
        <v>9</v>
      </c>
      <c r="E9595" s="3" t="s">
        <v>27875</v>
      </c>
      <c r="F9595" s="3" t="str">
        <f>"317-538-4976"</f>
        <v>317-538-4976</v>
      </c>
      <c r="G9595" s="3">
        <v>541511</v>
      </c>
      <c r="H9595" s="3" t="s">
        <v>122</v>
      </c>
    </row>
    <row r="9596" spans="1:8" ht="39" x14ac:dyDescent="0.25">
      <c r="A9596" s="3" t="s">
        <v>27876</v>
      </c>
      <c r="B9596" s="3"/>
      <c r="C9596" s="3" t="str">
        <f>"Locked, secured, licensed residential treatment provider for children and adolescents."</f>
        <v>Locked, secured, licensed residential treatment provider for children and adolescents.</v>
      </c>
      <c r="D9596" s="3" t="s">
        <v>27877</v>
      </c>
      <c r="E9596" s="3" t="s">
        <v>27878</v>
      </c>
      <c r="F9596" s="3" t="str">
        <f>"2197662999"</f>
        <v>2197662999</v>
      </c>
      <c r="G9596" s="3">
        <v>622</v>
      </c>
      <c r="H9596" s="3" t="s">
        <v>5145</v>
      </c>
    </row>
    <row r="9597" spans="1:8" ht="26.25" x14ac:dyDescent="0.25">
      <c r="A9597" s="3" t="s">
        <v>27879</v>
      </c>
      <c r="B9597" s="3"/>
      <c r="C9597" s="3" t="str">
        <f>"Drinking Water Analytical Laboratory"</f>
        <v>Drinking Water Analytical Laboratory</v>
      </c>
      <c r="D9597" s="3" t="s">
        <v>27880</v>
      </c>
      <c r="E9597" s="3" t="s">
        <v>27881</v>
      </c>
      <c r="F9597" s="3" t="str">
        <f>"5742334777"</f>
        <v>5742334777</v>
      </c>
      <c r="G9597" s="3">
        <v>541380</v>
      </c>
      <c r="H9597" s="3" t="s">
        <v>226</v>
      </c>
    </row>
    <row r="9598" spans="1:8" ht="39" x14ac:dyDescent="0.25">
      <c r="A9598" s="3" t="s">
        <v>27882</v>
      </c>
      <c r="B9598" s="3"/>
      <c r="C9598" s="3" t="str">
        <f>"A communications company providing commercial printing, direct mail and direct marketing services."</f>
        <v>A communications company providing commercial printing, direct mail and direct marketing services.</v>
      </c>
      <c r="D9598" s="3" t="s">
        <v>27883</v>
      </c>
      <c r="E9598" s="3" t="s">
        <v>27884</v>
      </c>
      <c r="F9598" s="3" t="str">
        <f>"317844-8622"</f>
        <v>317844-8622</v>
      </c>
      <c r="G9598" s="3">
        <v>323110</v>
      </c>
      <c r="H9598" s="3" t="s">
        <v>1900</v>
      </c>
    </row>
    <row r="9599" spans="1:8" ht="39" x14ac:dyDescent="0.25">
      <c r="A9599" s="3" t="s">
        <v>27885</v>
      </c>
      <c r="B9599" s="3"/>
      <c r="C9599" s="3" t="str">
        <f>"This is a MBA and woman owned business. I supply janitorial and restaurant supplies and personal hygiene."</f>
        <v>This is a MBA and woman owned business. I supply janitorial and restaurant supplies and personal hygiene.</v>
      </c>
      <c r="D9599" s="3" t="s">
        <v>9</v>
      </c>
      <c r="E9599" s="3" t="s">
        <v>46</v>
      </c>
      <c r="F9599" s="3" t="str">
        <f>"317-634-5328"</f>
        <v>317-634-5328</v>
      </c>
      <c r="G9599" s="3">
        <v>56172</v>
      </c>
      <c r="H9599" s="3" t="s">
        <v>222</v>
      </c>
    </row>
    <row r="9600" spans="1:8" ht="255.75" x14ac:dyDescent="0.25">
      <c r="A9600" s="3" t="s">
        <v>27886</v>
      </c>
      <c r="B9600" s="3"/>
      <c r="C9600" s="3" t="s">
        <v>27887</v>
      </c>
      <c r="D9600" s="3" t="s">
        <v>27888</v>
      </c>
      <c r="E9600" s="3" t="s">
        <v>27889</v>
      </c>
      <c r="F9600" s="3" t="str">
        <f>"317-895-2585"</f>
        <v>317-895-2585</v>
      </c>
      <c r="G9600" s="3">
        <v>541330</v>
      </c>
      <c r="H9600" s="3" t="s">
        <v>82</v>
      </c>
    </row>
    <row r="9601" spans="1:8" ht="102.75" x14ac:dyDescent="0.25">
      <c r="A9601" s="3" t="s">
        <v>27890</v>
      </c>
      <c r="B9601" s="3"/>
      <c r="C9601" s="3" t="s">
        <v>27891</v>
      </c>
      <c r="D9601" s="3" t="s">
        <v>27892</v>
      </c>
      <c r="E9601" s="3" t="s">
        <v>27893</v>
      </c>
      <c r="F9601" s="3" t="str">
        <f>"509-946-8738"</f>
        <v>509-946-8738</v>
      </c>
      <c r="G9601" s="3">
        <v>541380</v>
      </c>
      <c r="H9601" s="3" t="s">
        <v>226</v>
      </c>
    </row>
    <row r="9602" spans="1:8" ht="64.5" x14ac:dyDescent="0.25">
      <c r="A9602" s="3" t="s">
        <v>27894</v>
      </c>
      <c r="B9602" s="3"/>
      <c r="C9602" s="3" t="str">
        <f>"UST Specializes in the transportation of general commodities, high value products, office furniture, medical equipment, machinery, exhibit &amp; display material.....UST is a transportation management company"</f>
        <v>UST Specializes in the transportation of general commodities, high value products, office furniture, medical equipment, machinery, exhibit &amp; display material.....UST is a transportation management company</v>
      </c>
      <c r="D9602" s="3" t="s">
        <v>27895</v>
      </c>
      <c r="E9602" s="3" t="s">
        <v>27896</v>
      </c>
      <c r="F9602" s="3" t="str">
        <f>"317-536-2738"</f>
        <v>317-536-2738</v>
      </c>
      <c r="G9602" s="3">
        <v>484220</v>
      </c>
      <c r="H9602" s="3" t="s">
        <v>11</v>
      </c>
    </row>
    <row r="9603" spans="1:8" ht="204.75" x14ac:dyDescent="0.25">
      <c r="A9603" s="3" t="s">
        <v>27897</v>
      </c>
      <c r="B9603" s="3"/>
      <c r="C9603" s="3" t="s">
        <v>27898</v>
      </c>
      <c r="D9603" s="3" t="s">
        <v>27899</v>
      </c>
      <c r="E9603" s="3" t="s">
        <v>27900</v>
      </c>
      <c r="F9603" s="3" t="str">
        <f>"(317) 532-5400"</f>
        <v>(317) 532-5400</v>
      </c>
      <c r="G9603" s="3">
        <v>2341</v>
      </c>
      <c r="H9603" s="3" t="s">
        <v>4867</v>
      </c>
    </row>
    <row r="9604" spans="1:8" ht="39" x14ac:dyDescent="0.25">
      <c r="A9604" s="3" t="s">
        <v>27901</v>
      </c>
      <c r="B9604" s="3"/>
      <c r="C9604" s="3" t="str">
        <f>"Manufacturer of precision, high capacity, food processing equipment (slicers, dicers, shredders)."</f>
        <v>Manufacturer of precision, high capacity, food processing equipment (slicers, dicers, shredders).</v>
      </c>
      <c r="D9604" s="3" t="s">
        <v>27902</v>
      </c>
      <c r="E9604" s="3" t="s">
        <v>27903</v>
      </c>
      <c r="F9604" s="3" t="str">
        <f>"219-464-4811"</f>
        <v>219-464-4811</v>
      </c>
      <c r="G9604" s="3">
        <v>333294</v>
      </c>
      <c r="H9604" s="3" t="s">
        <v>17225</v>
      </c>
    </row>
    <row r="9605" spans="1:8" ht="115.5" x14ac:dyDescent="0.25">
      <c r="A9605" s="3" t="s">
        <v>27904</v>
      </c>
      <c r="B9605" s="3"/>
      <c r="C9605" s="3" t="s">
        <v>27905</v>
      </c>
      <c r="D9605" s="3" t="s">
        <v>27906</v>
      </c>
      <c r="E9605" s="3" t="s">
        <v>27907</v>
      </c>
      <c r="F9605" s="3" t="str">
        <f>"219-313-1388"</f>
        <v>219-313-1388</v>
      </c>
      <c r="G9605" s="3">
        <v>327991</v>
      </c>
      <c r="H9605" s="3" t="s">
        <v>13525</v>
      </c>
    </row>
    <row r="9606" spans="1:8" ht="306.75" x14ac:dyDescent="0.25">
      <c r="A9606" s="3" t="s">
        <v>27908</v>
      </c>
      <c r="B9606" s="3"/>
      <c r="C9606" s="3" t="s">
        <v>27909</v>
      </c>
      <c r="D9606" s="3" t="s">
        <v>27910</v>
      </c>
      <c r="E9606" s="3" t="s">
        <v>27911</v>
      </c>
      <c r="F9606" s="3" t="str">
        <f>"765 643 9373"</f>
        <v>765 643 9373</v>
      </c>
      <c r="G9606" s="3">
        <v>3261</v>
      </c>
      <c r="H9606" s="3" t="s">
        <v>2127</v>
      </c>
    </row>
    <row r="9607" spans="1:8" ht="230.25" x14ac:dyDescent="0.25">
      <c r="A9607" s="3" t="s">
        <v>27912</v>
      </c>
      <c r="B9607" s="3"/>
      <c r="C9607" s="3" t="s">
        <v>27913</v>
      </c>
      <c r="D9607" s="3" t="s">
        <v>27914</v>
      </c>
      <c r="E9607" s="3" t="s">
        <v>27915</v>
      </c>
      <c r="F9607" s="3" t="str">
        <f>"317-209-0889"</f>
        <v>317-209-0889</v>
      </c>
      <c r="G9607" s="3">
        <v>238220</v>
      </c>
      <c r="H9607" s="3" t="s">
        <v>348</v>
      </c>
    </row>
    <row r="9608" spans="1:8" ht="77.25" x14ac:dyDescent="0.25">
      <c r="A9608" s="3" t="s">
        <v>27916</v>
      </c>
      <c r="B9608" s="3"/>
      <c r="C9608" s="3" t="str">
        <f>"General contractor for commercial or residential -new or remodel construction, roofing, framing, drywall, siding,trenching, electrical, plumbing, flooring,door, window, foundations, masonry, water lines,sewer lines"</f>
        <v>General contractor for commercial or residential -new or remodel construction, roofing, framing, drywall, siding,trenching, electrical, plumbing, flooring,door, window, foundations, masonry, water lines,sewer lines</v>
      </c>
      <c r="D9608" s="3" t="s">
        <v>9</v>
      </c>
      <c r="E9608" s="3" t="s">
        <v>46</v>
      </c>
      <c r="F9608" s="3" t="str">
        <f>"812-665-2696"</f>
        <v>812-665-2696</v>
      </c>
      <c r="G9608" s="3">
        <v>238</v>
      </c>
      <c r="H9608" s="3" t="s">
        <v>397</v>
      </c>
    </row>
    <row r="9609" spans="1:8" ht="90" x14ac:dyDescent="0.25">
      <c r="A9609" s="3" t="s">
        <v>27917</v>
      </c>
      <c r="B9609" s="3"/>
      <c r="C9609" s="3" t="s">
        <v>27918</v>
      </c>
      <c r="D9609" s="3" t="s">
        <v>9</v>
      </c>
      <c r="E9609" s="3" t="s">
        <v>46</v>
      </c>
      <c r="F9609" s="2"/>
      <c r="G9609" s="3">
        <v>424950</v>
      </c>
      <c r="H9609" s="3" t="s">
        <v>7232</v>
      </c>
    </row>
    <row r="9610" spans="1:8" ht="26.25" x14ac:dyDescent="0.25">
      <c r="A9610" s="3" t="s">
        <v>27919</v>
      </c>
      <c r="B9610" s="3"/>
      <c r="C9610" s="3" t="str">
        <f>"Chinese Mandarin and Cantonese language translation service."</f>
        <v>Chinese Mandarin and Cantonese language translation service.</v>
      </c>
      <c r="D9610" s="3" t="s">
        <v>9</v>
      </c>
      <c r="E9610" s="3" t="s">
        <v>978</v>
      </c>
      <c r="F9610" s="3" t="str">
        <f>"317-413-9662"</f>
        <v>317-413-9662</v>
      </c>
      <c r="G9610" s="3">
        <v>541930</v>
      </c>
      <c r="H9610" s="3" t="s">
        <v>971</v>
      </c>
    </row>
    <row r="9611" spans="1:8" ht="192" x14ac:dyDescent="0.25">
      <c r="A9611" s="3" t="s">
        <v>27920</v>
      </c>
      <c r="B9611" s="3"/>
      <c r="C9611" s="3" t="s">
        <v>27921</v>
      </c>
      <c r="D9611" s="3" t="s">
        <v>27922</v>
      </c>
      <c r="E9611" s="3" t="s">
        <v>27923</v>
      </c>
      <c r="F9611" s="3" t="str">
        <f>"317-544-4996"</f>
        <v>317-544-4996</v>
      </c>
      <c r="G9611" s="3">
        <v>541330</v>
      </c>
      <c r="H9611" s="3" t="s">
        <v>82</v>
      </c>
    </row>
    <row r="9612" spans="1:8" ht="39" x14ac:dyDescent="0.25">
      <c r="A9612" s="3" t="s">
        <v>27924</v>
      </c>
      <c r="B9612" s="3"/>
      <c r="C9612" s="3" t="str">
        <f>"Specalizing in Ultraviolet Germicidal Irrdiation for all HVAC systems. Using the world leader in Ultraviolet Germicidal UVDI."</f>
        <v>Specalizing in Ultraviolet Germicidal Irrdiation for all HVAC systems. Using the world leader in Ultraviolet Germicidal UVDI.</v>
      </c>
      <c r="D9612" s="3" t="s">
        <v>9</v>
      </c>
      <c r="E9612" s="3" t="s">
        <v>27925</v>
      </c>
      <c r="F9612" s="3" t="str">
        <f>"317-569-6000"</f>
        <v>317-569-6000</v>
      </c>
      <c r="G9612" s="3">
        <v>238220</v>
      </c>
      <c r="H9612" s="3" t="s">
        <v>348</v>
      </c>
    </row>
    <row r="9613" spans="1:8" ht="51.75" x14ac:dyDescent="0.25">
      <c r="A9613" s="3" t="s">
        <v>27926</v>
      </c>
      <c r="B9613" s="3"/>
      <c r="C9613" s="3" t="str">
        <f>"New and Used GM and Toyota cars and trucks including GM Commercial and Medium Duty chassis and bodies Complete service, body shop and parts sales"</f>
        <v>New and Used GM and Toyota cars and trucks including GM Commercial and Medium Duty chassis and bodies Complete service, body shop and parts sales</v>
      </c>
      <c r="D9613" s="3" t="s">
        <v>27927</v>
      </c>
      <c r="E9613" s="3" t="s">
        <v>27928</v>
      </c>
      <c r="F9613" s="3" t="str">
        <f>"812-482-2222"</f>
        <v>812-482-2222</v>
      </c>
      <c r="G9613" s="3">
        <v>441110</v>
      </c>
      <c r="H9613" s="3" t="s">
        <v>2588</v>
      </c>
    </row>
    <row r="9614" spans="1:8" ht="77.25" x14ac:dyDescent="0.25">
      <c r="A9614" s="3" t="s">
        <v>27929</v>
      </c>
      <c r="B9614" s="3"/>
      <c r="C9614" s="3" t="str">
        <f>"Ulrich Chemical, Inc. is a diversified industrial chemical distributor serving a five-state area. Major markets served are pharmaceutical, food, electronics, water purification and treatment, automotive and paint and coatings."</f>
        <v>Ulrich Chemical, Inc. is a diversified industrial chemical distributor serving a five-state area. Major markets served are pharmaceutical, food, electronics, water purification and treatment, automotive and paint and coatings.</v>
      </c>
      <c r="D9614" s="3" t="s">
        <v>27930</v>
      </c>
      <c r="E9614" s="3" t="s">
        <v>46</v>
      </c>
      <c r="F9614" s="3" t="str">
        <f>"317-898-8632"</f>
        <v>317-898-8632</v>
      </c>
      <c r="G9614" s="3">
        <v>424690</v>
      </c>
      <c r="H9614" s="3" t="s">
        <v>2494</v>
      </c>
    </row>
    <row r="9615" spans="1:8" ht="77.25" x14ac:dyDescent="0.25">
      <c r="A9615" s="3" t="s">
        <v>27931</v>
      </c>
      <c r="B9615" s="3"/>
      <c r="C9615" s="3" t="str">
        <f>"General and Sub Contractor, Framing,Roofing,Siding,Windows,Interior/Exterior Trim,Additions, Remodels,Decks,Gazebos,Patio Pavers,Concrete, Fences, Outdoor Living Specialist."</f>
        <v>General and Sub Contractor, Framing,Roofing,Siding,Windows,Interior/Exterior Trim,Additions, Remodels,Decks,Gazebos,Patio Pavers,Concrete, Fences, Outdoor Living Specialist.</v>
      </c>
      <c r="D9615" s="3" t="s">
        <v>27932</v>
      </c>
      <c r="E9615" s="3" t="s">
        <v>27933</v>
      </c>
      <c r="F9615" s="3" t="str">
        <f>"888-215-8960"</f>
        <v>888-215-8960</v>
      </c>
      <c r="G9615" s="3">
        <v>238130</v>
      </c>
      <c r="H9615" s="3" t="s">
        <v>10568</v>
      </c>
    </row>
    <row r="9616" spans="1:8" ht="90" x14ac:dyDescent="0.25">
      <c r="A9616" s="3" t="s">
        <v>27934</v>
      </c>
      <c r="B9616" s="3"/>
      <c r="C9616" s="3" t="str">
        <f>"We are Manufacture's Represenatives protecting concrete and steel with paints, sealers, and coatings. ""Ashford Formula"" curing, sealing, and densifying concrete slabs &amp; related MM-80 Joint sealants are industry standards and our main representation."</f>
        <v>We are Manufacture's Represenatives protecting concrete and steel with paints, sealers, and coatings. "Ashford Formula" curing, sealing, and densifying concrete slabs &amp; related MM-80 Joint sealants are industry standards and our main representation.</v>
      </c>
      <c r="D9616" s="3" t="s">
        <v>27935</v>
      </c>
      <c r="E9616" s="3" t="s">
        <v>27936</v>
      </c>
      <c r="F9616" s="3" t="str">
        <f>"317 873-4349"</f>
        <v>317 873-4349</v>
      </c>
      <c r="G9616" s="3">
        <v>3273</v>
      </c>
      <c r="H9616" s="3" t="s">
        <v>23126</v>
      </c>
    </row>
    <row r="9617" spans="1:8" ht="64.5" x14ac:dyDescent="0.25">
      <c r="A9617" s="3" t="s">
        <v>27937</v>
      </c>
      <c r="B9617" s="3"/>
      <c r="C9617" s="3" t="str">
        <f>"we sell various repair and protection alternative products. Metal, concrete, rubber, flooring, corrosion, machinery/ equipment,pipeline coatings and sealants, pipe leaks wraps etc."</f>
        <v>we sell various repair and protection alternative products. Metal, concrete, rubber, flooring, corrosion, machinery/ equipment,pipeline coatings and sealants, pipe leaks wraps etc.</v>
      </c>
      <c r="D9617" s="3" t="s">
        <v>27938</v>
      </c>
      <c r="E9617" s="3" t="s">
        <v>27939</v>
      </c>
      <c r="F9617" s="3" t="str">
        <f>"248-735-7000"</f>
        <v>248-735-7000</v>
      </c>
      <c r="G9617" s="3">
        <v>423840</v>
      </c>
      <c r="H9617" s="3" t="s">
        <v>553</v>
      </c>
    </row>
    <row r="9618" spans="1:8" ht="306.75" x14ac:dyDescent="0.25">
      <c r="A9618" s="3" t="s">
        <v>27940</v>
      </c>
      <c r="B9618" s="3"/>
      <c r="C9618" s="3" t="s">
        <v>27941</v>
      </c>
      <c r="D9618" s="3" t="s">
        <v>27942</v>
      </c>
      <c r="E9618" s="3" t="s">
        <v>27943</v>
      </c>
      <c r="F9618" s="3" t="str">
        <f>"317-908-0374"</f>
        <v>317-908-0374</v>
      </c>
      <c r="G9618" s="3">
        <v>236</v>
      </c>
      <c r="H9618" s="3" t="s">
        <v>291</v>
      </c>
    </row>
    <row r="9619" spans="1:8" ht="64.5" x14ac:dyDescent="0.25">
      <c r="A9619" s="3" t="s">
        <v>27944</v>
      </c>
      <c r="B9619" s="3"/>
      <c r="C9619" s="3" t="str">
        <f>"We are a wholesale distributor of wastewater and water products. Some of these products include: hydrants, valves, fittings, ductile iron pipe, pvc pipe, meters, lift stations and pumps, etc."</f>
        <v>We are a wholesale distributor of wastewater and water products. Some of these products include: hydrants, valves, fittings, ductile iron pipe, pvc pipe, meters, lift stations and pumps, etc.</v>
      </c>
      <c r="D9619" s="3" t="s">
        <v>27945</v>
      </c>
      <c r="E9619" s="3" t="s">
        <v>27946</v>
      </c>
      <c r="F9619" s="3" t="str">
        <f>"260-483-1457"</f>
        <v>260-483-1457</v>
      </c>
      <c r="G9619" s="3">
        <v>42</v>
      </c>
      <c r="H9619" s="3" t="s">
        <v>674</v>
      </c>
    </row>
    <row r="9620" spans="1:8" ht="141" x14ac:dyDescent="0.25">
      <c r="A9620" s="3" t="s">
        <v>27947</v>
      </c>
      <c r="B9620" s="3"/>
      <c r="C9620" s="3" t="s">
        <v>27948</v>
      </c>
      <c r="D9620" s="3" t="s">
        <v>9</v>
      </c>
      <c r="E9620" s="3" t="s">
        <v>27949</v>
      </c>
      <c r="F9620" s="3" t="str">
        <f>"812-369-7600"</f>
        <v>812-369-7600</v>
      </c>
      <c r="G9620" s="3">
        <v>56143</v>
      </c>
      <c r="H9620" s="3" t="s">
        <v>19623</v>
      </c>
    </row>
    <row r="9621" spans="1:8" ht="128.25" x14ac:dyDescent="0.25">
      <c r="A9621" s="3" t="s">
        <v>27950</v>
      </c>
      <c r="B9621" s="3"/>
      <c r="C9621" s="3" t="s">
        <v>27951</v>
      </c>
      <c r="D9621" s="3" t="s">
        <v>9</v>
      </c>
      <c r="E9621" s="3" t="s">
        <v>27952</v>
      </c>
      <c r="F9621" s="3" t="str">
        <f>"765-289-5559"</f>
        <v>765-289-5559</v>
      </c>
      <c r="G9621" s="3">
        <v>541310</v>
      </c>
      <c r="H9621" s="3" t="s">
        <v>446</v>
      </c>
    </row>
    <row r="9622" spans="1:8" ht="39" x14ac:dyDescent="0.25">
      <c r="A9622" s="3" t="s">
        <v>27953</v>
      </c>
      <c r="B9622" s="3"/>
      <c r="C9622" s="3" t="str">
        <f>"The South Bend Indiana division of UL offers analytical testing on drinking water and other public water supply samples."</f>
        <v>The South Bend Indiana division of UL offers analytical testing on drinking water and other public water supply samples.</v>
      </c>
      <c r="D9622" s="3" t="s">
        <v>27880</v>
      </c>
      <c r="E9622" s="3" t="s">
        <v>27954</v>
      </c>
      <c r="F9622" s="3" t="str">
        <f>"1-800-332-4345"</f>
        <v>1-800-332-4345</v>
      </c>
      <c r="G9622" s="3">
        <v>541380</v>
      </c>
      <c r="H9622" s="3" t="s">
        <v>226</v>
      </c>
    </row>
    <row r="9623" spans="1:8" x14ac:dyDescent="0.25">
      <c r="A9623" s="3" t="s">
        <v>27955</v>
      </c>
      <c r="B9623" s="3"/>
      <c r="C9623" s="3" t="str">
        <f>"software developer"</f>
        <v>software developer</v>
      </c>
      <c r="D9623" s="3" t="s">
        <v>9</v>
      </c>
      <c r="E9623" s="3" t="s">
        <v>46</v>
      </c>
      <c r="F9623" s="2"/>
      <c r="G9623" s="3">
        <v>5112</v>
      </c>
      <c r="H9623" s="3" t="s">
        <v>315</v>
      </c>
    </row>
    <row r="9624" spans="1:8" ht="102.75" x14ac:dyDescent="0.25">
      <c r="A9624" s="3" t="s">
        <v>27956</v>
      </c>
      <c r="B9624" s="3"/>
      <c r="C9624" s="3" t="s">
        <v>27957</v>
      </c>
      <c r="D9624" s="3" t="s">
        <v>27958</v>
      </c>
      <c r="E9624" s="3" t="s">
        <v>27959</v>
      </c>
      <c r="F9624" s="3" t="str">
        <f>"317-500-2201"</f>
        <v>317-500-2201</v>
      </c>
      <c r="G9624" s="3">
        <v>621420</v>
      </c>
      <c r="H9624" s="3" t="s">
        <v>990</v>
      </c>
    </row>
    <row r="9625" spans="1:8" ht="115.5" x14ac:dyDescent="0.25">
      <c r="A9625" s="3" t="s">
        <v>27960</v>
      </c>
      <c r="B9625" s="3"/>
      <c r="C9625" s="3" t="s">
        <v>27961</v>
      </c>
      <c r="D9625" s="3" t="s">
        <v>27962</v>
      </c>
      <c r="E9625" s="3" t="s">
        <v>27963</v>
      </c>
      <c r="F9625" s="3" t="str">
        <f>"317-531-4114"</f>
        <v>317-531-4114</v>
      </c>
      <c r="G9625" s="3">
        <v>561720</v>
      </c>
      <c r="H9625" s="3" t="s">
        <v>222</v>
      </c>
    </row>
    <row r="9626" spans="1:8" x14ac:dyDescent="0.25">
      <c r="A9626" s="3" t="s">
        <v>27964</v>
      </c>
      <c r="B9626" s="3"/>
      <c r="C9626" s="2"/>
      <c r="D9626" s="3" t="s">
        <v>9</v>
      </c>
      <c r="E9626" s="3" t="s">
        <v>46</v>
      </c>
      <c r="F9626" s="2"/>
      <c r="G9626" s="3">
        <v>444130</v>
      </c>
      <c r="H9626" s="3" t="s">
        <v>2597</v>
      </c>
    </row>
    <row r="9627" spans="1:8" ht="26.25" x14ac:dyDescent="0.25">
      <c r="A9627" s="3" t="s">
        <v>27965</v>
      </c>
      <c r="B9627" s="3"/>
      <c r="C9627" s="3" t="str">
        <f>"Hospital, Healthcare, Not for Profit"</f>
        <v>Hospital, Healthcare, Not for Profit</v>
      </c>
      <c r="D9627" s="3" t="s">
        <v>27966</v>
      </c>
      <c r="E9627" s="3" t="s">
        <v>46</v>
      </c>
      <c r="F9627" s="3" t="str">
        <f>"812-238-7000"</f>
        <v>812-238-7000</v>
      </c>
      <c r="G9627" s="3">
        <v>622110</v>
      </c>
      <c r="H9627" s="3" t="s">
        <v>3335</v>
      </c>
    </row>
    <row r="9628" spans="1:8" ht="51.75" x14ac:dyDescent="0.25">
      <c r="A9628" s="3" t="s">
        <v>27967</v>
      </c>
      <c r="B9628" s="3"/>
      <c r="C9628" s="3" t="str">
        <f>"ABS is a leading provider of employment background checks, pre-employment screening services and business background investigations."</f>
        <v>ABS is a leading provider of employment background checks, pre-employment screening services and business background investigations.</v>
      </c>
      <c r="D9628" s="3" t="s">
        <v>27968</v>
      </c>
      <c r="E9628" s="3" t="s">
        <v>27969</v>
      </c>
      <c r="F9628" s="3" t="str">
        <f>"(317) 634-8246"</f>
        <v>(317) 634-8246</v>
      </c>
      <c r="G9628" s="3">
        <v>561611</v>
      </c>
      <c r="H9628" s="3" t="s">
        <v>581</v>
      </c>
    </row>
    <row r="9629" spans="1:8" ht="90" x14ac:dyDescent="0.25">
      <c r="A9629" s="3" t="s">
        <v>27970</v>
      </c>
      <c r="B9629" s="3"/>
      <c r="C9629" s="3" t="s">
        <v>27971</v>
      </c>
      <c r="D9629" s="3" t="s">
        <v>9</v>
      </c>
      <c r="E9629" s="3" t="s">
        <v>27972</v>
      </c>
      <c r="F9629" s="3" t="str">
        <f>"765-220-1153"</f>
        <v>765-220-1153</v>
      </c>
      <c r="G9629" s="3">
        <v>423390</v>
      </c>
      <c r="H9629" s="3" t="s">
        <v>1863</v>
      </c>
    </row>
    <row r="9630" spans="1:8" x14ac:dyDescent="0.25">
      <c r="A9630" s="3" t="s">
        <v>27973</v>
      </c>
      <c r="B9630" s="3"/>
      <c r="C9630" s="3" t="str">
        <f>" "</f>
        <v xml:space="preserve"> </v>
      </c>
      <c r="D9630" s="3" t="s">
        <v>9</v>
      </c>
      <c r="E9630" s="3" t="s">
        <v>46</v>
      </c>
      <c r="F9630" s="2"/>
      <c r="G9630" s="3">
        <v>235</v>
      </c>
      <c r="H9630" s="3" t="s">
        <v>259</v>
      </c>
    </row>
    <row r="9631" spans="1:8" ht="26.25" x14ac:dyDescent="0.25">
      <c r="A9631" s="3" t="s">
        <v>27974</v>
      </c>
      <c r="B9631" s="3"/>
      <c r="C9631" s="3" t="str">
        <f>"Collections for government agencies."</f>
        <v>Collections for government agencies.</v>
      </c>
      <c r="D9631" s="3" t="s">
        <v>27975</v>
      </c>
      <c r="E9631" s="3" t="s">
        <v>27976</v>
      </c>
      <c r="F9631" s="3" t="str">
        <f>"812-285-0886"</f>
        <v>812-285-0886</v>
      </c>
      <c r="G9631" s="3">
        <v>561440</v>
      </c>
      <c r="H9631" s="3" t="s">
        <v>473</v>
      </c>
    </row>
    <row r="9632" spans="1:8" ht="64.5" x14ac:dyDescent="0.25">
      <c r="A9632" s="3" t="s">
        <v>27977</v>
      </c>
      <c r="B9632" s="3"/>
      <c r="C9632" s="3" t="str">
        <f>"General Contractor specializing in Concrete, Stucco, Drywall, Plaster, Carpet, Tile, Roofing, Patio &amp; Driveway Restoration, Texture Walls &amp; Painting * Specialize Construction Men Power Staffing"</f>
        <v>General Contractor specializing in Concrete, Stucco, Drywall, Plaster, Carpet, Tile, Roofing, Patio &amp; Driveway Restoration, Texture Walls &amp; Painting * Specialize Construction Men Power Staffing</v>
      </c>
      <c r="D9632" s="3" t="s">
        <v>9</v>
      </c>
      <c r="E9632" s="3" t="s">
        <v>27978</v>
      </c>
      <c r="F9632" s="3" t="str">
        <f>"317-414-3860"</f>
        <v>317-414-3860</v>
      </c>
      <c r="G9632" s="3">
        <v>11</v>
      </c>
      <c r="H9632" s="3" t="s">
        <v>175</v>
      </c>
    </row>
    <row r="9633" spans="1:8" ht="141" x14ac:dyDescent="0.25">
      <c r="A9633" s="3" t="s">
        <v>27979</v>
      </c>
      <c r="B9633" s="3"/>
      <c r="C9633" s="3" t="s">
        <v>27980</v>
      </c>
      <c r="D9633" s="3" t="s">
        <v>27981</v>
      </c>
      <c r="E9633" s="3" t="s">
        <v>27982</v>
      </c>
      <c r="F9633" s="3" t="str">
        <f>"800-777-5528"</f>
        <v>800-777-5528</v>
      </c>
      <c r="G9633" s="3">
        <v>323</v>
      </c>
      <c r="H9633" s="3" t="s">
        <v>302</v>
      </c>
    </row>
    <row r="9634" spans="1:8" x14ac:dyDescent="0.25">
      <c r="A9634" s="3" t="s">
        <v>27983</v>
      </c>
      <c r="B9634" s="3"/>
      <c r="C9634" s="3" t="str">
        <f>"Test and Balance agency"</f>
        <v>Test and Balance agency</v>
      </c>
      <c r="D9634" s="3" t="s">
        <v>9</v>
      </c>
      <c r="E9634" s="3" t="s">
        <v>27984</v>
      </c>
      <c r="F9634" s="2"/>
      <c r="G9634" s="3">
        <v>23899</v>
      </c>
      <c r="H9634" s="3" t="s">
        <v>481</v>
      </c>
    </row>
    <row r="9635" spans="1:8" ht="90" x14ac:dyDescent="0.25">
      <c r="A9635" s="3" t="s">
        <v>27985</v>
      </c>
      <c r="B9635" s="3"/>
      <c r="C9635" s="3" t="s">
        <v>27986</v>
      </c>
      <c r="D9635" s="3" t="s">
        <v>27987</v>
      </c>
      <c r="E9635" s="3" t="s">
        <v>27988</v>
      </c>
      <c r="F9635" s="3" t="str">
        <f>"260.478.1121"</f>
        <v>260.478.1121</v>
      </c>
      <c r="G9635" s="3">
        <v>453998</v>
      </c>
      <c r="H9635" s="3" t="s">
        <v>112</v>
      </c>
    </row>
    <row r="9636" spans="1:8" ht="39" x14ac:dyDescent="0.25">
      <c r="A9636" s="3" t="s">
        <v>27989</v>
      </c>
      <c r="B9636" s="3"/>
      <c r="C9636" s="3" t="str">
        <f>"Full line building material company catering to the needs of builders and contractors"</f>
        <v>Full line building material company catering to the needs of builders and contractors</v>
      </c>
      <c r="D9636" s="3" t="s">
        <v>27990</v>
      </c>
      <c r="E9636" s="3" t="s">
        <v>27991</v>
      </c>
      <c r="F9636" s="3" t="str">
        <f>"812-876-2166"</f>
        <v>812-876-2166</v>
      </c>
      <c r="G9636" s="3">
        <v>44</v>
      </c>
      <c r="H9636" s="3" t="s">
        <v>574</v>
      </c>
    </row>
    <row r="9637" spans="1:8" ht="51.75" x14ac:dyDescent="0.25">
      <c r="A9637" s="3" t="s">
        <v>27992</v>
      </c>
      <c r="B9637" s="3"/>
      <c r="C9637" s="3" t="str">
        <f>"Laser printing supples, copier supples, fax supplies, printer paper, copier paper, computer paper computer printing supplies, magnetic media"</f>
        <v>Laser printing supples, copier supples, fax supplies, printer paper, copier paper, computer paper computer printing supplies, magnetic media</v>
      </c>
      <c r="D9637" s="3" t="s">
        <v>9</v>
      </c>
      <c r="E9637" s="3" t="s">
        <v>27993</v>
      </c>
      <c r="F9637" s="3" t="str">
        <f>"765-794-0027"</f>
        <v>765-794-0027</v>
      </c>
      <c r="G9637" s="3">
        <v>11</v>
      </c>
      <c r="H9637" s="3" t="s">
        <v>175</v>
      </c>
    </row>
    <row r="9638" spans="1:8" ht="64.5" x14ac:dyDescent="0.25">
      <c r="A9638" s="3" t="s">
        <v>27994</v>
      </c>
      <c r="B9638" s="3"/>
      <c r="C9638" s="3" t="str">
        <f>"Site preparation, well drilling and dewatering services for subsurface construction projects as well as electrical panel production for lift stations and related equipment"</f>
        <v>Site preparation, well drilling and dewatering services for subsurface construction projects as well as electrical panel production for lift stations and related equipment</v>
      </c>
      <c r="D9638" s="3" t="s">
        <v>9</v>
      </c>
      <c r="E9638" s="3" t="s">
        <v>27995</v>
      </c>
      <c r="F9638" s="3" t="str">
        <f>"317-409-5033"</f>
        <v>317-409-5033</v>
      </c>
      <c r="G9638" s="3">
        <v>238910</v>
      </c>
      <c r="H9638" s="3" t="s">
        <v>886</v>
      </c>
    </row>
    <row r="9639" spans="1:8" ht="26.25" x14ac:dyDescent="0.25">
      <c r="A9639" s="3" t="s">
        <v>27996</v>
      </c>
      <c r="B9639" s="3"/>
      <c r="C9639" s="3" t="str">
        <f>"Digital Signage Systems"</f>
        <v>Digital Signage Systems</v>
      </c>
      <c r="D9639" s="3" t="s">
        <v>9</v>
      </c>
      <c r="E9639" s="3" t="s">
        <v>27997</v>
      </c>
      <c r="F9639" s="3" t="str">
        <f>"804-674-8270"</f>
        <v>804-674-8270</v>
      </c>
      <c r="G9639" s="3">
        <v>541850</v>
      </c>
      <c r="H9639" s="3" t="s">
        <v>9509</v>
      </c>
    </row>
    <row r="9640" spans="1:8" ht="39" x14ac:dyDescent="0.25">
      <c r="A9640" s="3" t="s">
        <v>27998</v>
      </c>
      <c r="B9640" s="3"/>
      <c r="C9640" s="3" t="str">
        <f>"United Dynamics, Inc. performs foundation repair, foundation pilings, auger cast piles, helical micropiles and waterproofing."</f>
        <v>United Dynamics, Inc. performs foundation repair, foundation pilings, auger cast piles, helical micropiles and waterproofing.</v>
      </c>
      <c r="D9640" s="3" t="s">
        <v>27999</v>
      </c>
      <c r="E9640" s="3" t="s">
        <v>28000</v>
      </c>
      <c r="F9640" s="3" t="str">
        <f>"812-282-2222"</f>
        <v>812-282-2222</v>
      </c>
      <c r="G9640" s="3">
        <v>23819</v>
      </c>
      <c r="H9640" s="3" t="s">
        <v>1072</v>
      </c>
    </row>
    <row r="9641" spans="1:8" ht="26.25" x14ac:dyDescent="0.25">
      <c r="A9641" s="3" t="s">
        <v>28001</v>
      </c>
      <c r="B9641" s="3"/>
      <c r="C9641" s="3" t="str">
        <f>" "</f>
        <v xml:space="preserve"> </v>
      </c>
      <c r="D9641" s="3" t="s">
        <v>9</v>
      </c>
      <c r="E9641" s="3" t="s">
        <v>46</v>
      </c>
      <c r="F9641" s="2"/>
      <c r="G9641" s="3">
        <v>238190</v>
      </c>
      <c r="H9641" s="3" t="s">
        <v>1072</v>
      </c>
    </row>
    <row r="9642" spans="1:8" ht="26.25" x14ac:dyDescent="0.25">
      <c r="A9642" s="3" t="s">
        <v>28002</v>
      </c>
      <c r="B9642" s="3"/>
      <c r="C9642" s="3" t="str">
        <f>"Provide certified workers in Asbestos, Lead, Mold Removal and Demolition."</f>
        <v>Provide certified workers in Asbestos, Lead, Mold Removal and Demolition.</v>
      </c>
      <c r="D9642" s="3" t="s">
        <v>9</v>
      </c>
      <c r="E9642" s="3" t="s">
        <v>28003</v>
      </c>
      <c r="F9642" s="3" t="str">
        <f>"317-890-4330"</f>
        <v>317-890-4330</v>
      </c>
      <c r="G9642" s="3">
        <v>562112</v>
      </c>
      <c r="H9642" s="3" t="s">
        <v>11471</v>
      </c>
    </row>
    <row r="9643" spans="1:8" ht="77.25" x14ac:dyDescent="0.25">
      <c r="A9643" s="3" t="s">
        <v>28004</v>
      </c>
      <c r="B9643" s="3"/>
      <c r="C9643" s="3" t="str">
        <f>"We are a licensed professional company located in Indianapolis IN; we provide temporary labor for asbestos abatement, mold, lead and demolition. Our people are licensed and verified to complete with maximun efficiency your projects."</f>
        <v>We are a licensed professional company located in Indianapolis IN; we provide temporary labor for asbestos abatement, mold, lead and demolition. Our people are licensed and verified to complete with maximun efficiency your projects.</v>
      </c>
      <c r="D9643" s="3" t="s">
        <v>28005</v>
      </c>
      <c r="E9643" s="3" t="s">
        <v>28006</v>
      </c>
      <c r="F9643" s="3" t="str">
        <f>"3178976190"</f>
        <v>3178976190</v>
      </c>
      <c r="G9643" s="3">
        <v>5613</v>
      </c>
      <c r="H9643" s="3" t="s">
        <v>1882</v>
      </c>
    </row>
    <row r="9644" spans="1:8" ht="77.25" x14ac:dyDescent="0.25">
      <c r="A9644" s="3" t="s">
        <v>28007</v>
      </c>
      <c r="B9644" s="3"/>
      <c r="C9644" s="3" t="str">
        <f>"We are an industrial supply company with locations in Columbus and Madison. We offer competitive prices on a large area of supplies. Our business structure allows us to give rock bottom prices and the personal service that is needed."</f>
        <v>We are an industrial supply company with locations in Columbus and Madison. We offer competitive prices on a large area of supplies. Our business structure allows us to give rock bottom prices and the personal service that is needed.</v>
      </c>
      <c r="D9644" s="3" t="s">
        <v>9</v>
      </c>
      <c r="E9644" s="3" t="s">
        <v>28008</v>
      </c>
      <c r="F9644" s="3" t="str">
        <f>"812-574-7709"</f>
        <v>812-574-7709</v>
      </c>
      <c r="G9644" s="3">
        <v>42184</v>
      </c>
      <c r="H9644" s="3" t="s">
        <v>1601</v>
      </c>
    </row>
    <row r="9645" spans="1:8" ht="39" x14ac:dyDescent="0.25">
      <c r="A9645" s="3" t="s">
        <v>28009</v>
      </c>
      <c r="B9645" s="3"/>
      <c r="C9645" s="3" t="str">
        <f>"Distributor of petroleum products. Includes bulk deliveries of fuels and oils. Operate convenience stores as well as bulk plants."</f>
        <v>Distributor of petroleum products. Includes bulk deliveries of fuels and oils. Operate convenience stores as well as bulk plants.</v>
      </c>
      <c r="D9645" s="3" t="s">
        <v>9</v>
      </c>
      <c r="E9645" s="3" t="s">
        <v>28010</v>
      </c>
      <c r="F9645" s="3" t="str">
        <f>"(260) 244-6000"</f>
        <v>(260) 244-6000</v>
      </c>
      <c r="G9645" s="3">
        <v>4471</v>
      </c>
      <c r="H9645" s="3" t="s">
        <v>28011</v>
      </c>
    </row>
    <row r="9646" spans="1:8" ht="141" x14ac:dyDescent="0.25">
      <c r="A9646" s="3" t="s">
        <v>28012</v>
      </c>
      <c r="B9646" s="3"/>
      <c r="C9646" s="3" t="s">
        <v>28013</v>
      </c>
      <c r="D9646" s="3" t="s">
        <v>28014</v>
      </c>
      <c r="E9646" s="3" t="s">
        <v>28015</v>
      </c>
      <c r="F9646" s="3" t="str">
        <f>"1800PICKUPS/18007425877"</f>
        <v>1800PICKUPS/18007425877</v>
      </c>
      <c r="G9646" s="3">
        <v>49</v>
      </c>
      <c r="H9646" s="3" t="s">
        <v>104</v>
      </c>
    </row>
    <row r="9647" spans="1:8" ht="319.5" x14ac:dyDescent="0.25">
      <c r="A9647" s="3" t="s">
        <v>28016</v>
      </c>
      <c r="B9647" s="3"/>
      <c r="C9647" s="3" t="s">
        <v>28017</v>
      </c>
      <c r="D9647" s="3" t="s">
        <v>28014</v>
      </c>
      <c r="E9647" s="3" t="s">
        <v>46</v>
      </c>
      <c r="F9647" s="3" t="str">
        <f>"1-800-742-5877"</f>
        <v>1-800-742-5877</v>
      </c>
      <c r="G9647" s="3">
        <v>492210</v>
      </c>
      <c r="H9647" s="3" t="s">
        <v>8134</v>
      </c>
    </row>
    <row r="9648" spans="1:8" ht="243" x14ac:dyDescent="0.25">
      <c r="A9648" s="3" t="s">
        <v>28018</v>
      </c>
      <c r="B9648" s="3"/>
      <c r="C9648" s="3" t="s">
        <v>28019</v>
      </c>
      <c r="D9648" s="3" t="s">
        <v>9</v>
      </c>
      <c r="E9648" s="3" t="s">
        <v>46</v>
      </c>
      <c r="F9648" s="3" t="str">
        <f>"574-294-3419"</f>
        <v>574-294-3419</v>
      </c>
      <c r="G9648" s="3">
        <v>311813</v>
      </c>
      <c r="H9648" s="3" t="s">
        <v>1022</v>
      </c>
    </row>
    <row r="9649" spans="1:8" ht="77.25" x14ac:dyDescent="0.25">
      <c r="A9649" s="3" t="s">
        <v>28020</v>
      </c>
      <c r="B9649" s="3"/>
      <c r="C9649" s="3" t="str">
        <f>"primarily engaged in site preparation activities, such as excavating and grading, demolition of buildings and other structures, and sewer, storm and water systems installation. Earth moving and land clearing for all types of sites."</f>
        <v>primarily engaged in site preparation activities, such as excavating and grading, demolition of buildings and other structures, and sewer, storm and water systems installation. Earth moving and land clearing for all types of sites.</v>
      </c>
      <c r="D9649" s="3" t="s">
        <v>9</v>
      </c>
      <c r="E9649" s="3" t="s">
        <v>28021</v>
      </c>
      <c r="F9649" s="3" t="str">
        <f>"317-374-2158"</f>
        <v>317-374-2158</v>
      </c>
      <c r="G9649" s="3">
        <v>238910</v>
      </c>
      <c r="H9649" s="3" t="s">
        <v>886</v>
      </c>
    </row>
    <row r="9650" spans="1:8" ht="268.5" x14ac:dyDescent="0.25">
      <c r="A9650" s="3" t="s">
        <v>28022</v>
      </c>
      <c r="B9650" s="3"/>
      <c r="C9650" s="3" t="s">
        <v>28023</v>
      </c>
      <c r="D9650" s="3" t="s">
        <v>28024</v>
      </c>
      <c r="E9650" s="3" t="s">
        <v>28025</v>
      </c>
      <c r="F9650" s="3" t="str">
        <f>"317-923-1466"</f>
        <v>317-923-1466</v>
      </c>
      <c r="G9650" s="3">
        <v>813219</v>
      </c>
      <c r="H9650" s="3" t="s">
        <v>5949</v>
      </c>
    </row>
    <row r="9651" spans="1:8" ht="51.75" x14ac:dyDescent="0.25">
      <c r="A9651" s="3" t="s">
        <v>28026</v>
      </c>
      <c r="B9651" s="3"/>
      <c r="C9651" s="3" t="str">
        <f>"United Way of Porter County leads, unites, and inspires our community to improve lives by mobilizing resources in order to create lasting changes."</f>
        <v>United Way of Porter County leads, unites, and inspires our community to improve lives by mobilizing resources in order to create lasting changes.</v>
      </c>
      <c r="D9651" s="3" t="s">
        <v>28027</v>
      </c>
      <c r="E9651" s="3" t="s">
        <v>28028</v>
      </c>
      <c r="F9651" s="3" t="str">
        <f>"219-464-3583"</f>
        <v>219-464-3583</v>
      </c>
      <c r="G9651" s="3">
        <v>813219</v>
      </c>
      <c r="H9651" s="3" t="s">
        <v>5949</v>
      </c>
    </row>
    <row r="9652" spans="1:8" ht="26.25" x14ac:dyDescent="0.25">
      <c r="A9652" s="3" t="s">
        <v>28029</v>
      </c>
      <c r="B9652" s="3"/>
      <c r="C9652" s="2"/>
      <c r="D9652" s="3" t="s">
        <v>28030</v>
      </c>
      <c r="E9652" s="3" t="s">
        <v>46</v>
      </c>
      <c r="F9652" s="2"/>
      <c r="G9652" s="3">
        <v>524114</v>
      </c>
      <c r="H9652" s="3" t="s">
        <v>678</v>
      </c>
    </row>
    <row r="9653" spans="1:8" ht="77.25" x14ac:dyDescent="0.25">
      <c r="A9653" s="3" t="s">
        <v>28031</v>
      </c>
      <c r="B9653" s="3"/>
      <c r="C9653" s="3" t="str">
        <f>"We are distributors and installers of Operable Panel Partitions, Accordion Folding Partitions, Portable Partitions, Visual Display Surfaces-marker boards tack boards, chalk boards, Plastic Laminate casework and Institutional metal casework ."</f>
        <v>We are distributors and installers of Operable Panel Partitions, Accordion Folding Partitions, Portable Partitions, Visual Display Surfaces-marker boards tack boards, chalk boards, Plastic Laminate casework and Institutional metal casework .</v>
      </c>
      <c r="D9653" s="3" t="s">
        <v>9</v>
      </c>
      <c r="E9653" s="3" t="s">
        <v>28032</v>
      </c>
      <c r="F9653" s="3" t="str">
        <f>"317-841-0221"</f>
        <v>317-841-0221</v>
      </c>
      <c r="G9653" s="3">
        <v>236220</v>
      </c>
      <c r="H9653" s="3" t="s">
        <v>598</v>
      </c>
    </row>
    <row r="9654" spans="1:8" ht="51.75" x14ac:dyDescent="0.25">
      <c r="A9654" s="3" t="s">
        <v>28033</v>
      </c>
      <c r="B9654" s="3"/>
      <c r="C9654" s="3" t="str">
        <f>"Universal Business Solutions provides consulting services including managament consulting services and road way construction safety services"</f>
        <v>Universal Business Solutions provides consulting services including managament consulting services and road way construction safety services</v>
      </c>
      <c r="D9654" s="3" t="s">
        <v>9</v>
      </c>
      <c r="E9654" s="3" t="s">
        <v>28034</v>
      </c>
      <c r="F9654" s="2"/>
      <c r="G9654" s="3">
        <v>54</v>
      </c>
      <c r="H9654" s="3" t="s">
        <v>179</v>
      </c>
    </row>
    <row r="9655" spans="1:8" ht="51.75" x14ac:dyDescent="0.25">
      <c r="A9655" s="3" t="s">
        <v>28035</v>
      </c>
      <c r="B9655" s="3"/>
      <c r="C9655" s="3" t="str">
        <f>"Wholesale distributor of industrial and mill supplies including pipe, valves, fiitings, pumps, chain, gaskets, fastners, stainless steel, hoses and other misc. products."</f>
        <v>Wholesale distributor of industrial and mill supplies including pipe, valves, fiitings, pumps, chain, gaskets, fastners, stainless steel, hoses and other misc. products.</v>
      </c>
      <c r="D9655" s="3" t="s">
        <v>28036</v>
      </c>
      <c r="E9655" s="3" t="s">
        <v>28037</v>
      </c>
      <c r="F9655" s="3" t="str">
        <f>"317-291-5940"</f>
        <v>317-291-5940</v>
      </c>
      <c r="G9655" s="3">
        <v>42</v>
      </c>
      <c r="H9655" s="3" t="s">
        <v>674</v>
      </c>
    </row>
    <row r="9656" spans="1:8" ht="26.25" x14ac:dyDescent="0.25">
      <c r="A9656" s="3" t="s">
        <v>28035</v>
      </c>
      <c r="B9656" s="3"/>
      <c r="C9656" s="3" t="str">
        <f>"One stop wholesale distributor of PVF and industrial supplies."</f>
        <v>One stop wholesale distributor of PVF and industrial supplies.</v>
      </c>
      <c r="D9656" s="3" t="s">
        <v>28038</v>
      </c>
      <c r="E9656" s="3" t="s">
        <v>28039</v>
      </c>
      <c r="F9656" s="3" t="str">
        <f>"317-291-5940"</f>
        <v>317-291-5940</v>
      </c>
      <c r="G9656" s="3">
        <v>42</v>
      </c>
      <c r="H9656" s="3" t="s">
        <v>674</v>
      </c>
    </row>
    <row r="9657" spans="1:8" ht="179.25" x14ac:dyDescent="0.25">
      <c r="A9657" s="3" t="s">
        <v>28040</v>
      </c>
      <c r="B9657" s="3"/>
      <c r="C9657" s="3" t="s">
        <v>28041</v>
      </c>
      <c r="D9657" s="3" t="s">
        <v>28042</v>
      </c>
      <c r="E9657" s="3" t="s">
        <v>28043</v>
      </c>
      <c r="F9657" s="3" t="str">
        <f>"888-486-7725"</f>
        <v>888-486-7725</v>
      </c>
      <c r="G9657" s="3">
        <v>423420</v>
      </c>
      <c r="H9657" s="3" t="s">
        <v>521</v>
      </c>
    </row>
    <row r="9658" spans="1:8" ht="115.5" x14ac:dyDescent="0.25">
      <c r="A9658" s="3" t="s">
        <v>28044</v>
      </c>
      <c r="B9658" s="3"/>
      <c r="C9658" s="3" t="s">
        <v>28045</v>
      </c>
      <c r="D9658" s="3" t="s">
        <v>28046</v>
      </c>
      <c r="E9658" s="3" t="s">
        <v>28047</v>
      </c>
      <c r="F9658" s="3" t="str">
        <f>"812-937-3605"</f>
        <v>812-937-3605</v>
      </c>
      <c r="G9658" s="3">
        <v>488991</v>
      </c>
      <c r="H9658" s="3" t="s">
        <v>6811</v>
      </c>
    </row>
    <row r="9659" spans="1:8" ht="39" x14ac:dyDescent="0.25">
      <c r="A9659" s="3" t="s">
        <v>28048</v>
      </c>
      <c r="B9659" s="3"/>
      <c r="C9659" s="3" t="str">
        <f>"wholesale distribution of heating, air conditioning, refrigeration, ventilation, equipment, parts &amp; supplies."</f>
        <v>wholesale distribution of heating, air conditioning, refrigeration, ventilation, equipment, parts &amp; supplies.</v>
      </c>
      <c r="D9659" s="3" t="s">
        <v>28049</v>
      </c>
      <c r="E9659" s="3" t="s">
        <v>28050</v>
      </c>
      <c r="F9659" s="3" t="str">
        <f>"812-422-7575/800-9522898"</f>
        <v>812-422-7575/800-9522898</v>
      </c>
      <c r="G9659" s="3">
        <v>4237</v>
      </c>
      <c r="H9659" s="3" t="s">
        <v>245</v>
      </c>
    </row>
    <row r="9660" spans="1:8" ht="39" x14ac:dyDescent="0.25">
      <c r="A9660" s="3" t="s">
        <v>28048</v>
      </c>
      <c r="B9660" s="3"/>
      <c r="C9660" s="3" t="str">
        <f>"Heating, Ventilation, Air Conditioning, Refrigeration Wholesaler"</f>
        <v>Heating, Ventilation, Air Conditioning, Refrigeration Wholesaler</v>
      </c>
      <c r="D9660" s="3" t="s">
        <v>28051</v>
      </c>
      <c r="E9660" s="3" t="s">
        <v>46</v>
      </c>
      <c r="F9660" s="3" t="str">
        <f>"812-422-7575/-235-7575"</f>
        <v>812-422-7575/-235-7575</v>
      </c>
      <c r="G9660" s="3">
        <v>4237</v>
      </c>
      <c r="H9660" s="3" t="s">
        <v>245</v>
      </c>
    </row>
    <row r="9661" spans="1:8" ht="77.25" x14ac:dyDescent="0.25">
      <c r="A9661" s="3" t="s">
        <v>28052</v>
      </c>
      <c r="B9661" s="3"/>
      <c r="C9661" s="3" t="str">
        <f>"Service Distributorship of Anti-fatigue matting,handsoap,handtools,trash containers,canliners,papertowels,toiletpaper,lubricants,oils,cleaners,airfresheners,janitorial supplies, safety supplies, paper products,mro supplies,industrial supplies"</f>
        <v>Service Distributorship of Anti-fatigue matting,handsoap,handtools,trash containers,canliners,papertowels,toiletpaper,lubricants,oils,cleaners,airfresheners,janitorial supplies, safety supplies, paper products,mro supplies,industrial supplies</v>
      </c>
      <c r="D9661" s="3" t="s">
        <v>28053</v>
      </c>
      <c r="E9661" s="3" t="s">
        <v>28054</v>
      </c>
      <c r="F9661" s="3" t="str">
        <f>"317-951-8747"</f>
        <v>317-951-8747</v>
      </c>
      <c r="G9661" s="3">
        <v>424130</v>
      </c>
      <c r="H9661" s="3" t="s">
        <v>602</v>
      </c>
    </row>
    <row r="9662" spans="1:8" ht="90" x14ac:dyDescent="0.25">
      <c r="A9662" s="3" t="s">
        <v>28055</v>
      </c>
      <c r="B9662" s="3"/>
      <c r="C9662" s="3" t="str">
        <f>"We are a Women owned business that provides local, national, International moving services for household, commercial, government, exhibit &amp; displays, and office and industrial goods. We also provide Office furniture design and installation services."</f>
        <v>We are a Women owned business that provides local, national, International moving services for household, commercial, government, exhibit &amp; displays, and office and industrial goods. We also provide Office furniture design and installation services.</v>
      </c>
      <c r="D9662" s="3" t="s">
        <v>28056</v>
      </c>
      <c r="E9662" s="3" t="s">
        <v>46</v>
      </c>
      <c r="F9662" s="3" t="str">
        <f>"317-870-7737"</f>
        <v>317-870-7737</v>
      </c>
      <c r="G9662" s="3">
        <v>493190</v>
      </c>
      <c r="H9662" s="3" t="s">
        <v>28057</v>
      </c>
    </row>
    <row r="9663" spans="1:8" ht="26.25" x14ac:dyDescent="0.25">
      <c r="A9663" s="3" t="s">
        <v>28058</v>
      </c>
      <c r="B9663" s="3"/>
      <c r="C9663" s="2"/>
      <c r="D9663" s="3" t="s">
        <v>28059</v>
      </c>
      <c r="E9663" s="3" t="s">
        <v>46</v>
      </c>
      <c r="F9663" s="3" t="str">
        <f>"812-488-2000"</f>
        <v>812-488-2000</v>
      </c>
      <c r="G9663" s="3">
        <v>611310</v>
      </c>
      <c r="H9663" s="3" t="s">
        <v>2063</v>
      </c>
    </row>
    <row r="9664" spans="1:8" ht="26.25" x14ac:dyDescent="0.25">
      <c r="A9664" s="3" t="s">
        <v>28060</v>
      </c>
      <c r="B9664" s="3"/>
      <c r="C9664" s="3" t="str">
        <f>"University"</f>
        <v>University</v>
      </c>
      <c r="D9664" s="3" t="s">
        <v>28061</v>
      </c>
      <c r="E9664" s="3" t="s">
        <v>46</v>
      </c>
      <c r="F9664" s="3" t="str">
        <f>"317-788-3368"</f>
        <v>317-788-3368</v>
      </c>
      <c r="G9664" s="3">
        <v>611310</v>
      </c>
      <c r="H9664" s="3" t="s">
        <v>2063</v>
      </c>
    </row>
    <row r="9665" spans="1:8" ht="115.5" x14ac:dyDescent="0.25">
      <c r="A9665" s="3" t="s">
        <v>28062</v>
      </c>
      <c r="B9665" s="3"/>
      <c r="C9665" s="3" t="s">
        <v>28063</v>
      </c>
      <c r="D9665" s="3" t="s">
        <v>28064</v>
      </c>
      <c r="E9665" s="3" t="s">
        <v>28065</v>
      </c>
      <c r="F9665" s="3" t="str">
        <f>"317-616-2300"</f>
        <v>317-616-2300</v>
      </c>
      <c r="G9665" s="3">
        <v>541330</v>
      </c>
      <c r="H9665" s="3" t="s">
        <v>82</v>
      </c>
    </row>
    <row r="9666" spans="1:8" x14ac:dyDescent="0.25">
      <c r="A9666" s="3" t="s">
        <v>28066</v>
      </c>
      <c r="B9666" s="3"/>
      <c r="C9666" s="3" t="str">
        <f>" "</f>
        <v xml:space="preserve"> </v>
      </c>
      <c r="D9666" s="3" t="s">
        <v>9</v>
      </c>
      <c r="E9666" s="3" t="s">
        <v>46</v>
      </c>
      <c r="F9666" s="2"/>
      <c r="G9666" s="3">
        <v>922160</v>
      </c>
      <c r="H9666" s="3" t="s">
        <v>2246</v>
      </c>
    </row>
    <row r="9667" spans="1:8" ht="26.25" x14ac:dyDescent="0.25">
      <c r="A9667" s="3" t="s">
        <v>28067</v>
      </c>
      <c r="B9667" s="3"/>
      <c r="C9667" s="3" t="str">
        <f>"Commercial Cleaning Company, we specialize in Small - Large size buildings."</f>
        <v>Commercial Cleaning Company, we specialize in Small - Large size buildings.</v>
      </c>
      <c r="D9667" s="3" t="s">
        <v>5989</v>
      </c>
      <c r="E9667" s="3" t="s">
        <v>28068</v>
      </c>
      <c r="F9667" s="3" t="str">
        <f>"317-564-1120"</f>
        <v>317-564-1120</v>
      </c>
      <c r="G9667" s="3">
        <v>561720</v>
      </c>
      <c r="H9667" s="3" t="s">
        <v>222</v>
      </c>
    </row>
    <row r="9668" spans="1:8" ht="255.75" x14ac:dyDescent="0.25">
      <c r="A9668" s="3" t="s">
        <v>28069</v>
      </c>
      <c r="B9668" s="3"/>
      <c r="C9668" s="3" t="s">
        <v>28070</v>
      </c>
      <c r="D9668" s="3" t="s">
        <v>28071</v>
      </c>
      <c r="E9668" s="3" t="s">
        <v>28072</v>
      </c>
      <c r="F9668" s="3" t="str">
        <f>"317.608.3010"</f>
        <v>317.608.3010</v>
      </c>
      <c r="G9668" s="3">
        <v>541611</v>
      </c>
      <c r="H9668" s="3" t="s">
        <v>278</v>
      </c>
    </row>
    <row r="9669" spans="1:8" ht="51.75" x14ac:dyDescent="0.25">
      <c r="A9669" s="3" t="s">
        <v>28073</v>
      </c>
      <c r="B9669" s="3"/>
      <c r="C9669" s="3" t="str">
        <f>"Consultant to Architects, Engineers, Designers, and Owners for sustainable building projects, ""Green"" design, and LEED certification"</f>
        <v>Consultant to Architects, Engineers, Designers, and Owners for sustainable building projects, "Green" design, and LEED certification</v>
      </c>
      <c r="D9669" s="3" t="s">
        <v>28074</v>
      </c>
      <c r="E9669" s="3" t="s">
        <v>28075</v>
      </c>
      <c r="F9669" s="3" t="str">
        <f>"317-581-6323"</f>
        <v>317-581-6323</v>
      </c>
      <c r="G9669" s="3">
        <v>541310</v>
      </c>
      <c r="H9669" s="3" t="s">
        <v>446</v>
      </c>
    </row>
    <row r="9670" spans="1:8" ht="26.25" x14ac:dyDescent="0.25">
      <c r="A9670" s="3" t="s">
        <v>28076</v>
      </c>
      <c r="B9670" s="3"/>
      <c r="C9670" s="3" t="str">
        <f>"GIS Services and Construction Management"</f>
        <v>GIS Services and Construction Management</v>
      </c>
      <c r="D9670" s="3" t="s">
        <v>28077</v>
      </c>
      <c r="E9670" s="3" t="s">
        <v>28078</v>
      </c>
      <c r="F9670" s="3" t="str">
        <f>"773-436-3351"</f>
        <v>773-436-3351</v>
      </c>
      <c r="G9670" s="3">
        <v>5416</v>
      </c>
      <c r="H9670" s="3" t="s">
        <v>194</v>
      </c>
    </row>
    <row r="9671" spans="1:8" ht="64.5" x14ac:dyDescent="0.25">
      <c r="A9671" s="3" t="s">
        <v>28079</v>
      </c>
      <c r="B9671" s="3"/>
      <c r="C9671" s="3" t="str">
        <f>"Urban Initiatives, LLC is a real estate and community development consulting business specializing in the economic revitalization of commercial districts and communities."</f>
        <v>Urban Initiatives, LLC is a real estate and community development consulting business specializing in the economic revitalization of commercial districts and communities.</v>
      </c>
      <c r="D9671" s="3" t="s">
        <v>28080</v>
      </c>
      <c r="E9671" s="3" t="s">
        <v>28081</v>
      </c>
      <c r="F9671" s="3" t="str">
        <f>"765-361-1554"</f>
        <v>765-361-1554</v>
      </c>
      <c r="G9671" s="3">
        <v>531</v>
      </c>
      <c r="H9671" s="3" t="s">
        <v>74</v>
      </c>
    </row>
    <row r="9672" spans="1:8" ht="39" x14ac:dyDescent="0.25">
      <c r="A9672" s="3" t="s">
        <v>28082</v>
      </c>
      <c r="B9672" s="3"/>
      <c r="C9672" s="3" t="str">
        <f>"WordSmiffs Marketing System (WMS) provides world-class media planning and purchasing services."</f>
        <v>WordSmiffs Marketing System (WMS) provides world-class media planning and purchasing services.</v>
      </c>
      <c r="D9672" s="3" t="s">
        <v>28083</v>
      </c>
      <c r="E9672" s="3" t="s">
        <v>28084</v>
      </c>
      <c r="F9672" s="3" t="str">
        <f>"440-567-6036"</f>
        <v>440-567-6036</v>
      </c>
      <c r="G9672" s="3">
        <v>541830</v>
      </c>
      <c r="H9672" s="3" t="s">
        <v>20412</v>
      </c>
    </row>
    <row r="9673" spans="1:8" ht="115.5" x14ac:dyDescent="0.25">
      <c r="A9673" s="3" t="s">
        <v>28085</v>
      </c>
      <c r="B9673" s="3"/>
      <c r="C9673" s="3" t="s">
        <v>28086</v>
      </c>
      <c r="D9673" s="3" t="s">
        <v>28087</v>
      </c>
      <c r="E9673" s="3" t="s">
        <v>28088</v>
      </c>
      <c r="F9673" s="3" t="str">
        <f>"812-484-0146"</f>
        <v>812-484-0146</v>
      </c>
      <c r="G9673" s="3">
        <v>541890</v>
      </c>
      <c r="H9673" s="3" t="s">
        <v>401</v>
      </c>
    </row>
    <row r="9674" spans="1:8" ht="26.25" x14ac:dyDescent="0.25">
      <c r="A9674" s="3" t="s">
        <v>28089</v>
      </c>
      <c r="B9674" s="3"/>
      <c r="C9674" s="3" t="str">
        <f>"Sale of advertising specialty items such as: shirts, hats, pens, mugs, magnets, etc."</f>
        <v>Sale of advertising specialty items such as: shirts, hats, pens, mugs, magnets, etc.</v>
      </c>
      <c r="D9674" s="3" t="s">
        <v>28087</v>
      </c>
      <c r="E9674" s="3" t="s">
        <v>28088</v>
      </c>
      <c r="F9674" s="3" t="str">
        <f>"812.484.0146"</f>
        <v>812.484.0146</v>
      </c>
      <c r="G9674" s="3">
        <v>541890</v>
      </c>
      <c r="H9674" s="3" t="s">
        <v>401</v>
      </c>
    </row>
    <row r="9675" spans="1:8" ht="64.5" x14ac:dyDescent="0.25">
      <c r="A9675" s="3" t="s">
        <v>28090</v>
      </c>
      <c r="B9675" s="3"/>
      <c r="C9675" s="3" t="str">
        <f>"Urban Shutters provides a variety of products to meet any design project. Among the offerings in our product line are pvc shutters, painted and stained wood shutters and pvc and wood blinds."</f>
        <v>Urban Shutters provides a variety of products to meet any design project. Among the offerings in our product line are pvc shutters, painted and stained wood shutters and pvc and wood blinds.</v>
      </c>
      <c r="D9675" s="3" t="s">
        <v>28091</v>
      </c>
      <c r="E9675" s="3" t="s">
        <v>28092</v>
      </c>
      <c r="F9675" s="3" t="str">
        <f>"3174231500"</f>
        <v>3174231500</v>
      </c>
      <c r="G9675" s="3">
        <v>541490</v>
      </c>
      <c r="H9675" s="3" t="s">
        <v>15204</v>
      </c>
    </row>
    <row r="9676" spans="1:8" ht="192" x14ac:dyDescent="0.25">
      <c r="A9676" s="3" t="s">
        <v>28093</v>
      </c>
      <c r="B9676" s="3"/>
      <c r="C9676" s="3" t="s">
        <v>28094</v>
      </c>
      <c r="D9676" s="3" t="s">
        <v>28095</v>
      </c>
      <c r="E9676" s="3" t="s">
        <v>28096</v>
      </c>
      <c r="F9676" s="3" t="str">
        <f>"219-885-1460"</f>
        <v>219-885-1460</v>
      </c>
      <c r="G9676" s="3">
        <v>23492</v>
      </c>
      <c r="H9676" s="3" t="s">
        <v>23789</v>
      </c>
    </row>
    <row r="9677" spans="1:8" ht="141" x14ac:dyDescent="0.25">
      <c r="A9677" s="3" t="s">
        <v>28097</v>
      </c>
      <c r="B9677" s="3"/>
      <c r="C9677" s="3" t="s">
        <v>28098</v>
      </c>
      <c r="D9677" s="3" t="s">
        <v>28099</v>
      </c>
      <c r="E9677" s="3" t="s">
        <v>28100</v>
      </c>
      <c r="F9677" s="3" t="str">
        <f>"812 206 7700"</f>
        <v>812 206 7700</v>
      </c>
      <c r="G9677" s="3">
        <v>238160</v>
      </c>
      <c r="H9677" s="3" t="s">
        <v>144</v>
      </c>
    </row>
    <row r="9678" spans="1:8" ht="51.75" x14ac:dyDescent="0.25">
      <c r="A9678" s="3" t="s">
        <v>28101</v>
      </c>
      <c r="B9678" s="3"/>
      <c r="C9678" s="3" t="str">
        <f>"We are a food concessions business operating permanent concession stands, mobile units. We specialize in facility and special event food service management."</f>
        <v>We are a food concessions business operating permanent concession stands, mobile units. We specialize in facility and special event food service management.</v>
      </c>
      <c r="D9678" s="3" t="s">
        <v>28102</v>
      </c>
      <c r="E9678" s="3" t="s">
        <v>28103</v>
      </c>
      <c r="F9678" s="3" t="str">
        <f>"317-281-3116"</f>
        <v>317-281-3116</v>
      </c>
      <c r="G9678" s="3">
        <v>722330</v>
      </c>
      <c r="H9678" s="3" t="s">
        <v>9193</v>
      </c>
    </row>
    <row r="9679" spans="1:8" ht="268.5" x14ac:dyDescent="0.25">
      <c r="A9679" s="3" t="s">
        <v>28104</v>
      </c>
      <c r="B9679" s="3"/>
      <c r="C9679" s="3" t="s">
        <v>28105</v>
      </c>
      <c r="D9679" s="3" t="s">
        <v>28106</v>
      </c>
      <c r="E9679" s="3" t="s">
        <v>28107</v>
      </c>
      <c r="F9679" s="3" t="str">
        <f>"800-582-3454"</f>
        <v>800-582-3454</v>
      </c>
      <c r="G9679" s="3">
        <v>336211</v>
      </c>
      <c r="H9679" s="3" t="s">
        <v>6061</v>
      </c>
    </row>
    <row r="9680" spans="1:8" ht="26.25" x14ac:dyDescent="0.25">
      <c r="A9680" s="3" t="s">
        <v>28108</v>
      </c>
      <c r="B9680" s="3"/>
      <c r="C9680" s="2"/>
      <c r="D9680" s="3" t="s">
        <v>28109</v>
      </c>
      <c r="E9680" s="3" t="s">
        <v>28110</v>
      </c>
      <c r="F9680" s="3" t="str">
        <f>"317-788-0299"</f>
        <v>317-788-0299</v>
      </c>
      <c r="G9680" s="3">
        <v>423110</v>
      </c>
      <c r="H9680" s="3" t="s">
        <v>3324</v>
      </c>
    </row>
    <row r="9681" spans="1:8" ht="26.25" x14ac:dyDescent="0.25">
      <c r="A9681" s="3" t="s">
        <v>28111</v>
      </c>
      <c r="B9681" s="3"/>
      <c r="C9681" s="3" t="str">
        <f>"i do custom embroidery and screen printing and set up your logo and art work"</f>
        <v>i do custom embroidery and screen printing and set up your logo and art work</v>
      </c>
      <c r="D9681" s="3" t="s">
        <v>28112</v>
      </c>
      <c r="E9681" s="3" t="s">
        <v>28113</v>
      </c>
      <c r="F9681" s="3" t="str">
        <f>"765-349-8991"</f>
        <v>765-349-8991</v>
      </c>
      <c r="G9681" s="3">
        <v>2359</v>
      </c>
      <c r="H9681" s="3" t="s">
        <v>631</v>
      </c>
    </row>
    <row r="9682" spans="1:8" ht="102.75" x14ac:dyDescent="0.25">
      <c r="A9682" s="3" t="s">
        <v>28114</v>
      </c>
      <c r="B9682" s="3"/>
      <c r="C9682" s="3" t="s">
        <v>28115</v>
      </c>
      <c r="D9682" s="3" t="s">
        <v>28116</v>
      </c>
      <c r="E9682" s="3" t="s">
        <v>28117</v>
      </c>
      <c r="F9682" s="3" t="str">
        <f>"219 508 2669"</f>
        <v>219 508 2669</v>
      </c>
      <c r="G9682" s="3">
        <v>5415</v>
      </c>
      <c r="H9682" s="3" t="s">
        <v>188</v>
      </c>
    </row>
    <row r="9683" spans="1:8" ht="192" x14ac:dyDescent="0.25">
      <c r="A9683" s="3" t="s">
        <v>28118</v>
      </c>
      <c r="B9683" s="3"/>
      <c r="C9683" s="3" t="s">
        <v>28119</v>
      </c>
      <c r="D9683" s="3" t="s">
        <v>28120</v>
      </c>
      <c r="E9683" s="3" t="s">
        <v>28121</v>
      </c>
      <c r="F9683" s="3" t="str">
        <f>"317-703-6226"</f>
        <v>317-703-6226</v>
      </c>
      <c r="G9683" s="3">
        <v>541330</v>
      </c>
      <c r="H9683" s="3" t="s">
        <v>82</v>
      </c>
    </row>
    <row r="9684" spans="1:8" ht="51.75" x14ac:dyDescent="0.25">
      <c r="A9684" s="3" t="s">
        <v>28122</v>
      </c>
      <c r="B9684" s="3"/>
      <c r="C9684" s="3" t="str">
        <f>"Sales and installation of automotive parts and accessories such as electronics, window tint, truck accessories, sunroofs, etc."</f>
        <v>Sales and installation of automotive parts and accessories such as electronics, window tint, truck accessories, sunroofs, etc.</v>
      </c>
      <c r="D9684" s="3" t="s">
        <v>28123</v>
      </c>
      <c r="E9684" s="3" t="s">
        <v>28124</v>
      </c>
      <c r="F9684" s="3" t="str">
        <f>"317-770-7540"</f>
        <v>317-770-7540</v>
      </c>
      <c r="G9684" s="3">
        <v>441310</v>
      </c>
      <c r="H9684" s="3" t="s">
        <v>1699</v>
      </c>
    </row>
    <row r="9685" spans="1:8" ht="39" x14ac:dyDescent="0.25">
      <c r="A9685" s="3" t="s">
        <v>28125</v>
      </c>
      <c r="B9685" s="3"/>
      <c r="C9685" s="3" t="str">
        <f>"Wholesale Distributor of electrical equipment and supplies"</f>
        <v>Wholesale Distributor of electrical equipment and supplies</v>
      </c>
      <c r="D9685" s="3" t="s">
        <v>28126</v>
      </c>
      <c r="E9685" s="3" t="s">
        <v>46</v>
      </c>
      <c r="F9685" s="3" t="str">
        <f>"812/882-7860"</f>
        <v>812/882-7860</v>
      </c>
      <c r="G9685" s="3">
        <v>423610</v>
      </c>
      <c r="H9685" s="3" t="s">
        <v>2414</v>
      </c>
    </row>
    <row r="9686" spans="1:8" ht="102.75" x14ac:dyDescent="0.25">
      <c r="A9686" s="3" t="s">
        <v>28127</v>
      </c>
      <c r="B9686" s="3"/>
      <c r="C9686" s="3" t="s">
        <v>28128</v>
      </c>
      <c r="D9686" s="3" t="s">
        <v>28129</v>
      </c>
      <c r="E9686" s="3" t="s">
        <v>28130</v>
      </c>
      <c r="F9686" s="3" t="str">
        <f>"812-273-4222"</f>
        <v>812-273-4222</v>
      </c>
      <c r="G9686" s="3">
        <v>42384</v>
      </c>
      <c r="H9686" s="3" t="s">
        <v>553</v>
      </c>
    </row>
    <row r="9687" spans="1:8" ht="26.25" x14ac:dyDescent="0.25">
      <c r="A9687" s="3" t="s">
        <v>28131</v>
      </c>
      <c r="B9687" s="3"/>
      <c r="C9687" s="3" t="str">
        <f>"Local freight delivery via dump truck"</f>
        <v>Local freight delivery via dump truck</v>
      </c>
      <c r="D9687" s="3" t="s">
        <v>9</v>
      </c>
      <c r="E9687" s="3" t="s">
        <v>28132</v>
      </c>
      <c r="F9687" s="3" t="str">
        <f>"317-862-3850"</f>
        <v>317-862-3850</v>
      </c>
      <c r="G9687" s="3">
        <v>484220</v>
      </c>
      <c r="H9687" s="3" t="s">
        <v>11</v>
      </c>
    </row>
    <row r="9688" spans="1:8" ht="26.25" x14ac:dyDescent="0.25">
      <c r="A9688" s="3" t="s">
        <v>28133</v>
      </c>
      <c r="B9688" s="3"/>
      <c r="C9688" s="3" t="str">
        <f>"We sell automotive accessories, trailers, lawnmowers, etc."</f>
        <v>We sell automotive accessories, trailers, lawnmowers, etc.</v>
      </c>
      <c r="D9688" s="3" t="s">
        <v>28134</v>
      </c>
      <c r="E9688" s="3" t="s">
        <v>28135</v>
      </c>
      <c r="F9688" s="3" t="str">
        <f>"765-778-7475"</f>
        <v>765-778-7475</v>
      </c>
      <c r="G9688" s="3">
        <v>44131</v>
      </c>
      <c r="H9688" s="3" t="s">
        <v>1699</v>
      </c>
    </row>
    <row r="9689" spans="1:8" ht="115.5" x14ac:dyDescent="0.25">
      <c r="A9689" s="3" t="s">
        <v>28136</v>
      </c>
      <c r="B9689" s="3"/>
      <c r="C9689" s="3" t="s">
        <v>28137</v>
      </c>
      <c r="D9689" s="3" t="s">
        <v>28138</v>
      </c>
      <c r="E9689" s="3" t="s">
        <v>28139</v>
      </c>
      <c r="F9689" s="3" t="str">
        <f>"3124934205"</f>
        <v>3124934205</v>
      </c>
      <c r="G9689" s="3">
        <v>56162</v>
      </c>
      <c r="H9689" s="3" t="s">
        <v>1276</v>
      </c>
    </row>
    <row r="9690" spans="1:8" ht="90" x14ac:dyDescent="0.25">
      <c r="A9690" s="3" t="s">
        <v>28140</v>
      </c>
      <c r="B9690" s="3"/>
      <c r="C9690" s="3" t="str">
        <f>"We sell aggregates throughout South, East and Central Indiana. We have a total of three sand and gravel operations, which are located in Bloomfield, Waverly and Shelbyville, along with a resale stone yard at 1575 S. Senate Ave. near downtown Indianapolis"</f>
        <v>We sell aggregates throughout South, East and Central Indiana. We have a total of three sand and gravel operations, which are located in Bloomfield, Waverly and Shelbyville, along with a resale stone yard at 1575 S. Senate Ave. near downtown Indianapolis</v>
      </c>
      <c r="D9690" s="3" t="s">
        <v>9</v>
      </c>
      <c r="E9690" s="3" t="s">
        <v>28141</v>
      </c>
      <c r="F9690" s="3" t="str">
        <f>"317-831-1802"</f>
        <v>317-831-1802</v>
      </c>
      <c r="G9690" s="3">
        <v>21232</v>
      </c>
      <c r="H9690" s="3" t="s">
        <v>7166</v>
      </c>
    </row>
    <row r="9691" spans="1:8" ht="51.75" x14ac:dyDescent="0.25">
      <c r="A9691" s="3" t="s">
        <v>28142</v>
      </c>
      <c r="B9691" s="3"/>
      <c r="C9691" s="3" t="str">
        <f>"Diversity Solutions: Recruiting, retention, development,Diversity Training, Diversity awareness, Harassment programs, mentoring programs"</f>
        <v>Diversity Solutions: Recruiting, retention, development,Diversity Training, Diversity awareness, Harassment programs, mentoring programs</v>
      </c>
      <c r="D9691" s="3" t="s">
        <v>9</v>
      </c>
      <c r="E9691" s="3" t="s">
        <v>28143</v>
      </c>
      <c r="F9691" s="3" t="str">
        <f>"317-872-5334"</f>
        <v>317-872-5334</v>
      </c>
      <c r="G9691" s="3">
        <v>611</v>
      </c>
      <c r="H9691" s="3" t="s">
        <v>140</v>
      </c>
    </row>
    <row r="9692" spans="1:8" ht="141" x14ac:dyDescent="0.25">
      <c r="A9692" s="3" t="s">
        <v>28144</v>
      </c>
      <c r="B9692" s="3"/>
      <c r="C9692" s="3" t="s">
        <v>28145</v>
      </c>
      <c r="D9692" s="3" t="s">
        <v>9</v>
      </c>
      <c r="E9692" s="3" t="s">
        <v>28146</v>
      </c>
      <c r="F9692" s="3" t="str">
        <f>"3176982103"</f>
        <v>3176982103</v>
      </c>
      <c r="G9692" s="3">
        <v>518210</v>
      </c>
      <c r="H9692" s="3" t="s">
        <v>3133</v>
      </c>
    </row>
    <row r="9693" spans="1:8" ht="115.5" x14ac:dyDescent="0.25">
      <c r="A9693" s="3" t="s">
        <v>28147</v>
      </c>
      <c r="B9693" s="3"/>
      <c r="C9693" s="3" t="s">
        <v>28148</v>
      </c>
      <c r="D9693" s="3" t="s">
        <v>28149</v>
      </c>
      <c r="E9693" s="3" t="s">
        <v>28150</v>
      </c>
      <c r="F9693" s="3" t="str">
        <f>"317-550-4320"</f>
        <v>317-550-4320</v>
      </c>
      <c r="G9693" s="3">
        <v>541330</v>
      </c>
      <c r="H9693" s="3" t="s">
        <v>82</v>
      </c>
    </row>
    <row r="9694" spans="1:8" ht="51.75" x14ac:dyDescent="0.25">
      <c r="A9694" s="3" t="s">
        <v>28151</v>
      </c>
      <c r="B9694" s="3"/>
      <c r="C9694" s="3" t="str">
        <f>"Architects and Planners specializing in corporate, municipal, public and private schools, higher education, libraries, senior living and religious facilities."</f>
        <v>Architects and Planners specializing in corporate, municipal, public and private schools, higher education, libraries, senior living and religious facilities.</v>
      </c>
      <c r="D9694" s="3" t="s">
        <v>28152</v>
      </c>
      <c r="E9694" s="3" t="s">
        <v>28153</v>
      </c>
      <c r="F9694" s="3" t="str">
        <f>"(812) 423-7729"</f>
        <v>(812) 423-7729</v>
      </c>
      <c r="G9694" s="3">
        <v>541310</v>
      </c>
      <c r="H9694" s="3" t="s">
        <v>446</v>
      </c>
    </row>
    <row r="9695" spans="1:8" ht="51.75" x14ac:dyDescent="0.25">
      <c r="A9695" s="3" t="s">
        <v>28154</v>
      </c>
      <c r="B9695" s="3"/>
      <c r="C9695" s="3" t="str">
        <f>"Sale, calibration, and/or repair of air monitoring instrumentation; breathing air sales and services; industrial hygiene products and services."</f>
        <v>Sale, calibration, and/or repair of air monitoring instrumentation; breathing air sales and services; industrial hygiene products and services.</v>
      </c>
      <c r="D9695" s="3" t="s">
        <v>9</v>
      </c>
      <c r="E9695" s="3" t="s">
        <v>28155</v>
      </c>
      <c r="F9695" s="3" t="str">
        <f>"812-838-9805"</f>
        <v>812-838-9805</v>
      </c>
      <c r="G9695" s="3">
        <v>541990</v>
      </c>
      <c r="H9695" s="3" t="s">
        <v>378</v>
      </c>
    </row>
    <row r="9696" spans="1:8" ht="64.5" x14ac:dyDescent="0.25">
      <c r="A9696" s="3" t="s">
        <v>28156</v>
      </c>
      <c r="B9696" s="3"/>
      <c r="C9696" s="3" t="str">
        <f>"SPORTS APPAREL AND EQUIPMENT ie: BASEBALL BASKETBALL CHEERLEAD FOOTBALL COACHES OFFICIALS ETC UNIFORMS AND EQUIPMENT, CLUBS, ORGANIZATIONS SPECIAL FUNCTIONS ETC."</f>
        <v>SPORTS APPAREL AND EQUIPMENT ie: BASEBALL BASKETBALL CHEERLEAD FOOTBALL COACHES OFFICIALS ETC UNIFORMS AND EQUIPMENT, CLUBS, ORGANIZATIONS SPECIAL FUNCTIONS ETC.</v>
      </c>
      <c r="D9696" s="3" t="s">
        <v>9</v>
      </c>
      <c r="E9696" s="3" t="s">
        <v>28157</v>
      </c>
      <c r="F9696" s="3" t="str">
        <f>"219-746-9356"</f>
        <v>219-746-9356</v>
      </c>
      <c r="G9696" s="3">
        <v>451110</v>
      </c>
      <c r="H9696" s="3" t="s">
        <v>3110</v>
      </c>
    </row>
    <row r="9697" spans="1:8" ht="115.5" x14ac:dyDescent="0.25">
      <c r="A9697" s="3" t="s">
        <v>28158</v>
      </c>
      <c r="B9697" s="3"/>
      <c r="C9697" s="3" t="s">
        <v>28159</v>
      </c>
      <c r="D9697" s="3" t="s">
        <v>28160</v>
      </c>
      <c r="E9697" s="3" t="s">
        <v>28161</v>
      </c>
      <c r="F9697" s="3" t="str">
        <f>"614-316-2952"</f>
        <v>614-316-2952</v>
      </c>
      <c r="G9697" s="3">
        <v>813311</v>
      </c>
      <c r="H9697" s="3" t="s">
        <v>28162</v>
      </c>
    </row>
    <row r="9698" spans="1:8" ht="26.25" x14ac:dyDescent="0.25">
      <c r="A9698" s="3" t="s">
        <v>28163</v>
      </c>
      <c r="B9698" s="3"/>
      <c r="C9698" s="3" t="str">
        <f>" "</f>
        <v xml:space="preserve"> </v>
      </c>
      <c r="D9698" s="3" t="s">
        <v>28164</v>
      </c>
      <c r="E9698" s="3" t="s">
        <v>28165</v>
      </c>
      <c r="F9698" s="3" t="str">
        <f>"3174220109"</f>
        <v>3174220109</v>
      </c>
      <c r="G9698" s="3">
        <v>561730</v>
      </c>
      <c r="H9698" s="3" t="s">
        <v>65</v>
      </c>
    </row>
    <row r="9699" spans="1:8" ht="77.25" x14ac:dyDescent="0.25">
      <c r="A9699" s="3" t="s">
        <v>28166</v>
      </c>
      <c r="B9699" s="3"/>
      <c r="C9699" s="3" t="str">
        <f>"We are a full service advertising, marketing and public relations firm. Located in Merrillville, IN, our services include planning, research, graphic design, writing, media buying, media relations, public relations and web design."</f>
        <v>We are a full service advertising, marketing and public relations firm. Located in Merrillville, IN, our services include planning, research, graphic design, writing, media buying, media relations, public relations and web design.</v>
      </c>
      <c r="D9699" s="3" t="s">
        <v>28167</v>
      </c>
      <c r="E9699" s="3" t="s">
        <v>28168</v>
      </c>
      <c r="F9699" s="3" t="str">
        <f>"219-769-2299"</f>
        <v>219-769-2299</v>
      </c>
      <c r="G9699" s="3">
        <v>541613</v>
      </c>
      <c r="H9699" s="3" t="s">
        <v>558</v>
      </c>
    </row>
    <row r="9700" spans="1:8" ht="102.75" x14ac:dyDescent="0.25">
      <c r="A9700" s="3" t="s">
        <v>28169</v>
      </c>
      <c r="B9700" s="3"/>
      <c r="C9700" s="3" t="s">
        <v>28170</v>
      </c>
      <c r="D9700" s="3" t="s">
        <v>28171</v>
      </c>
      <c r="E9700" s="3" t="s">
        <v>28172</v>
      </c>
      <c r="F9700" s="3" t="str">
        <f>"812-853-2300"</f>
        <v>812-853-2300</v>
      </c>
      <c r="G9700" s="3">
        <v>541990</v>
      </c>
      <c r="H9700" s="3" t="s">
        <v>378</v>
      </c>
    </row>
    <row r="9701" spans="1:8" ht="128.25" x14ac:dyDescent="0.25">
      <c r="A9701" s="3" t="s">
        <v>28173</v>
      </c>
      <c r="B9701" s="3"/>
      <c r="C9701" s="3" t="s">
        <v>28174</v>
      </c>
      <c r="D9701" s="3" t="s">
        <v>9</v>
      </c>
      <c r="E9701" s="3" t="s">
        <v>28175</v>
      </c>
      <c r="F9701" s="3" t="str">
        <f>"812-882-9682"</f>
        <v>812-882-9682</v>
      </c>
      <c r="G9701" s="3">
        <v>332999</v>
      </c>
      <c r="H9701" s="3" t="s">
        <v>9757</v>
      </c>
    </row>
    <row r="9702" spans="1:8" ht="64.5" x14ac:dyDescent="0.25">
      <c r="A9702" s="3" t="s">
        <v>28176</v>
      </c>
      <c r="B9702" s="3"/>
      <c r="C9702" s="3" t="str">
        <f>"WE PROVIDE PEST CONTROL, TERMITE SERVICES, AND NUISANCE WILDLIFE TO NORTHWEST INDIANA. WE ALSO SELL PEST CONTROL SUPPLIES ONLINE OR BY PHONE WHICH WE ARE ABLE TO SHIP."</f>
        <v>WE PROVIDE PEST CONTROL, TERMITE SERVICES, AND NUISANCE WILDLIFE TO NORTHWEST INDIANA. WE ALSO SELL PEST CONTROL SUPPLIES ONLINE OR BY PHONE WHICH WE ARE ABLE TO SHIP.</v>
      </c>
      <c r="D9702" s="3" t="s">
        <v>28177</v>
      </c>
      <c r="E9702" s="3" t="s">
        <v>46</v>
      </c>
      <c r="F9702" s="3" t="str">
        <f>"877-924-7378"</f>
        <v>877-924-7378</v>
      </c>
      <c r="G9702" s="3">
        <v>561710</v>
      </c>
      <c r="H9702" s="3" t="s">
        <v>946</v>
      </c>
    </row>
    <row r="9703" spans="1:8" ht="51.75" x14ac:dyDescent="0.25">
      <c r="A9703" s="3" t="s">
        <v>28178</v>
      </c>
      <c r="B9703" s="3"/>
      <c r="C9703" s="3" t="str">
        <f>"Wide format ink jet printing for advertising and displays.. Vehicle graphics, fire department, law enforcement , public utility. Trade show, exhibits"</f>
        <v>Wide format ink jet printing for advertising and displays.. Vehicle graphics, fire department, law enforcement , public utility. Trade show, exhibits</v>
      </c>
      <c r="D9703" s="3" t="s">
        <v>9</v>
      </c>
      <c r="E9703" s="3" t="s">
        <v>28179</v>
      </c>
      <c r="F9703" s="3" t="str">
        <f>"260-636-6261"</f>
        <v>260-636-6261</v>
      </c>
      <c r="G9703" s="3">
        <v>323</v>
      </c>
      <c r="H9703" s="3" t="s">
        <v>302</v>
      </c>
    </row>
    <row r="9704" spans="1:8" ht="51.75" x14ac:dyDescent="0.25">
      <c r="A9704" s="3" t="s">
        <v>28180</v>
      </c>
      <c r="B9704" s="3"/>
      <c r="C9704" s="3" t="str">
        <f>"VLM International provides utility billing software, bill printing, inserting, mailing and ebill services. Fixed and variable data print services are also provided."</f>
        <v>VLM International provides utility billing software, bill printing, inserting, mailing and ebill services. Fixed and variable data print services are also provided.</v>
      </c>
      <c r="D9704" s="3" t="s">
        <v>28181</v>
      </c>
      <c r="E9704" s="3" t="s">
        <v>28182</v>
      </c>
      <c r="F9704" s="3" t="str">
        <f>"574-679-9237"</f>
        <v>574-679-9237</v>
      </c>
      <c r="G9704" s="3">
        <v>541511</v>
      </c>
      <c r="H9704" s="3" t="s">
        <v>122</v>
      </c>
    </row>
    <row r="9705" spans="1:8" ht="306.75" x14ac:dyDescent="0.25">
      <c r="A9705" s="3" t="s">
        <v>28183</v>
      </c>
      <c r="B9705" s="3"/>
      <c r="C9705" s="3" t="s">
        <v>28184</v>
      </c>
      <c r="D9705" s="3" t="s">
        <v>28185</v>
      </c>
      <c r="E9705" s="3" t="s">
        <v>28186</v>
      </c>
      <c r="F9705" s="3" t="str">
        <f>"(910) 353-2743"</f>
        <v>(910) 353-2743</v>
      </c>
      <c r="G9705" s="3">
        <v>517</v>
      </c>
      <c r="H9705" s="3" t="s">
        <v>682</v>
      </c>
    </row>
    <row r="9706" spans="1:8" ht="26.25" x14ac:dyDescent="0.25">
      <c r="A9706" s="3" t="s">
        <v>28187</v>
      </c>
      <c r="B9706" s="3"/>
      <c r="C9706" s="3" t="str">
        <f>" "</f>
        <v xml:space="preserve"> </v>
      </c>
      <c r="D9706" s="3" t="s">
        <v>28188</v>
      </c>
      <c r="E9706" s="3" t="s">
        <v>28189</v>
      </c>
      <c r="F9706" s="3" t="str">
        <f>"317.577.0047"</f>
        <v>317.577.0047</v>
      </c>
      <c r="G9706" s="3">
        <v>442110</v>
      </c>
      <c r="H9706" s="3" t="s">
        <v>117</v>
      </c>
    </row>
    <row r="9707" spans="1:8" ht="77.25" x14ac:dyDescent="0.25">
      <c r="A9707" s="3" t="s">
        <v>28190</v>
      </c>
      <c r="B9707" s="3"/>
      <c r="C9707" s="3" t="str">
        <f>"Security Guard and Patrol Services with 15+ years of experience working alongside law enforcement officials. Providing services working in conjunction with Homeland Security in a professional manner. Ensuring public safety in various environments."</f>
        <v>Security Guard and Patrol Services with 15+ years of experience working alongside law enforcement officials. Providing services working in conjunction with Homeland Security in a professional manner. Ensuring public safety in various environments.</v>
      </c>
      <c r="D9707" s="3" t="s">
        <v>9</v>
      </c>
      <c r="E9707" s="3" t="s">
        <v>28191</v>
      </c>
      <c r="F9707" s="2"/>
      <c r="G9707" s="3">
        <v>561612</v>
      </c>
      <c r="H9707" s="3" t="s">
        <v>362</v>
      </c>
    </row>
    <row r="9708" spans="1:8" ht="51.75" x14ac:dyDescent="0.25">
      <c r="A9708" s="3" t="s">
        <v>28192</v>
      </c>
      <c r="B9708" s="3"/>
      <c r="C9708" s="3" t="str">
        <f>"Architectural Services Interior Design Services Landscape Design Services Commercial and Institutional Building Construction"</f>
        <v>Architectural Services Interior Design Services Landscape Design Services Commercial and Institutional Building Construction</v>
      </c>
      <c r="D9708" s="3" t="s">
        <v>28193</v>
      </c>
      <c r="E9708" s="3" t="s">
        <v>28194</v>
      </c>
      <c r="F9708" s="3" t="str">
        <f>"219-923-8008"</f>
        <v>219-923-8008</v>
      </c>
      <c r="G9708" s="3">
        <v>541310</v>
      </c>
      <c r="H9708" s="3" t="s">
        <v>446</v>
      </c>
    </row>
    <row r="9709" spans="1:8" ht="153.75" x14ac:dyDescent="0.25">
      <c r="A9709" s="3" t="s">
        <v>28195</v>
      </c>
      <c r="B9709" s="3"/>
      <c r="C9709" s="3" t="s">
        <v>28196</v>
      </c>
      <c r="D9709" s="3" t="s">
        <v>28197</v>
      </c>
      <c r="E9709" s="3" t="s">
        <v>28198</v>
      </c>
      <c r="F9709" s="3" t="str">
        <f>"317.244.6600"</f>
        <v>317.244.6600</v>
      </c>
      <c r="G9709" s="3">
        <v>524210</v>
      </c>
      <c r="H9709" s="3" t="s">
        <v>1183</v>
      </c>
    </row>
    <row r="9710" spans="1:8" ht="179.25" x14ac:dyDescent="0.25">
      <c r="A9710" s="3" t="s">
        <v>28199</v>
      </c>
      <c r="B9710" s="3"/>
      <c r="C9710" s="3" t="s">
        <v>28200</v>
      </c>
      <c r="D9710" s="3" t="s">
        <v>28201</v>
      </c>
      <c r="E9710" s="3" t="s">
        <v>28202</v>
      </c>
      <c r="F9710" s="3" t="str">
        <f>"(574) 287-8414"</f>
        <v>(574) 287-8414</v>
      </c>
      <c r="G9710" s="3">
        <v>561612</v>
      </c>
      <c r="H9710" s="3" t="s">
        <v>362</v>
      </c>
    </row>
    <row r="9711" spans="1:8" ht="26.25" x14ac:dyDescent="0.25">
      <c r="A9711" s="3" t="s">
        <v>28203</v>
      </c>
      <c r="B9711" s="3"/>
      <c r="C9711" s="3" t="str">
        <f>"Consulting &amp; Services"</f>
        <v>Consulting &amp; Services</v>
      </c>
      <c r="D9711" s="3" t="s">
        <v>9</v>
      </c>
      <c r="E9711" s="3" t="s">
        <v>28204</v>
      </c>
      <c r="F9711" s="3" t="str">
        <f>"8124924330"</f>
        <v>8124924330</v>
      </c>
      <c r="G9711" s="3">
        <v>541611</v>
      </c>
      <c r="H9711" s="3" t="s">
        <v>278</v>
      </c>
    </row>
    <row r="9712" spans="1:8" ht="102.75" x14ac:dyDescent="0.25">
      <c r="A9712" s="3" t="s">
        <v>28205</v>
      </c>
      <c r="B9712" s="3"/>
      <c r="C9712" s="3" t="s">
        <v>28206</v>
      </c>
      <c r="D9712" s="3" t="s">
        <v>28207</v>
      </c>
      <c r="E9712" s="3" t="s">
        <v>28208</v>
      </c>
      <c r="F9712" s="3" t="str">
        <f>"812-961-8803"</f>
        <v>812-961-8803</v>
      </c>
      <c r="G9712" s="3">
        <v>311340</v>
      </c>
      <c r="H9712" s="3" t="s">
        <v>28209</v>
      </c>
    </row>
    <row r="9713" spans="1:8" ht="51.75" x14ac:dyDescent="0.25">
      <c r="A9713" s="3" t="s">
        <v>28210</v>
      </c>
      <c r="B9713" s="3"/>
      <c r="C9713" s="3" t="str">
        <f>"Coatings and Sealants for Concrete floors and walls. Epoxy, secondary containment, densifiers, caulking, quartz, terrazo, and conductive"</f>
        <v>Coatings and Sealants for Concrete floors and walls. Epoxy, secondary containment, densifiers, caulking, quartz, terrazo, and conductive</v>
      </c>
      <c r="D9713" s="3" t="s">
        <v>28211</v>
      </c>
      <c r="E9713" s="3" t="s">
        <v>28212</v>
      </c>
      <c r="F9713" s="3" t="str">
        <f>"317 398 7911"</f>
        <v>317 398 7911</v>
      </c>
      <c r="G9713" s="3">
        <v>238320</v>
      </c>
      <c r="H9713" s="3" t="s">
        <v>462</v>
      </c>
    </row>
    <row r="9714" spans="1:8" ht="39" x14ac:dyDescent="0.25">
      <c r="A9714" s="3" t="s">
        <v>28213</v>
      </c>
      <c r="B9714" s="3"/>
      <c r="C9714" s="3" t="str">
        <f>"Manufacturers rep of filters, concrete coatings material, joint filler, paint and painting and coating supplies"</f>
        <v>Manufacturers rep of filters, concrete coatings material, joint filler, paint and painting and coating supplies</v>
      </c>
      <c r="D9714" s="3" t="s">
        <v>28211</v>
      </c>
      <c r="E9714" s="3" t="s">
        <v>28214</v>
      </c>
      <c r="F9714" s="3" t="str">
        <f>"3173987911"</f>
        <v>3173987911</v>
      </c>
      <c r="G9714" s="3">
        <v>424990</v>
      </c>
      <c r="H9714" s="3" t="s">
        <v>1019</v>
      </c>
    </row>
    <row r="9715" spans="1:8" ht="51.75" x14ac:dyDescent="0.25">
      <c r="A9715" s="3" t="s">
        <v>28215</v>
      </c>
      <c r="B9715" s="3"/>
      <c r="C9715" s="3" t="str">
        <f>"We are a retailer of furniture, major appliances, and mattresses. We are also a retailer of hardware, plumbing, and electrical supplies."</f>
        <v>We are a retailer of furniture, major appliances, and mattresses. We are also a retailer of hardware, plumbing, and electrical supplies.</v>
      </c>
      <c r="D9715" s="3" t="s">
        <v>9</v>
      </c>
      <c r="E9715" s="3" t="s">
        <v>46</v>
      </c>
      <c r="F9715" s="3" t="str">
        <f>"812-357-5181"</f>
        <v>812-357-5181</v>
      </c>
      <c r="G9715" s="3">
        <v>454319</v>
      </c>
      <c r="H9715" s="3" t="s">
        <v>19341</v>
      </c>
    </row>
    <row r="9716" spans="1:8" ht="26.25" x14ac:dyDescent="0.25">
      <c r="A9716" s="3" t="s">
        <v>28216</v>
      </c>
      <c r="B9716" s="3"/>
      <c r="C9716" s="3" t="str">
        <f>"Retail Hardware and Lumber"</f>
        <v>Retail Hardware and Lumber</v>
      </c>
      <c r="D9716" s="3" t="s">
        <v>9</v>
      </c>
      <c r="E9716" s="3" t="s">
        <v>46</v>
      </c>
      <c r="F9716" s="3" t="str">
        <f>"812-752-4859"</f>
        <v>812-752-4859</v>
      </c>
      <c r="G9716" s="3">
        <v>444130</v>
      </c>
      <c r="H9716" s="3" t="s">
        <v>2597</v>
      </c>
    </row>
    <row r="9717" spans="1:8" ht="39" x14ac:dyDescent="0.25">
      <c r="A9717" s="3" t="s">
        <v>28217</v>
      </c>
      <c r="B9717" s="3"/>
      <c r="C9717" s="3" t="str">
        <f>"Real Estate Appraisals dealing primarily with commercial and industrial properties, and right-of-way appraising."</f>
        <v>Real Estate Appraisals dealing primarily with commercial and industrial properties, and right-of-way appraising.</v>
      </c>
      <c r="D9717" s="3" t="s">
        <v>28218</v>
      </c>
      <c r="E9717" s="3" t="s">
        <v>28219</v>
      </c>
      <c r="F9717" s="3" t="str">
        <f>"219-769-1335"</f>
        <v>219-769-1335</v>
      </c>
      <c r="G9717" s="3">
        <v>531320</v>
      </c>
      <c r="H9717" s="3" t="s">
        <v>34</v>
      </c>
    </row>
    <row r="9718" spans="1:8" ht="179.25" x14ac:dyDescent="0.25">
      <c r="A9718" s="3" t="s">
        <v>28220</v>
      </c>
      <c r="B9718" s="3"/>
      <c r="C9718" s="3" t="s">
        <v>28221</v>
      </c>
      <c r="D9718" s="3" t="s">
        <v>9</v>
      </c>
      <c r="E9718" s="3" t="s">
        <v>28222</v>
      </c>
      <c r="F9718" s="3" t="str">
        <f>"8128654088"</f>
        <v>8128654088</v>
      </c>
      <c r="G9718" s="3">
        <v>332999</v>
      </c>
      <c r="H9718" s="3" t="s">
        <v>9757</v>
      </c>
    </row>
    <row r="9719" spans="1:8" x14ac:dyDescent="0.25">
      <c r="A9719" s="3" t="s">
        <v>28223</v>
      </c>
      <c r="B9719" s="3"/>
      <c r="C9719" s="3" t="str">
        <f>" "</f>
        <v xml:space="preserve"> </v>
      </c>
      <c r="D9719" s="3" t="s">
        <v>9</v>
      </c>
      <c r="E9719" s="3" t="s">
        <v>46</v>
      </c>
      <c r="F9719" s="2"/>
      <c r="G9719" s="3">
        <v>454210</v>
      </c>
      <c r="H9719" s="3" t="s">
        <v>2889</v>
      </c>
    </row>
    <row r="9720" spans="1:8" ht="153.75" x14ac:dyDescent="0.25">
      <c r="A9720" s="3" t="s">
        <v>28224</v>
      </c>
      <c r="B9720" s="3"/>
      <c r="C9720" s="3" t="s">
        <v>28225</v>
      </c>
      <c r="D9720" s="3" t="s">
        <v>9</v>
      </c>
      <c r="E9720" s="3" t="s">
        <v>28226</v>
      </c>
      <c r="F9720" s="2"/>
      <c r="G9720" s="3">
        <v>624120</v>
      </c>
      <c r="H9720" s="3" t="s">
        <v>22</v>
      </c>
    </row>
    <row r="9721" spans="1:8" ht="26.25" x14ac:dyDescent="0.25">
      <c r="A9721" s="3" t="s">
        <v>28227</v>
      </c>
      <c r="B9721" s="3"/>
      <c r="C9721" s="3" t="str">
        <f>"Manufacturer's Representative for HVAC"</f>
        <v>Manufacturer's Representative for HVAC</v>
      </c>
      <c r="D9721" s="3" t="s">
        <v>28228</v>
      </c>
      <c r="E9721" s="3" t="s">
        <v>46</v>
      </c>
      <c r="F9721" s="3" t="str">
        <f>"317-259-7604"</f>
        <v>317-259-7604</v>
      </c>
      <c r="G9721" s="3">
        <v>23822</v>
      </c>
      <c r="H9721" s="3" t="s">
        <v>348</v>
      </c>
    </row>
    <row r="9722" spans="1:8" ht="166.5" x14ac:dyDescent="0.25">
      <c r="A9722" s="3" t="s">
        <v>28229</v>
      </c>
      <c r="B9722" s="3"/>
      <c r="C9722" s="3" t="s">
        <v>28230</v>
      </c>
      <c r="D9722" s="3" t="s">
        <v>28231</v>
      </c>
      <c r="E9722" s="3" t="s">
        <v>28232</v>
      </c>
      <c r="F9722" s="3" t="str">
        <f>"317-882-2955"</f>
        <v>317-882-2955</v>
      </c>
      <c r="G9722" s="3">
        <v>713910</v>
      </c>
      <c r="H9722" s="3" t="s">
        <v>6583</v>
      </c>
    </row>
    <row r="9723" spans="1:8" ht="102.75" x14ac:dyDescent="0.25">
      <c r="A9723" s="3" t="s">
        <v>28233</v>
      </c>
      <c r="B9723" s="3"/>
      <c r="C9723" s="3" t="s">
        <v>28234</v>
      </c>
      <c r="D9723" s="3" t="s">
        <v>9</v>
      </c>
      <c r="E9723" s="3" t="s">
        <v>27464</v>
      </c>
      <c r="F9723" s="3" t="str">
        <f>"812-331-2200"</f>
        <v>812-331-2200</v>
      </c>
      <c r="G9723" s="3">
        <v>4411</v>
      </c>
      <c r="H9723" s="3" t="s">
        <v>1015</v>
      </c>
    </row>
    <row r="9724" spans="1:8" x14ac:dyDescent="0.25">
      <c r="A9724" s="3" t="s">
        <v>28235</v>
      </c>
      <c r="B9724" s="3"/>
      <c r="C9724" s="3" t="str">
        <f>"Retail"</f>
        <v>Retail</v>
      </c>
      <c r="D9724" s="3" t="s">
        <v>9</v>
      </c>
      <c r="E9724" s="3" t="s">
        <v>46</v>
      </c>
      <c r="F9724" s="2"/>
      <c r="G9724" s="3">
        <v>445</v>
      </c>
      <c r="H9724" s="3" t="s">
        <v>28236</v>
      </c>
    </row>
    <row r="9725" spans="1:8" ht="26.25" x14ac:dyDescent="0.25">
      <c r="A9725" s="3" t="s">
        <v>28237</v>
      </c>
      <c r="B9725" s="3"/>
      <c r="C9725" s="3" t="str">
        <f>" "</f>
        <v xml:space="preserve"> </v>
      </c>
      <c r="D9725" s="3" t="s">
        <v>28238</v>
      </c>
      <c r="E9725" s="3" t="s">
        <v>46</v>
      </c>
      <c r="F9725" s="3" t="str">
        <f>"574-936-4221"</f>
        <v>574-936-4221</v>
      </c>
      <c r="G9725" s="3">
        <v>332</v>
      </c>
      <c r="H9725" s="3" t="s">
        <v>2580</v>
      </c>
    </row>
    <row r="9726" spans="1:8" ht="115.5" x14ac:dyDescent="0.25">
      <c r="A9726" s="3" t="s">
        <v>28239</v>
      </c>
      <c r="B9726" s="3"/>
      <c r="C9726" s="3" t="s">
        <v>28240</v>
      </c>
      <c r="D9726" s="3" t="s">
        <v>28241</v>
      </c>
      <c r="E9726" s="3" t="s">
        <v>28242</v>
      </c>
      <c r="F9726" s="3" t="str">
        <f>"317-468-1755"</f>
        <v>317-468-1755</v>
      </c>
      <c r="G9726" s="3">
        <v>236220</v>
      </c>
      <c r="H9726" s="3" t="s">
        <v>598</v>
      </c>
    </row>
    <row r="9727" spans="1:8" ht="39" x14ac:dyDescent="0.25">
      <c r="A9727" s="3" t="s">
        <v>28243</v>
      </c>
      <c r="B9727" s="3"/>
      <c r="C9727" s="3" t="str">
        <f>"Commercial, Industrial and Residential appraisals in Northwest Indiana. Right of Way for municipalities."</f>
        <v>Commercial, Industrial and Residential appraisals in Northwest Indiana. Right of Way for municipalities.</v>
      </c>
      <c r="D9727" s="3" t="s">
        <v>28244</v>
      </c>
      <c r="E9727" s="3" t="s">
        <v>28245</v>
      </c>
      <c r="F9727" s="3" t="str">
        <f>"2194644138"</f>
        <v>2194644138</v>
      </c>
      <c r="G9727" s="3">
        <v>531320</v>
      </c>
      <c r="H9727" s="3" t="s">
        <v>34</v>
      </c>
    </row>
    <row r="9728" spans="1:8" ht="77.25" x14ac:dyDescent="0.25">
      <c r="A9728" s="3" t="s">
        <v>28246</v>
      </c>
      <c r="B9728" s="3"/>
      <c r="C9728" s="3" t="str">
        <f>"Value Added Resources is a distribution and assembly services company. We provide cost effective order fulfillment, packaging, assembly, distribution, shrink wrapping, collating, rework, etc. to organizations requiring the highest quality service."</f>
        <v>Value Added Resources is a distribution and assembly services company. We provide cost effective order fulfillment, packaging, assembly, distribution, shrink wrapping, collating, rework, etc. to organizations requiring the highest quality service.</v>
      </c>
      <c r="D9728" s="3" t="s">
        <v>28247</v>
      </c>
      <c r="E9728" s="3" t="s">
        <v>28248</v>
      </c>
      <c r="F9728" s="3" t="str">
        <f>"317-870-1180"</f>
        <v>317-870-1180</v>
      </c>
      <c r="G9728" s="3">
        <v>561910</v>
      </c>
      <c r="H9728" s="3" t="s">
        <v>7461</v>
      </c>
    </row>
    <row r="9729" spans="1:8" ht="77.25" x14ac:dyDescent="0.25">
      <c r="A9729" s="3" t="s">
        <v>28249</v>
      </c>
      <c r="B9729" s="3"/>
      <c r="C9729" s="3" t="str">
        <f>"REPAIR AND SALES OF TOOLS AND EQUIPMENT. ANYTHING THAT A AUTO MECHANIC OR BODYMAN WOULD NEED. ALSO TOOLS USED BY THE BUILDING TRADES. PRESSUREWASHERS GENERATOR, WELDERS, OLASMA CUTTERS. MUCH MORE."</f>
        <v>REPAIR AND SALES OF TOOLS AND EQUIPMENT. ANYTHING THAT A AUTO MECHANIC OR BODYMAN WOULD NEED. ALSO TOOLS USED BY THE BUILDING TRADES. PRESSUREWASHERS GENERATOR, WELDERS, OLASMA CUTTERS. MUCH MORE.</v>
      </c>
      <c r="D9729" s="3" t="s">
        <v>9</v>
      </c>
      <c r="E9729" s="3" t="s">
        <v>46</v>
      </c>
      <c r="F9729" s="3" t="str">
        <f>"317-632-2208"</f>
        <v>317-632-2208</v>
      </c>
      <c r="G9729" s="3">
        <v>238</v>
      </c>
      <c r="H9729" s="3" t="s">
        <v>397</v>
      </c>
    </row>
    <row r="9730" spans="1:8" ht="230.25" x14ac:dyDescent="0.25">
      <c r="A9730" s="3" t="s">
        <v>28250</v>
      </c>
      <c r="B9730" s="3"/>
      <c r="C9730" s="3" t="s">
        <v>28251</v>
      </c>
      <c r="D9730" s="3" t="s">
        <v>28252</v>
      </c>
      <c r="E9730" s="3" t="s">
        <v>28253</v>
      </c>
      <c r="F9730" s="3" t="str">
        <f>"317-974-7219"</f>
        <v>317-974-7219</v>
      </c>
      <c r="G9730" s="3">
        <v>541512</v>
      </c>
      <c r="H9730" s="3" t="s">
        <v>19</v>
      </c>
    </row>
    <row r="9731" spans="1:8" ht="179.25" x14ac:dyDescent="0.25">
      <c r="A9731" s="3" t="s">
        <v>28254</v>
      </c>
      <c r="B9731" s="3"/>
      <c r="C9731" s="3" t="s">
        <v>28255</v>
      </c>
      <c r="D9731" s="3" t="s">
        <v>28256</v>
      </c>
      <c r="E9731" s="3" t="s">
        <v>28257</v>
      </c>
      <c r="F9731" s="3" t="str">
        <f>"260.482.1744"</f>
        <v>260.482.1744</v>
      </c>
      <c r="G9731" s="3">
        <v>611430</v>
      </c>
      <c r="H9731" s="3" t="s">
        <v>1224</v>
      </c>
    </row>
    <row r="9732" spans="1:8" ht="51.75" x14ac:dyDescent="0.25">
      <c r="A9732" s="3" t="s">
        <v>28258</v>
      </c>
      <c r="B9732" s="3"/>
      <c r="C9732" s="3" t="str">
        <f>"General practice law firm; special focus on citizen's environmental issues. Litigation and Social Security Disability are main practice areas.."</f>
        <v>General practice law firm; special focus on citizen's environmental issues. Litigation and Social Security Disability are main practice areas..</v>
      </c>
      <c r="D9732" s="3" t="s">
        <v>28259</v>
      </c>
      <c r="E9732" s="3" t="s">
        <v>28260</v>
      </c>
      <c r="F9732" s="3" t="str">
        <f>"260-424-8132"</f>
        <v>260-424-8132</v>
      </c>
      <c r="G9732" s="3">
        <v>5411</v>
      </c>
      <c r="H9732" s="3" t="s">
        <v>87</v>
      </c>
    </row>
    <row r="9733" spans="1:8" ht="115.5" x14ac:dyDescent="0.25">
      <c r="A9733" s="3" t="s">
        <v>28261</v>
      </c>
      <c r="B9733" s="3"/>
      <c r="C9733" s="3" t="s">
        <v>28262</v>
      </c>
      <c r="D9733" s="3" t="s">
        <v>28263</v>
      </c>
      <c r="E9733" s="3" t="s">
        <v>28264</v>
      </c>
      <c r="F9733" s="3" t="str">
        <f>"317-502-0958"</f>
        <v>317-502-0958</v>
      </c>
      <c r="G9733" s="3">
        <v>5615</v>
      </c>
      <c r="H9733" s="3" t="s">
        <v>4175</v>
      </c>
    </row>
    <row r="9734" spans="1:8" ht="128.25" x14ac:dyDescent="0.25">
      <c r="A9734" s="3" t="s">
        <v>28265</v>
      </c>
      <c r="B9734" s="3"/>
      <c r="C9734" s="3" t="s">
        <v>28266</v>
      </c>
      <c r="D9734" s="3" t="s">
        <v>28267</v>
      </c>
      <c r="E9734" s="3" t="s">
        <v>46</v>
      </c>
      <c r="F9734" s="3" t="str">
        <f>"317-823-6046"</f>
        <v>317-823-6046</v>
      </c>
      <c r="G9734" s="3">
        <v>423440</v>
      </c>
      <c r="H9734" s="3" t="s">
        <v>12364</v>
      </c>
    </row>
    <row r="9735" spans="1:8" ht="26.25" x14ac:dyDescent="0.25">
      <c r="A9735" s="3" t="s">
        <v>28268</v>
      </c>
      <c r="B9735" s="3"/>
      <c r="C9735" s="3" t="str">
        <f>"Banquet Facility and Restaurant"</f>
        <v>Banquet Facility and Restaurant</v>
      </c>
      <c r="D9735" s="3" t="s">
        <v>28269</v>
      </c>
      <c r="E9735" s="3" t="s">
        <v>28270</v>
      </c>
      <c r="F9735" s="3" t="str">
        <f>"765-742-6478"</f>
        <v>765-742-6478</v>
      </c>
      <c r="G9735" s="3">
        <v>722</v>
      </c>
      <c r="H9735" s="3" t="s">
        <v>5711</v>
      </c>
    </row>
    <row r="9736" spans="1:8" ht="115.5" x14ac:dyDescent="0.25">
      <c r="A9736" s="3" t="s">
        <v>28271</v>
      </c>
      <c r="B9736" s="3"/>
      <c r="C9736" s="3" t="s">
        <v>28272</v>
      </c>
      <c r="D9736" s="3" t="s">
        <v>9</v>
      </c>
      <c r="E9736" s="3" t="s">
        <v>28273</v>
      </c>
      <c r="F9736" s="3" t="str">
        <f>"812-232-6097"</f>
        <v>812-232-6097</v>
      </c>
      <c r="G9736" s="3">
        <v>32551</v>
      </c>
      <c r="H9736" s="3" t="s">
        <v>2050</v>
      </c>
    </row>
    <row r="9737" spans="1:8" ht="39" x14ac:dyDescent="0.25">
      <c r="A9737" s="3" t="s">
        <v>28274</v>
      </c>
      <c r="B9737" s="3"/>
      <c r="C9737" s="3" t="str">
        <f>"Producer of sport fish for lake and pond stocking and tripiloid grass carp for aquatic plant control."</f>
        <v>Producer of sport fish for lake and pond stocking and tripiloid grass carp for aquatic plant control.</v>
      </c>
      <c r="D9737" s="3" t="s">
        <v>9</v>
      </c>
      <c r="E9737" s="3" t="s">
        <v>46</v>
      </c>
      <c r="F9737" s="3" t="str">
        <f>"812-739-4820"</f>
        <v>812-739-4820</v>
      </c>
      <c r="G9737" s="3">
        <v>112511</v>
      </c>
      <c r="H9737" s="3" t="s">
        <v>2267</v>
      </c>
    </row>
    <row r="9738" spans="1:8" ht="51.75" x14ac:dyDescent="0.25">
      <c r="A9738" s="3" t="s">
        <v>28275</v>
      </c>
      <c r="B9738" s="3"/>
      <c r="C9738" s="3" t="str">
        <f>"This is a Tax and accounting service business for small business and individuals wanting there taxes or bookeeping done."</f>
        <v>This is a Tax and accounting service business for small business and individuals wanting there taxes or bookeeping done.</v>
      </c>
      <c r="D9738" s="3" t="s">
        <v>9</v>
      </c>
      <c r="E9738" s="3" t="s">
        <v>28276</v>
      </c>
      <c r="F9738" s="3" t="str">
        <f>"317-894-0976"</f>
        <v>317-894-0976</v>
      </c>
      <c r="G9738" s="3">
        <v>541219</v>
      </c>
      <c r="H9738" s="3" t="s">
        <v>2010</v>
      </c>
    </row>
    <row r="9739" spans="1:8" ht="51.75" x14ac:dyDescent="0.25">
      <c r="A9739" s="3" t="s">
        <v>28277</v>
      </c>
      <c r="B9739" s="3"/>
      <c r="C9739" s="3" t="str">
        <f>"Commercial and Industrial general contractor with experience in all construction aspects including national chains."</f>
        <v>Commercial and Industrial general contractor with experience in all construction aspects including national chains.</v>
      </c>
      <c r="D9739" s="3" t="s">
        <v>28278</v>
      </c>
      <c r="E9739" s="3" t="s">
        <v>28279</v>
      </c>
      <c r="F9739" s="3" t="str">
        <f>"2196633600"</f>
        <v>2196633600</v>
      </c>
      <c r="G9739" s="3">
        <v>236220</v>
      </c>
      <c r="H9739" s="3" t="s">
        <v>598</v>
      </c>
    </row>
    <row r="9740" spans="1:8" ht="102.75" x14ac:dyDescent="0.25">
      <c r="A9740" s="3" t="s">
        <v>28280</v>
      </c>
      <c r="B9740" s="3"/>
      <c r="C9740" s="3" t="s">
        <v>28281</v>
      </c>
      <c r="D9740" s="3" t="s">
        <v>28282</v>
      </c>
      <c r="E9740" s="3" t="s">
        <v>28283</v>
      </c>
      <c r="F9740" s="3" t="str">
        <f>"317-870-7888"</f>
        <v>317-870-7888</v>
      </c>
      <c r="G9740" s="3">
        <v>811412</v>
      </c>
      <c r="H9740" s="3" t="s">
        <v>28284</v>
      </c>
    </row>
    <row r="9741" spans="1:8" ht="115.5" x14ac:dyDescent="0.25">
      <c r="A9741" s="3" t="s">
        <v>28285</v>
      </c>
      <c r="B9741" s="3"/>
      <c r="C9741" s="3" t="s">
        <v>28286</v>
      </c>
      <c r="D9741" s="3" t="s">
        <v>28287</v>
      </c>
      <c r="E9741" s="3" t="s">
        <v>28288</v>
      </c>
      <c r="F9741" s="3" t="str">
        <f>"812-435-2400"</f>
        <v>812-435-2400</v>
      </c>
      <c r="G9741" s="3">
        <v>923120</v>
      </c>
      <c r="H9741" s="3" t="s">
        <v>611</v>
      </c>
    </row>
    <row r="9742" spans="1:8" ht="39" x14ac:dyDescent="0.25">
      <c r="A9742" s="3" t="s">
        <v>28289</v>
      </c>
      <c r="B9742" s="3"/>
      <c r="C9742" s="3" t="str">
        <f>"Sales of computer equipment to government and private business customers. Owned 100% by disabled veteran (10%)."</f>
        <v>Sales of computer equipment to government and private business customers. Owned 100% by disabled veteran (10%).</v>
      </c>
      <c r="D9742" s="3" t="s">
        <v>28290</v>
      </c>
      <c r="E9742" s="3" t="s">
        <v>28291</v>
      </c>
      <c r="F9742" s="3" t="str">
        <f>"3172892111"</f>
        <v>3172892111</v>
      </c>
      <c r="G9742" s="3">
        <v>423430</v>
      </c>
      <c r="H9742" s="3" t="s">
        <v>127</v>
      </c>
    </row>
    <row r="9743" spans="1:8" ht="51.75" x14ac:dyDescent="0.25">
      <c r="A9743" s="3" t="s">
        <v>28292</v>
      </c>
      <c r="B9743" s="3"/>
      <c r="C9743" s="3" t="str">
        <f>"Vanessa Collins LLC is a business coaching and consulting firm specializing in author/publishing coaching, social media branding, and business planning."</f>
        <v>Vanessa Collins LLC is a business coaching and consulting firm specializing in author/publishing coaching, social media branding, and business planning.</v>
      </c>
      <c r="D9743" s="3" t="s">
        <v>28293</v>
      </c>
      <c r="E9743" s="3" t="s">
        <v>28294</v>
      </c>
      <c r="F9743" s="3" t="str">
        <f>"219-985-5705"</f>
        <v>219-985-5705</v>
      </c>
      <c r="G9743" s="3">
        <v>611430</v>
      </c>
      <c r="H9743" s="3" t="s">
        <v>1224</v>
      </c>
    </row>
    <row r="9744" spans="1:8" ht="64.5" x14ac:dyDescent="0.25">
      <c r="A9744" s="3" t="s">
        <v>28295</v>
      </c>
      <c r="B9744" s="3"/>
      <c r="C9744" s="3" t="str">
        <f>"My business is Tri Alex Dump Trucking. We haul, sand, gravel, stone, dirt, some concrete, asphalt. Basically, anything that will go in the bed and come out the tailgate. We haul it."</f>
        <v>My business is Tri Alex Dump Trucking. We haul, sand, gravel, stone, dirt, some concrete, asphalt. Basically, anything that will go in the bed and come out the tailgate. We haul it.</v>
      </c>
      <c r="D9744" s="3" t="s">
        <v>9</v>
      </c>
      <c r="E9744" s="3" t="s">
        <v>14254</v>
      </c>
      <c r="F9744" s="3" t="str">
        <f>"317-714-7872"</f>
        <v>317-714-7872</v>
      </c>
      <c r="G9744" s="3">
        <v>484220</v>
      </c>
      <c r="H9744" s="3" t="s">
        <v>11</v>
      </c>
    </row>
    <row r="9745" spans="1:8" ht="77.25" x14ac:dyDescent="0.25">
      <c r="A9745" s="3" t="s">
        <v>28296</v>
      </c>
      <c r="B9745" s="3"/>
      <c r="C9745" s="3" t="str">
        <f>"Vantage Point Consulting provides emergency management and preparedness planning, training, exercises, audits and services in the following areas; Human Capital Management, Healthcare, Safety (OSHA) and Security."</f>
        <v>Vantage Point Consulting provides emergency management and preparedness planning, training, exercises, audits and services in the following areas; Human Capital Management, Healthcare, Safety (OSHA) and Security.</v>
      </c>
      <c r="D9745" s="3" t="s">
        <v>28297</v>
      </c>
      <c r="E9745" s="3" t="s">
        <v>28298</v>
      </c>
      <c r="F9745" s="3" t="str">
        <f>"844-982-6824"</f>
        <v>844-982-6824</v>
      </c>
      <c r="G9745" s="3">
        <v>61143</v>
      </c>
      <c r="H9745" s="3" t="s">
        <v>1224</v>
      </c>
    </row>
    <row r="9746" spans="1:8" ht="90" x14ac:dyDescent="0.25">
      <c r="A9746" s="3" t="s">
        <v>28299</v>
      </c>
      <c r="B9746" s="3"/>
      <c r="C9746" s="3" t="str">
        <f>"NRPP/AARST Licensed Radon Mitigation/Measurements, Vapor/Chemical Intrusion Mitigation, Multi-Family Mitigation/Measurements (HUD), Radon Resistant New Construction Design/Installation/Measurements, General Contracting."</f>
        <v>NRPP/AARST Licensed Radon Mitigation/Measurements, Vapor/Chemical Intrusion Mitigation, Multi-Family Mitigation/Measurements (HUD), Radon Resistant New Construction Design/Installation/Measurements, General Contracting.</v>
      </c>
      <c r="D9746" s="3" t="s">
        <v>28300</v>
      </c>
      <c r="E9746" s="3" t="s">
        <v>28301</v>
      </c>
      <c r="F9746" s="3" t="str">
        <f>"317.252.5295"</f>
        <v>317.252.5295</v>
      </c>
      <c r="G9746" s="3">
        <v>238990</v>
      </c>
      <c r="H9746" s="3" t="s">
        <v>481</v>
      </c>
    </row>
    <row r="9747" spans="1:8" ht="26.25" x14ac:dyDescent="0.25">
      <c r="A9747" s="3" t="s">
        <v>28302</v>
      </c>
      <c r="B9747" s="3"/>
      <c r="C9747" s="3" t="str">
        <f>"Planning and Engineering Firm"</f>
        <v>Planning and Engineering Firm</v>
      </c>
      <c r="D9747" s="3" t="s">
        <v>28303</v>
      </c>
      <c r="E9747" s="3" t="s">
        <v>28304</v>
      </c>
      <c r="F9747" s="3" t="str">
        <f>"3173459562"</f>
        <v>3173459562</v>
      </c>
      <c r="G9747" s="3">
        <v>541330</v>
      </c>
      <c r="H9747" s="3" t="s">
        <v>82</v>
      </c>
    </row>
    <row r="9748" spans="1:8" ht="39" x14ac:dyDescent="0.25">
      <c r="A9748" s="3" t="s">
        <v>28305</v>
      </c>
      <c r="B9748" s="3"/>
      <c r="C9748" s="3" t="str">
        <f>"A Complete Construction,Facilities Management And Maintenance Management Company"</f>
        <v>A Complete Construction,Facilities Management And Maintenance Management Company</v>
      </c>
      <c r="D9748" s="3" t="s">
        <v>28306</v>
      </c>
      <c r="E9748" s="3" t="s">
        <v>46</v>
      </c>
      <c r="F9748" s="3" t="str">
        <f>"317-602-3773"</f>
        <v>317-602-3773</v>
      </c>
      <c r="G9748" s="3">
        <v>23</v>
      </c>
      <c r="H9748" s="3" t="s">
        <v>133</v>
      </c>
    </row>
    <row r="9749" spans="1:8" ht="115.5" x14ac:dyDescent="0.25">
      <c r="A9749" s="3" t="s">
        <v>28307</v>
      </c>
      <c r="B9749" s="3"/>
      <c r="C9749" s="3" t="s">
        <v>28308</v>
      </c>
      <c r="D9749" s="3" t="s">
        <v>28309</v>
      </c>
      <c r="E9749" s="3" t="s">
        <v>28310</v>
      </c>
      <c r="F9749" s="3" t="str">
        <f>"812-323-8201"</f>
        <v>812-323-8201</v>
      </c>
      <c r="G9749" s="3">
        <v>62139</v>
      </c>
      <c r="H9749" s="3" t="s">
        <v>28311</v>
      </c>
    </row>
    <row r="9750" spans="1:8" ht="90" x14ac:dyDescent="0.25">
      <c r="A9750" s="3" t="s">
        <v>28312</v>
      </c>
      <c r="B9750" s="3"/>
      <c r="C9750" s="3" t="str">
        <f>"Metal products made to order. Light metal frabication including Stainless Steel and Aluminum. Short run and long run. Fabrication for most any application. Also machining Plastics for industrial applications including UHMW, PVC. Micarta, Excelon."</f>
        <v>Metal products made to order. Light metal frabication including Stainless Steel and Aluminum. Short run and long run. Fabrication for most any application. Also machining Plastics for industrial applications including UHMW, PVC. Micarta, Excelon.</v>
      </c>
      <c r="D9750" s="3" t="s">
        <v>11220</v>
      </c>
      <c r="E9750" s="3" t="s">
        <v>28313</v>
      </c>
      <c r="F9750" s="3" t="str">
        <f>"219 712 2384"</f>
        <v>219 712 2384</v>
      </c>
      <c r="G9750" s="3">
        <v>332</v>
      </c>
      <c r="H9750" s="3" t="s">
        <v>2580</v>
      </c>
    </row>
    <row r="9751" spans="1:8" ht="51.75" x14ac:dyDescent="0.25">
      <c r="A9751" s="3" t="s">
        <v>28314</v>
      </c>
      <c r="B9751" s="3"/>
      <c r="C9751" s="3" t="str">
        <f>"We are a loca radio station that broadcasts news, sports, talk, traffic and weather alerts. We sell advertising to local and state businesses and organizations."</f>
        <v>We are a loca radio station that broadcasts news, sports, talk, traffic and weather alerts. We sell advertising to local and state businesses and organizations.</v>
      </c>
      <c r="D9751" s="3" t="s">
        <v>28315</v>
      </c>
      <c r="E9751" s="3" t="s">
        <v>28316</v>
      </c>
      <c r="F9751" s="3" t="str">
        <f>"2198441230"</f>
        <v>2198441230</v>
      </c>
      <c r="G9751" s="3">
        <v>511110</v>
      </c>
      <c r="H9751" s="3" t="s">
        <v>8225</v>
      </c>
    </row>
    <row r="9752" spans="1:8" ht="255.75" x14ac:dyDescent="0.25">
      <c r="A9752" s="3" t="s">
        <v>28317</v>
      </c>
      <c r="B9752" s="3"/>
      <c r="C9752" s="3" t="s">
        <v>28318</v>
      </c>
      <c r="D9752" s="3" t="s">
        <v>28319</v>
      </c>
      <c r="E9752" s="3" t="s">
        <v>28320</v>
      </c>
      <c r="F9752" s="3" t="str">
        <f>"574-831-3750"</f>
        <v>574-831-3750</v>
      </c>
      <c r="G9752" s="3">
        <v>337121</v>
      </c>
      <c r="H9752" s="3" t="s">
        <v>28321</v>
      </c>
    </row>
    <row r="9753" spans="1:8" ht="26.25" x14ac:dyDescent="0.25">
      <c r="A9753" s="3" t="s">
        <v>28322</v>
      </c>
      <c r="B9753" s="3"/>
      <c r="C9753" s="2"/>
      <c r="D9753" s="3" t="s">
        <v>9</v>
      </c>
      <c r="E9753" s="3" t="s">
        <v>46</v>
      </c>
      <c r="F9753" s="2"/>
      <c r="G9753" s="3">
        <v>233</v>
      </c>
      <c r="H9753" s="3" t="s">
        <v>131</v>
      </c>
    </row>
    <row r="9754" spans="1:8" ht="26.25" x14ac:dyDescent="0.25">
      <c r="A9754" s="3" t="s">
        <v>28323</v>
      </c>
      <c r="B9754" s="3"/>
      <c r="C9754" s="3" t="str">
        <f>" "</f>
        <v xml:space="preserve"> </v>
      </c>
      <c r="D9754" s="3" t="s">
        <v>28324</v>
      </c>
      <c r="E9754" s="3" t="s">
        <v>46</v>
      </c>
      <c r="F9754" s="3" t="str">
        <f>"219-472-1750"</f>
        <v>219-472-1750</v>
      </c>
      <c r="G9754" s="3">
        <v>541340</v>
      </c>
      <c r="H9754" s="3" t="s">
        <v>4040</v>
      </c>
    </row>
    <row r="9755" spans="1:8" ht="90" x14ac:dyDescent="0.25">
      <c r="A9755" s="3" t="s">
        <v>28325</v>
      </c>
      <c r="B9755" s="3"/>
      <c r="C9755" s="3" t="s">
        <v>28326</v>
      </c>
      <c r="D9755" s="3" t="s">
        <v>9</v>
      </c>
      <c r="E9755" s="3" t="s">
        <v>28327</v>
      </c>
      <c r="F9755" s="3" t="str">
        <f>"317-856-1952"</f>
        <v>317-856-1952</v>
      </c>
      <c r="G9755" s="3">
        <v>236116</v>
      </c>
      <c r="H9755" s="3" t="s">
        <v>438</v>
      </c>
    </row>
    <row r="9756" spans="1:8" ht="51.75" x14ac:dyDescent="0.25">
      <c r="A9756" s="3" t="s">
        <v>28328</v>
      </c>
      <c r="B9756" s="3"/>
      <c r="C9756" s="3" t="str">
        <f>"We are a landscpaing company that specializes in pavers, retaining walls, spring/fall clean up, lawn maintenance, ponds, water features, irrigation and more..."</f>
        <v>We are a landscpaing company that specializes in pavers, retaining walls, spring/fall clean up, lawn maintenance, ponds, water features, irrigation and more...</v>
      </c>
      <c r="D9756" s="3" t="s">
        <v>9</v>
      </c>
      <c r="E9756" s="3" t="s">
        <v>28329</v>
      </c>
      <c r="F9756" s="3" t="str">
        <f>"219-364-1975"</f>
        <v>219-364-1975</v>
      </c>
      <c r="G9756" s="3">
        <v>561730</v>
      </c>
      <c r="H9756" s="3" t="s">
        <v>65</v>
      </c>
    </row>
    <row r="9757" spans="1:8" ht="332.25" x14ac:dyDescent="0.25">
      <c r="A9757" s="3" t="s">
        <v>28330</v>
      </c>
      <c r="B9757" s="3"/>
      <c r="C9757" s="3" t="s">
        <v>28331</v>
      </c>
      <c r="D9757" s="3" t="s">
        <v>28332</v>
      </c>
      <c r="E9757" s="3" t="s">
        <v>28333</v>
      </c>
      <c r="F9757" s="3" t="str">
        <f>"(317) 802-0903"</f>
        <v>(317) 802-0903</v>
      </c>
      <c r="G9757" s="3">
        <v>62</v>
      </c>
      <c r="H9757" s="3" t="s">
        <v>1168</v>
      </c>
    </row>
    <row r="9758" spans="1:8" ht="39" x14ac:dyDescent="0.25">
      <c r="A9758" s="3" t="s">
        <v>28334</v>
      </c>
      <c r="B9758" s="3"/>
      <c r="C9758" s="3" t="str">
        <f>"Nationwide provider of Local and long distance phone service, Internet, conference calling and calling cards."</f>
        <v>Nationwide provider of Local and long distance phone service, Internet, conference calling and calling cards.</v>
      </c>
      <c r="D9758" s="3" t="s">
        <v>28335</v>
      </c>
      <c r="E9758" s="3" t="s">
        <v>28336</v>
      </c>
      <c r="F9758" s="3" t="str">
        <f>"317-870-9000"</f>
        <v>317-870-9000</v>
      </c>
      <c r="G9758" s="3">
        <v>517110</v>
      </c>
      <c r="H9758" s="3" t="s">
        <v>8574</v>
      </c>
    </row>
    <row r="9759" spans="1:8" ht="26.25" x14ac:dyDescent="0.25">
      <c r="A9759" s="3" t="s">
        <v>28337</v>
      </c>
      <c r="B9759" s="3"/>
      <c r="C9759" s="3" t="str">
        <f>"Real Estate Appraising &amp; Consulting"</f>
        <v>Real Estate Appraising &amp; Consulting</v>
      </c>
      <c r="D9759" s="3" t="s">
        <v>28338</v>
      </c>
      <c r="E9759" s="3" t="s">
        <v>28339</v>
      </c>
      <c r="F9759" s="3" t="str">
        <f>"812-331-0157"</f>
        <v>812-331-0157</v>
      </c>
      <c r="G9759" s="3">
        <v>531320</v>
      </c>
      <c r="H9759" s="3" t="s">
        <v>34</v>
      </c>
    </row>
    <row r="9760" spans="1:8" ht="26.25" x14ac:dyDescent="0.25">
      <c r="A9760" s="3" t="s">
        <v>28340</v>
      </c>
      <c r="B9760" s="3"/>
      <c r="C9760" s="3" t="str">
        <f>"Vendita Technology Group Provides Oracle licensing for software and services"</f>
        <v>Vendita Technology Group Provides Oracle licensing for software and services</v>
      </c>
      <c r="D9760" s="3" t="s">
        <v>28341</v>
      </c>
      <c r="E9760" s="3" t="s">
        <v>28342</v>
      </c>
      <c r="F9760" s="3" t="str">
        <f>"419-882-4030"</f>
        <v>419-882-4030</v>
      </c>
      <c r="G9760" s="3">
        <v>511210</v>
      </c>
      <c r="H9760" s="3" t="s">
        <v>315</v>
      </c>
    </row>
    <row r="9761" spans="1:8" ht="153.75" x14ac:dyDescent="0.25">
      <c r="A9761" s="3" t="s">
        <v>28343</v>
      </c>
      <c r="B9761" s="3"/>
      <c r="C9761" s="3" t="s">
        <v>28344</v>
      </c>
      <c r="D9761" s="3" t="s">
        <v>9</v>
      </c>
      <c r="E9761" s="3" t="s">
        <v>46</v>
      </c>
      <c r="F9761" s="3" t="str">
        <f>"317-542-0827"</f>
        <v>317-542-0827</v>
      </c>
      <c r="G9761" s="3">
        <v>541211</v>
      </c>
      <c r="H9761" s="3" t="s">
        <v>337</v>
      </c>
    </row>
    <row r="9762" spans="1:8" ht="90" x14ac:dyDescent="0.25">
      <c r="A9762" s="3" t="s">
        <v>28345</v>
      </c>
      <c r="B9762" s="3"/>
      <c r="C9762" s="3" t="s">
        <v>28346</v>
      </c>
      <c r="D9762" s="3" t="s">
        <v>9</v>
      </c>
      <c r="E9762" s="3" t="s">
        <v>46</v>
      </c>
      <c r="F9762" s="2"/>
      <c r="G9762" s="3">
        <v>33122</v>
      </c>
      <c r="H9762" s="3" t="s">
        <v>28347</v>
      </c>
    </row>
    <row r="9763" spans="1:8" ht="26.25" x14ac:dyDescent="0.25">
      <c r="A9763" s="3" t="s">
        <v>28348</v>
      </c>
      <c r="B9763" s="3"/>
      <c r="C9763" s="3" t="str">
        <f>"Custom builder on log cabin buildings using both pine and cedar material."</f>
        <v>Custom builder on log cabin buildings using both pine and cedar material.</v>
      </c>
      <c r="D9763" s="3" t="s">
        <v>9</v>
      </c>
      <c r="E9763" s="3" t="s">
        <v>28349</v>
      </c>
      <c r="F9763" s="3" t="str">
        <f>"812-723-4244"</f>
        <v>812-723-4244</v>
      </c>
      <c r="G9763" s="3">
        <v>236</v>
      </c>
      <c r="H9763" s="3" t="s">
        <v>291</v>
      </c>
    </row>
    <row r="9764" spans="1:8" ht="26.25" x14ac:dyDescent="0.25">
      <c r="A9764" s="3" t="s">
        <v>28350</v>
      </c>
      <c r="B9764" s="3"/>
      <c r="C9764" s="3" t="str">
        <f>" "</f>
        <v xml:space="preserve"> </v>
      </c>
      <c r="D9764" s="3" t="s">
        <v>28351</v>
      </c>
      <c r="E9764" s="3" t="s">
        <v>46</v>
      </c>
      <c r="F9764" s="3" t="str">
        <f>"317-3337500"</f>
        <v>317-3337500</v>
      </c>
      <c r="G9764" s="3">
        <v>531390</v>
      </c>
      <c r="H9764" s="3" t="s">
        <v>623</v>
      </c>
    </row>
    <row r="9765" spans="1:8" ht="26.25" x14ac:dyDescent="0.25">
      <c r="A9765" s="3" t="s">
        <v>28352</v>
      </c>
      <c r="B9765" s="3"/>
      <c r="C9765" s="3" t="str">
        <f>"Trash removal and disposal services."</f>
        <v>Trash removal and disposal services.</v>
      </c>
      <c r="D9765" s="3" t="s">
        <v>28353</v>
      </c>
      <c r="E9765" s="3" t="s">
        <v>46</v>
      </c>
      <c r="F9765" s="3" t="str">
        <f>"1-888-867-8066"</f>
        <v>1-888-867-8066</v>
      </c>
      <c r="G9765" s="3">
        <v>5621</v>
      </c>
      <c r="H9765" s="3" t="s">
        <v>501</v>
      </c>
    </row>
    <row r="9766" spans="1:8" ht="294" x14ac:dyDescent="0.25">
      <c r="A9766" s="3" t="s">
        <v>28354</v>
      </c>
      <c r="B9766" s="3"/>
      <c r="C9766" s="3" t="s">
        <v>28355</v>
      </c>
      <c r="D9766" s="3" t="s">
        <v>28356</v>
      </c>
      <c r="E9766" s="3" t="s">
        <v>28357</v>
      </c>
      <c r="F9766" s="3" t="str">
        <f>"800-688-4008"</f>
        <v>800-688-4008</v>
      </c>
      <c r="G9766" s="3">
        <v>562910</v>
      </c>
      <c r="H9766" s="3" t="s">
        <v>2278</v>
      </c>
    </row>
    <row r="9767" spans="1:8" ht="90" x14ac:dyDescent="0.25">
      <c r="A9767" s="3" t="s">
        <v>28358</v>
      </c>
      <c r="B9767" s="3"/>
      <c r="C9767" s="3" t="s">
        <v>28359</v>
      </c>
      <c r="D9767" s="3" t="s">
        <v>28360</v>
      </c>
      <c r="E9767" s="3" t="s">
        <v>28361</v>
      </c>
      <c r="F9767" s="3" t="str">
        <f>"877-295-0347"</f>
        <v>877-295-0347</v>
      </c>
      <c r="G9767" s="3">
        <v>516110</v>
      </c>
      <c r="H9767" s="3" t="s">
        <v>13801</v>
      </c>
    </row>
    <row r="9768" spans="1:8" ht="64.5" x14ac:dyDescent="0.25">
      <c r="A9768" s="3" t="s">
        <v>28362</v>
      </c>
      <c r="B9768" s="3"/>
      <c r="C9768" s="3" t="str">
        <f>"Vergence specializes in staffing for the Healthcare and IT industries. Vergence provides human resource solutions for growing, stable, downsizing and special project needs for businesses."</f>
        <v>Vergence specializes in staffing for the Healthcare and IT industries. Vergence provides human resource solutions for growing, stable, downsizing and special project needs for businesses.</v>
      </c>
      <c r="D9768" s="3" t="s">
        <v>28363</v>
      </c>
      <c r="E9768" s="3" t="s">
        <v>28364</v>
      </c>
      <c r="F9768" s="3" t="str">
        <f>"3175081699"</f>
        <v>3175081699</v>
      </c>
      <c r="G9768" s="3">
        <v>561320</v>
      </c>
      <c r="H9768" s="3" t="s">
        <v>15</v>
      </c>
    </row>
    <row r="9769" spans="1:8" ht="115.5" x14ac:dyDescent="0.25">
      <c r="A9769" s="3" t="s">
        <v>28365</v>
      </c>
      <c r="B9769" s="3"/>
      <c r="C9769" s="3" t="s">
        <v>28366</v>
      </c>
      <c r="D9769" s="3" t="s">
        <v>28367</v>
      </c>
      <c r="E9769" s="3" t="s">
        <v>28368</v>
      </c>
      <c r="F9769" s="3" t="str">
        <f>"800-941-6333"</f>
        <v>800-941-6333</v>
      </c>
      <c r="G9769" s="3">
        <v>56162</v>
      </c>
      <c r="H9769" s="3" t="s">
        <v>1276</v>
      </c>
    </row>
    <row r="9770" spans="1:8" ht="102.75" x14ac:dyDescent="0.25">
      <c r="A9770" s="3" t="s">
        <v>28369</v>
      </c>
      <c r="B9770" s="3"/>
      <c r="C9770" s="3" t="s">
        <v>28370</v>
      </c>
      <c r="D9770" s="3" t="s">
        <v>28371</v>
      </c>
      <c r="E9770" s="3" t="s">
        <v>28372</v>
      </c>
      <c r="F9770" s="3" t="str">
        <f>"260-423-9479"</f>
        <v>260-423-9479</v>
      </c>
      <c r="G9770" s="3">
        <v>531320</v>
      </c>
      <c r="H9770" s="3" t="s">
        <v>34</v>
      </c>
    </row>
    <row r="9771" spans="1:8" ht="26.25" x14ac:dyDescent="0.25">
      <c r="A9771" s="3" t="s">
        <v>28373</v>
      </c>
      <c r="B9771" s="3"/>
      <c r="C9771" s="3" t="str">
        <f>"Commercial and residential millwork"</f>
        <v>Commercial and residential millwork</v>
      </c>
      <c r="D9771" s="3" t="s">
        <v>9</v>
      </c>
      <c r="E9771" s="3" t="s">
        <v>46</v>
      </c>
      <c r="F9771" s="3" t="str">
        <f>"574 753 2359"</f>
        <v>574 753 2359</v>
      </c>
      <c r="G9771" s="3">
        <v>337212</v>
      </c>
      <c r="H9771" s="3" t="s">
        <v>2359</v>
      </c>
    </row>
    <row r="9772" spans="1:8" ht="39" x14ac:dyDescent="0.25">
      <c r="A9772" s="3" t="s">
        <v>28374</v>
      </c>
      <c r="B9772" s="3"/>
      <c r="C9772" s="3" t="str">
        <f>"Land Acquisition services. Buy and lease zonable land for developers and wireless carriers."</f>
        <v>Land Acquisition services. Buy and lease zonable land for developers and wireless carriers.</v>
      </c>
      <c r="D9772" s="3" t="s">
        <v>9</v>
      </c>
      <c r="E9772" s="3" t="s">
        <v>28375</v>
      </c>
      <c r="F9772" s="3" t="str">
        <f>"317-910-2131"</f>
        <v>317-910-2131</v>
      </c>
      <c r="G9772" s="3">
        <v>531390</v>
      </c>
      <c r="H9772" s="3" t="s">
        <v>623</v>
      </c>
    </row>
    <row r="9773" spans="1:8" ht="102.75" x14ac:dyDescent="0.25">
      <c r="A9773" s="3" t="s">
        <v>28376</v>
      </c>
      <c r="B9773" s="3"/>
      <c r="C9773" s="3" t="s">
        <v>28377</v>
      </c>
      <c r="D9773" s="3" t="s">
        <v>28378</v>
      </c>
      <c r="E9773" s="3" t="s">
        <v>28379</v>
      </c>
      <c r="F9773" s="3" t="str">
        <f>"800-735-7975"</f>
        <v>800-735-7975</v>
      </c>
      <c r="G9773" s="3">
        <v>541512</v>
      </c>
      <c r="H9773" s="3" t="s">
        <v>19</v>
      </c>
    </row>
    <row r="9774" spans="1:8" ht="26.25" x14ac:dyDescent="0.25">
      <c r="A9774" s="3" t="s">
        <v>28380</v>
      </c>
      <c r="B9774" s="3"/>
      <c r="C9774" s="3" t="str">
        <f>"Design build/General contractor/Excavation contractor/"</f>
        <v>Design build/General contractor/Excavation contractor/</v>
      </c>
      <c r="D9774" s="3" t="s">
        <v>9</v>
      </c>
      <c r="E9774" s="3" t="s">
        <v>46</v>
      </c>
      <c r="F9774" s="3" t="str">
        <f>"317-718-5188"</f>
        <v>317-718-5188</v>
      </c>
      <c r="G9774" s="3">
        <v>23</v>
      </c>
      <c r="H9774" s="3" t="s">
        <v>133</v>
      </c>
    </row>
    <row r="9775" spans="1:8" ht="51.75" x14ac:dyDescent="0.25">
      <c r="A9775" s="3" t="s">
        <v>28381</v>
      </c>
      <c r="B9775" s="3"/>
      <c r="C9775" s="3" t="str">
        <f>"Vespa Group LLC offers a wide range of security, intelligence, and technology consulting services, as well as resource staffing, and project management."</f>
        <v>Vespa Group LLC offers a wide range of security, intelligence, and technology consulting services, as well as resource staffing, and project management.</v>
      </c>
      <c r="D9775" s="3" t="s">
        <v>28382</v>
      </c>
      <c r="E9775" s="3" t="s">
        <v>28383</v>
      </c>
      <c r="F9775" s="2"/>
      <c r="G9775" s="3">
        <v>541690</v>
      </c>
      <c r="H9775" s="3" t="s">
        <v>652</v>
      </c>
    </row>
    <row r="9776" spans="1:8" ht="64.5" x14ac:dyDescent="0.25">
      <c r="A9776" s="3" t="s">
        <v>28384</v>
      </c>
      <c r="B9776" s="3"/>
      <c r="C9776" s="3" t="str">
        <f>"Vesta Pharma is a manuafactuer of pharmaceutical products and dietary supplements. Vesta Ingredients is a distributor or fine chemicals, and other ingredients."</f>
        <v>Vesta Pharma is a manuafactuer of pharmaceutical products and dietary supplements. Vesta Ingredients is a distributor or fine chemicals, and other ingredients.</v>
      </c>
      <c r="D9776" s="3" t="s">
        <v>28385</v>
      </c>
      <c r="E9776" s="3" t="s">
        <v>28386</v>
      </c>
      <c r="F9776" s="3" t="str">
        <f>"317-895-9000"</f>
        <v>317-895-9000</v>
      </c>
      <c r="G9776" s="3">
        <v>325411</v>
      </c>
      <c r="H9776" s="3" t="s">
        <v>28387</v>
      </c>
    </row>
    <row r="9777" spans="1:8" ht="179.25" x14ac:dyDescent="0.25">
      <c r="A9777" s="3" t="s">
        <v>28388</v>
      </c>
      <c r="B9777" s="3"/>
      <c r="C9777" s="3" t="s">
        <v>28389</v>
      </c>
      <c r="D9777" s="3" t="s">
        <v>28390</v>
      </c>
      <c r="E9777" s="3" t="s">
        <v>28391</v>
      </c>
      <c r="F9777" s="3" t="str">
        <f>"765-742-6479"</f>
        <v>765-742-6479</v>
      </c>
      <c r="G9777" s="3">
        <v>541370</v>
      </c>
      <c r="H9777" s="3" t="s">
        <v>160</v>
      </c>
    </row>
    <row r="9778" spans="1:8" ht="90" x14ac:dyDescent="0.25">
      <c r="A9778" s="3" t="s">
        <v>28392</v>
      </c>
      <c r="B9778" s="3"/>
      <c r="C9778" s="3" t="str">
        <f>"VCI provides a variety of chemicals to businesses all over the United States. We specialize in providing fair pricing, excellent customer service and personable attention to your company's needs. Please contact us and we will service your chemical needs."</f>
        <v>VCI provides a variety of chemicals to businesses all over the United States. We specialize in providing fair pricing, excellent customer service and personable attention to your company's needs. Please contact us and we will service your chemical needs.</v>
      </c>
      <c r="D9778" s="3" t="s">
        <v>28393</v>
      </c>
      <c r="E9778" s="3" t="s">
        <v>28394</v>
      </c>
      <c r="F9778" s="3" t="str">
        <f>"219-364-1290"</f>
        <v>219-364-1290</v>
      </c>
      <c r="G9778" s="3">
        <v>454390</v>
      </c>
      <c r="H9778" s="3" t="s">
        <v>1348</v>
      </c>
    </row>
    <row r="9779" spans="1:8" ht="26.25" x14ac:dyDescent="0.25">
      <c r="A9779" s="3" t="s">
        <v>28395</v>
      </c>
      <c r="B9779" s="3"/>
      <c r="C9779" s="3" t="str">
        <f>"Fire extinguisher service"</f>
        <v>Fire extinguisher service</v>
      </c>
      <c r="D9779" s="3" t="s">
        <v>28396</v>
      </c>
      <c r="E9779" s="3" t="s">
        <v>28397</v>
      </c>
      <c r="F9779" s="3" t="str">
        <f>"574-315-6674"</f>
        <v>574-315-6674</v>
      </c>
      <c r="G9779" s="3">
        <v>922160</v>
      </c>
      <c r="H9779" s="3" t="s">
        <v>2246</v>
      </c>
    </row>
    <row r="9780" spans="1:8" ht="319.5" x14ac:dyDescent="0.25">
      <c r="A9780" s="3" t="s">
        <v>28398</v>
      </c>
      <c r="B9780" s="3"/>
      <c r="C9780" s="3" t="s">
        <v>28399</v>
      </c>
      <c r="D9780" s="3" t="s">
        <v>28400</v>
      </c>
      <c r="E9780" s="3" t="s">
        <v>28401</v>
      </c>
      <c r="F9780" s="3" t="str">
        <f>"317.815.0400"</f>
        <v>317.815.0400</v>
      </c>
      <c r="G9780" s="3">
        <v>56131</v>
      </c>
      <c r="H9780" s="3" t="s">
        <v>1720</v>
      </c>
    </row>
    <row r="9781" spans="1:8" ht="102.75" x14ac:dyDescent="0.25">
      <c r="A9781" s="3" t="s">
        <v>28402</v>
      </c>
      <c r="B9781" s="3"/>
      <c r="C9781" s="3" t="s">
        <v>28403</v>
      </c>
      <c r="D9781" s="3" t="s">
        <v>28404</v>
      </c>
      <c r="E9781" s="3" t="s">
        <v>28405</v>
      </c>
      <c r="F9781" s="3" t="str">
        <f>"(317) 696-9443"</f>
        <v>(317) 696-9443</v>
      </c>
      <c r="G9781" s="3">
        <v>541820</v>
      </c>
      <c r="H9781" s="3" t="s">
        <v>795</v>
      </c>
    </row>
    <row r="9782" spans="1:8" ht="39" x14ac:dyDescent="0.25">
      <c r="A9782" s="3" t="s">
        <v>28406</v>
      </c>
      <c r="B9782" s="3"/>
      <c r="C9782" s="3" t="str">
        <f>"A full service IT support firm providing services to business and personal computer and network owners"</f>
        <v>A full service IT support firm providing services to business and personal computer and network owners</v>
      </c>
      <c r="D9782" s="3" t="s">
        <v>28407</v>
      </c>
      <c r="E9782" s="3" t="s">
        <v>28408</v>
      </c>
      <c r="F9782" s="3" t="str">
        <f>"317-502-8613"</f>
        <v>317-502-8613</v>
      </c>
      <c r="G9782" s="3">
        <v>541990</v>
      </c>
      <c r="H9782" s="3" t="s">
        <v>378</v>
      </c>
    </row>
    <row r="9783" spans="1:8" ht="26.25" x14ac:dyDescent="0.25">
      <c r="A9783" s="3" t="s">
        <v>28409</v>
      </c>
      <c r="B9783" s="3"/>
      <c r="C9783" s="3" t="str">
        <f>"Pest Control business that services Indiana"</f>
        <v>Pest Control business that services Indiana</v>
      </c>
      <c r="D9783" s="3" t="s">
        <v>28410</v>
      </c>
      <c r="E9783" s="3" t="s">
        <v>28411</v>
      </c>
      <c r="F9783" s="3" t="str">
        <f>"812-631-0082"</f>
        <v>812-631-0082</v>
      </c>
      <c r="G9783" s="3">
        <v>561710</v>
      </c>
      <c r="H9783" s="3" t="s">
        <v>946</v>
      </c>
    </row>
    <row r="9784" spans="1:8" ht="39" x14ac:dyDescent="0.25">
      <c r="A9784" s="3" t="s">
        <v>28412</v>
      </c>
      <c r="B9784" s="3"/>
      <c r="C9784" s="3" t="str">
        <f>"Consulting engineering firm specializing in commercial, educational and medical buildings."</f>
        <v>Consulting engineering firm specializing in commercial, educational and medical buildings.</v>
      </c>
      <c r="D9784" s="3" t="s">
        <v>9</v>
      </c>
      <c r="E9784" s="3" t="s">
        <v>46</v>
      </c>
      <c r="F9784" s="2"/>
      <c r="G9784" s="3">
        <v>541330</v>
      </c>
      <c r="H9784" s="3" t="s">
        <v>82</v>
      </c>
    </row>
    <row r="9785" spans="1:8" ht="179.25" x14ac:dyDescent="0.25">
      <c r="A9785" s="3" t="s">
        <v>28413</v>
      </c>
      <c r="B9785" s="3"/>
      <c r="C9785" s="3" t="s">
        <v>28414</v>
      </c>
      <c r="D9785" s="3" t="s">
        <v>28415</v>
      </c>
      <c r="E9785" s="3" t="s">
        <v>28416</v>
      </c>
      <c r="F9785" s="3" t="str">
        <f>"317-492-9526"</f>
        <v>317-492-9526</v>
      </c>
      <c r="G9785" s="3">
        <v>541219</v>
      </c>
      <c r="H9785" s="3" t="s">
        <v>2010</v>
      </c>
    </row>
    <row r="9786" spans="1:8" ht="64.5" x14ac:dyDescent="0.25">
      <c r="A9786" s="3" t="s">
        <v>28417</v>
      </c>
      <c r="B9786" s="3"/>
      <c r="C9786" s="3" t="str">
        <f>"I am a trucking and supply company. I haul construction materials, aggregates, concrete, asphalt and etc. I also stockpile aggregates for area producers. Ready mix concrete supplier."</f>
        <v>I am a trucking and supply company. I haul construction materials, aggregates, concrete, asphalt and etc. I also stockpile aggregates for area producers. Ready mix concrete supplier.</v>
      </c>
      <c r="D9786" s="3" t="s">
        <v>9</v>
      </c>
      <c r="E9786" s="3" t="s">
        <v>28418</v>
      </c>
      <c r="F9786" s="3" t="str">
        <f>"260-909-0500"</f>
        <v>260-909-0500</v>
      </c>
      <c r="G9786" s="3">
        <v>484220</v>
      </c>
      <c r="H9786" s="3" t="s">
        <v>11</v>
      </c>
    </row>
    <row r="9787" spans="1:8" ht="77.25" x14ac:dyDescent="0.25">
      <c r="A9787" s="3" t="s">
        <v>28419</v>
      </c>
      <c r="B9787" s="3"/>
      <c r="C9787" s="3" t="str">
        <f>"Consulting Firm specializing in Information Technology, Management Consulting, Compliance. We provide Project Management, Testing, Compliance Assessments, Remediation, ERP Implementation, Website Development"</f>
        <v>Consulting Firm specializing in Information Technology, Management Consulting, Compliance. We provide Project Management, Testing, Compliance Assessments, Remediation, ERP Implementation, Website Development</v>
      </c>
      <c r="D9787" s="3" t="s">
        <v>28420</v>
      </c>
      <c r="E9787" s="3" t="s">
        <v>28421</v>
      </c>
      <c r="F9787" s="3" t="str">
        <f>"317-616-3306"</f>
        <v>317-616-3306</v>
      </c>
      <c r="G9787" s="3">
        <v>561320</v>
      </c>
      <c r="H9787" s="3" t="s">
        <v>15</v>
      </c>
    </row>
    <row r="9788" spans="1:8" ht="141" x14ac:dyDescent="0.25">
      <c r="A9788" s="3" t="s">
        <v>28422</v>
      </c>
      <c r="B9788" s="3"/>
      <c r="C9788" s="3" t="s">
        <v>28423</v>
      </c>
      <c r="D9788" s="3" t="s">
        <v>28424</v>
      </c>
      <c r="E9788" s="3" t="s">
        <v>28204</v>
      </c>
      <c r="F9788" s="3" t="str">
        <f>"8124924330"</f>
        <v>8124924330</v>
      </c>
      <c r="G9788" s="3">
        <v>424610</v>
      </c>
      <c r="H9788" s="3" t="s">
        <v>12492</v>
      </c>
    </row>
    <row r="9789" spans="1:8" ht="39" x14ac:dyDescent="0.25">
      <c r="A9789" s="3" t="s">
        <v>28425</v>
      </c>
      <c r="B9789" s="3"/>
      <c r="C9789" s="3" t="str">
        <f>"Design, install, integrating, and servicing audio-visual and video conferencing systems"</f>
        <v>Design, install, integrating, and servicing audio-visual and video conferencing systems</v>
      </c>
      <c r="D9789" s="3" t="s">
        <v>28426</v>
      </c>
      <c r="E9789" s="3" t="s">
        <v>28427</v>
      </c>
      <c r="F9789" s="3" t="str">
        <f>"317-347-5252"</f>
        <v>317-347-5252</v>
      </c>
      <c r="G9789" s="3">
        <v>423690</v>
      </c>
      <c r="H9789" s="3" t="s">
        <v>6724</v>
      </c>
    </row>
    <row r="9790" spans="1:8" ht="26.25" x14ac:dyDescent="0.25">
      <c r="A9790" s="3" t="s">
        <v>28428</v>
      </c>
      <c r="B9790" s="3"/>
      <c r="C9790" s="3" t="str">
        <f>"Capital program management, public private partnerships"</f>
        <v>Capital program management, public private partnerships</v>
      </c>
      <c r="D9790" s="3" t="s">
        <v>28429</v>
      </c>
      <c r="E9790" s="3" t="s">
        <v>28430</v>
      </c>
      <c r="F9790" s="3" t="str">
        <f>"317-409-2888"</f>
        <v>317-409-2888</v>
      </c>
      <c r="G9790" s="3">
        <v>233</v>
      </c>
      <c r="H9790" s="3" t="s">
        <v>131</v>
      </c>
    </row>
    <row r="9791" spans="1:8" ht="64.5" x14ac:dyDescent="0.25">
      <c r="A9791" s="3" t="s">
        <v>28431</v>
      </c>
      <c r="B9791" s="3"/>
      <c r="C9791" s="3" t="str">
        <f>"ViewThis Technologies is a &gt;Net Web Application Developer and Database Management &amp; Development provider that offers Microsoft SQL Server suite of products as an exclusive solution."</f>
        <v>ViewThis Technologies is a &gt;Net Web Application Developer and Database Management &amp; Development provider that offers Microsoft SQL Server suite of products as an exclusive solution.</v>
      </c>
      <c r="D9791" s="3" t="s">
        <v>28432</v>
      </c>
      <c r="E9791" s="3" t="s">
        <v>28433</v>
      </c>
      <c r="F9791" s="3" t="str">
        <f>"317-912-4626"</f>
        <v>317-912-4626</v>
      </c>
      <c r="G9791" s="3">
        <v>5415</v>
      </c>
      <c r="H9791" s="3" t="s">
        <v>188</v>
      </c>
    </row>
    <row r="9792" spans="1:8" ht="77.25" x14ac:dyDescent="0.25">
      <c r="A9792" s="3" t="s">
        <v>28434</v>
      </c>
      <c r="B9792" s="3"/>
      <c r="C9792" s="3" t="str">
        <f>"Provides integrated security services including electronic access control, CCTV and asset protection through hazardous materials management, personal protection, investigations surveillance and counter-measures."</f>
        <v>Provides integrated security services including electronic access control, CCTV and asset protection through hazardous materials management, personal protection, investigations surveillance and counter-measures.</v>
      </c>
      <c r="D9792" s="3" t="s">
        <v>28435</v>
      </c>
      <c r="E9792" s="3" t="s">
        <v>28436</v>
      </c>
      <c r="F9792" s="3" t="str">
        <f>"(317) 594-6529"</f>
        <v>(317) 594-6529</v>
      </c>
      <c r="G9792" s="3">
        <v>56162</v>
      </c>
      <c r="H9792" s="3" t="s">
        <v>1276</v>
      </c>
    </row>
    <row r="9793" spans="1:8" ht="243" x14ac:dyDescent="0.25">
      <c r="A9793" s="3" t="s">
        <v>28437</v>
      </c>
      <c r="B9793" s="3"/>
      <c r="C9793" s="3" t="s">
        <v>28438</v>
      </c>
      <c r="D9793" s="3" t="s">
        <v>28439</v>
      </c>
      <c r="E9793" s="3" t="s">
        <v>28440</v>
      </c>
      <c r="F9793" s="3" t="str">
        <f>"3178620798"</f>
        <v>3178620798</v>
      </c>
      <c r="G9793" s="3">
        <v>541511</v>
      </c>
      <c r="H9793" s="3" t="s">
        <v>122</v>
      </c>
    </row>
    <row r="9794" spans="1:8" ht="26.25" x14ac:dyDescent="0.25">
      <c r="A9794" s="3" t="s">
        <v>28441</v>
      </c>
      <c r="B9794" s="3"/>
      <c r="C9794" s="2"/>
      <c r="D9794" s="3" t="s">
        <v>9</v>
      </c>
      <c r="E9794" s="3" t="s">
        <v>28442</v>
      </c>
      <c r="F9794" s="3" t="str">
        <f>"812.208.6428"</f>
        <v>812.208.6428</v>
      </c>
      <c r="G9794" s="3">
        <v>81331</v>
      </c>
      <c r="H9794" s="3" t="s">
        <v>5487</v>
      </c>
    </row>
    <row r="9795" spans="1:8" ht="39" x14ac:dyDescent="0.25">
      <c r="A9795" s="3" t="s">
        <v>28443</v>
      </c>
      <c r="B9795" s="3"/>
      <c r="C9795" s="3" t="str">
        <f>"Industrial &amp; Contractor supplies,Fire Fighting Equipment"</f>
        <v>Industrial &amp; Contractor supplies,Fire Fighting Equipment</v>
      </c>
      <c r="D9795" s="3" t="s">
        <v>9</v>
      </c>
      <c r="E9795" s="3" t="s">
        <v>28444</v>
      </c>
      <c r="F9795" s="3" t="str">
        <f>"219-324-7363"</f>
        <v>219-324-7363</v>
      </c>
      <c r="G9795" s="3">
        <v>42381</v>
      </c>
      <c r="H9795" s="3" t="s">
        <v>4276</v>
      </c>
    </row>
    <row r="9796" spans="1:8" ht="77.25" x14ac:dyDescent="0.25">
      <c r="A9796" s="3" t="s">
        <v>28445</v>
      </c>
      <c r="B9796" s="3"/>
      <c r="C9796" s="3" t="str">
        <f>"Not for profit family and childrens services organization providing foster care, transitional living, adoption, behavioral health, child day care and Healthy Families program services throughout the State of Indiana."</f>
        <v>Not for profit family and childrens services organization providing foster care, transitional living, adoption, behavioral health, child day care and Healthy Families program services throughout the State of Indiana.</v>
      </c>
      <c r="D9796" s="3" t="s">
        <v>28446</v>
      </c>
      <c r="E9796" s="3" t="s">
        <v>46</v>
      </c>
      <c r="F9796" s="3" t="str">
        <f>"(800) 874-6880"</f>
        <v>(800) 874-6880</v>
      </c>
      <c r="G9796" s="3">
        <v>62411</v>
      </c>
      <c r="H9796" s="3" t="s">
        <v>628</v>
      </c>
    </row>
    <row r="9797" spans="1:8" ht="26.25" x14ac:dyDescent="0.25">
      <c r="A9797" s="3" t="s">
        <v>28447</v>
      </c>
      <c r="B9797" s="3"/>
      <c r="C9797" s="3" t="str">
        <f>"provide temporary and temp-to-perm staffing to other businesses"</f>
        <v>provide temporary and temp-to-perm staffing to other businesses</v>
      </c>
      <c r="D9797" s="3" t="s">
        <v>9</v>
      </c>
      <c r="E9797" s="3" t="s">
        <v>28448</v>
      </c>
      <c r="F9797" s="3" t="str">
        <f>"812-886-4006"</f>
        <v>812-886-4006</v>
      </c>
      <c r="G9797" s="3">
        <v>561320</v>
      </c>
      <c r="H9797" s="3" t="s">
        <v>15</v>
      </c>
    </row>
    <row r="9798" spans="1:8" x14ac:dyDescent="0.25">
      <c r="A9798" s="3" t="s">
        <v>28449</v>
      </c>
      <c r="B9798" s="3"/>
      <c r="C9798" s="3" t="str">
        <f>" "</f>
        <v xml:space="preserve"> </v>
      </c>
      <c r="D9798" s="3" t="s">
        <v>9</v>
      </c>
      <c r="E9798" s="3" t="s">
        <v>46</v>
      </c>
      <c r="F9798" s="2"/>
      <c r="G9798" s="3">
        <v>922160</v>
      </c>
      <c r="H9798" s="3" t="s">
        <v>2246</v>
      </c>
    </row>
    <row r="9799" spans="1:8" ht="39" x14ac:dyDescent="0.25">
      <c r="A9799" s="3" t="s">
        <v>28450</v>
      </c>
      <c r="B9799" s="3"/>
      <c r="C9799" s="3" t="str">
        <f>"Community college that offers educational programs and community/ workforce development services"</f>
        <v>Community college that offers educational programs and community/ workforce development services</v>
      </c>
      <c r="D9799" s="3" t="s">
        <v>28451</v>
      </c>
      <c r="E9799" s="3" t="s">
        <v>28452</v>
      </c>
      <c r="F9799" s="3" t="str">
        <f>"812-888-5822"</f>
        <v>812-888-5822</v>
      </c>
      <c r="G9799" s="3">
        <v>61</v>
      </c>
      <c r="H9799" s="3" t="s">
        <v>140</v>
      </c>
    </row>
    <row r="9800" spans="1:8" ht="192" x14ac:dyDescent="0.25">
      <c r="A9800" s="3" t="s">
        <v>28453</v>
      </c>
      <c r="B9800" s="3"/>
      <c r="C9800" s="3" t="s">
        <v>28454</v>
      </c>
      <c r="D9800" s="3" t="s">
        <v>28455</v>
      </c>
      <c r="E9800" s="3" t="s">
        <v>28456</v>
      </c>
      <c r="F9800" s="3" t="str">
        <f>"574-344-8785"</f>
        <v>574-344-8785</v>
      </c>
      <c r="G9800" s="3">
        <v>541330</v>
      </c>
      <c r="H9800" s="3" t="s">
        <v>82</v>
      </c>
    </row>
    <row r="9801" spans="1:8" ht="39" x14ac:dyDescent="0.25">
      <c r="A9801" s="3" t="s">
        <v>28457</v>
      </c>
      <c r="B9801" s="3"/>
      <c r="C9801" s="3" t="str">
        <f>"Vincent's Janitorial Service provides full service commercial, industrial and residential janitorial and cleaning services."</f>
        <v>Vincent's Janitorial Service provides full service commercial, industrial and residential janitorial and cleaning services.</v>
      </c>
      <c r="D9801" s="3" t="s">
        <v>9</v>
      </c>
      <c r="E9801" s="3" t="s">
        <v>28458</v>
      </c>
      <c r="F9801" s="3" t="str">
        <f>"(317) 847-3009"</f>
        <v>(317) 847-3009</v>
      </c>
      <c r="G9801" s="3">
        <v>5617</v>
      </c>
      <c r="H9801" s="3" t="s">
        <v>812</v>
      </c>
    </row>
    <row r="9802" spans="1:8" ht="102.75" x14ac:dyDescent="0.25">
      <c r="A9802" s="3" t="s">
        <v>28459</v>
      </c>
      <c r="B9802" s="3"/>
      <c r="C9802" s="3" t="s">
        <v>28460</v>
      </c>
      <c r="D9802" s="3" t="s">
        <v>28461</v>
      </c>
      <c r="E9802" s="3" t="s">
        <v>28462</v>
      </c>
      <c r="F9802" s="3" t="str">
        <f>"317-846-3778"</f>
        <v>317-846-3778</v>
      </c>
      <c r="G9802" s="3">
        <v>11</v>
      </c>
      <c r="H9802" s="3" t="s">
        <v>175</v>
      </c>
    </row>
    <row r="9803" spans="1:8" ht="102.75" x14ac:dyDescent="0.25">
      <c r="A9803" s="3" t="s">
        <v>28463</v>
      </c>
      <c r="B9803" s="3"/>
      <c r="C9803" s="3" t="s">
        <v>28464</v>
      </c>
      <c r="D9803" s="3" t="s">
        <v>28465</v>
      </c>
      <c r="E9803" s="3" t="s">
        <v>28466</v>
      </c>
      <c r="F9803" s="3" t="str">
        <f>"8126632754"</f>
        <v>8126632754</v>
      </c>
      <c r="G9803" s="3">
        <v>444190</v>
      </c>
      <c r="H9803" s="3" t="s">
        <v>1188</v>
      </c>
    </row>
    <row r="9804" spans="1:8" ht="64.5" x14ac:dyDescent="0.25">
      <c r="A9804" s="3" t="s">
        <v>28467</v>
      </c>
      <c r="B9804" s="3"/>
      <c r="C9804" s="3" t="str">
        <f>"American Manufacturer of furniture-technology, classroom, cafeteria, conference, office, meeting, hospitality, folding tables and chairs. For any venue where people meet"</f>
        <v>American Manufacturer of furniture-technology, classroom, cafeteria, conference, office, meeting, hospitality, folding tables and chairs. For any venue where people meet</v>
      </c>
      <c r="D9804" s="3" t="s">
        <v>28468</v>
      </c>
      <c r="E9804" s="3" t="s">
        <v>28469</v>
      </c>
      <c r="F9804" s="3" t="str">
        <f>"800-448-4726 EXT 1246"</f>
        <v>800-448-4726 EXT 1246</v>
      </c>
      <c r="G9804" s="3">
        <v>337127</v>
      </c>
      <c r="H9804" s="3" t="s">
        <v>27519</v>
      </c>
    </row>
    <row r="9805" spans="1:8" ht="51.75" x14ac:dyDescent="0.25">
      <c r="A9805" s="3" t="s">
        <v>28470</v>
      </c>
      <c r="B9805" s="3"/>
      <c r="C9805" s="3" t="str">
        <f>"We rent tools and power equipment. We also sell and service Simplicity and Toro lawnmowers and Stihl chainsaws, grass trimmers, and blowers."</f>
        <v>We rent tools and power equipment. We also sell and service Simplicity and Toro lawnmowers and Stihl chainsaws, grass trimmers, and blowers.</v>
      </c>
      <c r="D9805" s="3" t="s">
        <v>9</v>
      </c>
      <c r="E9805" s="3" t="s">
        <v>28471</v>
      </c>
      <c r="F9805" s="3" t="str">
        <f>"574-223-6122"</f>
        <v>574-223-6122</v>
      </c>
      <c r="G9805" s="3">
        <v>532310</v>
      </c>
      <c r="H9805" s="3" t="s">
        <v>10958</v>
      </c>
    </row>
    <row r="9806" spans="1:8" ht="306.75" x14ac:dyDescent="0.25">
      <c r="A9806" s="3" t="s">
        <v>28472</v>
      </c>
      <c r="B9806" s="3"/>
      <c r="C9806" s="3" t="s">
        <v>28473</v>
      </c>
      <c r="D9806" s="3" t="s">
        <v>28474</v>
      </c>
      <c r="E9806" s="3" t="s">
        <v>28475</v>
      </c>
      <c r="F9806" s="3" t="str">
        <f>"260-424-4830"</f>
        <v>260-424-4830</v>
      </c>
      <c r="G9806" s="3">
        <v>541310</v>
      </c>
      <c r="H9806" s="3" t="s">
        <v>446</v>
      </c>
    </row>
    <row r="9807" spans="1:8" ht="77.25" x14ac:dyDescent="0.25">
      <c r="A9807" s="3" t="s">
        <v>28476</v>
      </c>
      <c r="B9807" s="3"/>
      <c r="C9807" s="3" t="str">
        <f>"Our printing and scanning specialists, considered experts in the field, have years of experience with significant knowledge in color management. We work to produce the best possible scans and prints for our clients."</f>
        <v>Our printing and scanning specialists, considered experts in the field, have years of experience with significant knowledge in color management. We work to produce the best possible scans and prints for our clients.</v>
      </c>
      <c r="D9807" s="3" t="s">
        <v>28477</v>
      </c>
      <c r="E9807" s="3" t="s">
        <v>28478</v>
      </c>
      <c r="F9807" s="3" t="str">
        <f>"(317) 822-1800"</f>
        <v>(317) 822-1800</v>
      </c>
      <c r="G9807" s="3">
        <v>45399</v>
      </c>
      <c r="H9807" s="3" t="s">
        <v>3215</v>
      </c>
    </row>
    <row r="9808" spans="1:8" ht="39" x14ac:dyDescent="0.25">
      <c r="A9808" s="3" t="s">
        <v>28479</v>
      </c>
      <c r="B9808" s="3"/>
      <c r="C9808" s="3" t="str">
        <f>"Specializing in all Accounting areas, Tax Preparation, Consulting and general business administrative responsibilities."</f>
        <v>Specializing in all Accounting areas, Tax Preparation, Consulting and general business administrative responsibilities.</v>
      </c>
      <c r="D9808" s="3" t="s">
        <v>28480</v>
      </c>
      <c r="E9808" s="3" t="s">
        <v>28481</v>
      </c>
      <c r="F9808" s="3" t="str">
        <f>"317-313-8478"</f>
        <v>317-313-8478</v>
      </c>
      <c r="G9808" s="3">
        <v>541219</v>
      </c>
      <c r="H9808" s="3" t="s">
        <v>2010</v>
      </c>
    </row>
    <row r="9809" spans="1:8" ht="51.75" x14ac:dyDescent="0.25">
      <c r="A9809" s="3" t="s">
        <v>28482</v>
      </c>
      <c r="B9809" s="3"/>
      <c r="C9809" s="3" t="str">
        <f>"Virtuoso Education Consulting provides professional development services for educators related to best practices to meet the needs of students."</f>
        <v>Virtuoso Education Consulting provides professional development services for educators related to best practices to meet the needs of students.</v>
      </c>
      <c r="D9809" s="3" t="s">
        <v>28483</v>
      </c>
      <c r="E9809" s="3" t="s">
        <v>46</v>
      </c>
      <c r="F9809" s="2"/>
      <c r="G9809" s="3">
        <v>611</v>
      </c>
      <c r="H9809" s="3" t="s">
        <v>140</v>
      </c>
    </row>
    <row r="9810" spans="1:8" ht="26.25" x14ac:dyDescent="0.25">
      <c r="A9810" s="3" t="s">
        <v>28484</v>
      </c>
      <c r="B9810" s="3"/>
      <c r="C9810" s="3" t="str">
        <f>"business consulting and training support services, corporate apparel and incentives"</f>
        <v>business consulting and training support services, corporate apparel and incentives</v>
      </c>
      <c r="D9810" s="3" t="s">
        <v>9</v>
      </c>
      <c r="E9810" s="3" t="s">
        <v>28485</v>
      </c>
      <c r="F9810" s="2"/>
      <c r="G9810" s="3">
        <v>5614</v>
      </c>
      <c r="H9810" s="3" t="s">
        <v>847</v>
      </c>
    </row>
    <row r="9811" spans="1:8" ht="51.75" x14ac:dyDescent="0.25">
      <c r="A9811" s="3" t="s">
        <v>28486</v>
      </c>
      <c r="B9811" s="3"/>
      <c r="C9811" s="3" t="str">
        <f>"Williams, Floyd and Moore provides construction administration services for commercial, industrial building and transportation projects."</f>
        <v>Williams, Floyd and Moore provides construction administration services for commercial, industrial building and transportation projects.</v>
      </c>
      <c r="D9811" s="3" t="s">
        <v>28487</v>
      </c>
      <c r="E9811" s="3" t="s">
        <v>28488</v>
      </c>
      <c r="F9811" s="3" t="str">
        <f>"615-299-9906"</f>
        <v>615-299-9906</v>
      </c>
      <c r="G9811" s="3">
        <v>236220</v>
      </c>
      <c r="H9811" s="3" t="s">
        <v>598</v>
      </c>
    </row>
    <row r="9812" spans="1:8" ht="179.25" x14ac:dyDescent="0.25">
      <c r="A9812" s="3" t="s">
        <v>28489</v>
      </c>
      <c r="B9812" s="3"/>
      <c r="C9812" s="3" t="s">
        <v>28490</v>
      </c>
      <c r="D9812" s="3" t="s">
        <v>28491</v>
      </c>
      <c r="E9812" s="3" t="s">
        <v>28492</v>
      </c>
      <c r="F9812" s="3" t="str">
        <f>"317-231-6525"</f>
        <v>317-231-6525</v>
      </c>
      <c r="G9812" s="3">
        <v>6117</v>
      </c>
      <c r="H9812" s="3" t="s">
        <v>508</v>
      </c>
    </row>
    <row r="9813" spans="1:8" ht="115.5" x14ac:dyDescent="0.25">
      <c r="A9813" s="3" t="s">
        <v>28493</v>
      </c>
      <c r="B9813" s="3"/>
      <c r="C9813" s="3" t="s">
        <v>28494</v>
      </c>
      <c r="D9813" s="3" t="s">
        <v>28495</v>
      </c>
      <c r="E9813" s="3" t="s">
        <v>28496</v>
      </c>
      <c r="F9813" s="3" t="str">
        <f>"(219) 922-9602"</f>
        <v>(219) 922-9602</v>
      </c>
      <c r="G9813" s="3">
        <v>2383</v>
      </c>
      <c r="H9813" s="3" t="s">
        <v>3448</v>
      </c>
    </row>
    <row r="9814" spans="1:8" ht="26.25" x14ac:dyDescent="0.25">
      <c r="A9814" s="3" t="s">
        <v>28497</v>
      </c>
      <c r="B9814" s="3"/>
      <c r="C9814" s="3" t="str">
        <f>"Collection Agency"</f>
        <v>Collection Agency</v>
      </c>
      <c r="D9814" s="3" t="s">
        <v>9</v>
      </c>
      <c r="E9814" s="3" t="s">
        <v>28498</v>
      </c>
      <c r="F9814" s="3" t="str">
        <f>"219-362-4411"</f>
        <v>219-362-4411</v>
      </c>
      <c r="G9814" s="3">
        <v>561440</v>
      </c>
      <c r="H9814" s="3" t="s">
        <v>473</v>
      </c>
    </row>
    <row r="9815" spans="1:8" x14ac:dyDescent="0.25">
      <c r="A9815" s="3" t="s">
        <v>28499</v>
      </c>
      <c r="B9815" s="3"/>
      <c r="C9815" s="2"/>
      <c r="D9815" s="3" t="s">
        <v>9</v>
      </c>
      <c r="E9815" s="3" t="s">
        <v>46</v>
      </c>
      <c r="F9815" s="2"/>
      <c r="G9815" s="3">
        <v>321920</v>
      </c>
      <c r="H9815" s="3" t="s">
        <v>4854</v>
      </c>
    </row>
    <row r="9816" spans="1:8" ht="179.25" x14ac:dyDescent="0.25">
      <c r="A9816" s="3" t="s">
        <v>28500</v>
      </c>
      <c r="B9816" s="3"/>
      <c r="C9816" s="3" t="s">
        <v>28501</v>
      </c>
      <c r="D9816" s="3" t="s">
        <v>28502</v>
      </c>
      <c r="E9816" s="3" t="s">
        <v>28503</v>
      </c>
      <c r="F9816" s="3" t="str">
        <f>"574-268-9800"</f>
        <v>574-268-9800</v>
      </c>
      <c r="G9816" s="3">
        <v>5415</v>
      </c>
      <c r="H9816" s="3" t="s">
        <v>188</v>
      </c>
    </row>
    <row r="9817" spans="1:8" ht="192" x14ac:dyDescent="0.25">
      <c r="A9817" s="3" t="s">
        <v>28504</v>
      </c>
      <c r="B9817" s="3"/>
      <c r="C9817" s="3" t="s">
        <v>28505</v>
      </c>
      <c r="D9817" s="3" t="s">
        <v>28506</v>
      </c>
      <c r="E9817" s="3" t="s">
        <v>28507</v>
      </c>
      <c r="F9817" s="3" t="str">
        <f>"8129620620"</f>
        <v>8129620620</v>
      </c>
      <c r="G9817" s="3">
        <v>541512</v>
      </c>
      <c r="H9817" s="3" t="s">
        <v>19</v>
      </c>
    </row>
    <row r="9818" spans="1:8" ht="115.5" x14ac:dyDescent="0.25">
      <c r="A9818" s="3" t="s">
        <v>28508</v>
      </c>
      <c r="B9818" s="3"/>
      <c r="C9818" s="3" t="s">
        <v>28509</v>
      </c>
      <c r="D9818" s="3" t="s">
        <v>28510</v>
      </c>
      <c r="E9818" s="3" t="s">
        <v>28511</v>
      </c>
      <c r="F9818" s="3" t="str">
        <f>"317-269-0556"</f>
        <v>317-269-0556</v>
      </c>
      <c r="G9818" s="3">
        <v>51</v>
      </c>
      <c r="H9818" s="3" t="s">
        <v>252</v>
      </c>
    </row>
    <row r="9819" spans="1:8" ht="51.75" x14ac:dyDescent="0.25">
      <c r="A9819" s="3" t="s">
        <v>28512</v>
      </c>
      <c r="B9819" s="3"/>
      <c r="C9819" s="3" t="str">
        <f>"High-volume direct mail/direct marketing shop. Specializes in intelligent inserting, address matching capabilities, and fast turnaround."</f>
        <v>High-volume direct mail/direct marketing shop. Specializes in intelligent inserting, address matching capabilities, and fast turnaround.</v>
      </c>
      <c r="D9819" s="3" t="s">
        <v>28513</v>
      </c>
      <c r="E9819" s="3" t="s">
        <v>28514</v>
      </c>
      <c r="F9819" s="3" t="str">
        <f>"(317) 283-1700"</f>
        <v>(317) 283-1700</v>
      </c>
      <c r="G9819" s="3">
        <v>541860</v>
      </c>
      <c r="H9819" s="3" t="s">
        <v>566</v>
      </c>
    </row>
    <row r="9820" spans="1:8" ht="319.5" x14ac:dyDescent="0.25">
      <c r="A9820" s="3" t="s">
        <v>28515</v>
      </c>
      <c r="B9820" s="3"/>
      <c r="C9820" s="3" t="s">
        <v>28516</v>
      </c>
      <c r="D9820" s="3" t="s">
        <v>9</v>
      </c>
      <c r="E9820" s="3" t="s">
        <v>28517</v>
      </c>
      <c r="F9820" s="3" t="str">
        <f>"219-938-3114"</f>
        <v>219-938-3114</v>
      </c>
      <c r="G9820" s="3">
        <v>541990</v>
      </c>
      <c r="H9820" s="3" t="s">
        <v>378</v>
      </c>
    </row>
    <row r="9821" spans="1:8" ht="90" x14ac:dyDescent="0.25">
      <c r="A9821" s="3" t="s">
        <v>28518</v>
      </c>
      <c r="B9821" s="3"/>
      <c r="C9821" s="3" t="s">
        <v>28519</v>
      </c>
      <c r="D9821" s="3" t="s">
        <v>9</v>
      </c>
      <c r="E9821" s="3" t="s">
        <v>28520</v>
      </c>
      <c r="F9821" s="3" t="str">
        <f>"812-620-4646"</f>
        <v>812-620-4646</v>
      </c>
      <c r="G9821" s="3">
        <v>423840</v>
      </c>
      <c r="H9821" s="3" t="s">
        <v>553</v>
      </c>
    </row>
    <row r="9822" spans="1:8" ht="26.25" x14ac:dyDescent="0.25">
      <c r="A9822" s="3" t="s">
        <v>28521</v>
      </c>
      <c r="B9822" s="3"/>
      <c r="C9822" s="2"/>
      <c r="D9822" s="3" t="s">
        <v>28522</v>
      </c>
      <c r="E9822" s="3" t="s">
        <v>28523</v>
      </c>
      <c r="F9822" s="3" t="str">
        <f>"2605690260"</f>
        <v>2605690260</v>
      </c>
      <c r="G9822" s="3">
        <v>541519</v>
      </c>
      <c r="H9822" s="3" t="s">
        <v>898</v>
      </c>
    </row>
    <row r="9823" spans="1:8" ht="26.25" x14ac:dyDescent="0.25">
      <c r="A9823" s="3" t="s">
        <v>28524</v>
      </c>
      <c r="B9823" s="3"/>
      <c r="C9823" s="3" t="str">
        <f>" "</f>
        <v xml:space="preserve"> </v>
      </c>
      <c r="D9823" s="3" t="s">
        <v>28525</v>
      </c>
      <c r="E9823" s="3" t="s">
        <v>28526</v>
      </c>
      <c r="F9823" s="3" t="str">
        <f>"317-506-1561"</f>
        <v>317-506-1561</v>
      </c>
      <c r="G9823" s="3">
        <v>23</v>
      </c>
      <c r="H9823" s="3" t="s">
        <v>133</v>
      </c>
    </row>
    <row r="9824" spans="1:8" ht="128.25" x14ac:dyDescent="0.25">
      <c r="A9824" s="3" t="s">
        <v>28527</v>
      </c>
      <c r="B9824" s="3"/>
      <c r="C9824" s="3" t="s">
        <v>28528</v>
      </c>
      <c r="D9824" s="3" t="s">
        <v>28529</v>
      </c>
      <c r="E9824" s="3" t="s">
        <v>28530</v>
      </c>
      <c r="F9824" s="3" t="str">
        <f>"317-536-2064"</f>
        <v>317-536-2064</v>
      </c>
      <c r="G9824" s="3">
        <v>512191</v>
      </c>
      <c r="H9824" s="3" t="s">
        <v>19055</v>
      </c>
    </row>
    <row r="9825" spans="1:8" ht="64.5" x14ac:dyDescent="0.25">
      <c r="A9825" s="3" t="s">
        <v>28531</v>
      </c>
      <c r="B9825" s="3"/>
      <c r="C9825" s="3" t="str">
        <f>"Vista Cleaning &amp; Landscape LLC is a company that specialize in two services, Commercial &amp; Industrial Janitorial needs and Lawn care services. Adolfo Solis President"</f>
        <v>Vista Cleaning &amp; Landscape LLC is a company that specialize in two services, Commercial &amp; Industrial Janitorial needs and Lawn care services. Adolfo Solis President</v>
      </c>
      <c r="D9825" s="3" t="s">
        <v>9</v>
      </c>
      <c r="E9825" s="3" t="s">
        <v>28532</v>
      </c>
      <c r="F9825" s="3" t="str">
        <f>"(260) 740-6157"</f>
        <v>(260) 740-6157</v>
      </c>
      <c r="G9825" s="3">
        <v>56172</v>
      </c>
      <c r="H9825" s="3" t="s">
        <v>222</v>
      </c>
    </row>
    <row r="9826" spans="1:8" ht="268.5" x14ac:dyDescent="0.25">
      <c r="A9826" s="3" t="s">
        <v>28533</v>
      </c>
      <c r="B9826" s="3"/>
      <c r="C9826" s="3" t="s">
        <v>28534</v>
      </c>
      <c r="D9826" s="3" t="s">
        <v>28535</v>
      </c>
      <c r="E9826" s="3" t="s">
        <v>28536</v>
      </c>
      <c r="F9826" s="3" t="str">
        <f>"3175437791"</f>
        <v>3175437791</v>
      </c>
      <c r="G9826" s="3">
        <v>541618</v>
      </c>
      <c r="H9826" s="3" t="s">
        <v>3527</v>
      </c>
    </row>
    <row r="9827" spans="1:8" ht="141" x14ac:dyDescent="0.25">
      <c r="A9827" s="3" t="s">
        <v>28537</v>
      </c>
      <c r="B9827" s="3"/>
      <c r="C9827" s="3" t="s">
        <v>28538</v>
      </c>
      <c r="D9827" s="3" t="s">
        <v>28539</v>
      </c>
      <c r="E9827" s="3" t="s">
        <v>28540</v>
      </c>
      <c r="F9827" s="3" t="str">
        <f>"219 841-9451"</f>
        <v>219 841-9451</v>
      </c>
      <c r="G9827" s="3">
        <v>453220</v>
      </c>
      <c r="H9827" s="3" t="s">
        <v>274</v>
      </c>
    </row>
    <row r="9828" spans="1:8" ht="153.75" x14ac:dyDescent="0.25">
      <c r="A9828" s="3" t="s">
        <v>28541</v>
      </c>
      <c r="B9828" s="3"/>
      <c r="C9828" s="3" t="s">
        <v>28542</v>
      </c>
      <c r="D9828" s="3" t="s">
        <v>9</v>
      </c>
      <c r="E9828" s="3" t="s">
        <v>28543</v>
      </c>
      <c r="F9828" s="3" t="str">
        <f>"317-997-6452"</f>
        <v>317-997-6452</v>
      </c>
      <c r="G9828" s="3">
        <v>54161</v>
      </c>
      <c r="H9828" s="3" t="s">
        <v>1221</v>
      </c>
    </row>
    <row r="9829" spans="1:8" ht="39" x14ac:dyDescent="0.25">
      <c r="A9829" s="3" t="s">
        <v>28544</v>
      </c>
      <c r="B9829" s="3"/>
      <c r="C9829" s="3" t="str">
        <f>"Vivid Touch is a janitorial company that specializes in both commercial as well as residential properties."</f>
        <v>Vivid Touch is a janitorial company that specializes in both commercial as well as residential properties.</v>
      </c>
      <c r="D9829" s="3" t="s">
        <v>9</v>
      </c>
      <c r="E9829" s="3" t="s">
        <v>28545</v>
      </c>
      <c r="F9829" s="2"/>
      <c r="G9829" s="3">
        <v>56172</v>
      </c>
      <c r="H9829" s="3" t="s">
        <v>222</v>
      </c>
    </row>
    <row r="9830" spans="1:8" ht="77.25" x14ac:dyDescent="0.25">
      <c r="A9830" s="3" t="s">
        <v>28546</v>
      </c>
      <c r="B9830" s="3"/>
      <c r="C9830" s="3" t="str">
        <f>"We sell police dogs, dual purpose and single purpose, green, titled, pretitled, trained for narcoticdetection, explosive detection, and police service (patrol) dogs. We also have handler classes that the officer may be trained also."</f>
        <v>We sell police dogs, dual purpose and single purpose, green, titled, pretitled, trained for narcoticdetection, explosive detection, and police service (patrol) dogs. We also have handler classes that the officer may be trained also.</v>
      </c>
      <c r="D9830" s="3" t="s">
        <v>28547</v>
      </c>
      <c r="E9830" s="3" t="s">
        <v>28548</v>
      </c>
      <c r="F9830" s="3" t="str">
        <f>"765-985-2274"</f>
        <v>765-985-2274</v>
      </c>
      <c r="G9830" s="3">
        <v>922120</v>
      </c>
      <c r="H9830" s="3" t="s">
        <v>1293</v>
      </c>
    </row>
    <row r="9831" spans="1:8" ht="102.75" x14ac:dyDescent="0.25">
      <c r="A9831" s="3" t="s">
        <v>28549</v>
      </c>
      <c r="B9831" s="3"/>
      <c r="C9831" s="3" t="s">
        <v>28550</v>
      </c>
      <c r="D9831" s="3" t="s">
        <v>28551</v>
      </c>
      <c r="E9831" s="3" t="s">
        <v>28552</v>
      </c>
      <c r="F9831" s="3" t="str">
        <f>"219-865-7837"</f>
        <v>219-865-7837</v>
      </c>
      <c r="G9831" s="3">
        <v>561492</v>
      </c>
      <c r="H9831" s="3" t="s">
        <v>904</v>
      </c>
    </row>
    <row r="9832" spans="1:8" ht="90" x14ac:dyDescent="0.25">
      <c r="A9832" s="3" t="s">
        <v>28553</v>
      </c>
      <c r="B9832" s="3"/>
      <c r="C9832" s="3" t="str">
        <f>"We specialize in industrial, commercial, and residential demolition, and have been in business for over 30 years. With our experience, we are experts in the demolition industry. We are happy to serve your demolition needs. Please call for a free quote."</f>
        <v>We specialize in industrial, commercial, and residential demolition, and have been in business for over 30 years. With our experience, we are experts in the demolition industry. We are happy to serve your demolition needs. Please call for a free quote.</v>
      </c>
      <c r="D9832" s="3" t="s">
        <v>9</v>
      </c>
      <c r="E9832" s="3" t="s">
        <v>28554</v>
      </c>
      <c r="F9832" s="3" t="str">
        <f>"765-288-3976"</f>
        <v>765-288-3976</v>
      </c>
      <c r="G9832" s="3">
        <v>23594</v>
      </c>
      <c r="H9832" s="3" t="s">
        <v>17439</v>
      </c>
    </row>
    <row r="9833" spans="1:8" ht="204.75" x14ac:dyDescent="0.25">
      <c r="A9833" s="3" t="s">
        <v>28555</v>
      </c>
      <c r="B9833" s="3"/>
      <c r="C9833" s="3" t="s">
        <v>28556</v>
      </c>
      <c r="D9833" s="3" t="s">
        <v>28557</v>
      </c>
      <c r="E9833" s="3" t="s">
        <v>46</v>
      </c>
      <c r="F9833" s="3" t="str">
        <f>"317-686-5800"</f>
        <v>317-686-5800</v>
      </c>
      <c r="G9833" s="3">
        <v>624190</v>
      </c>
      <c r="H9833" s="3" t="s">
        <v>54</v>
      </c>
    </row>
    <row r="9834" spans="1:8" ht="77.25" x14ac:dyDescent="0.25">
      <c r="A9834" s="3" t="s">
        <v>28558</v>
      </c>
      <c r="B9834" s="3"/>
      <c r="C9834" s="3" t="str">
        <f>"Supplier of lumber, building materials, millwork (Andersen &amp; Marvin windows), floor coverings, kitchen &amp; bath cabients / tops / fixtures, fireplaces, Benjamin Moore paint, and builders hardware. 5 locations throughout Northwest Indiana."</f>
        <v>Supplier of lumber, building materials, millwork (Andersen &amp; Marvin windows), floor coverings, kitchen &amp; bath cabients / tops / fixtures, fireplaces, Benjamin Moore paint, and builders hardware. 5 locations throughout Northwest Indiana.</v>
      </c>
      <c r="D9834" s="3" t="s">
        <v>28559</v>
      </c>
      <c r="E9834" s="3" t="s">
        <v>28560</v>
      </c>
      <c r="F9834" s="3" t="str">
        <f>"(219)462-6184"</f>
        <v>(219)462-6184</v>
      </c>
      <c r="G9834" s="3">
        <v>444110</v>
      </c>
      <c r="H9834" s="3" t="s">
        <v>3072</v>
      </c>
    </row>
    <row r="9835" spans="1:8" ht="64.5" x14ac:dyDescent="0.25">
      <c r="A9835" s="3" t="s">
        <v>28561</v>
      </c>
      <c r="B9835" s="3"/>
      <c r="C9835" s="3" t="str">
        <f>"Process Optimization, Business Analyses, Enterprise level Custom Software Application Development and Full lifecycle software commercialization and implentation."</f>
        <v>Process Optimization, Business Analyses, Enterprise level Custom Software Application Development and Full lifecycle software commercialization and implentation.</v>
      </c>
      <c r="D9835" s="3" t="s">
        <v>28562</v>
      </c>
      <c r="E9835" s="3" t="s">
        <v>28563</v>
      </c>
      <c r="F9835" s="3" t="str">
        <f>"2604693314"</f>
        <v>2604693314</v>
      </c>
      <c r="G9835" s="3">
        <v>541511</v>
      </c>
      <c r="H9835" s="3" t="s">
        <v>122</v>
      </c>
    </row>
    <row r="9836" spans="1:8" ht="64.5" x14ac:dyDescent="0.25">
      <c r="A9836" s="3" t="s">
        <v>28564</v>
      </c>
      <c r="B9836" s="3"/>
      <c r="C9836" s="3" t="str">
        <f>"Adaptive computer assessments, quotes, planning, training and support for individuals with Disabilities. In-home and in-office support. Benefits Information Network Certified (BIN)."</f>
        <v>Adaptive computer assessments, quotes, planning, training and support for individuals with Disabilities. In-home and in-office support. Benefits Information Network Certified (BIN).</v>
      </c>
      <c r="D9836" s="3" t="s">
        <v>28565</v>
      </c>
      <c r="E9836" s="3" t="s">
        <v>28566</v>
      </c>
      <c r="F9836" s="3" t="str">
        <f>"812-618-2253"</f>
        <v>812-618-2253</v>
      </c>
      <c r="G9836" s="3">
        <v>624310</v>
      </c>
      <c r="H9836" s="3" t="s">
        <v>488</v>
      </c>
    </row>
    <row r="9837" spans="1:8" ht="51.75" x14ac:dyDescent="0.25">
      <c r="A9837" s="3" t="s">
        <v>28567</v>
      </c>
      <c r="B9837" s="3"/>
      <c r="C9837" s="3" t="str">
        <f>"Voxiam provides affordable computer application design and consulting services. We specialize in custom software for a wide range of computer systems."</f>
        <v>Voxiam provides affordable computer application design and consulting services. We specialize in custom software for a wide range of computer systems.</v>
      </c>
      <c r="D9837" s="3" t="s">
        <v>28568</v>
      </c>
      <c r="E9837" s="3" t="s">
        <v>28569</v>
      </c>
      <c r="F9837" s="3" t="str">
        <f>"630-286-9426"</f>
        <v>630-286-9426</v>
      </c>
      <c r="G9837" s="3">
        <v>541511</v>
      </c>
      <c r="H9837" s="3" t="s">
        <v>122</v>
      </c>
    </row>
    <row r="9838" spans="1:8" ht="77.25" x14ac:dyDescent="0.25">
      <c r="A9838" s="3" t="s">
        <v>28570</v>
      </c>
      <c r="B9838" s="3"/>
      <c r="C9838" s="3" t="str">
        <f>"Fire Protection Services including: Fire Protection Engineering Sprinkler design, installs, testing and maintenance Fixed Suppression Systems Extinguisher maintenance and testing Fire Alarm installs, testing and maintenance"</f>
        <v>Fire Protection Services including: Fire Protection Engineering Sprinkler design, installs, testing and maintenance Fixed Suppression Systems Extinguisher maintenance and testing Fire Alarm installs, testing and maintenance</v>
      </c>
      <c r="D9838" s="3" t="s">
        <v>9</v>
      </c>
      <c r="E9838" s="3" t="s">
        <v>28571</v>
      </c>
      <c r="F9838" s="3" t="str">
        <f>"(317)783-5061"</f>
        <v>(317)783-5061</v>
      </c>
      <c r="G9838" s="3">
        <v>238</v>
      </c>
      <c r="H9838" s="3" t="s">
        <v>397</v>
      </c>
    </row>
    <row r="9839" spans="1:8" ht="166.5" x14ac:dyDescent="0.25">
      <c r="A9839" s="3" t="s">
        <v>28572</v>
      </c>
      <c r="B9839" s="3"/>
      <c r="C9839" s="3" t="s">
        <v>28573</v>
      </c>
      <c r="D9839" s="3" t="s">
        <v>28574</v>
      </c>
      <c r="E9839" s="3" t="s">
        <v>28575</v>
      </c>
      <c r="F9839" s="3" t="str">
        <f>"3179208735"</f>
        <v>3179208735</v>
      </c>
      <c r="G9839" s="3">
        <v>236115</v>
      </c>
      <c r="H9839" s="3" t="s">
        <v>1822</v>
      </c>
    </row>
    <row r="9840" spans="1:8" ht="217.5" x14ac:dyDescent="0.25">
      <c r="A9840" s="3" t="s">
        <v>28576</v>
      </c>
      <c r="B9840" s="3"/>
      <c r="C9840" s="3" t="s">
        <v>28577</v>
      </c>
      <c r="D9840" s="3" t="s">
        <v>28578</v>
      </c>
      <c r="E9840" s="3" t="s">
        <v>28579</v>
      </c>
      <c r="F9840" s="3" t="str">
        <f>"317-685-8283"</f>
        <v>317-685-8283</v>
      </c>
      <c r="G9840" s="3">
        <v>811212</v>
      </c>
      <c r="H9840" s="3" t="s">
        <v>1632</v>
      </c>
    </row>
    <row r="9841" spans="1:8" ht="77.25" x14ac:dyDescent="0.25">
      <c r="A9841" s="3" t="s">
        <v>28580</v>
      </c>
      <c r="B9841" s="3"/>
      <c r="C9841" s="3" t="str">
        <f>"Manufacturers' Representative for industrial equip including Badger Meter, Leslie Controls, LJ Wing, Penberthy, Eastech Badger, Continental Disc, ControlAir, Farris, Nicholson Steam Trap, Precision Digital, Schubert &amp; Salzer, Kunkle."</f>
        <v>Manufacturers' Representative for industrial equip including Badger Meter, Leslie Controls, LJ Wing, Penberthy, Eastech Badger, Continental Disc, ControlAir, Farris, Nicholson Steam Trap, Precision Digital, Schubert &amp; Salzer, Kunkle.</v>
      </c>
      <c r="D9841" s="3" t="s">
        <v>28581</v>
      </c>
      <c r="E9841" s="3" t="s">
        <v>28582</v>
      </c>
      <c r="F9841" s="3" t="str">
        <f>"317-565-5012"</f>
        <v>317-565-5012</v>
      </c>
      <c r="G9841" s="3">
        <v>425120</v>
      </c>
      <c r="H9841" s="3" t="s">
        <v>58</v>
      </c>
    </row>
    <row r="9842" spans="1:8" ht="102.75" x14ac:dyDescent="0.25">
      <c r="A9842" s="3" t="s">
        <v>28583</v>
      </c>
      <c r="B9842" s="3"/>
      <c r="C9842" s="3" t="s">
        <v>28584</v>
      </c>
      <c r="D9842" s="3" t="s">
        <v>9</v>
      </c>
      <c r="E9842" s="3" t="s">
        <v>28585</v>
      </c>
      <c r="F9842" s="3" t="str">
        <f>"812.923.9982"</f>
        <v>812.923.9982</v>
      </c>
      <c r="G9842" s="3">
        <v>812990</v>
      </c>
      <c r="H9842" s="3" t="s">
        <v>294</v>
      </c>
    </row>
    <row r="9843" spans="1:8" ht="39" x14ac:dyDescent="0.25">
      <c r="A9843" s="3" t="s">
        <v>28586</v>
      </c>
      <c r="B9843" s="3"/>
      <c r="C9843" s="3" t="str">
        <f>"General Contractors specializing in commerical, industrial and institutional construction"</f>
        <v>General Contractors specializing in commerical, industrial and institutional construction</v>
      </c>
      <c r="D9843" s="3" t="s">
        <v>28587</v>
      </c>
      <c r="E9843" s="3" t="s">
        <v>28588</v>
      </c>
      <c r="F9843" s="3" t="str">
        <f>"260-723-4747"</f>
        <v>260-723-4747</v>
      </c>
      <c r="G9843" s="3">
        <v>236210</v>
      </c>
      <c r="H9843" s="3" t="s">
        <v>1418</v>
      </c>
    </row>
    <row r="9844" spans="1:8" ht="306.75" x14ac:dyDescent="0.25">
      <c r="A9844" s="3" t="s">
        <v>28589</v>
      </c>
      <c r="B9844" s="3"/>
      <c r="C9844" s="3" t="s">
        <v>28590</v>
      </c>
      <c r="D9844" s="3" t="s">
        <v>28591</v>
      </c>
      <c r="E9844" s="3" t="s">
        <v>46</v>
      </c>
      <c r="F9844" s="3" t="str">
        <f>"260-424-5332"</f>
        <v>260-424-5332</v>
      </c>
      <c r="G9844" s="3">
        <v>236220</v>
      </c>
      <c r="H9844" s="3" t="s">
        <v>598</v>
      </c>
    </row>
    <row r="9845" spans="1:8" ht="102.75" x14ac:dyDescent="0.25">
      <c r="A9845" s="3" t="s">
        <v>28592</v>
      </c>
      <c r="B9845" s="3"/>
      <c r="C9845" s="3" t="s">
        <v>28593</v>
      </c>
      <c r="D9845" s="3" t="s">
        <v>28594</v>
      </c>
      <c r="E9845" s="3" t="s">
        <v>28595</v>
      </c>
      <c r="F9845" s="3" t="str">
        <f>"317-773-1090"</f>
        <v>317-773-1090</v>
      </c>
      <c r="G9845" s="3">
        <v>441110</v>
      </c>
      <c r="H9845" s="3" t="s">
        <v>2588</v>
      </c>
    </row>
    <row r="9846" spans="1:8" ht="64.5" x14ac:dyDescent="0.25">
      <c r="A9846" s="3" t="s">
        <v>28596</v>
      </c>
      <c r="B9846" s="3"/>
      <c r="C9846" s="3" t="str">
        <f>"Small family owned and operated. In business for over thirty years. Owned by a service disabled veteran. Auto, HD truck parts and accessories. New and used tools and equipment."</f>
        <v>Small family owned and operated. In business for over thirty years. Owned by a service disabled veteran. Auto, HD truck parts and accessories. New and used tools and equipment.</v>
      </c>
      <c r="D9846" s="3" t="s">
        <v>9</v>
      </c>
      <c r="E9846" s="3" t="s">
        <v>28597</v>
      </c>
      <c r="F9846" s="3" t="str">
        <f>"317-243-7507"</f>
        <v>317-243-7507</v>
      </c>
      <c r="G9846" s="3">
        <v>423120</v>
      </c>
      <c r="H9846" s="3" t="s">
        <v>1033</v>
      </c>
    </row>
    <row r="9847" spans="1:8" ht="179.25" x14ac:dyDescent="0.25">
      <c r="A9847" s="3" t="s">
        <v>28598</v>
      </c>
      <c r="B9847" s="3"/>
      <c r="C9847" s="3" t="s">
        <v>28599</v>
      </c>
      <c r="D9847" s="3" t="s">
        <v>28600</v>
      </c>
      <c r="E9847" s="3" t="s">
        <v>28601</v>
      </c>
      <c r="F9847" s="3" t="str">
        <f>"812-945-3529"</f>
        <v>812-945-3529</v>
      </c>
      <c r="G9847" s="3">
        <v>235</v>
      </c>
      <c r="H9847" s="3" t="s">
        <v>259</v>
      </c>
    </row>
    <row r="9848" spans="1:8" ht="51.75" x14ac:dyDescent="0.25">
      <c r="A9848" s="3" t="s">
        <v>28602</v>
      </c>
      <c r="B9848" s="3"/>
      <c r="C9848" s="3" t="str">
        <f>"office supplies, janitorial supplies, bandages, incontinent supplies. office supplies and furniture for all offices from home, field, medical to coporate"</f>
        <v>office supplies, janitorial supplies, bandages, incontinent supplies. office supplies and furniture for all offices from home, field, medical to coporate</v>
      </c>
      <c r="D9848" s="3" t="s">
        <v>28603</v>
      </c>
      <c r="E9848" s="3" t="s">
        <v>28604</v>
      </c>
      <c r="F9848" s="3" t="str">
        <f>"317-203-3352"</f>
        <v>317-203-3352</v>
      </c>
      <c r="G9848" s="3">
        <v>45411</v>
      </c>
      <c r="H9848" s="3" t="s">
        <v>18885</v>
      </c>
    </row>
    <row r="9849" spans="1:8" ht="39" x14ac:dyDescent="0.25">
      <c r="A9849" s="3" t="s">
        <v>28605</v>
      </c>
      <c r="B9849" s="3"/>
      <c r="C9849" s="3" t="str">
        <f>"We are a Demolition , Tri-axle Truck Hauling , and Aggregiate Supplier contractor having been in business for over 60 years."</f>
        <v>We are a Demolition , Tri-axle Truck Hauling , and Aggregiate Supplier contractor having been in business for over 60 years.</v>
      </c>
      <c r="D9849" s="3" t="s">
        <v>28606</v>
      </c>
      <c r="E9849" s="3" t="s">
        <v>28607</v>
      </c>
      <c r="F9849" s="3" t="str">
        <f>"317-787-1591"</f>
        <v>317-787-1591</v>
      </c>
      <c r="G9849" s="3">
        <v>238910</v>
      </c>
      <c r="H9849" s="3" t="s">
        <v>886</v>
      </c>
    </row>
    <row r="9850" spans="1:8" ht="26.25" x14ac:dyDescent="0.25">
      <c r="A9850" s="3" t="s">
        <v>28608</v>
      </c>
      <c r="B9850" s="3"/>
      <c r="C9850" s="2"/>
      <c r="D9850" s="3" t="s">
        <v>9</v>
      </c>
      <c r="E9850" s="3" t="s">
        <v>46</v>
      </c>
      <c r="F9850" s="3" t="str">
        <f>"219-785-2040"</f>
        <v>219-785-2040</v>
      </c>
      <c r="G9850" s="3">
        <v>562998</v>
      </c>
      <c r="H9850" s="3" t="s">
        <v>1530</v>
      </c>
    </row>
    <row r="9851" spans="1:8" ht="192" x14ac:dyDescent="0.25">
      <c r="A9851" s="3" t="s">
        <v>28609</v>
      </c>
      <c r="B9851" s="3"/>
      <c r="C9851" s="3" t="s">
        <v>28610</v>
      </c>
      <c r="D9851" s="3" t="s">
        <v>28611</v>
      </c>
      <c r="E9851" s="3" t="s">
        <v>28612</v>
      </c>
      <c r="F9851" s="3" t="str">
        <f>"765-423-5531"</f>
        <v>765-423-5531</v>
      </c>
      <c r="G9851" s="3">
        <v>561210</v>
      </c>
      <c r="H9851" s="3" t="s">
        <v>1697</v>
      </c>
    </row>
    <row r="9852" spans="1:8" ht="192" x14ac:dyDescent="0.25">
      <c r="A9852" s="3" t="s">
        <v>28613</v>
      </c>
      <c r="B9852" s="3"/>
      <c r="C9852" s="3" t="s">
        <v>28614</v>
      </c>
      <c r="D9852" s="3" t="s">
        <v>28615</v>
      </c>
      <c r="E9852" s="3" t="s">
        <v>28616</v>
      </c>
      <c r="F9852" s="3" t="str">
        <f>"800-552-7777"</f>
        <v>800-552-7777</v>
      </c>
      <c r="G9852" s="3">
        <v>513</v>
      </c>
      <c r="H9852" s="3" t="s">
        <v>28617</v>
      </c>
    </row>
    <row r="9853" spans="1:8" ht="90" x14ac:dyDescent="0.25">
      <c r="A9853" s="3" t="s">
        <v>28618</v>
      </c>
      <c r="B9853" s="3"/>
      <c r="C9853" s="3" t="str">
        <f>"WABASH VALLEY HYDRAULIC SERVICE REPAIRS HYDRAULIC COMPONENTS SUCH AS CYLINDERS, PUMPS, MOTORS, AND VALVES. WE ALSO REPAIR AIR CYLINDERS AND VALVES, MANUFACTURE SPECIALTY CYLINDERS AND ALSO SELL NEW HYDRAULIC AND AIR COMPONENTS."</f>
        <v>WABASH VALLEY HYDRAULIC SERVICE REPAIRS HYDRAULIC COMPONENTS SUCH AS CYLINDERS, PUMPS, MOTORS, AND VALVES. WE ALSO REPAIR AIR CYLINDERS AND VALVES, MANUFACTURE SPECIALTY CYLINDERS AND ALSO SELL NEW HYDRAULIC AND AIR COMPONENTS.</v>
      </c>
      <c r="D9853" s="3" t="s">
        <v>28619</v>
      </c>
      <c r="E9853" s="3" t="s">
        <v>28620</v>
      </c>
      <c r="F9853" s="3" t="str">
        <f>"812-696-2191"</f>
        <v>812-696-2191</v>
      </c>
      <c r="G9853" s="3">
        <v>81131</v>
      </c>
      <c r="H9853" s="3" t="s">
        <v>1895</v>
      </c>
    </row>
    <row r="9854" spans="1:8" ht="26.25" x14ac:dyDescent="0.25">
      <c r="A9854" s="3" t="s">
        <v>28621</v>
      </c>
      <c r="B9854" s="3"/>
      <c r="C9854" s="3" t="str">
        <f>"INDUSTRIAL MOTOR, PUMP, BLOWER, HOIST REPAIR"</f>
        <v>INDUSTRIAL MOTOR, PUMP, BLOWER, HOIST REPAIR</v>
      </c>
      <c r="D9854" s="3" t="s">
        <v>9</v>
      </c>
      <c r="E9854" s="3" t="s">
        <v>28622</v>
      </c>
      <c r="F9854" s="3" t="str">
        <f>"8124667400"</f>
        <v>8124667400</v>
      </c>
      <c r="G9854" s="3">
        <v>23599</v>
      </c>
      <c r="H9854" s="3" t="s">
        <v>248</v>
      </c>
    </row>
    <row r="9855" spans="1:8" ht="77.25" x14ac:dyDescent="0.25">
      <c r="A9855" s="3" t="s">
        <v>28623</v>
      </c>
      <c r="B9855" s="3"/>
      <c r="C9855" s="3" t="str">
        <f>"Wayne Pipe and Supply is a full line distributor of plumbing and MRO products. Wayne Pipe and Supply has access to over 70,000 stocked items and over 6,000 vendor programs, positioning ourselves as a single source for our customers supply needs."</f>
        <v>Wayne Pipe and Supply is a full line distributor of plumbing and MRO products. Wayne Pipe and Supply has access to over 70,000 stocked items and over 6,000 vendor programs, positioning ourselves as a single source for our customers supply needs.</v>
      </c>
      <c r="D9855" s="3" t="s">
        <v>28624</v>
      </c>
      <c r="E9855" s="3" t="s">
        <v>28625</v>
      </c>
      <c r="F9855" s="3" t="str">
        <f>"260-423-9577"</f>
        <v>260-423-9577</v>
      </c>
      <c r="G9855" s="3">
        <v>423840</v>
      </c>
      <c r="H9855" s="3" t="s">
        <v>553</v>
      </c>
    </row>
    <row r="9856" spans="1:8" ht="51.75" x14ac:dyDescent="0.25">
      <c r="A9856" s="3" t="s">
        <v>28626</v>
      </c>
      <c r="B9856" s="3"/>
      <c r="C9856" s="3" t="str">
        <f>"General contractors who specialize in excavation which includes; site preperation, water and sewer, remodeling, cleaning services, drywall, concrete."</f>
        <v>General contractors who specialize in excavation which includes; site preperation, water and sewer, remodeling, cleaning services, drywall, concrete.</v>
      </c>
      <c r="D9856" s="3" t="s">
        <v>28627</v>
      </c>
      <c r="E9856" s="3" t="s">
        <v>28628</v>
      </c>
      <c r="F9856" s="3" t="str">
        <f>"3175890026"</f>
        <v>3175890026</v>
      </c>
      <c r="G9856" s="3">
        <v>238910</v>
      </c>
      <c r="H9856" s="3" t="s">
        <v>886</v>
      </c>
    </row>
    <row r="9857" spans="1:8" ht="26.25" x14ac:dyDescent="0.25">
      <c r="A9857" s="3" t="s">
        <v>28629</v>
      </c>
      <c r="B9857" s="3"/>
      <c r="C9857" s="3" t="str">
        <f>"Janitorial Company"</f>
        <v>Janitorial Company</v>
      </c>
      <c r="D9857" s="3" t="s">
        <v>9</v>
      </c>
      <c r="E9857" s="3" t="s">
        <v>28630</v>
      </c>
      <c r="F9857" s="3" t="str">
        <f>"5742642013"</f>
        <v>5742642013</v>
      </c>
      <c r="G9857" s="3">
        <v>561720</v>
      </c>
      <c r="H9857" s="3" t="s">
        <v>222</v>
      </c>
    </row>
    <row r="9858" spans="1:8" ht="26.25" x14ac:dyDescent="0.25">
      <c r="A9858" s="3" t="s">
        <v>28631</v>
      </c>
      <c r="B9858" s="3"/>
      <c r="C9858" s="3" t="str">
        <f>"Buying and selling any equipment or related supplies in the beverage service industry."</f>
        <v>Buying and selling any equipment or related supplies in the beverage service industry.</v>
      </c>
      <c r="D9858" s="3" t="s">
        <v>9</v>
      </c>
      <c r="E9858" s="3" t="s">
        <v>28632</v>
      </c>
      <c r="F9858" s="3" t="str">
        <f>"574-339-8761"</f>
        <v>574-339-8761</v>
      </c>
      <c r="G9858" s="3">
        <v>23829</v>
      </c>
      <c r="H9858" s="3" t="s">
        <v>237</v>
      </c>
    </row>
    <row r="9859" spans="1:8" ht="51.75" x14ac:dyDescent="0.25">
      <c r="A9859" s="3" t="s">
        <v>28633</v>
      </c>
      <c r="B9859" s="3"/>
      <c r="C9859" s="3" t="str">
        <f>"We are a single-source distributor for janitorial, foodservice products, and paper products for commercia and residential applications and use."</f>
        <v>We are a single-source distributor for janitorial, foodservice products, and paper products for commercia and residential applications and use.</v>
      </c>
      <c r="D9859" s="3" t="s">
        <v>8195</v>
      </c>
      <c r="E9859" s="3" t="s">
        <v>28634</v>
      </c>
      <c r="F9859" s="3" t="str">
        <f>"260-422-2397"</f>
        <v>260-422-2397</v>
      </c>
      <c r="G9859" s="3">
        <v>423850</v>
      </c>
      <c r="H9859" s="3" t="s">
        <v>419</v>
      </c>
    </row>
    <row r="9860" spans="1:8" ht="90" x14ac:dyDescent="0.25">
      <c r="A9860" s="3" t="s">
        <v>28635</v>
      </c>
      <c r="B9860" s="3"/>
      <c r="C9860" s="3" t="s">
        <v>28636</v>
      </c>
      <c r="D9860" s="3" t="s">
        <v>28637</v>
      </c>
      <c r="E9860" s="3" t="s">
        <v>28638</v>
      </c>
      <c r="F9860" s="3" t="str">
        <f>"317-251-6172"</f>
        <v>317-251-6172</v>
      </c>
      <c r="G9860" s="3">
        <v>541310</v>
      </c>
      <c r="H9860" s="3" t="s">
        <v>446</v>
      </c>
    </row>
    <row r="9861" spans="1:8" ht="102.75" x14ac:dyDescent="0.25">
      <c r="A9861" s="3" t="s">
        <v>28639</v>
      </c>
      <c r="B9861" s="3"/>
      <c r="C9861" s="3" t="s">
        <v>28640</v>
      </c>
      <c r="D9861" s="3" t="s">
        <v>28641</v>
      </c>
      <c r="E9861" s="3" t="s">
        <v>28642</v>
      </c>
      <c r="F9861" s="3" t="str">
        <f>"317-213-8046"</f>
        <v>317-213-8046</v>
      </c>
      <c r="G9861" s="3">
        <v>541810</v>
      </c>
      <c r="H9861" s="3" t="s">
        <v>976</v>
      </c>
    </row>
    <row r="9862" spans="1:8" ht="26.25" x14ac:dyDescent="0.25">
      <c r="A9862" s="3" t="s">
        <v>28643</v>
      </c>
      <c r="B9862" s="3"/>
      <c r="C9862" s="3" t="str">
        <f>"We are a manufacturers reprensentative in the State of INDIANA."</f>
        <v>We are a manufacturers reprensentative in the State of INDIANA.</v>
      </c>
      <c r="D9862" s="3" t="s">
        <v>9</v>
      </c>
      <c r="E9862" s="3" t="s">
        <v>28644</v>
      </c>
      <c r="F9862" s="3" t="str">
        <f>"317-546-5461"</f>
        <v>317-546-5461</v>
      </c>
      <c r="G9862" s="3">
        <v>23822</v>
      </c>
      <c r="H9862" s="3" t="s">
        <v>348</v>
      </c>
    </row>
    <row r="9863" spans="1:8" ht="39" x14ac:dyDescent="0.25">
      <c r="A9863" s="3" t="s">
        <v>28645</v>
      </c>
      <c r="B9863" s="3"/>
      <c r="C9863" s="3" t="str">
        <f>"disposable cafeteria supplies wholesaler. Foil trays, plastic trays, foil sheets, plastic cutlery, paper towels, toilet paper, film."</f>
        <v>disposable cafeteria supplies wholesaler. Foil trays, plastic trays, foil sheets, plastic cutlery, paper towels, toilet paper, film.</v>
      </c>
      <c r="D9863" s="3" t="s">
        <v>28646</v>
      </c>
      <c r="E9863" s="3" t="s">
        <v>28647</v>
      </c>
      <c r="F9863" s="3" t="str">
        <f>"260-625-6060"</f>
        <v>260-625-6060</v>
      </c>
      <c r="G9863" s="3">
        <v>424130</v>
      </c>
      <c r="H9863" s="3" t="s">
        <v>602</v>
      </c>
    </row>
    <row r="9864" spans="1:8" ht="51.75" x14ac:dyDescent="0.25">
      <c r="A9864" s="3" t="s">
        <v>28648</v>
      </c>
      <c r="B9864" s="3"/>
      <c r="C9864" s="3" t="str">
        <f>"WEHR Global LLC is a full-service, multi-faceted business consultancy firm, specializing in small business and market analysis."</f>
        <v>WEHR Global LLC is a full-service, multi-faceted business consultancy firm, specializing in small business and market analysis.</v>
      </c>
      <c r="D9864" s="3" t="s">
        <v>28649</v>
      </c>
      <c r="E9864" s="3" t="s">
        <v>28650</v>
      </c>
      <c r="F9864" s="3" t="str">
        <f>"707-356-9347"</f>
        <v>707-356-9347</v>
      </c>
      <c r="G9864" s="3">
        <v>56143</v>
      </c>
      <c r="H9864" s="3" t="s">
        <v>19623</v>
      </c>
    </row>
    <row r="9865" spans="1:8" ht="26.25" x14ac:dyDescent="0.25">
      <c r="A9865" s="3" t="s">
        <v>28651</v>
      </c>
      <c r="B9865" s="3"/>
      <c r="C9865" s="3" t="str">
        <f>"Welding Supply Distributor"</f>
        <v>Welding Supply Distributor</v>
      </c>
      <c r="D9865" s="3" t="s">
        <v>28652</v>
      </c>
      <c r="E9865" s="3" t="s">
        <v>28653</v>
      </c>
      <c r="F9865" s="3" t="str">
        <f>"574-722-1177"</f>
        <v>574-722-1177</v>
      </c>
      <c r="G9865" s="3">
        <v>423830</v>
      </c>
      <c r="H9865" s="3" t="s">
        <v>172</v>
      </c>
    </row>
    <row r="9866" spans="1:8" ht="39" x14ac:dyDescent="0.25">
      <c r="A9866" s="3" t="s">
        <v>28654</v>
      </c>
      <c r="B9866" s="3"/>
      <c r="C9866" s="3" t="str">
        <f>"The Business Provides general construction and Dump Truck usage to commercial and industrial sites."</f>
        <v>The Business Provides general construction and Dump Truck usage to commercial and industrial sites.</v>
      </c>
      <c r="D9866" s="3" t="s">
        <v>9</v>
      </c>
      <c r="E9866" s="3" t="s">
        <v>28655</v>
      </c>
      <c r="F9866" s="3" t="str">
        <f>"317-250-2616"</f>
        <v>317-250-2616</v>
      </c>
      <c r="G9866" s="3">
        <v>23</v>
      </c>
      <c r="H9866" s="3" t="s">
        <v>133</v>
      </c>
    </row>
    <row r="9867" spans="1:8" ht="26.25" x14ac:dyDescent="0.25">
      <c r="A9867" s="3" t="s">
        <v>28656</v>
      </c>
      <c r="B9867" s="3"/>
      <c r="C9867" s="3" t="str">
        <f>"County Government"</f>
        <v>County Government</v>
      </c>
      <c r="D9867" s="3" t="s">
        <v>28657</v>
      </c>
      <c r="E9867" s="3" t="s">
        <v>28658</v>
      </c>
      <c r="F9867" s="3" t="str">
        <f>"260-824-6474"</f>
        <v>260-824-6474</v>
      </c>
      <c r="G9867" s="3">
        <v>921190</v>
      </c>
      <c r="H9867" s="3" t="s">
        <v>4809</v>
      </c>
    </row>
    <row r="9868" spans="1:8" ht="255.75" x14ac:dyDescent="0.25">
      <c r="A9868" s="3" t="s">
        <v>28659</v>
      </c>
      <c r="B9868" s="3"/>
      <c r="C9868" s="3" t="s">
        <v>28660</v>
      </c>
      <c r="D9868" s="3" t="s">
        <v>28661</v>
      </c>
      <c r="E9868" s="3" t="s">
        <v>28662</v>
      </c>
      <c r="F9868" s="3" t="str">
        <f>"317-566-2042"</f>
        <v>317-566-2042</v>
      </c>
      <c r="G9868" s="3">
        <v>332710</v>
      </c>
      <c r="H9868" s="3" t="s">
        <v>387</v>
      </c>
    </row>
    <row r="9869" spans="1:8" ht="128.25" x14ac:dyDescent="0.25">
      <c r="A9869" s="3" t="s">
        <v>28663</v>
      </c>
      <c r="B9869" s="3"/>
      <c r="C9869" s="3" t="s">
        <v>28664</v>
      </c>
      <c r="D9869" s="3" t="s">
        <v>28661</v>
      </c>
      <c r="E9869" s="3" t="s">
        <v>28665</v>
      </c>
      <c r="F9869" s="3" t="str">
        <f>"3175662046"</f>
        <v>3175662046</v>
      </c>
      <c r="G9869" s="3">
        <v>561410</v>
      </c>
      <c r="H9869" s="3" t="s">
        <v>4164</v>
      </c>
    </row>
    <row r="9870" spans="1:8" ht="166.5" x14ac:dyDescent="0.25">
      <c r="A9870" s="3" t="s">
        <v>28666</v>
      </c>
      <c r="B9870" s="3"/>
      <c r="C9870" s="3" t="s">
        <v>28667</v>
      </c>
      <c r="D9870" s="3" t="s">
        <v>28668</v>
      </c>
      <c r="E9870" s="3" t="s">
        <v>28669</v>
      </c>
      <c r="F9870" s="2"/>
      <c r="G9870" s="3">
        <v>423610</v>
      </c>
      <c r="H9870" s="3" t="s">
        <v>2414</v>
      </c>
    </row>
    <row r="9871" spans="1:8" ht="128.25" x14ac:dyDescent="0.25">
      <c r="A9871" s="3" t="s">
        <v>28670</v>
      </c>
      <c r="B9871" s="3"/>
      <c r="C9871" s="3" t="s">
        <v>28671</v>
      </c>
      <c r="D9871" s="3" t="s">
        <v>28672</v>
      </c>
      <c r="E9871" s="3" t="s">
        <v>28673</v>
      </c>
      <c r="F9871" s="3" t="str">
        <f>"(317) 788-4551"</f>
        <v>(317) 788-4551</v>
      </c>
      <c r="G9871" s="3">
        <v>541330</v>
      </c>
      <c r="H9871" s="3" t="s">
        <v>82</v>
      </c>
    </row>
    <row r="9872" spans="1:8" ht="26.25" x14ac:dyDescent="0.25">
      <c r="A9872" s="3" t="s">
        <v>28674</v>
      </c>
      <c r="B9872" s="3"/>
      <c r="C9872" s="3" t="str">
        <f>"RETAIL"</f>
        <v>RETAIL</v>
      </c>
      <c r="D9872" s="3" t="s">
        <v>9</v>
      </c>
      <c r="E9872" s="3" t="s">
        <v>28675</v>
      </c>
      <c r="F9872" s="3" t="str">
        <f>"574-223-3880"</f>
        <v>574-223-3880</v>
      </c>
      <c r="G9872" s="3">
        <v>444110</v>
      </c>
      <c r="H9872" s="3" t="s">
        <v>3072</v>
      </c>
    </row>
    <row r="9873" spans="1:8" ht="26.25" x14ac:dyDescent="0.25">
      <c r="A9873" s="3" t="s">
        <v>28676</v>
      </c>
      <c r="B9873" s="3"/>
      <c r="C9873" s="3" t="str">
        <f>"we sell Road De-Icing Salt with terminals located throughout the Midwest."</f>
        <v>we sell Road De-Icing Salt with terminals located throughout the Midwest.</v>
      </c>
      <c r="D9873" s="3" t="s">
        <v>28677</v>
      </c>
      <c r="E9873" s="3" t="s">
        <v>28678</v>
      </c>
      <c r="F9873" s="3" t="str">
        <f>"260-423-2449"</f>
        <v>260-423-2449</v>
      </c>
      <c r="G9873" s="3">
        <v>423990</v>
      </c>
      <c r="H9873" s="3" t="s">
        <v>983</v>
      </c>
    </row>
    <row r="9874" spans="1:8" ht="77.25" x14ac:dyDescent="0.25">
      <c r="A9874" s="3" t="s">
        <v>28679</v>
      </c>
      <c r="B9874" s="3"/>
      <c r="C9874" s="3" t="str">
        <f>"WH Construction, Inc. is a unionized construction company specializing in wood/metal framing, drywall, trim packages, cabinetry, doors with hardware, wood/cement hardi plank exterior siding, soffit, facia, gutterboards."</f>
        <v>WH Construction, Inc. is a unionized construction company specializing in wood/metal framing, drywall, trim packages, cabinetry, doors with hardware, wood/cement hardi plank exterior siding, soffit, facia, gutterboards.</v>
      </c>
      <c r="D9874" s="3" t="s">
        <v>9</v>
      </c>
      <c r="E9874" s="3" t="s">
        <v>28680</v>
      </c>
      <c r="F9874" s="3" t="str">
        <f>"(317) 546-3572"</f>
        <v>(317) 546-3572</v>
      </c>
      <c r="G9874" s="3">
        <v>236</v>
      </c>
      <c r="H9874" s="3" t="s">
        <v>291</v>
      </c>
    </row>
    <row r="9875" spans="1:8" ht="39" x14ac:dyDescent="0.25">
      <c r="A9875" s="3" t="s">
        <v>28681</v>
      </c>
      <c r="B9875" s="3"/>
      <c r="C9875" s="3" t="str">
        <f>"Install and repair all makes and models of furnace and air conditioners. Plumbing and Sewer. Commercial refrigeration."</f>
        <v>Install and repair all makes and models of furnace and air conditioners. Plumbing and Sewer. Commercial refrigeration.</v>
      </c>
      <c r="D9875" s="3" t="s">
        <v>28682</v>
      </c>
      <c r="E9875" s="3" t="s">
        <v>28683</v>
      </c>
      <c r="F9875" s="3" t="str">
        <f>"260-244-6328"</f>
        <v>260-244-6328</v>
      </c>
      <c r="G9875" s="3">
        <v>238220</v>
      </c>
      <c r="H9875" s="3" t="s">
        <v>348</v>
      </c>
    </row>
    <row r="9876" spans="1:8" ht="64.5" x14ac:dyDescent="0.25">
      <c r="A9876" s="3" t="s">
        <v>28684</v>
      </c>
      <c r="B9876" s="3"/>
      <c r="C9876" s="3" t="str">
        <f>"Specializing in utility infrastructure: water and sewer line and related structures construction; general contracting; trenchless technology; and construction management."</f>
        <v>Specializing in utility infrastructure: water and sewer line and related structures construction; general contracting; trenchless technology; and construction management.</v>
      </c>
      <c r="D9876" s="3" t="s">
        <v>9</v>
      </c>
      <c r="E9876" s="3" t="s">
        <v>28685</v>
      </c>
      <c r="F9876" s="3" t="str">
        <f>"317-506-6811"</f>
        <v>317-506-6811</v>
      </c>
      <c r="G9876" s="3">
        <v>237110</v>
      </c>
      <c r="H9876" s="3" t="s">
        <v>901</v>
      </c>
    </row>
    <row r="9877" spans="1:8" ht="26.25" x14ac:dyDescent="0.25">
      <c r="A9877" s="3" t="s">
        <v>28686</v>
      </c>
      <c r="B9877" s="3"/>
      <c r="C9877" s="3" t="str">
        <f>"SELLING OF BUILDING MATERIALS TO THE PROFESSIONAL CONTRACTOR."</f>
        <v>SELLING OF BUILDING MATERIALS TO THE PROFESSIONAL CONTRACTOR.</v>
      </c>
      <c r="D9877" s="3" t="s">
        <v>28687</v>
      </c>
      <c r="E9877" s="3" t="s">
        <v>28688</v>
      </c>
      <c r="F9877" s="3" t="str">
        <f>"812-293-3066"</f>
        <v>812-293-3066</v>
      </c>
      <c r="G9877" s="3">
        <v>423310</v>
      </c>
      <c r="H9877" s="3" t="s">
        <v>19361</v>
      </c>
    </row>
    <row r="9878" spans="1:8" ht="26.25" x14ac:dyDescent="0.25">
      <c r="A9878" s="3" t="s">
        <v>28689</v>
      </c>
      <c r="B9878" s="3"/>
      <c r="C9878" s="3" t="str">
        <f>"Concrete construction. Residential, Ag, Commercial, Industrial."</f>
        <v>Concrete construction. Residential, Ag, Commercial, Industrial.</v>
      </c>
      <c r="D9878" s="3" t="s">
        <v>28690</v>
      </c>
      <c r="E9878" s="3" t="s">
        <v>28691</v>
      </c>
      <c r="F9878" s="3" t="str">
        <f>"765/583-2230"</f>
        <v>765/583-2230</v>
      </c>
      <c r="G9878" s="3">
        <v>23</v>
      </c>
      <c r="H9878" s="3" t="s">
        <v>133</v>
      </c>
    </row>
    <row r="9879" spans="1:8" ht="26.25" x14ac:dyDescent="0.25">
      <c r="A9879" s="3" t="s">
        <v>28692</v>
      </c>
      <c r="B9879" s="3"/>
      <c r="C9879" s="3" t="str">
        <f>"HOME FURNISHINGS, MATTRESSES, MAJOR HOME APPLIANCES, APPLIANCE REPAIR"</f>
        <v>HOME FURNISHINGS, MATTRESSES, MAJOR HOME APPLIANCES, APPLIANCE REPAIR</v>
      </c>
      <c r="D9879" s="3" t="s">
        <v>28693</v>
      </c>
      <c r="E9879" s="3" t="s">
        <v>28694</v>
      </c>
      <c r="F9879" s="3" t="str">
        <f>"812-723-3535"</f>
        <v>812-723-3535</v>
      </c>
      <c r="G9879" s="3">
        <v>442110</v>
      </c>
      <c r="H9879" s="3" t="s">
        <v>117</v>
      </c>
    </row>
    <row r="9880" spans="1:8" ht="153.75" x14ac:dyDescent="0.25">
      <c r="A9880" s="3" t="s">
        <v>28695</v>
      </c>
      <c r="B9880" s="3"/>
      <c r="C9880" s="3" t="s">
        <v>28696</v>
      </c>
      <c r="D9880" s="3" t="s">
        <v>28697</v>
      </c>
      <c r="E9880" s="3" t="s">
        <v>28698</v>
      </c>
      <c r="F9880" s="3" t="str">
        <f>"317-784-6530"</f>
        <v>317-784-6530</v>
      </c>
      <c r="G9880" s="3">
        <v>444190</v>
      </c>
      <c r="H9880" s="3" t="s">
        <v>1188</v>
      </c>
    </row>
    <row r="9881" spans="1:8" ht="128.25" x14ac:dyDescent="0.25">
      <c r="A9881" s="3" t="s">
        <v>28699</v>
      </c>
      <c r="B9881" s="3"/>
      <c r="C9881" s="3" t="s">
        <v>28700</v>
      </c>
      <c r="D9881" s="3" t="s">
        <v>28701</v>
      </c>
      <c r="E9881" s="3" t="s">
        <v>28702</v>
      </c>
      <c r="F9881" s="3" t="str">
        <f>"765-689-7152"</f>
        <v>765-689-7152</v>
      </c>
      <c r="G9881" s="3">
        <v>561790</v>
      </c>
      <c r="H9881" s="3" t="s">
        <v>2113</v>
      </c>
    </row>
    <row r="9882" spans="1:8" ht="26.25" x14ac:dyDescent="0.25">
      <c r="A9882" s="3" t="s">
        <v>28703</v>
      </c>
      <c r="B9882" s="3"/>
      <c r="C9882" s="3" t="str">
        <f>"Providers of Two-Way Radios, Accessories, Global Positioning Systems &amp; Services"</f>
        <v>Providers of Two-Way Radios, Accessories, Global Positioning Systems &amp; Services</v>
      </c>
      <c r="D9882" s="3" t="s">
        <v>9</v>
      </c>
      <c r="E9882" s="3" t="s">
        <v>28704</v>
      </c>
      <c r="F9882" s="3" t="str">
        <f>"756-741-9191"</f>
        <v>756-741-9191</v>
      </c>
      <c r="G9882" s="3">
        <v>42169</v>
      </c>
      <c r="H9882" s="3" t="s">
        <v>4794</v>
      </c>
    </row>
    <row r="9883" spans="1:8" ht="26.25" x14ac:dyDescent="0.25">
      <c r="A9883" s="3" t="s">
        <v>28705</v>
      </c>
      <c r="B9883" s="3"/>
      <c r="C9883" s="3" t="str">
        <f>"A service disabled veteran owned business selling any and all general office supplies"</f>
        <v>A service disabled veteran owned business selling any and all general office supplies</v>
      </c>
      <c r="D9883" s="3" t="s">
        <v>9</v>
      </c>
      <c r="E9883" s="3" t="s">
        <v>46</v>
      </c>
      <c r="F9883" s="3" t="str">
        <f>"1-877-577-7390"</f>
        <v>1-877-577-7390</v>
      </c>
      <c r="G9883" s="3">
        <v>424120</v>
      </c>
      <c r="H9883" s="3" t="s">
        <v>411</v>
      </c>
    </row>
    <row r="9884" spans="1:8" ht="51.75" x14ac:dyDescent="0.25">
      <c r="A9884" s="3" t="s">
        <v>28706</v>
      </c>
      <c r="B9884" s="3"/>
      <c r="C9884" s="3" t="str">
        <f>"Provide shelter, rehabilitation, social services &amp; education to adjudicated juveniles and CHINS (Child In Need of Services)."</f>
        <v>Provide shelter, rehabilitation, social services &amp; education to adjudicated juveniles and CHINS (Child In Need of Services).</v>
      </c>
      <c r="D9884" s="3" t="s">
        <v>9</v>
      </c>
      <c r="E9884" s="3" t="s">
        <v>46</v>
      </c>
      <c r="F9884" s="3" t="str">
        <f>"260-563-1158"</f>
        <v>260-563-1158</v>
      </c>
      <c r="G9884" s="3">
        <v>624110</v>
      </c>
      <c r="H9884" s="3" t="s">
        <v>628</v>
      </c>
    </row>
    <row r="9885" spans="1:8" ht="26.25" x14ac:dyDescent="0.25">
      <c r="A9885" s="3" t="s">
        <v>28707</v>
      </c>
      <c r="B9885" s="3"/>
      <c r="C9885" s="2"/>
      <c r="D9885" s="3" t="s">
        <v>28708</v>
      </c>
      <c r="E9885" s="3" t="s">
        <v>28709</v>
      </c>
      <c r="F9885" s="3" t="str">
        <f>"(317) 259-0105"</f>
        <v>(317) 259-0105</v>
      </c>
      <c r="G9885" s="3">
        <v>54133</v>
      </c>
      <c r="H9885" s="3" t="s">
        <v>82</v>
      </c>
    </row>
    <row r="9886" spans="1:8" ht="115.5" x14ac:dyDescent="0.25">
      <c r="A9886" s="3" t="s">
        <v>28710</v>
      </c>
      <c r="B9886" s="3"/>
      <c r="C9886" s="3" t="s">
        <v>28711</v>
      </c>
      <c r="D9886" s="3" t="s">
        <v>28712</v>
      </c>
      <c r="E9886" s="3" t="s">
        <v>28709</v>
      </c>
      <c r="F9886" s="3" t="str">
        <f>"(317) 259-0105"</f>
        <v>(317) 259-0105</v>
      </c>
      <c r="G9886" s="3">
        <v>541511</v>
      </c>
      <c r="H9886" s="3" t="s">
        <v>122</v>
      </c>
    </row>
    <row r="9887" spans="1:8" ht="77.25" x14ac:dyDescent="0.25">
      <c r="A9887" s="3" t="s">
        <v>28713</v>
      </c>
      <c r="B9887" s="3"/>
      <c r="C9887" s="3" t="str">
        <f>"Empower business with technology. Help business succeed. Custom software development. Business process outsourcing. Data entry. Accounts payable processing. Improve financial performance while simultaneously enhance delivery of service."</f>
        <v>Empower business with technology. Help business succeed. Custom software development. Business process outsourcing. Data entry. Accounts payable processing. Improve financial performance while simultaneously enhance delivery of service.</v>
      </c>
      <c r="D9887" s="3" t="s">
        <v>28714</v>
      </c>
      <c r="E9887" s="3" t="s">
        <v>28715</v>
      </c>
      <c r="F9887" s="3" t="str">
        <f>"317.324.1058"</f>
        <v>317.324.1058</v>
      </c>
      <c r="G9887" s="3">
        <v>541511</v>
      </c>
      <c r="H9887" s="3" t="s">
        <v>122</v>
      </c>
    </row>
    <row r="9888" spans="1:8" ht="128.25" x14ac:dyDescent="0.25">
      <c r="A9888" s="3" t="s">
        <v>28716</v>
      </c>
      <c r="B9888" s="3"/>
      <c r="C9888" s="3" t="s">
        <v>28717</v>
      </c>
      <c r="D9888" s="3" t="s">
        <v>9</v>
      </c>
      <c r="E9888" s="3" t="s">
        <v>28718</v>
      </c>
      <c r="F9888" s="3" t="str">
        <f>"(260) 568-0389"</f>
        <v>(260) 568-0389</v>
      </c>
      <c r="G9888" s="3">
        <v>531320</v>
      </c>
      <c r="H9888" s="3" t="s">
        <v>34</v>
      </c>
    </row>
    <row r="9889" spans="1:8" ht="51.75" x14ac:dyDescent="0.25">
      <c r="A9889" s="3" t="s">
        <v>28719</v>
      </c>
      <c r="B9889" s="3"/>
      <c r="C9889" s="3" t="str">
        <f>"Full Line Foodservice and Convenience Store Distributor, Equipment and Smallwares, Chemical and Beverage Equipment and Service"</f>
        <v>Full Line Foodservice and Convenience Store Distributor, Equipment and Smallwares, Chemical and Beverage Equipment and Service</v>
      </c>
      <c r="D9889" s="3" t="s">
        <v>28720</v>
      </c>
      <c r="E9889" s="3" t="s">
        <v>28721</v>
      </c>
      <c r="F9889" s="3" t="str">
        <f>"812-882-6066"</f>
        <v>812-882-6066</v>
      </c>
      <c r="G9889" s="3">
        <v>424410</v>
      </c>
      <c r="H9889" s="3" t="s">
        <v>28722</v>
      </c>
    </row>
    <row r="9890" spans="1:8" ht="39" x14ac:dyDescent="0.25">
      <c r="A9890" s="3" t="s">
        <v>28723</v>
      </c>
      <c r="B9890" s="3"/>
      <c r="C9890" s="3" t="str">
        <f>"planning, economic development, annexatio plans, master plans, economic devlopment plans, fiscal plans, urban planning"</f>
        <v>planning, economic development, annexatio plans, master plans, economic devlopment plans, fiscal plans, urban planning</v>
      </c>
      <c r="D9890" s="3" t="s">
        <v>9</v>
      </c>
      <c r="E9890" s="3" t="s">
        <v>28724</v>
      </c>
      <c r="F9890" s="3" t="str">
        <f>"317-872-9529"</f>
        <v>317-872-9529</v>
      </c>
      <c r="G9890" s="3">
        <v>541</v>
      </c>
      <c r="H9890" s="3" t="s">
        <v>179</v>
      </c>
    </row>
    <row r="9891" spans="1:8" ht="77.25" x14ac:dyDescent="0.25">
      <c r="A9891" s="3" t="s">
        <v>28725</v>
      </c>
      <c r="B9891" s="3"/>
      <c r="C9891" s="3" t="str">
        <f>"Wabash Utilities, Inc. is a Corporation in Indiana whose work includes installing water mains, septic/sewer mains/drainage systems and site utilities. Also but not limited to preparing land for new construction site."</f>
        <v>Wabash Utilities, Inc. is a Corporation in Indiana whose work includes installing water mains, septic/sewer mains/drainage systems and site utilities. Also but not limited to preparing land for new construction site.</v>
      </c>
      <c r="D9891" s="3" t="s">
        <v>28726</v>
      </c>
      <c r="E9891" s="3" t="s">
        <v>46</v>
      </c>
      <c r="F9891" s="3" t="str">
        <f>"8128861250"</f>
        <v>8128861250</v>
      </c>
      <c r="G9891" s="3">
        <v>237110</v>
      </c>
      <c r="H9891" s="3" t="s">
        <v>901</v>
      </c>
    </row>
    <row r="9892" spans="1:8" ht="26.25" x14ac:dyDescent="0.25">
      <c r="A9892" s="3" t="s">
        <v>28727</v>
      </c>
      <c r="B9892" s="3"/>
      <c r="C9892" s="3" t="str">
        <f>"Federally-qualified health center"</f>
        <v>Federally-qualified health center</v>
      </c>
      <c r="D9892" s="3" t="s">
        <v>28728</v>
      </c>
      <c r="E9892" s="3" t="s">
        <v>46</v>
      </c>
      <c r="F9892" s="3" t="str">
        <f>"812-232-7447"</f>
        <v>812-232-7447</v>
      </c>
      <c r="G9892" s="3">
        <v>621498</v>
      </c>
      <c r="H9892" s="3" t="s">
        <v>937</v>
      </c>
    </row>
    <row r="9893" spans="1:8" ht="51.75" x14ac:dyDescent="0.25">
      <c r="A9893" s="3" t="s">
        <v>28729</v>
      </c>
      <c r="B9893" s="3"/>
      <c r="C9893" s="3" t="str">
        <f>"Wabash Valley is the leader in plastisol coaed site amenities and furniture. Our furniture is able withstand the harsh weather condiditons from season to season."</f>
        <v>Wabash Valley is the leader in plastisol coaed site amenities and furniture. Our furniture is able withstand the harsh weather condiditons from season to season.</v>
      </c>
      <c r="D9893" s="3" t="s">
        <v>28730</v>
      </c>
      <c r="E9893" s="3" t="s">
        <v>28731</v>
      </c>
      <c r="F9893" s="3" t="str">
        <f>"260-352-2102"</f>
        <v>260-352-2102</v>
      </c>
      <c r="G9893" s="3">
        <v>337124</v>
      </c>
      <c r="H9893" s="3" t="s">
        <v>28732</v>
      </c>
    </row>
    <row r="9894" spans="1:8" ht="26.25" x14ac:dyDescent="0.25">
      <c r="A9894" s="3" t="s">
        <v>28733</v>
      </c>
      <c r="B9894" s="3"/>
      <c r="C9894" s="3" t="str">
        <f>"RESALE OF BRICK, BLOCK, STONE ,MORTAR AND OTHER MASONRY SUPPLIES"</f>
        <v>RESALE OF BRICK, BLOCK, STONE ,MORTAR AND OTHER MASONRY SUPPLIES</v>
      </c>
      <c r="D9894" s="3" t="s">
        <v>28734</v>
      </c>
      <c r="E9894" s="3" t="s">
        <v>28735</v>
      </c>
      <c r="F9894" s="3" t="str">
        <f>"765-586-5626"</f>
        <v>765-586-5626</v>
      </c>
      <c r="G9894" s="3">
        <v>444190</v>
      </c>
      <c r="H9894" s="3" t="s">
        <v>1188</v>
      </c>
    </row>
    <row r="9895" spans="1:8" ht="115.5" x14ac:dyDescent="0.25">
      <c r="A9895" s="3" t="s">
        <v>28736</v>
      </c>
      <c r="B9895" s="3"/>
      <c r="C9895" s="3" t="s">
        <v>28737</v>
      </c>
      <c r="D9895" s="3" t="s">
        <v>9</v>
      </c>
      <c r="E9895" s="3" t="s">
        <v>28738</v>
      </c>
      <c r="F9895" s="3" t="str">
        <f>"765-529-2227"</f>
        <v>765-529-2227</v>
      </c>
      <c r="G9895" s="3">
        <v>54121</v>
      </c>
      <c r="H9895" s="3" t="s">
        <v>311</v>
      </c>
    </row>
    <row r="9896" spans="1:8" ht="39" x14ac:dyDescent="0.25">
      <c r="A9896" s="3" t="s">
        <v>28739</v>
      </c>
      <c r="B9896" s="3"/>
      <c r="C9896" s="3" t="str">
        <f>"Located in Southern Indiana - General Contractor New Homes, Pole Barns, Roofing/Siding, Additions"</f>
        <v>Located in Southern Indiana - General Contractor New Homes, Pole Barns, Roofing/Siding, Additions</v>
      </c>
      <c r="D9896" s="3" t="s">
        <v>9</v>
      </c>
      <c r="E9896" s="3" t="s">
        <v>46</v>
      </c>
      <c r="F9896" s="3" t="str">
        <f>"812-486-2954"</f>
        <v>812-486-2954</v>
      </c>
      <c r="G9896" s="3">
        <v>23</v>
      </c>
      <c r="H9896" s="3" t="s">
        <v>133</v>
      </c>
    </row>
    <row r="9897" spans="1:8" ht="39" x14ac:dyDescent="0.25">
      <c r="A9897" s="3" t="s">
        <v>28740</v>
      </c>
      <c r="B9897" s="3"/>
      <c r="C9897" s="3" t="str">
        <f>"We are a concession and catering business. We provide great food at a reasonable price."</f>
        <v>We are a concession and catering business. We provide great food at a reasonable price.</v>
      </c>
      <c r="D9897" s="3" t="s">
        <v>9</v>
      </c>
      <c r="E9897" s="3" t="s">
        <v>28741</v>
      </c>
      <c r="F9897" s="3" t="str">
        <f>"317-538-7151"</f>
        <v>317-538-7151</v>
      </c>
      <c r="G9897" s="3">
        <v>722330</v>
      </c>
      <c r="H9897" s="3" t="s">
        <v>9193</v>
      </c>
    </row>
    <row r="9898" spans="1:8" ht="166.5" x14ac:dyDescent="0.25">
      <c r="A9898" s="3" t="s">
        <v>28742</v>
      </c>
      <c r="B9898" s="3"/>
      <c r="C9898" s="3" t="s">
        <v>28743</v>
      </c>
      <c r="D9898" s="3" t="s">
        <v>28744</v>
      </c>
      <c r="E9898" s="3" t="s">
        <v>28745</v>
      </c>
      <c r="F9898" s="3" t="str">
        <f>"847-940-3852"</f>
        <v>847-940-3852</v>
      </c>
      <c r="G9898" s="3">
        <v>6216</v>
      </c>
      <c r="H9898" s="3" t="s">
        <v>328</v>
      </c>
    </row>
    <row r="9899" spans="1:8" ht="128.25" x14ac:dyDescent="0.25">
      <c r="A9899" s="3" t="s">
        <v>28746</v>
      </c>
      <c r="B9899" s="3"/>
      <c r="C9899" s="3" t="s">
        <v>28747</v>
      </c>
      <c r="D9899" s="3" t="s">
        <v>9</v>
      </c>
      <c r="E9899" s="3" t="s">
        <v>28748</v>
      </c>
      <c r="F9899" s="2"/>
      <c r="G9899" s="3">
        <v>54161</v>
      </c>
      <c r="H9899" s="3" t="s">
        <v>1221</v>
      </c>
    </row>
    <row r="9900" spans="1:8" ht="26.25" x14ac:dyDescent="0.25">
      <c r="A9900" s="3" t="s">
        <v>28749</v>
      </c>
      <c r="B9900" s="3"/>
      <c r="C9900" s="3" t="str">
        <f>"We do auto repair &amp; mufflers."</f>
        <v>We do auto repair &amp; mufflers.</v>
      </c>
      <c r="D9900" s="3" t="s">
        <v>9</v>
      </c>
      <c r="E9900" s="3" t="s">
        <v>28750</v>
      </c>
      <c r="F9900" s="3" t="str">
        <f>"574-722-7457"</f>
        <v>574-722-7457</v>
      </c>
      <c r="G9900" s="3">
        <v>811111</v>
      </c>
      <c r="H9900" s="3" t="s">
        <v>2383</v>
      </c>
    </row>
    <row r="9901" spans="1:8" x14ac:dyDescent="0.25">
      <c r="A9901" s="3" t="s">
        <v>28751</v>
      </c>
      <c r="B9901" s="3"/>
      <c r="C9901" s="2"/>
      <c r="D9901" s="3" t="s">
        <v>9</v>
      </c>
      <c r="E9901" s="3" t="s">
        <v>46</v>
      </c>
      <c r="F9901" s="2"/>
      <c r="G9901" s="3">
        <v>23</v>
      </c>
      <c r="H9901" s="3" t="s">
        <v>133</v>
      </c>
    </row>
    <row r="9902" spans="1:8" ht="115.5" x14ac:dyDescent="0.25">
      <c r="A9902" s="3" t="s">
        <v>28752</v>
      </c>
      <c r="B9902" s="3"/>
      <c r="C9902" s="3" t="s">
        <v>28753</v>
      </c>
      <c r="D9902" s="3" t="s">
        <v>28754</v>
      </c>
      <c r="E9902" s="3" t="s">
        <v>28755</v>
      </c>
      <c r="F9902" s="3" t="str">
        <f>"260-450-6411"</f>
        <v>260-450-6411</v>
      </c>
      <c r="G9902" s="3">
        <v>2353</v>
      </c>
      <c r="H9902" s="3" t="s">
        <v>306</v>
      </c>
    </row>
    <row r="9903" spans="1:8" ht="26.25" x14ac:dyDescent="0.25">
      <c r="A9903" s="3" t="s">
        <v>28756</v>
      </c>
      <c r="B9903" s="3"/>
      <c r="C9903" s="3" t="str">
        <f>"Wall Designs Inc. provide a full quality Drywall service"</f>
        <v>Wall Designs Inc. provide a full quality Drywall service</v>
      </c>
      <c r="D9903" s="3" t="s">
        <v>9</v>
      </c>
      <c r="E9903" s="3" t="s">
        <v>28757</v>
      </c>
      <c r="F9903" s="3" t="str">
        <f>"317-4020401"</f>
        <v>317-4020401</v>
      </c>
      <c r="G9903" s="3">
        <v>23542</v>
      </c>
      <c r="H9903" s="3" t="s">
        <v>7405</v>
      </c>
    </row>
    <row r="9904" spans="1:8" ht="153.75" x14ac:dyDescent="0.25">
      <c r="A9904" s="3" t="s">
        <v>28758</v>
      </c>
      <c r="B9904" s="3"/>
      <c r="C9904" s="3" t="s">
        <v>28759</v>
      </c>
      <c r="D9904" s="3" t="s">
        <v>28760</v>
      </c>
      <c r="E9904" s="3" t="s">
        <v>28761</v>
      </c>
      <c r="F9904" s="3" t="str">
        <f>"888-485-7018"</f>
        <v>888-485-7018</v>
      </c>
      <c r="G9904" s="3">
        <v>423990</v>
      </c>
      <c r="H9904" s="3" t="s">
        <v>983</v>
      </c>
    </row>
    <row r="9905" spans="1:8" ht="90" x14ac:dyDescent="0.25">
      <c r="A9905" s="3" t="s">
        <v>28762</v>
      </c>
      <c r="B9905" s="3"/>
      <c r="C9905" s="3" t="str">
        <f>"Walmer Supply Inc. Headquartered in Warsaw with a Branch in Fort Wayne IN. is a full line Plumbing, Heating. Airconditioning, Water Well Supply,Residential Kitchen and Bathroom Cabinet Distibutor. We have been in business since 1952 ."</f>
        <v>Walmer Supply Inc. Headquartered in Warsaw with a Branch in Fort Wayne IN. is a full line Plumbing, Heating. Airconditioning, Water Well Supply,Residential Kitchen and Bathroom Cabinet Distibutor. We have been in business since 1952 .</v>
      </c>
      <c r="D9905" s="3" t="s">
        <v>9</v>
      </c>
      <c r="E9905" s="3" t="s">
        <v>28763</v>
      </c>
      <c r="F9905" s="3" t="str">
        <f>"574-267-3693"</f>
        <v>574-267-3693</v>
      </c>
      <c r="G9905" s="3">
        <v>423720</v>
      </c>
      <c r="H9905" s="3" t="s">
        <v>2695</v>
      </c>
    </row>
    <row r="9906" spans="1:8" ht="77.25" x14ac:dyDescent="0.25">
      <c r="A9906" s="3" t="s">
        <v>28764</v>
      </c>
      <c r="B9906" s="3"/>
      <c r="C9906" s="3" t="str">
        <f>"Retail store specializing in Swimming Pools, Spas, Patio Furniture and Billiards. Also carry pool &amp; spa supplies and outdoor furniture accessories. Offer full service on all products we carry and installation and delivery."</f>
        <v>Retail store specializing in Swimming Pools, Spas, Patio Furniture and Billiards. Also carry pool &amp; spa supplies and outdoor furniture accessories. Offer full service on all products we carry and installation and delivery.</v>
      </c>
      <c r="D9906" s="3" t="s">
        <v>28765</v>
      </c>
      <c r="E9906" s="3" t="s">
        <v>28766</v>
      </c>
      <c r="F9906" s="3" t="str">
        <f>"812-288-9777"</f>
        <v>812-288-9777</v>
      </c>
      <c r="G9906" s="3">
        <v>45399</v>
      </c>
      <c r="H9906" s="3" t="s">
        <v>3215</v>
      </c>
    </row>
    <row r="9907" spans="1:8" ht="26.25" x14ac:dyDescent="0.25">
      <c r="A9907" s="3" t="s">
        <v>28767</v>
      </c>
      <c r="B9907" s="3"/>
      <c r="C9907" s="3" t="str">
        <f>"rental and leasing"</f>
        <v>rental and leasing</v>
      </c>
      <c r="D9907" s="3" t="s">
        <v>9</v>
      </c>
      <c r="E9907" s="3" t="s">
        <v>28768</v>
      </c>
      <c r="F9907" s="3" t="str">
        <f>"812-948-0500"</f>
        <v>812-948-0500</v>
      </c>
      <c r="G9907" s="3">
        <v>532</v>
      </c>
      <c r="H9907" s="3" t="s">
        <v>2610</v>
      </c>
    </row>
    <row r="9908" spans="1:8" ht="128.25" x14ac:dyDescent="0.25">
      <c r="A9908" s="3" t="s">
        <v>28769</v>
      </c>
      <c r="B9908" s="3"/>
      <c r="C9908" s="3" t="s">
        <v>28770</v>
      </c>
      <c r="D9908" s="3" t="s">
        <v>9</v>
      </c>
      <c r="E9908" s="3" t="s">
        <v>28771</v>
      </c>
      <c r="F9908" s="3" t="str">
        <f>"(317) 873-1677"</f>
        <v>(317) 873-1677</v>
      </c>
      <c r="G9908" s="3">
        <v>92</v>
      </c>
      <c r="H9908" s="3" t="s">
        <v>3138</v>
      </c>
    </row>
    <row r="9909" spans="1:8" ht="77.25" x14ac:dyDescent="0.25">
      <c r="A9909" s="3" t="s">
        <v>28772</v>
      </c>
      <c r="B9909" s="3"/>
      <c r="C9909" s="3" t="str">
        <f>"The mission of The Walsh Group is to be the builder of choice for our customers; the employer of choice for our people; to set the highest standars for quality and safety; and to achieve a fair balance of responsibility, profitability and citizenship."</f>
        <v>The mission of The Walsh Group is to be the builder of choice for our customers; the employer of choice for our people; to set the highest standars for quality and safety; and to achieve a fair balance of responsibility, profitability and citizenship.</v>
      </c>
      <c r="D9909" s="3" t="s">
        <v>28773</v>
      </c>
      <c r="E9909" s="3" t="s">
        <v>46</v>
      </c>
      <c r="F9909" s="3" t="str">
        <f>"219-661-2450"</f>
        <v>219-661-2450</v>
      </c>
      <c r="G9909" s="3">
        <v>2362</v>
      </c>
      <c r="H9909" s="3" t="s">
        <v>423</v>
      </c>
    </row>
    <row r="9910" spans="1:8" ht="64.5" x14ac:dyDescent="0.25">
      <c r="A9910" s="3" t="s">
        <v>28774</v>
      </c>
      <c r="B9910" s="3"/>
      <c r="C9910" s="3" t="str">
        <f>"Providing insurance brokerage services including property, casualty, surety bonds, and employee benefits. Also providing educational, management &amp; training services."</f>
        <v>Providing insurance brokerage services including property, casualty, surety bonds, and employee benefits. Also providing educational, management &amp; training services.</v>
      </c>
      <c r="D9910" s="3" t="s">
        <v>28775</v>
      </c>
      <c r="E9910" s="3" t="s">
        <v>28776</v>
      </c>
      <c r="F9910" s="3" t="str">
        <f>"317-908-4899"</f>
        <v>317-908-4899</v>
      </c>
      <c r="G9910" s="3">
        <v>524210</v>
      </c>
      <c r="H9910" s="3" t="s">
        <v>1183</v>
      </c>
    </row>
    <row r="9911" spans="1:8" ht="77.25" x14ac:dyDescent="0.25">
      <c r="A9911" s="3" t="s">
        <v>28777</v>
      </c>
      <c r="B9911" s="3"/>
      <c r="C9911" s="3" t="str">
        <f>"5 axis and 3 axis CNC machining, wire EDM, sinker EDM, EDM drilling,lathe, laser tig,and mig welding,laser welding,surface grinding,jig grinding,stainless steels, toolsteels,titanium,cobalt,inconel,aluminum"</f>
        <v>5 axis and 3 axis CNC machining, wire EDM, sinker EDM, EDM drilling,lathe, laser tig,and mig welding,laser welding,surface grinding,jig grinding,stainless steels, toolsteels,titanium,cobalt,inconel,aluminum</v>
      </c>
      <c r="D9911" s="3" t="s">
        <v>28778</v>
      </c>
      <c r="E9911" s="3" t="s">
        <v>28779</v>
      </c>
      <c r="F9911" s="3" t="str">
        <f>"2606362843"</f>
        <v>2606362843</v>
      </c>
      <c r="G9911" s="3">
        <v>333513</v>
      </c>
      <c r="H9911" s="3" t="s">
        <v>12465</v>
      </c>
    </row>
    <row r="9912" spans="1:8" ht="115.5" x14ac:dyDescent="0.25">
      <c r="A9912" s="3" t="s">
        <v>28780</v>
      </c>
      <c r="B9912" s="3"/>
      <c r="C9912" s="3" t="s">
        <v>28781</v>
      </c>
      <c r="D9912" s="3" t="s">
        <v>9</v>
      </c>
      <c r="E9912" s="3" t="s">
        <v>28782</v>
      </c>
      <c r="F9912" s="3" t="str">
        <f>"765-659-3721"</f>
        <v>765-659-3721</v>
      </c>
      <c r="G9912" s="3">
        <v>56211</v>
      </c>
      <c r="H9912" s="3" t="s">
        <v>501</v>
      </c>
    </row>
    <row r="9913" spans="1:8" ht="39" x14ac:dyDescent="0.25">
      <c r="A9913" s="3" t="s">
        <v>28783</v>
      </c>
      <c r="B9913" s="3"/>
      <c r="C9913" s="3" t="str">
        <f>"One-stop source for engineering,tooling,aluminum castings,machining,and heat treating"</f>
        <v>One-stop source for engineering,tooling,aluminum castings,machining,and heat treating</v>
      </c>
      <c r="D9913" s="3" t="s">
        <v>28784</v>
      </c>
      <c r="E9913" s="3" t="s">
        <v>28785</v>
      </c>
      <c r="F9913" s="3" t="str">
        <f>"260-426-8700"</f>
        <v>260-426-8700</v>
      </c>
      <c r="G9913" s="3">
        <v>331524</v>
      </c>
      <c r="H9913" s="3" t="s">
        <v>28786</v>
      </c>
    </row>
    <row r="9914" spans="1:8" ht="26.25" x14ac:dyDescent="0.25">
      <c r="A9914" s="3" t="s">
        <v>28787</v>
      </c>
      <c r="B9914" s="3"/>
      <c r="C9914" s="3" t="str">
        <f>"Sale of construction implements and repair parts"</f>
        <v>Sale of construction implements and repair parts</v>
      </c>
      <c r="D9914" s="3" t="s">
        <v>28788</v>
      </c>
      <c r="E9914" s="3" t="s">
        <v>28789</v>
      </c>
      <c r="F9914" s="3" t="str">
        <f>"812.662.7668"</f>
        <v>812.662.7668</v>
      </c>
      <c r="G9914" s="3">
        <v>33312</v>
      </c>
      <c r="H9914" s="3" t="s">
        <v>11931</v>
      </c>
    </row>
    <row r="9915" spans="1:8" ht="26.25" x14ac:dyDescent="0.25">
      <c r="A9915" s="3" t="s">
        <v>28790</v>
      </c>
      <c r="B9915" s="3"/>
      <c r="C9915" s="3" t="str">
        <f>" "</f>
        <v xml:space="preserve"> </v>
      </c>
      <c r="D9915" s="3" t="s">
        <v>9</v>
      </c>
      <c r="E9915" s="3" t="s">
        <v>46</v>
      </c>
      <c r="F9915" s="2"/>
      <c r="G9915" s="3">
        <v>54</v>
      </c>
      <c r="H9915" s="3" t="s">
        <v>179</v>
      </c>
    </row>
    <row r="9916" spans="1:8" ht="26.25" x14ac:dyDescent="0.25">
      <c r="A9916" s="3" t="s">
        <v>28791</v>
      </c>
      <c r="B9916" s="3"/>
      <c r="C9916" s="3" t="str">
        <f>"Production of prototype and production tooling for manufacturers"</f>
        <v>Production of prototype and production tooling for manufacturers</v>
      </c>
      <c r="D9916" s="3" t="s">
        <v>9</v>
      </c>
      <c r="E9916" s="3" t="s">
        <v>28792</v>
      </c>
      <c r="F9916" s="3" t="str">
        <f>"260-426-8700"</f>
        <v>260-426-8700</v>
      </c>
      <c r="G9916" s="3">
        <v>332997</v>
      </c>
      <c r="H9916" s="3" t="s">
        <v>28793</v>
      </c>
    </row>
    <row r="9917" spans="1:8" ht="26.25" x14ac:dyDescent="0.25">
      <c r="A9917" s="3" t="s">
        <v>28794</v>
      </c>
      <c r="B9917" s="3"/>
      <c r="C9917" s="3" t="str">
        <f>"We are a volunteer fire department lacated in Randolph Co., IN"</f>
        <v>We are a volunteer fire department lacated in Randolph Co., IN</v>
      </c>
      <c r="D9917" s="3" t="s">
        <v>9</v>
      </c>
      <c r="E9917" s="3" t="s">
        <v>28795</v>
      </c>
      <c r="F9917" s="3" t="str">
        <f>"(765)584-0790"</f>
        <v>(765)584-0790</v>
      </c>
      <c r="G9917" s="3">
        <v>922160</v>
      </c>
      <c r="H9917" s="3" t="s">
        <v>2246</v>
      </c>
    </row>
    <row r="9918" spans="1:8" ht="51.75" x14ac:dyDescent="0.25">
      <c r="A9918" s="3" t="s">
        <v>28796</v>
      </c>
      <c r="B9918" s="3"/>
      <c r="C9918" s="3" t="str">
        <f>"Legal Services: Residential Mortgage Foreclosure; Loss Mitigation, Real Estate, Bankruptcy; Student Loans; Special Education; Mediation; Facilitation"</f>
        <v>Legal Services: Residential Mortgage Foreclosure; Loss Mitigation, Real Estate, Bankruptcy; Student Loans; Special Education; Mediation; Facilitation</v>
      </c>
      <c r="D9918" s="3" t="s">
        <v>28797</v>
      </c>
      <c r="E9918" s="3" t="s">
        <v>28798</v>
      </c>
      <c r="F9918" s="3" t="str">
        <f>"317-669-7519"</f>
        <v>317-669-7519</v>
      </c>
      <c r="G9918" s="3">
        <v>5411</v>
      </c>
      <c r="H9918" s="3" t="s">
        <v>87</v>
      </c>
    </row>
    <row r="9919" spans="1:8" ht="77.25" x14ac:dyDescent="0.25">
      <c r="A9919" s="3" t="s">
        <v>28799</v>
      </c>
      <c r="B9919" s="3"/>
      <c r="C9919" s="3" t="str">
        <f>"Third Party Logistics (3PL) provider specializing in distribution services such as warehousing, transportation, asset management, Information Technology, manufacturing, assembly and other value added services."</f>
        <v>Third Party Logistics (3PL) provider specializing in distribution services such as warehousing, transportation, asset management, Information Technology, manufacturing, assembly and other value added services.</v>
      </c>
      <c r="D9919" s="3" t="s">
        <v>28800</v>
      </c>
      <c r="E9919" s="3" t="s">
        <v>28801</v>
      </c>
      <c r="F9919" s="3" t="str">
        <f>"812.831.4053"</f>
        <v>812.831.4053</v>
      </c>
      <c r="G9919" s="3">
        <v>4225</v>
      </c>
      <c r="H9919" s="3" t="s">
        <v>26611</v>
      </c>
    </row>
    <row r="9920" spans="1:8" ht="204.75" x14ac:dyDescent="0.25">
      <c r="A9920" s="3" t="s">
        <v>28802</v>
      </c>
      <c r="B9920" s="3"/>
      <c r="C9920" s="3" t="s">
        <v>28803</v>
      </c>
      <c r="D9920" s="3" t="s">
        <v>28804</v>
      </c>
      <c r="E9920" s="3" t="s">
        <v>28805</v>
      </c>
      <c r="F9920" s="3" t="str">
        <f>"812 361 6721"</f>
        <v>812 361 6721</v>
      </c>
      <c r="G9920" s="3">
        <v>541330</v>
      </c>
      <c r="H9920" s="3" t="s">
        <v>82</v>
      </c>
    </row>
    <row r="9921" spans="1:8" ht="26.25" x14ac:dyDescent="0.25">
      <c r="A9921" s="3" t="s">
        <v>28806</v>
      </c>
      <c r="B9921" s="3"/>
      <c r="C9921" s="3" t="str">
        <f>"Warren County is a governmental entity in the State of Indiana."</f>
        <v>Warren County is a governmental entity in the State of Indiana.</v>
      </c>
      <c r="D9921" s="3" t="s">
        <v>9</v>
      </c>
      <c r="E9921" s="3" t="s">
        <v>46</v>
      </c>
      <c r="F9921" s="2"/>
      <c r="G9921" s="3">
        <v>99999</v>
      </c>
      <c r="H9921" s="3" t="s">
        <v>8262</v>
      </c>
    </row>
    <row r="9922" spans="1:8" ht="115.5" x14ac:dyDescent="0.25">
      <c r="A9922" s="3" t="s">
        <v>28807</v>
      </c>
      <c r="B9922" s="3"/>
      <c r="C9922" s="3" t="s">
        <v>28808</v>
      </c>
      <c r="D9922" s="3" t="s">
        <v>9</v>
      </c>
      <c r="E9922" s="3" t="s">
        <v>28809</v>
      </c>
      <c r="F9922" s="3" t="str">
        <f>"260-375-3010"</f>
        <v>260-375-3010</v>
      </c>
      <c r="G9922" s="3">
        <v>424710</v>
      </c>
      <c r="H9922" s="3" t="s">
        <v>22490</v>
      </c>
    </row>
    <row r="9923" spans="1:8" ht="77.25" x14ac:dyDescent="0.25">
      <c r="A9923" s="3" t="s">
        <v>28810</v>
      </c>
      <c r="B9923" s="3"/>
      <c r="C9923" s="3" t="str">
        <f>"The primary responsibility of Court Services Agency of Indiana is the timely and accurate service of civil process, and documents necessary to conduct litigation, issued from non-criminal Courts of Indiana and other jurisdictions."</f>
        <v>The primary responsibility of Court Services Agency of Indiana is the timely and accurate service of civil process, and documents necessary to conduct litigation, issued from non-criminal Courts of Indiana and other jurisdictions.</v>
      </c>
      <c r="D9923" s="3" t="s">
        <v>28811</v>
      </c>
      <c r="E9923" s="3" t="s">
        <v>28812</v>
      </c>
      <c r="F9923" s="3" t="str">
        <f>"(317) 732-8529"</f>
        <v>(317) 732-8529</v>
      </c>
      <c r="G9923" s="3">
        <v>541199</v>
      </c>
      <c r="H9923" s="3" t="s">
        <v>1371</v>
      </c>
    </row>
    <row r="9924" spans="1:8" ht="268.5" x14ac:dyDescent="0.25">
      <c r="A9924" s="3" t="s">
        <v>28813</v>
      </c>
      <c r="B9924" s="3"/>
      <c r="C9924" s="3" t="s">
        <v>28814</v>
      </c>
      <c r="D9924" s="3" t="s">
        <v>9</v>
      </c>
      <c r="E9924" s="3" t="s">
        <v>28815</v>
      </c>
      <c r="F9924" s="3" t="str">
        <f>"317-687-4261"</f>
        <v>317-687-4261</v>
      </c>
      <c r="G9924" s="3">
        <v>236220</v>
      </c>
      <c r="H9924" s="3" t="s">
        <v>598</v>
      </c>
    </row>
    <row r="9925" spans="1:8" x14ac:dyDescent="0.25">
      <c r="A9925" s="3" t="s">
        <v>28816</v>
      </c>
      <c r="B9925" s="3"/>
      <c r="C9925" s="3" t="str">
        <f>" "</f>
        <v xml:space="preserve"> </v>
      </c>
      <c r="D9925" s="3" t="s">
        <v>9</v>
      </c>
      <c r="E9925" s="3" t="s">
        <v>46</v>
      </c>
      <c r="F9925" s="2"/>
      <c r="G9925" s="3">
        <v>23</v>
      </c>
      <c r="H9925" s="3" t="s">
        <v>133</v>
      </c>
    </row>
    <row r="9926" spans="1:8" ht="39" x14ac:dyDescent="0.25">
      <c r="A9926" s="3" t="s">
        <v>28817</v>
      </c>
      <c r="B9926" s="3"/>
      <c r="C9926" s="3" t="str">
        <f>"Manufacturer of car wash products, cleaning compounds, chemical specialties. Distributor of industrial chemicals."</f>
        <v>Manufacturer of car wash products, cleaning compounds, chemical specialties. Distributor of industrial chemicals.</v>
      </c>
      <c r="D9926" s="3" t="s">
        <v>28818</v>
      </c>
      <c r="E9926" s="3" t="s">
        <v>28819</v>
      </c>
      <c r="F9926" s="3" t="str">
        <f>"574-267-3251"</f>
        <v>574-267-3251</v>
      </c>
      <c r="G9926" s="3">
        <v>325611</v>
      </c>
      <c r="H9926" s="3" t="s">
        <v>4219</v>
      </c>
    </row>
    <row r="9927" spans="1:8" ht="51.75" x14ac:dyDescent="0.25">
      <c r="A9927" s="3" t="s">
        <v>28820</v>
      </c>
      <c r="B9927" s="3"/>
      <c r="C9927" s="3" t="str">
        <f>"Specializing in Building Automation Control Systems and Energy Management Systems with a specific focus on Johnson and Siemens Controls Automation Systems"</f>
        <v>Specializing in Building Automation Control Systems and Energy Management Systems with a specific focus on Johnson and Siemens Controls Automation Systems</v>
      </c>
      <c r="D9927" s="3" t="s">
        <v>28821</v>
      </c>
      <c r="E9927" s="3" t="s">
        <v>28822</v>
      </c>
      <c r="F9927" s="3" t="str">
        <f>"3173004735"</f>
        <v>3173004735</v>
      </c>
      <c r="G9927" s="3">
        <v>238210</v>
      </c>
      <c r="H9927" s="3" t="s">
        <v>306</v>
      </c>
    </row>
    <row r="9928" spans="1:8" ht="64.5" x14ac:dyDescent="0.25">
      <c r="A9928" s="3" t="s">
        <v>28823</v>
      </c>
      <c r="B9928" s="3"/>
      <c r="C9928" s="3" t="str">
        <f>"Transitioning from an employee with 20+ years of experience with building automation systems, to design engineering, commissioning and service, to a self-employed professional"</f>
        <v>Transitioning from an employee with 20+ years of experience with building automation systems, to design engineering, commissioning and service, to a self-employed professional</v>
      </c>
      <c r="D9928" s="3" t="s">
        <v>28824</v>
      </c>
      <c r="E9928" s="3" t="s">
        <v>28825</v>
      </c>
      <c r="F9928" s="3" t="str">
        <f>"3173004735"</f>
        <v>3173004735</v>
      </c>
      <c r="G9928" s="3">
        <v>541330</v>
      </c>
      <c r="H9928" s="3" t="s">
        <v>82</v>
      </c>
    </row>
    <row r="9929" spans="1:8" ht="51.75" x14ac:dyDescent="0.25">
      <c r="A9929" s="3" t="s">
        <v>28826</v>
      </c>
      <c r="B9929" s="3"/>
      <c r="C9929" s="3" t="str">
        <f>"WatchDog Video provides equipment, installation and services to companies that require video and IP connections for any purpose."</f>
        <v>WatchDog Video provides equipment, installation and services to companies that require video and IP connections for any purpose.</v>
      </c>
      <c r="D9929" s="3" t="s">
        <v>28827</v>
      </c>
      <c r="E9929" s="3" t="s">
        <v>28828</v>
      </c>
      <c r="F9929" s="3" t="str">
        <f>"260.704.7966"</f>
        <v>260.704.7966</v>
      </c>
      <c r="G9929" s="3">
        <v>56162</v>
      </c>
      <c r="H9929" s="3" t="s">
        <v>1276</v>
      </c>
    </row>
    <row r="9930" spans="1:8" ht="77.25" x14ac:dyDescent="0.25">
      <c r="A9930" s="3" t="s">
        <v>28829</v>
      </c>
      <c r="B9930" s="3"/>
      <c r="C9930" s="3" t="str">
        <f>"Our business installs and monitors security devices in commercial properties. We provide the following services: CCTV Installation CCTV surveillance services Alarm Installation Fire Installation Security Consulting and Design Services"</f>
        <v>Our business installs and monitors security devices in commercial properties. We provide the following services: CCTV Installation CCTV surveillance services Alarm Installation Fire Installation Security Consulting and Design Services</v>
      </c>
      <c r="D9930" s="3" t="s">
        <v>28830</v>
      </c>
      <c r="E9930" s="3" t="s">
        <v>28831</v>
      </c>
      <c r="F9930" s="3" t="str">
        <f>"317-566-2044"</f>
        <v>317-566-2044</v>
      </c>
      <c r="G9930" s="3">
        <v>56162</v>
      </c>
      <c r="H9930" s="3" t="s">
        <v>1276</v>
      </c>
    </row>
    <row r="9931" spans="1:8" ht="26.25" x14ac:dyDescent="0.25">
      <c r="A9931" s="3" t="s">
        <v>28832</v>
      </c>
      <c r="B9931" s="3"/>
      <c r="C9931" s="3" t="str">
        <f>"Water line, sewer installation, general contracting of water facilities and plants."</f>
        <v>Water line, sewer installation, general contracting of water facilities and plants.</v>
      </c>
      <c r="D9931" s="3" t="s">
        <v>9</v>
      </c>
      <c r="E9931" s="3" t="s">
        <v>28833</v>
      </c>
      <c r="F9931" s="2"/>
      <c r="G9931" s="3">
        <v>237110</v>
      </c>
      <c r="H9931" s="3" t="s">
        <v>901</v>
      </c>
    </row>
    <row r="9932" spans="1:8" ht="102.75" x14ac:dyDescent="0.25">
      <c r="A9932" s="3" t="s">
        <v>28834</v>
      </c>
      <c r="B9932" s="3"/>
      <c r="C9932" s="3" t="s">
        <v>28835</v>
      </c>
      <c r="D9932" s="3" t="s">
        <v>9</v>
      </c>
      <c r="E9932" s="3" t="s">
        <v>28836</v>
      </c>
      <c r="F9932" s="3" t="str">
        <f>"317-501-4177"</f>
        <v>317-501-4177</v>
      </c>
      <c r="G9932" s="3">
        <v>541611</v>
      </c>
      <c r="H9932" s="3" t="s">
        <v>278</v>
      </c>
    </row>
    <row r="9933" spans="1:8" ht="319.5" x14ac:dyDescent="0.25">
      <c r="A9933" s="3" t="s">
        <v>28837</v>
      </c>
      <c r="B9933" s="3"/>
      <c r="C9933" s="3" t="s">
        <v>28838</v>
      </c>
      <c r="D9933" s="3" t="s">
        <v>28839</v>
      </c>
      <c r="E9933" s="3" t="s">
        <v>28840</v>
      </c>
      <c r="F9933" s="3" t="str">
        <f>"317-694-4019"</f>
        <v>317-694-4019</v>
      </c>
      <c r="G9933" s="3">
        <v>541611</v>
      </c>
      <c r="H9933" s="3" t="s">
        <v>278</v>
      </c>
    </row>
    <row r="9934" spans="1:8" ht="179.25" x14ac:dyDescent="0.25">
      <c r="A9934" s="3" t="s">
        <v>28841</v>
      </c>
      <c r="B9934" s="3"/>
      <c r="C9934" s="3" t="s">
        <v>28842</v>
      </c>
      <c r="D9934" s="3" t="s">
        <v>28843</v>
      </c>
      <c r="E9934" s="3" t="s">
        <v>28844</v>
      </c>
      <c r="F9934" s="3" t="str">
        <f>"317-541-8751"</f>
        <v>317-541-8751</v>
      </c>
      <c r="G9934" s="3">
        <v>541512</v>
      </c>
      <c r="H9934" s="3" t="s">
        <v>19</v>
      </c>
    </row>
    <row r="9935" spans="1:8" ht="26.25" x14ac:dyDescent="0.25">
      <c r="A9935" s="3" t="s">
        <v>28845</v>
      </c>
      <c r="B9935" s="3"/>
      <c r="C9935" s="3" t="str">
        <f>"Mechanical Contractor- Plumbing, H.V.A.C."</f>
        <v>Mechanical Contractor- Plumbing, H.V.A.C.</v>
      </c>
      <c r="D9935" s="3" t="s">
        <v>28846</v>
      </c>
      <c r="E9935" s="3" t="s">
        <v>46</v>
      </c>
      <c r="F9935" s="3" t="str">
        <f>"317-485-6952"</f>
        <v>317-485-6952</v>
      </c>
      <c r="G9935" s="3">
        <v>23511</v>
      </c>
      <c r="H9935" s="3" t="s">
        <v>892</v>
      </c>
    </row>
    <row r="9936" spans="1:8" ht="26.25" x14ac:dyDescent="0.25">
      <c r="A9936" s="3" t="s">
        <v>28847</v>
      </c>
      <c r="B9936" s="3"/>
      <c r="C9936" s="3" t="str">
        <f>"Leasing of commercial and industrial buildings, including build to suit"</f>
        <v>Leasing of commercial and industrial buildings, including build to suit</v>
      </c>
      <c r="D9936" s="3" t="s">
        <v>9</v>
      </c>
      <c r="E9936" s="3" t="s">
        <v>46</v>
      </c>
      <c r="F9936" s="2"/>
      <c r="G9936" s="3">
        <v>53</v>
      </c>
      <c r="H9936" s="3" t="s">
        <v>2336</v>
      </c>
    </row>
    <row r="9937" spans="1:8" ht="51.75" x14ac:dyDescent="0.25">
      <c r="A9937" s="3" t="s">
        <v>28848</v>
      </c>
      <c r="B9937" s="3"/>
      <c r="C9937" s="3" t="str">
        <f>"Outdoor Power Equipment sales and service, including Stihl chainsaws, trimmers, blowers and Dixon and Ferris ZTR lawnmowers."</f>
        <v>Outdoor Power Equipment sales and service, including Stihl chainsaws, trimmers, blowers and Dixon and Ferris ZTR lawnmowers.</v>
      </c>
      <c r="D9937" s="3" t="s">
        <v>28849</v>
      </c>
      <c r="E9937" s="3" t="s">
        <v>28850</v>
      </c>
      <c r="F9937" s="3" t="str">
        <f>"765-435-2806"</f>
        <v>765-435-2806</v>
      </c>
      <c r="G9937" s="3">
        <v>444210</v>
      </c>
      <c r="H9937" s="3" t="s">
        <v>392</v>
      </c>
    </row>
    <row r="9938" spans="1:8" x14ac:dyDescent="0.25">
      <c r="A9938" s="3" t="s">
        <v>28851</v>
      </c>
      <c r="B9938" s="3"/>
      <c r="C9938" s="3" t="str">
        <f>" "</f>
        <v xml:space="preserve"> </v>
      </c>
      <c r="D9938" s="3" t="s">
        <v>9</v>
      </c>
      <c r="E9938" s="3" t="s">
        <v>46</v>
      </c>
      <c r="F9938" s="2"/>
      <c r="G9938" s="3">
        <v>611110</v>
      </c>
      <c r="H9938" s="3" t="s">
        <v>3876</v>
      </c>
    </row>
    <row r="9939" spans="1:8" ht="26.25" x14ac:dyDescent="0.25">
      <c r="A9939" s="3" t="s">
        <v>28852</v>
      </c>
      <c r="B9939" s="3"/>
      <c r="C9939" s="3" t="str">
        <f>"Insurance and Estate Planning services Health Savings Accounts"</f>
        <v>Insurance and Estate Planning services Health Savings Accounts</v>
      </c>
      <c r="D9939" s="3" t="s">
        <v>28853</v>
      </c>
      <c r="E9939" s="3" t="s">
        <v>28854</v>
      </c>
      <c r="F9939" s="3" t="str">
        <f>"260.740.6421"</f>
        <v>260.740.6421</v>
      </c>
      <c r="G9939" s="3">
        <v>524210</v>
      </c>
      <c r="H9939" s="3" t="s">
        <v>1183</v>
      </c>
    </row>
    <row r="9940" spans="1:8" ht="90" x14ac:dyDescent="0.25">
      <c r="A9940" s="3" t="s">
        <v>28855</v>
      </c>
      <c r="B9940" s="3"/>
      <c r="C9940" s="3" t="s">
        <v>28856</v>
      </c>
      <c r="D9940" s="3" t="s">
        <v>28857</v>
      </c>
      <c r="E9940" s="3" t="s">
        <v>28858</v>
      </c>
      <c r="F9940" s="3" t="str">
        <f>"317-635-4448"</f>
        <v>317-635-4448</v>
      </c>
      <c r="G9940" s="3">
        <v>441310</v>
      </c>
      <c r="H9940" s="3" t="s">
        <v>1699</v>
      </c>
    </row>
    <row r="9941" spans="1:8" ht="39" x14ac:dyDescent="0.25">
      <c r="A9941" s="3" t="s">
        <v>28859</v>
      </c>
      <c r="B9941" s="3"/>
      <c r="C9941" s="3" t="str">
        <f>"Wayne Kruse Real Estate, Inc. is involved in residential brokerage and commercial and industrial real estate appraisal services."</f>
        <v>Wayne Kruse Real Estate, Inc. is involved in residential brokerage and commercial and industrial real estate appraisal services.</v>
      </c>
      <c r="D9941" s="3" t="s">
        <v>9</v>
      </c>
      <c r="E9941" s="3" t="s">
        <v>28860</v>
      </c>
      <c r="F9941" s="3" t="str">
        <f>"260-484-9524"</f>
        <v>260-484-9524</v>
      </c>
      <c r="G9941" s="3">
        <v>531320</v>
      </c>
      <c r="H9941" s="3" t="s">
        <v>34</v>
      </c>
    </row>
    <row r="9942" spans="1:8" ht="77.25" x14ac:dyDescent="0.25">
      <c r="A9942" s="3" t="s">
        <v>28861</v>
      </c>
      <c r="B9942" s="3"/>
      <c r="C9942" s="3" t="str">
        <f>"Wayne Vaughn Equipment Supplies businesses and cinsumers with industrial air compressors, air blowers, air dryers, aftercoolers, fitlers, petroleum equipment, and vacuum systems for and type of air need."</f>
        <v>Wayne Vaughn Equipment Supplies businesses and cinsumers with industrial air compressors, air blowers, air dryers, aftercoolers, fitlers, petroleum equipment, and vacuum systems for and type of air need.</v>
      </c>
      <c r="D9942" s="3" t="s">
        <v>28862</v>
      </c>
      <c r="E9942" s="3" t="s">
        <v>28863</v>
      </c>
      <c r="F9942" s="3" t="str">
        <f>"260-424-4044"</f>
        <v>260-424-4044</v>
      </c>
      <c r="G9942" s="3">
        <v>42183</v>
      </c>
      <c r="H9942" s="3" t="s">
        <v>2894</v>
      </c>
    </row>
    <row r="9943" spans="1:8" ht="39" x14ac:dyDescent="0.25">
      <c r="A9943" s="3" t="s">
        <v>28864</v>
      </c>
      <c r="B9943" s="3"/>
      <c r="C9943" s="3" t="str">
        <f>"The purpose of this company is to provide resource imformation to individuals with disabilities and senior citizens."</f>
        <v>The purpose of this company is to provide resource imformation to individuals with disabilities and senior citizens.</v>
      </c>
      <c r="D9943" s="3" t="s">
        <v>9</v>
      </c>
      <c r="E9943" s="3" t="s">
        <v>12024</v>
      </c>
      <c r="F9943" s="3" t="str">
        <f>"219-554-2551"</f>
        <v>219-554-2551</v>
      </c>
      <c r="G9943" s="3">
        <v>624190</v>
      </c>
      <c r="H9943" s="3" t="s">
        <v>54</v>
      </c>
    </row>
    <row r="9944" spans="1:8" ht="90" x14ac:dyDescent="0.25">
      <c r="A9944" s="3" t="s">
        <v>28865</v>
      </c>
      <c r="B9944" s="3"/>
      <c r="C9944" s="3" t="s">
        <v>28866</v>
      </c>
      <c r="D9944" s="3" t="s">
        <v>28867</v>
      </c>
      <c r="E9944" s="3" t="s">
        <v>28868</v>
      </c>
      <c r="F9944" s="3" t="str">
        <f>"219-261-2520"</f>
        <v>219-261-2520</v>
      </c>
      <c r="G9944" s="3">
        <v>1111</v>
      </c>
      <c r="H9944" s="3" t="s">
        <v>6701</v>
      </c>
    </row>
    <row r="9945" spans="1:8" ht="153.75" x14ac:dyDescent="0.25">
      <c r="A9945" s="3" t="s">
        <v>28869</v>
      </c>
      <c r="B9945" s="3"/>
      <c r="C9945" s="3" t="s">
        <v>28870</v>
      </c>
      <c r="D9945" s="3" t="s">
        <v>28871</v>
      </c>
      <c r="E9945" s="3" t="s">
        <v>28872</v>
      </c>
      <c r="F9945" s="3" t="str">
        <f>"3178674477"</f>
        <v>3178674477</v>
      </c>
      <c r="G9945" s="3">
        <v>325998</v>
      </c>
      <c r="H9945" s="3" t="s">
        <v>7066</v>
      </c>
    </row>
    <row r="9946" spans="1:8" ht="77.25" x14ac:dyDescent="0.25">
      <c r="A9946" s="3" t="s">
        <v>28873</v>
      </c>
      <c r="B9946" s="3"/>
      <c r="C9946" s="3" t="str">
        <f>"We manufacture premium stains for wood and caulks and sealants for a variety of uses but primarily for the log home and building industries. We also produce textured coatings for stucco and concrete buildings."</f>
        <v>We manufacture premium stains for wood and caulks and sealants for a variety of uses but primarily for the log home and building industries. We also produce textured coatings for stucco and concrete buildings.</v>
      </c>
      <c r="D9946" s="3" t="s">
        <v>28874</v>
      </c>
      <c r="E9946" s="3" t="s">
        <v>28875</v>
      </c>
      <c r="F9946" s="3" t="str">
        <f>"800-367-7068"</f>
        <v>800-367-7068</v>
      </c>
      <c r="G9946" s="3">
        <v>325520</v>
      </c>
      <c r="H9946" s="3" t="s">
        <v>13079</v>
      </c>
    </row>
    <row r="9947" spans="1:8" ht="153.75" x14ac:dyDescent="0.25">
      <c r="A9947" s="3" t="s">
        <v>28876</v>
      </c>
      <c r="B9947" s="3"/>
      <c r="C9947" s="3" t="s">
        <v>28877</v>
      </c>
      <c r="D9947" s="3" t="s">
        <v>28878</v>
      </c>
      <c r="E9947" s="3" t="s">
        <v>28879</v>
      </c>
      <c r="F9947" s="3" t="str">
        <f>"(765) 641-8080"</f>
        <v>(765) 641-8080</v>
      </c>
      <c r="G9947" s="3">
        <v>561440</v>
      </c>
      <c r="H9947" s="3" t="s">
        <v>473</v>
      </c>
    </row>
    <row r="9948" spans="1:8" ht="64.5" x14ac:dyDescent="0.25">
      <c r="A9948" s="3" t="s">
        <v>28880</v>
      </c>
      <c r="B9948" s="3"/>
      <c r="C9948" s="3" t="str">
        <f>"Custom framing of pictures, documents, artwork including preservation and museum glass; emphasis on environmentally friendly products and services."</f>
        <v>Custom framing of pictures, documents, artwork including preservation and museum glass; emphasis on environmentally friendly products and services.</v>
      </c>
      <c r="D9948" s="3" t="s">
        <v>28881</v>
      </c>
      <c r="E9948" s="3" t="s">
        <v>28882</v>
      </c>
      <c r="F9948" s="3" t="str">
        <f>"812-333-6330"</f>
        <v>812-333-6330</v>
      </c>
      <c r="G9948" s="3">
        <v>442299</v>
      </c>
      <c r="H9948" s="3" t="s">
        <v>951</v>
      </c>
    </row>
    <row r="9949" spans="1:8" ht="26.25" x14ac:dyDescent="0.25">
      <c r="A9949" s="3" t="s">
        <v>28883</v>
      </c>
      <c r="B9949" s="3"/>
      <c r="C9949" s="3" t="str">
        <f>"Environmental, Geological, and Remediation Services"</f>
        <v>Environmental, Geological, and Remediation Services</v>
      </c>
      <c r="D9949" s="3" t="s">
        <v>28884</v>
      </c>
      <c r="E9949" s="3" t="s">
        <v>28885</v>
      </c>
      <c r="F9949" s="3" t="str">
        <f>"574-271-3447"</f>
        <v>574-271-3447</v>
      </c>
      <c r="G9949" s="3">
        <v>541330</v>
      </c>
      <c r="H9949" s="3" t="s">
        <v>82</v>
      </c>
    </row>
    <row r="9950" spans="1:8" ht="230.25" x14ac:dyDescent="0.25">
      <c r="A9950" s="3" t="s">
        <v>28886</v>
      </c>
      <c r="B9950" s="3"/>
      <c r="C9950" s="3" t="s">
        <v>28887</v>
      </c>
      <c r="D9950" s="3" t="s">
        <v>28888</v>
      </c>
      <c r="E9950" s="3" t="s">
        <v>28889</v>
      </c>
      <c r="F9950" s="3" t="str">
        <f>"317-920-0234"</f>
        <v>317-920-0234</v>
      </c>
      <c r="G9950" s="3">
        <v>5415</v>
      </c>
      <c r="H9950" s="3" t="s">
        <v>188</v>
      </c>
    </row>
    <row r="9951" spans="1:8" ht="128.25" x14ac:dyDescent="0.25">
      <c r="A9951" s="3" t="s">
        <v>28890</v>
      </c>
      <c r="B9951" s="3"/>
      <c r="C9951" s="3" t="s">
        <v>28891</v>
      </c>
      <c r="D9951" s="3" t="s">
        <v>28892</v>
      </c>
      <c r="E9951" s="3" t="s">
        <v>28893</v>
      </c>
      <c r="F9951" s="3" t="str">
        <f>"317-297-5200"</f>
        <v>317-297-5200</v>
      </c>
      <c r="G9951" s="3">
        <v>313230</v>
      </c>
      <c r="H9951" s="3" t="s">
        <v>28894</v>
      </c>
    </row>
    <row r="9952" spans="1:8" ht="26.25" x14ac:dyDescent="0.25">
      <c r="A9952" s="3" t="s">
        <v>28895</v>
      </c>
      <c r="B9952" s="3"/>
      <c r="C9952" s="3" t="str">
        <f>"Motor Carrier Transportation Services"</f>
        <v>Motor Carrier Transportation Services</v>
      </c>
      <c r="D9952" s="3" t="s">
        <v>9</v>
      </c>
      <c r="E9952" s="3" t="s">
        <v>28896</v>
      </c>
      <c r="F9952" s="3" t="str">
        <f>"812-284-2799"</f>
        <v>812-284-2799</v>
      </c>
      <c r="G9952" s="3">
        <v>484110</v>
      </c>
      <c r="H9952" s="3" t="s">
        <v>644</v>
      </c>
    </row>
    <row r="9953" spans="1:8" ht="243" x14ac:dyDescent="0.25">
      <c r="A9953" s="3" t="s">
        <v>28897</v>
      </c>
      <c r="B9953" s="3"/>
      <c r="C9953" s="3" t="s">
        <v>28898</v>
      </c>
      <c r="D9953" s="3" t="s">
        <v>28899</v>
      </c>
      <c r="E9953" s="3" t="s">
        <v>28900</v>
      </c>
      <c r="F9953" s="3" t="str">
        <f>"574-223-2216"</f>
        <v>574-223-2216</v>
      </c>
      <c r="G9953" s="3">
        <v>446110</v>
      </c>
      <c r="H9953" s="3" t="s">
        <v>3738</v>
      </c>
    </row>
    <row r="9954" spans="1:8" ht="268.5" x14ac:dyDescent="0.25">
      <c r="A9954" s="3" t="s">
        <v>28901</v>
      </c>
      <c r="B9954" s="3"/>
      <c r="C9954" s="3" t="s">
        <v>28902</v>
      </c>
      <c r="D9954" s="3" t="s">
        <v>28903</v>
      </c>
      <c r="E9954" s="3" t="s">
        <v>28904</v>
      </c>
      <c r="F9954" s="3" t="str">
        <f>"317-536-8000"</f>
        <v>317-536-8000</v>
      </c>
      <c r="G9954" s="3">
        <v>5415</v>
      </c>
      <c r="H9954" s="3" t="s">
        <v>188</v>
      </c>
    </row>
    <row r="9955" spans="1:8" ht="26.25" x14ac:dyDescent="0.25">
      <c r="A9955" s="3" t="s">
        <v>28905</v>
      </c>
      <c r="B9955" s="3"/>
      <c r="C9955" s="2"/>
      <c r="D9955" s="3" t="s">
        <v>9</v>
      </c>
      <c r="E9955" s="3" t="s">
        <v>46</v>
      </c>
      <c r="F9955" s="2"/>
      <c r="G9955" s="3">
        <v>322211</v>
      </c>
      <c r="H9955" s="3" t="s">
        <v>2605</v>
      </c>
    </row>
    <row r="9956" spans="1:8" ht="64.5" x14ac:dyDescent="0.25">
      <c r="A9956" s="3" t="s">
        <v>28906</v>
      </c>
      <c r="B9956" s="3"/>
      <c r="C9956" s="3" t="str">
        <f>"Weigand Construction performs general contracting, construction management and design-build services throughout the state of Indiana. We also self perform concrete, carpentry and masonry work."</f>
        <v>Weigand Construction performs general contracting, construction management and design-build services throughout the state of Indiana. We also self perform concrete, carpentry and masonry work.</v>
      </c>
      <c r="D9956" s="3" t="s">
        <v>28907</v>
      </c>
      <c r="E9956" s="3" t="s">
        <v>28908</v>
      </c>
      <c r="F9956" s="3" t="str">
        <f>"260-490-7449"</f>
        <v>260-490-7449</v>
      </c>
      <c r="G9956" s="3">
        <v>236220</v>
      </c>
      <c r="H9956" s="3" t="s">
        <v>598</v>
      </c>
    </row>
    <row r="9957" spans="1:8" ht="102.75" x14ac:dyDescent="0.25">
      <c r="A9957" s="3" t="s">
        <v>28909</v>
      </c>
      <c r="B9957" s="3"/>
      <c r="C9957" s="3" t="s">
        <v>28910</v>
      </c>
      <c r="D9957" s="3" t="s">
        <v>28911</v>
      </c>
      <c r="E9957" s="3" t="s">
        <v>28912</v>
      </c>
      <c r="F9957" s="3" t="str">
        <f>"317-846-6611"</f>
        <v>317-846-6611</v>
      </c>
      <c r="G9957" s="3">
        <v>54133</v>
      </c>
      <c r="H9957" s="3" t="s">
        <v>82</v>
      </c>
    </row>
    <row r="9958" spans="1:8" ht="39" x14ac:dyDescent="0.25">
      <c r="A9958" s="3" t="s">
        <v>28913</v>
      </c>
      <c r="B9958" s="3"/>
      <c r="C9958" s="3" t="str">
        <f>"Plumbing, HVAC, Refrigeration, Service and Installation Contractor. Commercial, Industrial and Institutional."</f>
        <v>Plumbing, HVAC, Refrigeration, Service and Installation Contractor. Commercial, Industrial and Institutional.</v>
      </c>
      <c r="D9958" s="3" t="s">
        <v>28914</v>
      </c>
      <c r="E9958" s="3" t="s">
        <v>28915</v>
      </c>
      <c r="F9958" s="3" t="str">
        <f>"260-471-4900"</f>
        <v>260-471-4900</v>
      </c>
      <c r="G9958" s="3">
        <v>238220</v>
      </c>
      <c r="H9958" s="3" t="s">
        <v>348</v>
      </c>
    </row>
    <row r="9959" spans="1:8" ht="26.25" x14ac:dyDescent="0.25">
      <c r="A9959" s="3" t="s">
        <v>28916</v>
      </c>
      <c r="B9959" s="3"/>
      <c r="C9959" s="2"/>
      <c r="D9959" s="3" t="s">
        <v>9</v>
      </c>
      <c r="E9959" s="3" t="s">
        <v>46</v>
      </c>
      <c r="F9959" s="2"/>
      <c r="G9959" s="3">
        <v>23511</v>
      </c>
      <c r="H9959" s="3" t="s">
        <v>892</v>
      </c>
    </row>
    <row r="9960" spans="1:8" ht="51.75" x14ac:dyDescent="0.25">
      <c r="A9960" s="3" t="s">
        <v>28917</v>
      </c>
      <c r="B9960" s="3"/>
      <c r="C9960" s="3" t="str">
        <f>"Historical consulting including Section 106 work, historic preservation, historic research and writing, and exhibit preparation"</f>
        <v>Historical consulting including Section 106 work, historic preservation, historic research and writing, and exhibit preparation</v>
      </c>
      <c r="D9960" s="3" t="s">
        <v>28918</v>
      </c>
      <c r="E9960" s="3" t="s">
        <v>28919</v>
      </c>
      <c r="F9960" s="3" t="str">
        <f>"317-733-9770"</f>
        <v>317-733-9770</v>
      </c>
      <c r="G9960" s="3">
        <v>541990</v>
      </c>
      <c r="H9960" s="3" t="s">
        <v>378</v>
      </c>
    </row>
    <row r="9961" spans="1:8" ht="115.5" x14ac:dyDescent="0.25">
      <c r="A9961" s="3" t="s">
        <v>28920</v>
      </c>
      <c r="B9961" s="3"/>
      <c r="C9961" s="3" t="s">
        <v>28921</v>
      </c>
      <c r="D9961" s="3" t="s">
        <v>28922</v>
      </c>
      <c r="E9961" s="3" t="s">
        <v>46</v>
      </c>
      <c r="F9961" s="3" t="str">
        <f>"317-585-5858"</f>
        <v>317-585-5858</v>
      </c>
      <c r="G9961" s="3">
        <v>511120</v>
      </c>
      <c r="H9961" s="3" t="s">
        <v>149</v>
      </c>
    </row>
    <row r="9962" spans="1:8" ht="39" x14ac:dyDescent="0.25">
      <c r="A9962" s="3" t="s">
        <v>28923</v>
      </c>
      <c r="B9962" s="3"/>
      <c r="C9962" s="3" t="str">
        <f>"STAIN &amp; PAINTING OF CEDAR SIDING AND TRIM, STAIN &amp; PAINT FIBER CEMENT SIDING AND TRIM"</f>
        <v>STAIN &amp; PAINTING OF CEDAR SIDING AND TRIM, STAIN &amp; PAINT FIBER CEMENT SIDING AND TRIM</v>
      </c>
      <c r="D9962" s="3" t="s">
        <v>28924</v>
      </c>
      <c r="E9962" s="3" t="s">
        <v>46</v>
      </c>
      <c r="F9962" s="3" t="str">
        <f>"219.369.9111"</f>
        <v>219.369.9111</v>
      </c>
      <c r="G9962" s="3">
        <v>3219</v>
      </c>
      <c r="H9962" s="3" t="s">
        <v>7083</v>
      </c>
    </row>
    <row r="9963" spans="1:8" ht="26.25" x14ac:dyDescent="0.25">
      <c r="A9963" s="3" t="s">
        <v>28925</v>
      </c>
      <c r="B9963" s="3"/>
      <c r="C9963" s="2"/>
      <c r="D9963" s="3" t="s">
        <v>28926</v>
      </c>
      <c r="E9963" s="3" t="s">
        <v>28927</v>
      </c>
      <c r="F9963" s="3" t="str">
        <f>"812-426-6600"</f>
        <v>812-426-6600</v>
      </c>
      <c r="G9963" s="3">
        <v>621111</v>
      </c>
      <c r="H9963" s="3" t="s">
        <v>2002</v>
      </c>
    </row>
    <row r="9964" spans="1:8" ht="90" x14ac:dyDescent="0.25">
      <c r="A9964" s="3" t="s">
        <v>28928</v>
      </c>
      <c r="B9964" s="3"/>
      <c r="C9964" s="3" t="s">
        <v>28929</v>
      </c>
      <c r="D9964" s="3" t="s">
        <v>28926</v>
      </c>
      <c r="E9964" s="3" t="s">
        <v>46</v>
      </c>
      <c r="F9964" s="3" t="str">
        <f>"(812) 426-6600"</f>
        <v>(812) 426-6600</v>
      </c>
      <c r="G9964" s="3">
        <v>5241</v>
      </c>
      <c r="H9964" s="3" t="s">
        <v>822</v>
      </c>
    </row>
    <row r="9965" spans="1:8" ht="90" x14ac:dyDescent="0.25">
      <c r="A9965" s="3" t="s">
        <v>28930</v>
      </c>
      <c r="B9965" s="3"/>
      <c r="C9965" s="3" t="s">
        <v>28931</v>
      </c>
      <c r="D9965" s="3" t="s">
        <v>28932</v>
      </c>
      <c r="E9965" s="3" t="s">
        <v>28933</v>
      </c>
      <c r="F9965" s="2"/>
      <c r="G9965" s="3">
        <v>42292</v>
      </c>
      <c r="H9965" s="3" t="s">
        <v>28934</v>
      </c>
    </row>
    <row r="9966" spans="1:8" ht="39" x14ac:dyDescent="0.25">
      <c r="A9966" s="3" t="s">
        <v>28935</v>
      </c>
      <c r="B9966" s="3"/>
      <c r="C9966" s="3" t="str">
        <f>"We sell all types of insurance including commercial, home, auto, life, and health. We also specialize in financial services."</f>
        <v>We sell all types of insurance including commercial, home, auto, life, and health. We also specialize in financial services.</v>
      </c>
      <c r="D9966" s="3" t="s">
        <v>28936</v>
      </c>
      <c r="E9966" s="3" t="s">
        <v>46</v>
      </c>
      <c r="F9966" s="3" t="str">
        <f>"(574) 862-4269"</f>
        <v>(574) 862-4269</v>
      </c>
      <c r="G9966" s="3">
        <v>524210</v>
      </c>
      <c r="H9966" s="3" t="s">
        <v>1183</v>
      </c>
    </row>
    <row r="9967" spans="1:8" ht="192" x14ac:dyDescent="0.25">
      <c r="A9967" s="3" t="s">
        <v>28937</v>
      </c>
      <c r="B9967" s="3"/>
      <c r="C9967" s="3" t="s">
        <v>28938</v>
      </c>
      <c r="D9967" s="3" t="s">
        <v>28939</v>
      </c>
      <c r="E9967" s="3" t="s">
        <v>28940</v>
      </c>
      <c r="F9967" s="3" t="str">
        <f>"317-888-4141"</f>
        <v>317-888-4141</v>
      </c>
      <c r="G9967" s="3">
        <v>621399</v>
      </c>
      <c r="H9967" s="3" t="s">
        <v>2306</v>
      </c>
    </row>
    <row r="9968" spans="1:8" ht="179.25" x14ac:dyDescent="0.25">
      <c r="A9968" s="3" t="s">
        <v>28941</v>
      </c>
      <c r="B9968" s="3"/>
      <c r="C9968" s="3" t="s">
        <v>28942</v>
      </c>
      <c r="D9968" s="3" t="s">
        <v>28943</v>
      </c>
      <c r="E9968" s="3" t="s">
        <v>28944</v>
      </c>
      <c r="F9968" s="3" t="str">
        <f>"317-264-2168"</f>
        <v>317-264-2168</v>
      </c>
      <c r="G9968" s="3">
        <v>813910</v>
      </c>
      <c r="H9968" s="3" t="s">
        <v>1906</v>
      </c>
    </row>
    <row r="9969" spans="1:8" ht="179.25" x14ac:dyDescent="0.25">
      <c r="A9969" s="3" t="s">
        <v>28945</v>
      </c>
      <c r="B9969" s="3"/>
      <c r="C9969" s="3" t="s">
        <v>28946</v>
      </c>
      <c r="D9969" s="3" t="s">
        <v>28947</v>
      </c>
      <c r="E9969" s="3" t="s">
        <v>28948</v>
      </c>
      <c r="F9969" s="3" t="str">
        <f>"812-934-4454"</f>
        <v>812-934-4454</v>
      </c>
      <c r="G9969" s="3">
        <v>4461</v>
      </c>
      <c r="H9969" s="3" t="s">
        <v>1202</v>
      </c>
    </row>
    <row r="9970" spans="1:8" ht="26.25" x14ac:dyDescent="0.25">
      <c r="A9970" s="3" t="s">
        <v>28949</v>
      </c>
      <c r="B9970" s="3"/>
      <c r="C9970" s="3" t="str">
        <f>"Construction Hauling Services"</f>
        <v>Construction Hauling Services</v>
      </c>
      <c r="D9970" s="3" t="s">
        <v>9</v>
      </c>
      <c r="E9970" s="3" t="s">
        <v>46</v>
      </c>
      <c r="F9970" s="3" t="str">
        <f>"317-250-2616"</f>
        <v>317-250-2616</v>
      </c>
      <c r="G9970" s="3">
        <v>484110</v>
      </c>
      <c r="H9970" s="3" t="s">
        <v>644</v>
      </c>
    </row>
    <row r="9971" spans="1:8" ht="26.25" x14ac:dyDescent="0.25">
      <c r="A9971" s="3" t="s">
        <v>28950</v>
      </c>
      <c r="B9971" s="3"/>
      <c r="C9971" s="3" t="str">
        <f>"Local Construction and Hauling Services."</f>
        <v>Local Construction and Hauling Services.</v>
      </c>
      <c r="D9971" s="3" t="s">
        <v>9</v>
      </c>
      <c r="E9971" s="3" t="s">
        <v>28655</v>
      </c>
      <c r="F9971" s="3" t="str">
        <f>"317-250-2616"</f>
        <v>317-250-2616</v>
      </c>
      <c r="G9971" s="3">
        <v>484220</v>
      </c>
      <c r="H9971" s="3" t="s">
        <v>11</v>
      </c>
    </row>
    <row r="9972" spans="1:8" ht="26.25" x14ac:dyDescent="0.25">
      <c r="A9972" s="3" t="s">
        <v>28951</v>
      </c>
      <c r="B9972" s="3"/>
      <c r="C9972" s="3" t="str">
        <f>"lumber, cloths, boots, hardware,"</f>
        <v>lumber, cloths, boots, hardware,</v>
      </c>
      <c r="D9972" s="3" t="s">
        <v>9</v>
      </c>
      <c r="E9972" s="3" t="s">
        <v>28952</v>
      </c>
      <c r="F9972" s="3" t="str">
        <f>"765-825-4117"</f>
        <v>765-825-4117</v>
      </c>
      <c r="G9972" s="3">
        <v>444110</v>
      </c>
      <c r="H9972" s="3" t="s">
        <v>3072</v>
      </c>
    </row>
    <row r="9973" spans="1:8" ht="90" x14ac:dyDescent="0.25">
      <c r="A9973" s="3" t="s">
        <v>28953</v>
      </c>
      <c r="B9973" s="3"/>
      <c r="C9973" s="3" t="s">
        <v>28954</v>
      </c>
      <c r="D9973" s="3" t="s">
        <v>9</v>
      </c>
      <c r="E9973" s="3" t="s">
        <v>28955</v>
      </c>
      <c r="F9973" s="3" t="str">
        <f>"3172808028"</f>
        <v>3172808028</v>
      </c>
      <c r="G9973" s="3">
        <v>5619</v>
      </c>
      <c r="H9973" s="3" t="s">
        <v>2982</v>
      </c>
    </row>
    <row r="9974" spans="1:8" ht="179.25" x14ac:dyDescent="0.25">
      <c r="A9974" s="3" t="s">
        <v>28956</v>
      </c>
      <c r="B9974" s="3"/>
      <c r="C9974" s="3" t="s">
        <v>28957</v>
      </c>
      <c r="D9974" s="3" t="s">
        <v>28958</v>
      </c>
      <c r="E9974" s="3" t="s">
        <v>28959</v>
      </c>
      <c r="F9974" s="3" t="str">
        <f>"513.723.2200"</f>
        <v>513.723.2200</v>
      </c>
      <c r="G9974" s="3">
        <v>541110</v>
      </c>
      <c r="H9974" s="3" t="s">
        <v>2978</v>
      </c>
    </row>
    <row r="9975" spans="1:8" x14ac:dyDescent="0.25">
      <c r="A9975" s="3" t="s">
        <v>28960</v>
      </c>
      <c r="B9975" s="3"/>
      <c r="C9975" s="3" t="str">
        <f>"Equipment Leasing"</f>
        <v>Equipment Leasing</v>
      </c>
      <c r="D9975" s="3" t="s">
        <v>9</v>
      </c>
      <c r="E9975" s="3" t="s">
        <v>46</v>
      </c>
      <c r="F9975" s="2"/>
      <c r="G9975" s="3">
        <v>522220</v>
      </c>
      <c r="H9975" s="3" t="s">
        <v>4071</v>
      </c>
    </row>
    <row r="9976" spans="1:8" ht="128.25" x14ac:dyDescent="0.25">
      <c r="A9976" s="3" t="s">
        <v>28961</v>
      </c>
      <c r="B9976" s="3"/>
      <c r="C9976" s="3" t="s">
        <v>28962</v>
      </c>
      <c r="D9976" s="3" t="s">
        <v>28963</v>
      </c>
      <c r="E9976" s="3" t="s">
        <v>28964</v>
      </c>
      <c r="F9976" s="3" t="str">
        <f>"765-643-6444"</f>
        <v>765-643-6444</v>
      </c>
      <c r="G9976" s="3">
        <v>238210</v>
      </c>
      <c r="H9976" s="3" t="s">
        <v>306</v>
      </c>
    </row>
    <row r="9977" spans="1:8" ht="26.25" x14ac:dyDescent="0.25">
      <c r="A9977" s="3" t="s">
        <v>28965</v>
      </c>
      <c r="B9977" s="3"/>
      <c r="C9977" s="3" t="str">
        <f>"Farm Equipment Dealer"</f>
        <v>Farm Equipment Dealer</v>
      </c>
      <c r="D9977" s="3" t="s">
        <v>28966</v>
      </c>
      <c r="E9977" s="3" t="s">
        <v>28967</v>
      </c>
      <c r="F9977" s="3" t="str">
        <f>"765-583-4091"</f>
        <v>765-583-4091</v>
      </c>
      <c r="G9977" s="3">
        <v>11</v>
      </c>
      <c r="H9977" s="3" t="s">
        <v>175</v>
      </c>
    </row>
    <row r="9978" spans="1:8" x14ac:dyDescent="0.25">
      <c r="A9978" s="3" t="s">
        <v>28968</v>
      </c>
      <c r="B9978" s="3"/>
      <c r="C9978" s="2"/>
      <c r="D9978" s="3" t="s">
        <v>9</v>
      </c>
      <c r="E9978" s="3" t="s">
        <v>46</v>
      </c>
      <c r="F9978" s="2"/>
      <c r="G9978" s="3">
        <v>922160</v>
      </c>
      <c r="H9978" s="3" t="s">
        <v>2246</v>
      </c>
    </row>
    <row r="9979" spans="1:8" ht="39" x14ac:dyDescent="0.25">
      <c r="A9979" s="3" t="s">
        <v>28969</v>
      </c>
      <c r="B9979" s="3"/>
      <c r="C9979" s="3" t="str">
        <f>"Residential and commercial bulding material supplier, electrical, plumbing, paint, lumber, and tools."</f>
        <v>Residential and commercial bulding material supplier, electrical, plumbing, paint, lumber, and tools.</v>
      </c>
      <c r="D9979" s="3" t="s">
        <v>9</v>
      </c>
      <c r="E9979" s="3" t="s">
        <v>46</v>
      </c>
      <c r="F9979" s="3" t="str">
        <f>"812 427-2511"</f>
        <v>812 427-2511</v>
      </c>
      <c r="G9979" s="3">
        <v>4441</v>
      </c>
      <c r="H9979" s="3" t="s">
        <v>24862</v>
      </c>
    </row>
    <row r="9980" spans="1:8" ht="26.25" x14ac:dyDescent="0.25">
      <c r="A9980" s="3" t="s">
        <v>28970</v>
      </c>
      <c r="B9980" s="3"/>
      <c r="C9980" s="3" t="str">
        <f>"Crushed Limestone Quarry"</f>
        <v>Crushed Limestone Quarry</v>
      </c>
      <c r="D9980" s="3" t="s">
        <v>28971</v>
      </c>
      <c r="E9980" s="3" t="s">
        <v>46</v>
      </c>
      <c r="F9980" s="3" t="str">
        <f>"(260)563-9500"</f>
        <v>(260)563-9500</v>
      </c>
      <c r="G9980" s="3">
        <v>212312</v>
      </c>
      <c r="H9980" s="3" t="s">
        <v>3264</v>
      </c>
    </row>
    <row r="9981" spans="1:8" ht="39" x14ac:dyDescent="0.25">
      <c r="A9981" s="3" t="s">
        <v>28972</v>
      </c>
      <c r="B9981" s="3"/>
      <c r="C9981" s="3" t="str">
        <f>"John Deere Dealership"</f>
        <v>John Deere Dealership</v>
      </c>
      <c r="D9981" s="3" t="s">
        <v>28973</v>
      </c>
      <c r="E9981" s="3" t="s">
        <v>46</v>
      </c>
      <c r="F9981" s="3" t="str">
        <f>"574-232-1461"</f>
        <v>574-232-1461</v>
      </c>
      <c r="G9981" s="3">
        <v>423810</v>
      </c>
      <c r="H9981" s="3" t="s">
        <v>4276</v>
      </c>
    </row>
    <row r="9982" spans="1:8" ht="26.25" x14ac:dyDescent="0.25">
      <c r="A9982" s="3" t="s">
        <v>28974</v>
      </c>
      <c r="B9982" s="3"/>
      <c r="C9982" s="3" t="str">
        <f>"Landsacape and grounds maintaince."</f>
        <v>Landsacape and grounds maintaince.</v>
      </c>
      <c r="D9982" s="3" t="s">
        <v>9</v>
      </c>
      <c r="E9982" s="3" t="s">
        <v>46</v>
      </c>
      <c r="F9982" s="3" t="str">
        <f>"765-654-9877"</f>
        <v>765-654-9877</v>
      </c>
      <c r="G9982" s="3">
        <v>54132</v>
      </c>
      <c r="H9982" s="3" t="s">
        <v>2241</v>
      </c>
    </row>
    <row r="9983" spans="1:8" ht="319.5" x14ac:dyDescent="0.25">
      <c r="A9983" s="3" t="s">
        <v>28975</v>
      </c>
      <c r="B9983" s="3"/>
      <c r="C9983" s="3" t="s">
        <v>28976</v>
      </c>
      <c r="D9983" s="3" t="s">
        <v>28977</v>
      </c>
      <c r="E9983" s="3" t="s">
        <v>28978</v>
      </c>
      <c r="F9983" s="3" t="str">
        <f>"317-359-8367"</f>
        <v>317-359-8367</v>
      </c>
      <c r="G9983" s="3">
        <v>56132</v>
      </c>
      <c r="H9983" s="3" t="s">
        <v>15</v>
      </c>
    </row>
    <row r="9984" spans="1:8" ht="26.25" x14ac:dyDescent="0.25">
      <c r="A9984" s="3" t="s">
        <v>28979</v>
      </c>
      <c r="B9984" s="3"/>
      <c r="C9984" s="3" t="str">
        <f>"Sales and installation of residential/commercial flooring"</f>
        <v>Sales and installation of residential/commercial flooring</v>
      </c>
      <c r="D9984" s="3" t="s">
        <v>28980</v>
      </c>
      <c r="E9984" s="3" t="s">
        <v>28981</v>
      </c>
      <c r="F9984" s="3" t="str">
        <f>"8129416491"</f>
        <v>8129416491</v>
      </c>
      <c r="G9984" s="3">
        <v>238330</v>
      </c>
      <c r="H9984" s="3" t="s">
        <v>2995</v>
      </c>
    </row>
    <row r="9985" spans="1:8" ht="39" x14ac:dyDescent="0.25">
      <c r="A9985" s="3" t="s">
        <v>28982</v>
      </c>
      <c r="B9985" s="3"/>
      <c r="C9985" s="3" t="str">
        <f>"Provision of workforce development services for businesses and employees in Western Indiana."</f>
        <v>Provision of workforce development services for businesses and employees in Western Indiana.</v>
      </c>
      <c r="D9985" s="3" t="s">
        <v>28983</v>
      </c>
      <c r="E9985" s="3" t="s">
        <v>46</v>
      </c>
      <c r="F9985" s="3" t="str">
        <f>"812-238-5616"</f>
        <v>812-238-5616</v>
      </c>
      <c r="G9985" s="3">
        <v>923130</v>
      </c>
      <c r="H9985" s="3" t="s">
        <v>724</v>
      </c>
    </row>
    <row r="9986" spans="1:8" ht="128.25" x14ac:dyDescent="0.25">
      <c r="A9986" s="3" t="s">
        <v>28984</v>
      </c>
      <c r="B9986" s="3"/>
      <c r="C9986" s="3" t="s">
        <v>28985</v>
      </c>
      <c r="D9986" s="3" t="s">
        <v>28986</v>
      </c>
      <c r="E9986" s="3" t="s">
        <v>28987</v>
      </c>
      <c r="F9986" s="3" t="str">
        <f>"(812) 232-1264"</f>
        <v>(812) 232-1264</v>
      </c>
      <c r="G9986" s="3">
        <v>624190</v>
      </c>
      <c r="H9986" s="3" t="s">
        <v>54</v>
      </c>
    </row>
    <row r="9987" spans="1:8" x14ac:dyDescent="0.25">
      <c r="A9987" s="3" t="s">
        <v>28988</v>
      </c>
      <c r="B9987" s="3"/>
      <c r="C9987" s="3" t="str">
        <f>" "</f>
        <v xml:space="preserve"> </v>
      </c>
      <c r="D9987" s="3" t="s">
        <v>9</v>
      </c>
      <c r="E9987" s="3" t="s">
        <v>46</v>
      </c>
      <c r="F9987" s="2"/>
      <c r="G9987" s="3">
        <v>611110</v>
      </c>
      <c r="H9987" s="3" t="s">
        <v>3876</v>
      </c>
    </row>
    <row r="9988" spans="1:8" ht="153.75" x14ac:dyDescent="0.25">
      <c r="A9988" s="3" t="s">
        <v>28989</v>
      </c>
      <c r="B9988" s="3"/>
      <c r="C9988" s="3" t="s">
        <v>28990</v>
      </c>
      <c r="D9988" s="3" t="s">
        <v>9</v>
      </c>
      <c r="E9988" s="3" t="s">
        <v>28991</v>
      </c>
      <c r="F9988" s="2"/>
      <c r="G9988" s="3">
        <v>541410</v>
      </c>
      <c r="H9988" s="3" t="s">
        <v>687</v>
      </c>
    </row>
    <row r="9989" spans="1:8" ht="26.25" x14ac:dyDescent="0.25">
      <c r="A9989" s="3" t="s">
        <v>28992</v>
      </c>
      <c r="B9989" s="3"/>
      <c r="C9989" s="3" t="str">
        <f>"Delivery of pertroleum products, chemical, fertilizers and seed."</f>
        <v>Delivery of pertroleum products, chemical, fertilizers and seed.</v>
      </c>
      <c r="D9989" s="3" t="s">
        <v>28993</v>
      </c>
      <c r="E9989" s="3" t="s">
        <v>46</v>
      </c>
      <c r="F9989" s="3" t="str">
        <f>"765-362-6700"</f>
        <v>765-362-6700</v>
      </c>
      <c r="G9989" s="3">
        <v>42</v>
      </c>
      <c r="H9989" s="3" t="s">
        <v>674</v>
      </c>
    </row>
    <row r="9990" spans="1:8" ht="268.5" x14ac:dyDescent="0.25">
      <c r="A9990" s="3" t="s">
        <v>28994</v>
      </c>
      <c r="B9990" s="3"/>
      <c r="C9990" s="3" t="s">
        <v>28995</v>
      </c>
      <c r="D9990" s="3" t="s">
        <v>28996</v>
      </c>
      <c r="E9990" s="3" t="s">
        <v>28997</v>
      </c>
      <c r="F9990" s="3" t="str">
        <f>"219-924-8629"</f>
        <v>219-924-8629</v>
      </c>
      <c r="G9990" s="3">
        <v>541211</v>
      </c>
      <c r="H9990" s="3" t="s">
        <v>337</v>
      </c>
    </row>
    <row r="9991" spans="1:8" ht="26.25" x14ac:dyDescent="0.25">
      <c r="A9991" s="3" t="s">
        <v>28998</v>
      </c>
      <c r="B9991" s="3"/>
      <c r="C9991" s="3" t="str">
        <f>"environmental consulting firm with 57 years of experience."</f>
        <v>environmental consulting firm with 57 years of experience.</v>
      </c>
      <c r="D9991" s="3" t="s">
        <v>28999</v>
      </c>
      <c r="E9991" s="3" t="s">
        <v>46</v>
      </c>
      <c r="F9991" s="2"/>
      <c r="G9991" s="3">
        <v>541620</v>
      </c>
      <c r="H9991" s="3" t="s">
        <v>216</v>
      </c>
    </row>
    <row r="9992" spans="1:8" ht="26.25" x14ac:dyDescent="0.25">
      <c r="A9992" s="3" t="s">
        <v>29000</v>
      </c>
      <c r="B9992" s="3"/>
      <c r="C9992" s="3" t="str">
        <f>" "</f>
        <v xml:space="preserve"> </v>
      </c>
      <c r="D9992" s="3" t="s">
        <v>29001</v>
      </c>
      <c r="E9992" s="3" t="s">
        <v>46</v>
      </c>
      <c r="F9992" s="3" t="str">
        <f>"260-768-4146"</f>
        <v>260-768-4146</v>
      </c>
      <c r="G9992" s="3">
        <v>611110</v>
      </c>
      <c r="H9992" s="3" t="s">
        <v>3876</v>
      </c>
    </row>
    <row r="9993" spans="1:8" ht="204.75" x14ac:dyDescent="0.25">
      <c r="A9993" s="3" t="s">
        <v>29002</v>
      </c>
      <c r="B9993" s="3"/>
      <c r="C9993" s="3" t="s">
        <v>29003</v>
      </c>
      <c r="D9993" s="3" t="s">
        <v>29004</v>
      </c>
      <c r="E9993" s="3" t="s">
        <v>46</v>
      </c>
      <c r="F9993" s="3" t="str">
        <f>"765-966-7000"</f>
        <v>765-966-7000</v>
      </c>
      <c r="G9993" s="3">
        <v>441110</v>
      </c>
      <c r="H9993" s="3" t="s">
        <v>2588</v>
      </c>
    </row>
    <row r="9994" spans="1:8" ht="153.75" x14ac:dyDescent="0.25">
      <c r="A9994" s="3" t="s">
        <v>29005</v>
      </c>
      <c r="B9994" s="3"/>
      <c r="C9994" s="3" t="s">
        <v>29006</v>
      </c>
      <c r="D9994" s="3" t="s">
        <v>29007</v>
      </c>
      <c r="E9994" s="3" t="s">
        <v>29008</v>
      </c>
      <c r="F9994" s="3" t="str">
        <f>"888-566-1398"</f>
        <v>888-566-1398</v>
      </c>
      <c r="G9994" s="3">
        <v>518210</v>
      </c>
      <c r="H9994" s="3" t="s">
        <v>3133</v>
      </c>
    </row>
    <row r="9995" spans="1:8" ht="179.25" x14ac:dyDescent="0.25">
      <c r="A9995" s="3" t="s">
        <v>29009</v>
      </c>
      <c r="B9995" s="3"/>
      <c r="C9995" s="3" t="s">
        <v>29010</v>
      </c>
      <c r="D9995" s="3" t="s">
        <v>29011</v>
      </c>
      <c r="E9995" s="3" t="s">
        <v>29012</v>
      </c>
      <c r="F9995" s="3" t="str">
        <f>"317-297-5882"</f>
        <v>317-297-5882</v>
      </c>
      <c r="G9995" s="3">
        <v>611</v>
      </c>
      <c r="H9995" s="3" t="s">
        <v>140</v>
      </c>
    </row>
    <row r="9996" spans="1:8" ht="51.75" x14ac:dyDescent="0.25">
      <c r="A9996" s="3" t="s">
        <v>29013</v>
      </c>
      <c r="B9996" s="3"/>
      <c r="C9996" s="3" t="str">
        <f>"Whatley's Party Game Rentals LLC, Provides fun amusement game and bouncers for any festive occasion including community days, shows and festivals."</f>
        <v>Whatley's Party Game Rentals LLC, Provides fun amusement game and bouncers for any festive occasion including community days, shows and festivals.</v>
      </c>
      <c r="D9996" s="3" t="s">
        <v>29014</v>
      </c>
      <c r="E9996" s="3" t="s">
        <v>29015</v>
      </c>
      <c r="F9996" s="3" t="str">
        <f>"3176646085"</f>
        <v>3176646085</v>
      </c>
      <c r="G9996" s="3">
        <v>7139</v>
      </c>
      <c r="H9996" s="3" t="s">
        <v>3916</v>
      </c>
    </row>
    <row r="9997" spans="1:8" ht="64.5" x14ac:dyDescent="0.25">
      <c r="A9997" s="3" t="s">
        <v>29016</v>
      </c>
      <c r="B9997" s="3"/>
      <c r="C9997" s="3" t="str">
        <f>"We are a small Trucking company with 10 Tri Axle Dump Trucks hauling Stone,Sand Gravel ,Top soil and Mulch. We also haul demolition debris and excavation materials."</f>
        <v>We are a small Trucking company with 10 Tri Axle Dump Trucks hauling Stone,Sand Gravel ,Top soil and Mulch. We also haul demolition debris and excavation materials.</v>
      </c>
      <c r="D9997" s="3" t="s">
        <v>29017</v>
      </c>
      <c r="E9997" s="3" t="s">
        <v>29018</v>
      </c>
      <c r="F9997" s="3" t="str">
        <f>"317-862-3580"</f>
        <v>317-862-3580</v>
      </c>
      <c r="G9997" s="3">
        <v>484110</v>
      </c>
      <c r="H9997" s="3" t="s">
        <v>644</v>
      </c>
    </row>
    <row r="9998" spans="1:8" ht="39" x14ac:dyDescent="0.25">
      <c r="A9998" s="3" t="s">
        <v>29019</v>
      </c>
      <c r="B9998" s="3"/>
      <c r="C9998" s="3" t="str">
        <f>"Electrical construction and maintenance, specializing in commercial and industrial wiring."</f>
        <v>Electrical construction and maintenance, specializing in commercial and industrial wiring.</v>
      </c>
      <c r="D9998" s="3" t="s">
        <v>29020</v>
      </c>
      <c r="E9998" s="3" t="s">
        <v>29021</v>
      </c>
      <c r="F9998" s="3" t="str">
        <f>"260.244.7674"</f>
        <v>260.244.7674</v>
      </c>
      <c r="G9998" s="3">
        <v>238210</v>
      </c>
      <c r="H9998" s="3" t="s">
        <v>306</v>
      </c>
    </row>
    <row r="9999" spans="1:8" ht="90" x14ac:dyDescent="0.25">
      <c r="A9999" s="3" t="s">
        <v>29022</v>
      </c>
      <c r="B9999" s="3"/>
      <c r="C9999" s="3" t="str">
        <f>"Primary function is janitorial, commercial cleaning. We provide power washing, window cleaning, VCT Floor stripping ans waxing, New construction interior cleaning. Warehouse management, restaurant functions (selling and preparation of food products)"</f>
        <v>Primary function is janitorial, commercial cleaning. We provide power washing, window cleaning, VCT Floor stripping ans waxing, New construction interior cleaning. Warehouse management, restaurant functions (selling and preparation of food products)</v>
      </c>
      <c r="D9999" s="3" t="s">
        <v>29023</v>
      </c>
      <c r="E9999" s="3" t="s">
        <v>29024</v>
      </c>
      <c r="F9999" s="3" t="str">
        <f>"317-417-0874"</f>
        <v>317-417-0874</v>
      </c>
      <c r="G9999" s="3">
        <v>23411</v>
      </c>
      <c r="H9999" s="3" t="s">
        <v>2406</v>
      </c>
    </row>
    <row r="10000" spans="1:8" ht="26.25" x14ac:dyDescent="0.25">
      <c r="A10000" s="3" t="s">
        <v>29025</v>
      </c>
      <c r="B10000" s="3"/>
      <c r="C10000" s="2"/>
      <c r="D10000" s="3" t="s">
        <v>9</v>
      </c>
      <c r="E10000" s="3" t="s">
        <v>29026</v>
      </c>
      <c r="F10000" s="3" t="str">
        <f>"2194653066"</f>
        <v>2194653066</v>
      </c>
      <c r="G10000" s="3">
        <v>48411</v>
      </c>
      <c r="H10000" s="3" t="s">
        <v>644</v>
      </c>
    </row>
    <row r="10001" spans="1:8" x14ac:dyDescent="0.25">
      <c r="A10001" s="3" t="s">
        <v>29027</v>
      </c>
      <c r="B10001" s="3"/>
      <c r="C10001" s="3" t="str">
        <f>"Critical Access Hospital"</f>
        <v>Critical Access Hospital</v>
      </c>
      <c r="D10001" s="3" t="s">
        <v>9</v>
      </c>
      <c r="E10001" s="3" t="s">
        <v>46</v>
      </c>
      <c r="F10001" s="2"/>
      <c r="G10001" s="3">
        <v>622110</v>
      </c>
      <c r="H10001" s="3" t="s">
        <v>3335</v>
      </c>
    </row>
    <row r="10002" spans="1:8" ht="51.75" x14ac:dyDescent="0.25">
      <c r="A10002" s="3" t="s">
        <v>29028</v>
      </c>
      <c r="B10002" s="3"/>
      <c r="C10002" s="3" t="str">
        <f>"Specializing in all aspects of cleaning New construction, offices, commercial, and indrustial cleaning. floor maintance, window washing."</f>
        <v>Specializing in all aspects of cleaning New construction, offices, commercial, and indrustial cleaning. floor maintance, window washing.</v>
      </c>
      <c r="D10002" s="3" t="s">
        <v>9</v>
      </c>
      <c r="E10002" s="3" t="s">
        <v>29029</v>
      </c>
      <c r="F10002" s="3" t="str">
        <f>"317-895-9665"</f>
        <v>317-895-9665</v>
      </c>
      <c r="G10002" s="3">
        <v>238990</v>
      </c>
      <c r="H10002" s="3" t="s">
        <v>481</v>
      </c>
    </row>
    <row r="10003" spans="1:8" ht="26.25" x14ac:dyDescent="0.25">
      <c r="A10003" s="3" t="s">
        <v>29030</v>
      </c>
      <c r="B10003" s="3"/>
      <c r="C10003" s="3" t="str">
        <f>" "</f>
        <v xml:space="preserve"> </v>
      </c>
      <c r="D10003" s="3" t="s">
        <v>9</v>
      </c>
      <c r="E10003" s="3" t="s">
        <v>46</v>
      </c>
      <c r="F10003" s="3" t="str">
        <f>"812-295-4835"</f>
        <v>812-295-4835</v>
      </c>
      <c r="G10003" s="3">
        <v>112910</v>
      </c>
      <c r="H10003" s="3" t="s">
        <v>4833</v>
      </c>
    </row>
    <row r="10004" spans="1:8" ht="51.75" x14ac:dyDescent="0.25">
      <c r="A10004" s="3" t="s">
        <v>29031</v>
      </c>
      <c r="B10004" s="3"/>
      <c r="C10004" s="3" t="str">
        <f>"Landscaping services. Specializing in the installation and care of trees and ornamental shrubs and general landscaping needs."</f>
        <v>Landscaping services. Specializing in the installation and care of trees and ornamental shrubs and general landscaping needs.</v>
      </c>
      <c r="D10004" s="3" t="s">
        <v>9</v>
      </c>
      <c r="E10004" s="3" t="s">
        <v>29032</v>
      </c>
      <c r="F10004" s="3" t="str">
        <f>"317-844-1274"</f>
        <v>317-844-1274</v>
      </c>
      <c r="G10004" s="3">
        <v>561730</v>
      </c>
      <c r="H10004" s="3" t="s">
        <v>65</v>
      </c>
    </row>
    <row r="10005" spans="1:8" ht="128.25" x14ac:dyDescent="0.25">
      <c r="A10005" s="3" t="s">
        <v>29033</v>
      </c>
      <c r="B10005" s="3"/>
      <c r="C10005" s="3" t="s">
        <v>29034</v>
      </c>
      <c r="D10005" s="3" t="s">
        <v>29035</v>
      </c>
      <c r="E10005" s="3" t="s">
        <v>46</v>
      </c>
      <c r="F10005" s="3" t="str">
        <f>"317 684-7171"</f>
        <v>317 684-7171</v>
      </c>
      <c r="G10005" s="3">
        <v>621330</v>
      </c>
      <c r="H10005" s="3" t="s">
        <v>2643</v>
      </c>
    </row>
    <row r="10006" spans="1:8" ht="77.25" x14ac:dyDescent="0.25">
      <c r="A10006" s="3" t="s">
        <v>29036</v>
      </c>
      <c r="B10006" s="3"/>
      <c r="C10006" s="3" t="str">
        <f>"Residential &amp; Foster Care placement for CHINS (Children In Need of Services) through a Christ Centered organization committed to enriching the lives of children and families through emotional healing, personal development and spritual growth."</f>
        <v>Residential &amp; Foster Care placement for CHINS (Children In Need of Services) through a Christ Centered organization committed to enriching the lives of children and families through emotional healing, personal development and spritual growth.</v>
      </c>
      <c r="D10006" s="3" t="s">
        <v>29037</v>
      </c>
      <c r="E10006" s="3" t="s">
        <v>46</v>
      </c>
      <c r="F10006" s="3" t="str">
        <f>"260-563-1158"</f>
        <v>260-563-1158</v>
      </c>
      <c r="G10006" s="3">
        <v>624110</v>
      </c>
      <c r="H10006" s="3" t="s">
        <v>628</v>
      </c>
    </row>
    <row r="10007" spans="1:8" ht="306.75" x14ac:dyDescent="0.25">
      <c r="A10007" s="3" t="s">
        <v>29038</v>
      </c>
      <c r="B10007" s="3"/>
      <c r="C10007" s="3" t="s">
        <v>29039</v>
      </c>
      <c r="D10007" s="3" t="s">
        <v>29040</v>
      </c>
      <c r="E10007" s="3" t="s">
        <v>29041</v>
      </c>
      <c r="F10007" s="3" t="str">
        <f>"260-636-7304"</f>
        <v>260-636-7304</v>
      </c>
      <c r="G10007" s="3">
        <v>1122</v>
      </c>
      <c r="H10007" s="3" t="s">
        <v>29042</v>
      </c>
    </row>
    <row r="10008" spans="1:8" ht="64.5" x14ac:dyDescent="0.25">
      <c r="A10008" s="3" t="s">
        <v>29043</v>
      </c>
      <c r="B10008" s="3"/>
      <c r="C10008" s="3" t="str">
        <f>"Whitestone manufactures high quality adult incontinence products along with education and in-service training. Whitestone offers Dignity, Humanicare, Complete, Compose, Ultra Shield, and Ultra Sure product lines."</f>
        <v>Whitestone manufactures high quality adult incontinence products along with education and in-service training. Whitestone offers Dignity, Humanicare, Complete, Compose, Ultra Shield, and Ultra Sure product lines.</v>
      </c>
      <c r="D10008" s="3" t="s">
        <v>29044</v>
      </c>
      <c r="E10008" s="3" t="s">
        <v>29045</v>
      </c>
      <c r="F10008" s="3" t="str">
        <f>"812-332-3703"</f>
        <v>812-332-3703</v>
      </c>
      <c r="G10008" s="3">
        <v>315192</v>
      </c>
      <c r="H10008" s="3" t="s">
        <v>29046</v>
      </c>
    </row>
    <row r="10009" spans="1:8" ht="26.25" x14ac:dyDescent="0.25">
      <c r="A10009" s="3" t="s">
        <v>29047</v>
      </c>
      <c r="B10009" s="3"/>
      <c r="C10009" s="3" t="str">
        <f>"Building Service Contractor/Commercial Cleaning"</f>
        <v>Building Service Contractor/Commercial Cleaning</v>
      </c>
      <c r="D10009" s="3" t="s">
        <v>9</v>
      </c>
      <c r="E10009" s="3" t="s">
        <v>46</v>
      </c>
      <c r="F10009" s="3" t="str">
        <f>"812-482-1055"</f>
        <v>812-482-1055</v>
      </c>
      <c r="G10009" s="3">
        <v>5617</v>
      </c>
      <c r="H10009" s="3" t="s">
        <v>812</v>
      </c>
    </row>
    <row r="10010" spans="1:8" ht="26.25" x14ac:dyDescent="0.25">
      <c r="A10010" s="3" t="s">
        <v>29048</v>
      </c>
      <c r="B10010" s="3"/>
      <c r="C10010" s="3" t="str">
        <f>"Distributor of promotional products"</f>
        <v>Distributor of promotional products</v>
      </c>
      <c r="D10010" s="3" t="s">
        <v>29049</v>
      </c>
      <c r="E10010" s="3" t="s">
        <v>29050</v>
      </c>
      <c r="F10010" s="3" t="str">
        <f>"317-248-9832"</f>
        <v>317-248-9832</v>
      </c>
      <c r="G10010" s="3">
        <v>424120</v>
      </c>
      <c r="H10010" s="3" t="s">
        <v>411</v>
      </c>
    </row>
    <row r="10011" spans="1:8" ht="39" x14ac:dyDescent="0.25">
      <c r="A10011" s="3" t="s">
        <v>29051</v>
      </c>
      <c r="B10011" s="3"/>
      <c r="C10011" s="3" t="str">
        <f>"Full line floor coverings - sales and installation. Large stocking inventory = low prices! 30+ years experience &amp; knowledge"</f>
        <v>Full line floor coverings - sales and installation. Large stocking inventory = low prices! 30+ years experience &amp; knowledge</v>
      </c>
      <c r="D10011" s="3" t="s">
        <v>9</v>
      </c>
      <c r="E10011" s="3" t="s">
        <v>46</v>
      </c>
      <c r="F10011" s="3" t="str">
        <f>"765-825-4363"</f>
        <v>765-825-4363</v>
      </c>
      <c r="G10011" s="3">
        <v>442210</v>
      </c>
      <c r="H10011" s="3" t="s">
        <v>2301</v>
      </c>
    </row>
    <row r="10012" spans="1:8" ht="39" x14ac:dyDescent="0.25">
      <c r="A10012" s="3" t="s">
        <v>29052</v>
      </c>
      <c r="B10012" s="3"/>
      <c r="C10012" s="3" t="str">
        <f>"Complete line of Erosion Control - Drainage - Storm - Sewer and Water Products &amp; Accessories."</f>
        <v>Complete line of Erosion Control - Drainage - Storm - Sewer and Water Products &amp; Accessories.</v>
      </c>
      <c r="D10012" s="3" t="s">
        <v>9</v>
      </c>
      <c r="E10012" s="3" t="s">
        <v>46</v>
      </c>
      <c r="F10012" s="3" t="str">
        <f>"812-397-5100"</f>
        <v>812-397-5100</v>
      </c>
      <c r="G10012" s="3">
        <v>421</v>
      </c>
      <c r="H10012" s="3" t="s">
        <v>3013</v>
      </c>
    </row>
    <row r="10013" spans="1:8" ht="26.25" x14ac:dyDescent="0.25">
      <c r="A10013" s="3" t="s">
        <v>29053</v>
      </c>
      <c r="B10013" s="3"/>
      <c r="C10013" s="3" t="str">
        <f>"Automotive Equipment Sales and Service Provider"</f>
        <v>Automotive Equipment Sales and Service Provider</v>
      </c>
      <c r="D10013" s="3" t="s">
        <v>29054</v>
      </c>
      <c r="E10013" s="3" t="s">
        <v>29055</v>
      </c>
      <c r="F10013" s="3" t="str">
        <f>"317.326.5550"</f>
        <v>317.326.5550</v>
      </c>
      <c r="G10013" s="3">
        <v>23595</v>
      </c>
      <c r="H10013" s="3" t="s">
        <v>17529</v>
      </c>
    </row>
    <row r="10014" spans="1:8" ht="26.25" x14ac:dyDescent="0.25">
      <c r="A10014" s="3" t="s">
        <v>29056</v>
      </c>
      <c r="B10014" s="3"/>
      <c r="C10014" s="3" t="str">
        <f>"Business provides office space for lease."</f>
        <v>Business provides office space for lease.</v>
      </c>
      <c r="D10014" s="3" t="s">
        <v>9</v>
      </c>
      <c r="E10014" s="3" t="s">
        <v>29057</v>
      </c>
      <c r="F10014" s="3" t="str">
        <f>"(260)-483-7207"</f>
        <v>(260)-483-7207</v>
      </c>
      <c r="G10014" s="3">
        <v>532</v>
      </c>
      <c r="H10014" s="3" t="s">
        <v>2610</v>
      </c>
    </row>
    <row r="10015" spans="1:8" ht="102.75" x14ac:dyDescent="0.25">
      <c r="A10015" s="3" t="s">
        <v>29058</v>
      </c>
      <c r="B10015" s="3"/>
      <c r="C10015" s="3" t="s">
        <v>29059</v>
      </c>
      <c r="D10015" s="3" t="s">
        <v>29060</v>
      </c>
      <c r="E10015" s="3" t="s">
        <v>29061</v>
      </c>
      <c r="F10015" s="3" t="str">
        <f>"574-936-4076"</f>
        <v>574-936-4076</v>
      </c>
      <c r="G10015" s="3">
        <v>441229</v>
      </c>
      <c r="H10015" s="3" t="s">
        <v>3721</v>
      </c>
    </row>
    <row r="10016" spans="1:8" ht="90" x14ac:dyDescent="0.25">
      <c r="A10016" s="3" t="s">
        <v>29062</v>
      </c>
      <c r="B10016" s="3"/>
      <c r="C10016" s="3" t="str">
        <f>"Wightman Petrie is a full service engineering, land surveying, landscape architecture, architectural, GIS, planning, environmental, and renewable energy firm. We work for both private and public entities and have been in business for over 20 years."</f>
        <v>Wightman Petrie is a full service engineering, land surveying, landscape architecture, architectural, GIS, planning, environmental, and renewable energy firm. We work for both private and public entities and have been in business for over 20 years.</v>
      </c>
      <c r="D10016" s="3" t="s">
        <v>29063</v>
      </c>
      <c r="E10016" s="3" t="s">
        <v>29064</v>
      </c>
      <c r="F10016" s="3" t="str">
        <f>"574-293-7762"</f>
        <v>574-293-7762</v>
      </c>
      <c r="G10016" s="3">
        <v>541330</v>
      </c>
      <c r="H10016" s="3" t="s">
        <v>82</v>
      </c>
    </row>
    <row r="10017" spans="1:8" ht="192" x14ac:dyDescent="0.25">
      <c r="A10017" s="3" t="s">
        <v>29065</v>
      </c>
      <c r="B10017" s="3"/>
      <c r="C10017" s="3" t="s">
        <v>29066</v>
      </c>
      <c r="D10017" s="3" t="s">
        <v>29067</v>
      </c>
      <c r="E10017" s="3" t="s">
        <v>46</v>
      </c>
      <c r="F10017" s="3" t="str">
        <f>"317-472-0999"</f>
        <v>317-472-0999</v>
      </c>
      <c r="G10017" s="3">
        <v>541620</v>
      </c>
      <c r="H10017" s="3" t="s">
        <v>216</v>
      </c>
    </row>
    <row r="10018" spans="1:8" ht="77.25" x14ac:dyDescent="0.25">
      <c r="A10018" s="3" t="s">
        <v>29068</v>
      </c>
      <c r="B10018" s="3"/>
      <c r="C10018" s="3" t="str">
        <f>"Wilcox Professional Services, LLC of Indiana is a multi-disciplined firm offering engineering, surveying, environmental sciences, landscape architecture, materials testing, construction engineering and technical drilling services."</f>
        <v>Wilcox Professional Services, LLC of Indiana is a multi-disciplined firm offering engineering, surveying, environmental sciences, landscape architecture, materials testing, construction engineering and technical drilling services.</v>
      </c>
      <c r="D10018" s="3" t="s">
        <v>29069</v>
      </c>
      <c r="E10018" s="3" t="s">
        <v>29070</v>
      </c>
      <c r="F10018" s="3" t="str">
        <f>"317-685-9440"</f>
        <v>317-685-9440</v>
      </c>
      <c r="G10018" s="3">
        <v>54133</v>
      </c>
      <c r="H10018" s="3" t="s">
        <v>82</v>
      </c>
    </row>
    <row r="10019" spans="1:8" ht="51.75" x14ac:dyDescent="0.25">
      <c r="A10019" s="3" t="s">
        <v>29071</v>
      </c>
      <c r="B10019" s="3"/>
      <c r="C10019" s="3" t="str">
        <f>"Wilderman &amp; Associates is a locally-owned consulting engineering firm specializing in mechanical and electrical engineering and design."</f>
        <v>Wilderman &amp; Associates is a locally-owned consulting engineering firm specializing in mechanical and electrical engineering and design.</v>
      </c>
      <c r="D10019" s="3" t="s">
        <v>29072</v>
      </c>
      <c r="E10019" s="3" t="s">
        <v>29073</v>
      </c>
      <c r="F10019" s="3" t="str">
        <f>"812-425-8858"</f>
        <v>812-425-8858</v>
      </c>
      <c r="G10019" s="3">
        <v>541330</v>
      </c>
      <c r="H10019" s="3" t="s">
        <v>82</v>
      </c>
    </row>
    <row r="10020" spans="1:8" ht="51.75" x14ac:dyDescent="0.25">
      <c r="A10020" s="3" t="s">
        <v>29074</v>
      </c>
      <c r="B10020" s="3"/>
      <c r="C10020" s="3" t="str">
        <f>"Forest related activities including fire training, burn plans, and fire management plans, equipment used in fire related activities."</f>
        <v>Forest related activities including fire training, burn plans, and fire management plans, equipment used in fire related activities.</v>
      </c>
      <c r="D10020" s="3" t="s">
        <v>29075</v>
      </c>
      <c r="E10020" s="3" t="s">
        <v>29076</v>
      </c>
      <c r="F10020" s="3" t="str">
        <f>"812-334/3295"</f>
        <v>812-334/3295</v>
      </c>
      <c r="G10020" s="3">
        <v>115310</v>
      </c>
      <c r="H10020" s="3" t="s">
        <v>2505</v>
      </c>
    </row>
    <row r="10021" spans="1:8" ht="64.5" x14ac:dyDescent="0.25">
      <c r="A10021" s="3" t="s">
        <v>29077</v>
      </c>
      <c r="B10021" s="3"/>
      <c r="C10021" s="3" t="str">
        <f>"produce and sell emergency vehicles and equipment( fire trucks and mini emergency respnse vehicles) Offroad emergency vehicles and offroad fire trucks. Fire and emergency equipment"</f>
        <v>produce and sell emergency vehicles and equipment( fire trucks and mini emergency respnse vehicles) Offroad emergency vehicles and offroad fire trucks. Fire and emergency equipment</v>
      </c>
      <c r="D10021" s="3" t="s">
        <v>29078</v>
      </c>
      <c r="E10021" s="3" t="s">
        <v>29079</v>
      </c>
      <c r="F10021" s="3" t="str">
        <f>"260-925-1951"</f>
        <v>260-925-1951</v>
      </c>
      <c r="G10021" s="3">
        <v>812990</v>
      </c>
      <c r="H10021" s="3" t="s">
        <v>294</v>
      </c>
    </row>
    <row r="10022" spans="1:8" ht="26.25" x14ac:dyDescent="0.25">
      <c r="A10022" s="3" t="s">
        <v>29080</v>
      </c>
      <c r="B10022" s="3"/>
      <c r="C10022" s="3" t="str">
        <f>"trapping of animals,clean up of animal waste and repairs."</f>
        <v>trapping of animals,clean up of animal waste and repairs.</v>
      </c>
      <c r="D10022" s="3" t="s">
        <v>9</v>
      </c>
      <c r="E10022" s="3" t="s">
        <v>46</v>
      </c>
      <c r="F10022" s="2"/>
      <c r="G10022" s="3">
        <v>114</v>
      </c>
      <c r="H10022" s="3" t="s">
        <v>29081</v>
      </c>
    </row>
    <row r="10023" spans="1:8" ht="90" x14ac:dyDescent="0.25">
      <c r="A10023" s="3" t="s">
        <v>29082</v>
      </c>
      <c r="B10023" s="3"/>
      <c r="C10023" s="3" t="s">
        <v>29083</v>
      </c>
      <c r="D10023" s="3" t="s">
        <v>29084</v>
      </c>
      <c r="E10023" s="3" t="s">
        <v>29085</v>
      </c>
      <c r="F10023" s="3" t="str">
        <f>"765-404-8760"</f>
        <v>765-404-8760</v>
      </c>
      <c r="G10023" s="3">
        <v>42184</v>
      </c>
      <c r="H10023" s="3" t="s">
        <v>1601</v>
      </c>
    </row>
    <row r="10024" spans="1:8" ht="77.25" x14ac:dyDescent="0.25">
      <c r="A10024" s="3" t="s">
        <v>29086</v>
      </c>
      <c r="B10024" s="3"/>
      <c r="C10024" s="3" t="str">
        <f>"Willems Realtors/Commercial Affiliates specializes in site selection and other real estate services to the public and private sectors of Indiana. Double minority owned. Hispanic and woman owned. Licensed Indiana Real Estate Corporation."</f>
        <v>Willems Realtors/Commercial Affiliates specializes in site selection and other real estate services to the public and private sectors of Indiana. Double minority owned. Hispanic and woman owned. Licensed Indiana Real Estate Corporation.</v>
      </c>
      <c r="D10024" s="3" t="s">
        <v>9</v>
      </c>
      <c r="E10024" s="3" t="s">
        <v>29087</v>
      </c>
      <c r="F10024" s="3" t="str">
        <f>"219-322-4024"</f>
        <v>219-322-4024</v>
      </c>
      <c r="G10024" s="3">
        <v>531210</v>
      </c>
      <c r="H10024" s="3" t="s">
        <v>1101</v>
      </c>
    </row>
    <row r="10025" spans="1:8" ht="39" x14ac:dyDescent="0.25">
      <c r="A10025" s="3" t="s">
        <v>29088</v>
      </c>
      <c r="B10025" s="3"/>
      <c r="C10025" s="3" t="str">
        <f>"General dental practice -- preventative work, restorations, cosmetic dentistry, for patients of all ages."</f>
        <v>General dental practice -- preventative work, restorations, cosmetic dentistry, for patients of all ages.</v>
      </c>
      <c r="D10025" s="3" t="s">
        <v>9</v>
      </c>
      <c r="E10025" s="3" t="s">
        <v>46</v>
      </c>
      <c r="F10025" s="3" t="str">
        <f>"+1-812-723-3475"</f>
        <v>+1-812-723-3475</v>
      </c>
      <c r="G10025" s="3">
        <v>621210</v>
      </c>
      <c r="H10025" s="3" t="s">
        <v>19112</v>
      </c>
    </row>
    <row r="10026" spans="1:8" ht="39" x14ac:dyDescent="0.25">
      <c r="A10026" s="3" t="s">
        <v>29089</v>
      </c>
      <c r="B10026" s="3"/>
      <c r="C10026" s="3" t="str">
        <f>"Sales and Service of Lawn and Garden Equipment to include chainsaws, parts, oil and all related items."</f>
        <v>Sales and Service of Lawn and Garden Equipment to include chainsaws, parts, oil and all related items.</v>
      </c>
      <c r="D10026" s="3" t="s">
        <v>9</v>
      </c>
      <c r="E10026" s="3" t="s">
        <v>29090</v>
      </c>
      <c r="F10026" s="3" t="str">
        <f>"765-534-3277"</f>
        <v>765-534-3277</v>
      </c>
      <c r="G10026" s="3">
        <v>4442</v>
      </c>
      <c r="H10026" s="3" t="s">
        <v>852</v>
      </c>
    </row>
    <row r="10027" spans="1:8" ht="128.25" x14ac:dyDescent="0.25">
      <c r="A10027" s="3" t="s">
        <v>29091</v>
      </c>
      <c r="B10027" s="3"/>
      <c r="C10027" s="3" t="s">
        <v>29092</v>
      </c>
      <c r="D10027" s="3" t="s">
        <v>29093</v>
      </c>
      <c r="E10027" s="3" t="s">
        <v>29094</v>
      </c>
      <c r="F10027" s="3" t="str">
        <f>"219-644-5062"</f>
        <v>219-644-5062</v>
      </c>
      <c r="G10027" s="3">
        <v>541611</v>
      </c>
      <c r="H10027" s="3" t="s">
        <v>278</v>
      </c>
    </row>
    <row r="10028" spans="1:8" ht="102.75" x14ac:dyDescent="0.25">
      <c r="A10028" s="3" t="s">
        <v>29095</v>
      </c>
      <c r="B10028" s="3"/>
      <c r="C10028" s="3" t="s">
        <v>29096</v>
      </c>
      <c r="D10028" s="3" t="s">
        <v>29097</v>
      </c>
      <c r="E10028" s="3" t="s">
        <v>29098</v>
      </c>
      <c r="F10028" s="3" t="str">
        <f>"317-787-5391"</f>
        <v>317-787-5391</v>
      </c>
      <c r="G10028" s="3">
        <v>238220</v>
      </c>
      <c r="H10028" s="3" t="s">
        <v>348</v>
      </c>
    </row>
    <row r="10029" spans="1:8" ht="319.5" x14ac:dyDescent="0.25">
      <c r="A10029" s="3" t="s">
        <v>29099</v>
      </c>
      <c r="B10029" s="3"/>
      <c r="C10029" s="3" t="s">
        <v>29100</v>
      </c>
      <c r="D10029" s="3" t="s">
        <v>29101</v>
      </c>
      <c r="E10029" s="3" t="s">
        <v>29102</v>
      </c>
      <c r="F10029" s="3" t="str">
        <f>"317-356-2883"</f>
        <v>317-356-2883</v>
      </c>
      <c r="G10029" s="3">
        <v>424990</v>
      </c>
      <c r="H10029" s="3" t="s">
        <v>1019</v>
      </c>
    </row>
    <row r="10030" spans="1:8" ht="77.25" x14ac:dyDescent="0.25">
      <c r="A10030" s="3" t="s">
        <v>29103</v>
      </c>
      <c r="B10030" s="3"/>
      <c r="C10030" s="3" t="str">
        <f>"We are a powerwashing company, that cleans everything from commercial fleets to concrete sidewalks. We clean store fronts, awnings, drive thrus, vinyl and aluminum siding, wood siding and decks, sidewalks and patios."</f>
        <v>We are a powerwashing company, that cleans everything from commercial fleets to concrete sidewalks. We clean store fronts, awnings, drive thrus, vinyl and aluminum siding, wood siding and decks, sidewalks and patios.</v>
      </c>
      <c r="D10030" s="3" t="s">
        <v>29104</v>
      </c>
      <c r="E10030" s="3" t="s">
        <v>46</v>
      </c>
      <c r="F10030" s="3" t="str">
        <f>"812-334-3850"</f>
        <v>812-334-3850</v>
      </c>
      <c r="G10030" s="3">
        <v>2359</v>
      </c>
      <c r="H10030" s="3" t="s">
        <v>631</v>
      </c>
    </row>
    <row r="10031" spans="1:8" x14ac:dyDescent="0.25">
      <c r="A10031" s="3" t="s">
        <v>29105</v>
      </c>
      <c r="B10031" s="3"/>
      <c r="C10031" s="3" t="str">
        <f>"DUMP TRUCKING"</f>
        <v>DUMP TRUCKING</v>
      </c>
      <c r="D10031" s="3" t="s">
        <v>9</v>
      </c>
      <c r="E10031" s="3" t="s">
        <v>46</v>
      </c>
      <c r="F10031" s="2"/>
      <c r="G10031" s="3">
        <v>484110</v>
      </c>
      <c r="H10031" s="3" t="s">
        <v>644</v>
      </c>
    </row>
    <row r="10032" spans="1:8" ht="51.75" x14ac:dyDescent="0.25">
      <c r="A10032" s="3" t="s">
        <v>29106</v>
      </c>
      <c r="B10032" s="3"/>
      <c r="C10032" s="3" t="str">
        <f>"Williams Advertising Group is a woman owned advertising and strategic marketing and communications firm headquartered in Indianapolis, Indiana."</f>
        <v>Williams Advertising Group is a woman owned advertising and strategic marketing and communications firm headquartered in Indianapolis, Indiana.</v>
      </c>
      <c r="D10032" s="3" t="s">
        <v>29107</v>
      </c>
      <c r="E10032" s="3" t="s">
        <v>29108</v>
      </c>
      <c r="F10032" s="3" t="str">
        <f>"317-506-9627"</f>
        <v>317-506-9627</v>
      </c>
      <c r="G10032" s="3">
        <v>541810</v>
      </c>
      <c r="H10032" s="3" t="s">
        <v>976</v>
      </c>
    </row>
    <row r="10033" spans="1:8" ht="128.25" x14ac:dyDescent="0.25">
      <c r="A10033" s="3" t="s">
        <v>29109</v>
      </c>
      <c r="B10033" s="3"/>
      <c r="C10033" s="3" t="s">
        <v>29110</v>
      </c>
      <c r="D10033" s="3" t="s">
        <v>29111</v>
      </c>
      <c r="E10033" s="3" t="s">
        <v>29112</v>
      </c>
      <c r="F10033" s="3" t="str">
        <f>"574-287-2104"</f>
        <v>574-287-2104</v>
      </c>
      <c r="G10033" s="3">
        <v>541370</v>
      </c>
      <c r="H10033" s="3" t="s">
        <v>160</v>
      </c>
    </row>
    <row r="10034" spans="1:8" ht="281.25" x14ac:dyDescent="0.25">
      <c r="A10034" s="3" t="s">
        <v>29113</v>
      </c>
      <c r="B10034" s="3"/>
      <c r="C10034" s="3" t="s">
        <v>29114</v>
      </c>
      <c r="D10034" s="3" t="s">
        <v>29115</v>
      </c>
      <c r="E10034" s="3" t="s">
        <v>29116</v>
      </c>
      <c r="F10034" s="3" t="str">
        <f>"317-423-0690"</f>
        <v>317-423-0690</v>
      </c>
      <c r="G10034" s="3">
        <v>54133</v>
      </c>
      <c r="H10034" s="3" t="s">
        <v>82</v>
      </c>
    </row>
    <row r="10035" spans="1:8" ht="153.75" x14ac:dyDescent="0.25">
      <c r="A10035" s="3" t="s">
        <v>29117</v>
      </c>
      <c r="B10035" s="3"/>
      <c r="C10035" s="3" t="s">
        <v>29118</v>
      </c>
      <c r="D10035" s="3" t="s">
        <v>29119</v>
      </c>
      <c r="E10035" s="3" t="s">
        <v>29120</v>
      </c>
      <c r="F10035" s="3" t="str">
        <f>"877-935-6609"</f>
        <v>877-935-6609</v>
      </c>
      <c r="G10035" s="3">
        <v>561730</v>
      </c>
      <c r="H10035" s="3" t="s">
        <v>65</v>
      </c>
    </row>
    <row r="10036" spans="1:8" ht="64.5" x14ac:dyDescent="0.25">
      <c r="A10036" s="3" t="s">
        <v>29121</v>
      </c>
      <c r="B10036" s="3"/>
      <c r="C10036" s="3" t="str">
        <f>"We are a family owned and operated business and one of the leading suppliers and installers of Access Control, CCTV, Security Systems, Fire Alarm Systems and Two Way Radios in the area."</f>
        <v>We are a family owned and operated business and one of the leading suppliers and installers of Access Control, CCTV, Security Systems, Fire Alarm Systems and Two Way Radios in the area.</v>
      </c>
      <c r="D10036" s="3" t="s">
        <v>29122</v>
      </c>
      <c r="E10036" s="3" t="s">
        <v>29123</v>
      </c>
      <c r="F10036" s="3" t="str">
        <f>"260-665-7499"</f>
        <v>260-665-7499</v>
      </c>
      <c r="G10036" s="3">
        <v>56162</v>
      </c>
      <c r="H10036" s="3" t="s">
        <v>1276</v>
      </c>
    </row>
    <row r="10037" spans="1:8" ht="39" x14ac:dyDescent="0.25">
      <c r="A10037" s="3" t="s">
        <v>29124</v>
      </c>
      <c r="B10037" s="3"/>
      <c r="C10037" s="3" t="str">
        <f>"Williams Engine Design (WED) LLC provides automotive parts and accessories. WED also provides oils and lubricants."</f>
        <v>Williams Engine Design (WED) LLC provides automotive parts and accessories. WED also provides oils and lubricants.</v>
      </c>
      <c r="D10037" s="3" t="s">
        <v>29125</v>
      </c>
      <c r="E10037" s="3" t="s">
        <v>29126</v>
      </c>
      <c r="F10037" s="3" t="str">
        <f>"513-731-6846"</f>
        <v>513-731-6846</v>
      </c>
      <c r="G10037" s="3">
        <v>44131</v>
      </c>
      <c r="H10037" s="3" t="s">
        <v>1699</v>
      </c>
    </row>
    <row r="10038" spans="1:8" ht="77.25" x14ac:dyDescent="0.25">
      <c r="A10038" s="3" t="s">
        <v>29127</v>
      </c>
      <c r="B10038" s="3"/>
      <c r="C10038" s="3" t="str">
        <f>"Our firm renders general civil legal services, including civil and commercial litigation, corporate and business law, estate planning, medicaid planning and estate administration, municipal law and real estate and contractual law."</f>
        <v>Our firm renders general civil legal services, including civil and commercial litigation, corporate and business law, estate planning, medicaid planning and estate administration, municipal law and real estate and contractual law.</v>
      </c>
      <c r="D10038" s="3" t="s">
        <v>29128</v>
      </c>
      <c r="E10038" s="3" t="s">
        <v>29129</v>
      </c>
      <c r="F10038" s="3" t="str">
        <f>"317-888-1121"</f>
        <v>317-888-1121</v>
      </c>
      <c r="G10038" s="3">
        <v>92213</v>
      </c>
      <c r="H10038" s="3" t="s">
        <v>10257</v>
      </c>
    </row>
    <row r="10039" spans="1:8" ht="26.25" x14ac:dyDescent="0.25">
      <c r="A10039" s="3" t="s">
        <v>29130</v>
      </c>
      <c r="B10039" s="3"/>
      <c r="C10039" s="2"/>
      <c r="D10039" s="3" t="s">
        <v>29131</v>
      </c>
      <c r="E10039" s="3" t="s">
        <v>46</v>
      </c>
      <c r="F10039" s="3" t="str">
        <f>"317-398-1728"</f>
        <v>317-398-1728</v>
      </c>
      <c r="G10039" s="3">
        <v>3231</v>
      </c>
      <c r="H10039" s="3" t="s">
        <v>302</v>
      </c>
    </row>
    <row r="10040" spans="1:8" ht="26.25" x14ac:dyDescent="0.25">
      <c r="A10040" s="3" t="s">
        <v>29132</v>
      </c>
      <c r="B10040" s="3"/>
      <c r="C10040" s="3" t="str">
        <f>"We are a law office providing general legal, counseling and consulting services."</f>
        <v>We are a law office providing general legal, counseling and consulting services.</v>
      </c>
      <c r="D10040" s="3" t="s">
        <v>9</v>
      </c>
      <c r="E10040" s="3" t="s">
        <v>29133</v>
      </c>
      <c r="F10040" s="3" t="str">
        <f>"812-663-8373"</f>
        <v>812-663-8373</v>
      </c>
      <c r="G10040" s="3">
        <v>541110</v>
      </c>
      <c r="H10040" s="3" t="s">
        <v>2978</v>
      </c>
    </row>
    <row r="10041" spans="1:8" ht="39" x14ac:dyDescent="0.25">
      <c r="A10041" s="3" t="s">
        <v>29134</v>
      </c>
      <c r="B10041" s="3"/>
      <c r="C10041" s="3" t="str">
        <f>"Residntal and Commerical Tree Removal, Trimming, Land Clearing, Right-of-Way Clearance, Dead Wooding, Storm Work,"</f>
        <v>Residntal and Commerical Tree Removal, Trimming, Land Clearing, Right-of-Way Clearance, Dead Wooding, Storm Work,</v>
      </c>
      <c r="D10041" s="3" t="s">
        <v>29135</v>
      </c>
      <c r="E10041" s="3" t="s">
        <v>29136</v>
      </c>
      <c r="F10041" s="3" t="str">
        <f>"765-349-7673"</f>
        <v>765-349-7673</v>
      </c>
      <c r="G10041" s="3">
        <v>238990</v>
      </c>
      <c r="H10041" s="3" t="s">
        <v>481</v>
      </c>
    </row>
    <row r="10042" spans="1:8" ht="319.5" x14ac:dyDescent="0.25">
      <c r="A10042" s="3" t="s">
        <v>29137</v>
      </c>
      <c r="B10042" s="3"/>
      <c r="C10042" s="3" t="s">
        <v>29138</v>
      </c>
      <c r="D10042" s="3" t="s">
        <v>29139</v>
      </c>
      <c r="E10042" s="3" t="s">
        <v>29140</v>
      </c>
      <c r="F10042" s="3" t="str">
        <f>"317-294-2394"</f>
        <v>317-294-2394</v>
      </c>
      <c r="G10042" s="3">
        <v>54</v>
      </c>
      <c r="H10042" s="3" t="s">
        <v>179</v>
      </c>
    </row>
    <row r="10043" spans="1:8" ht="102.75" x14ac:dyDescent="0.25">
      <c r="A10043" s="3" t="s">
        <v>29141</v>
      </c>
      <c r="B10043" s="3"/>
      <c r="C10043" s="3" t="s">
        <v>29142</v>
      </c>
      <c r="D10043" s="3" t="s">
        <v>29143</v>
      </c>
      <c r="E10043" s="3" t="s">
        <v>29144</v>
      </c>
      <c r="F10043" s="3" t="str">
        <f>"219-879-8236"</f>
        <v>219-879-8236</v>
      </c>
      <c r="G10043" s="3">
        <v>424410</v>
      </c>
      <c r="H10043" s="3" t="s">
        <v>28722</v>
      </c>
    </row>
    <row r="10044" spans="1:8" ht="26.25" x14ac:dyDescent="0.25">
      <c r="A10044" s="3" t="s">
        <v>29145</v>
      </c>
      <c r="B10044" s="3"/>
      <c r="C10044" s="3" t="str">
        <f>"General Construction Contractor Supplier (job-specific)"</f>
        <v>General Construction Contractor Supplier (job-specific)</v>
      </c>
      <c r="D10044" s="3" t="s">
        <v>9</v>
      </c>
      <c r="E10044" s="3" t="s">
        <v>29146</v>
      </c>
      <c r="F10044" s="3" t="str">
        <f>"219-938-9812"</f>
        <v>219-938-9812</v>
      </c>
      <c r="G10044" s="3">
        <v>236220</v>
      </c>
      <c r="H10044" s="3" t="s">
        <v>598</v>
      </c>
    </row>
    <row r="10045" spans="1:8" ht="294" x14ac:dyDescent="0.25">
      <c r="A10045" s="3" t="s">
        <v>29147</v>
      </c>
      <c r="B10045" s="3"/>
      <c r="C10045" s="3" t="s">
        <v>29148</v>
      </c>
      <c r="D10045" s="3" t="s">
        <v>29149</v>
      </c>
      <c r="E10045" s="3" t="s">
        <v>29150</v>
      </c>
      <c r="F10045" s="3" t="str">
        <f>"317-257-5225"</f>
        <v>317-257-5225</v>
      </c>
      <c r="G10045" s="3">
        <v>5418</v>
      </c>
      <c r="H10045" s="3" t="s">
        <v>1337</v>
      </c>
    </row>
    <row r="10046" spans="1:8" ht="64.5" x14ac:dyDescent="0.25">
      <c r="A10046" s="3" t="s">
        <v>29151</v>
      </c>
      <c r="B10046" s="3"/>
      <c r="C10046" s="3" t="str">
        <f>"Willowglen Academy-Indiana, Inc. provides residential treatment services to children, adolescents and adults with mental health, developmental/intellectual, and co-existing disabilities."</f>
        <v>Willowglen Academy-Indiana, Inc. provides residential treatment services to children, adolescents and adults with mental health, developmental/intellectual, and co-existing disabilities.</v>
      </c>
      <c r="D10046" s="3" t="s">
        <v>29152</v>
      </c>
      <c r="E10046" s="3" t="s">
        <v>29153</v>
      </c>
      <c r="F10046" s="3" t="str">
        <f>"414-225-4460"</f>
        <v>414-225-4460</v>
      </c>
      <c r="G10046" s="3">
        <v>624190</v>
      </c>
      <c r="H10046" s="3" t="s">
        <v>54</v>
      </c>
    </row>
    <row r="10047" spans="1:8" ht="77.25" x14ac:dyDescent="0.25">
      <c r="A10047" s="3" t="s">
        <v>29154</v>
      </c>
      <c r="B10047" s="3"/>
      <c r="C10047" s="3" t="str">
        <f>"Manufacturer, distributor, sales and installation of various home improvement products. Windows, Entry Doors, Siding, Gutters, Awnings, Patio/Carport Covers, Underdeck Drainage Systems, Railings, Storm Windows and Storm Doors."</f>
        <v>Manufacturer, distributor, sales and installation of various home improvement products. Windows, Entry Doors, Siding, Gutters, Awnings, Patio/Carport Covers, Underdeck Drainage Systems, Railings, Storm Windows and Storm Doors.</v>
      </c>
      <c r="D10047" s="3" t="s">
        <v>29155</v>
      </c>
      <c r="E10047" s="3" t="s">
        <v>46</v>
      </c>
      <c r="F10047" s="3" t="str">
        <f>"812-367-1811"</f>
        <v>812-367-1811</v>
      </c>
      <c r="G10047" s="3">
        <v>236118</v>
      </c>
      <c r="H10047" s="3" t="s">
        <v>465</v>
      </c>
    </row>
    <row r="10048" spans="1:8" ht="26.25" x14ac:dyDescent="0.25">
      <c r="A10048" s="3" t="s">
        <v>29156</v>
      </c>
      <c r="B10048" s="3"/>
      <c r="C10048" s="3" t="str">
        <f>"Educational Service Center"</f>
        <v>Educational Service Center</v>
      </c>
      <c r="D10048" s="3" t="s">
        <v>29157</v>
      </c>
      <c r="E10048" s="3" t="s">
        <v>29158</v>
      </c>
      <c r="F10048" s="3" t="str">
        <f>"812-256-8000"</f>
        <v>812-256-8000</v>
      </c>
      <c r="G10048" s="3">
        <v>611710</v>
      </c>
      <c r="H10048" s="3" t="s">
        <v>508</v>
      </c>
    </row>
    <row r="10049" spans="1:8" ht="26.25" x14ac:dyDescent="0.25">
      <c r="A10049" s="3" t="s">
        <v>29159</v>
      </c>
      <c r="B10049" s="3"/>
      <c r="C10049" s="3" t="str">
        <f>"Structural steel fabricator."</f>
        <v>Structural steel fabricator.</v>
      </c>
      <c r="D10049" s="3" t="s">
        <v>9</v>
      </c>
      <c r="E10049" s="3" t="s">
        <v>46</v>
      </c>
      <c r="F10049" s="3" t="str">
        <f>"219-663-7900"</f>
        <v>219-663-7900</v>
      </c>
      <c r="G10049" s="3">
        <v>3312</v>
      </c>
      <c r="H10049" s="3" t="s">
        <v>1251</v>
      </c>
    </row>
    <row r="10050" spans="1:8" ht="26.25" x14ac:dyDescent="0.25">
      <c r="A10050" s="3" t="s">
        <v>29160</v>
      </c>
      <c r="B10050" s="3"/>
      <c r="C10050" s="3" t="str">
        <f>"General warehousing, logistics and storage"</f>
        <v>General warehousing, logistics and storage</v>
      </c>
      <c r="D10050" s="3" t="s">
        <v>28247</v>
      </c>
      <c r="E10050" s="3" t="s">
        <v>29161</v>
      </c>
      <c r="F10050" s="3" t="str">
        <f>"317 870-1180"</f>
        <v>317 870-1180</v>
      </c>
      <c r="G10050" s="3">
        <v>493110</v>
      </c>
      <c r="H10050" s="3" t="s">
        <v>16497</v>
      </c>
    </row>
    <row r="10051" spans="1:8" ht="26.25" x14ac:dyDescent="0.25">
      <c r="A10051" s="3" t="s">
        <v>29162</v>
      </c>
      <c r="B10051" s="3"/>
      <c r="C10051" s="3" t="str">
        <f>"Wholsale Turf Seed, Forage Seed"</f>
        <v>Wholsale Turf Seed, Forage Seed</v>
      </c>
      <c r="D10051" s="3" t="s">
        <v>29163</v>
      </c>
      <c r="E10051" s="3" t="s">
        <v>46</v>
      </c>
      <c r="F10051" s="3" t="str">
        <f>"765-557-4455"</f>
        <v>765-557-4455</v>
      </c>
      <c r="G10051" s="3">
        <v>112910</v>
      </c>
      <c r="H10051" s="3" t="s">
        <v>4833</v>
      </c>
    </row>
    <row r="10052" spans="1:8" ht="26.25" x14ac:dyDescent="0.25">
      <c r="A10052" s="3" t="s">
        <v>29164</v>
      </c>
      <c r="B10052" s="3"/>
      <c r="C10052" s="3" t="str">
        <f>"Greenhouse manufacturer, greenhouse equipment provider and greenhouse erector."</f>
        <v>Greenhouse manufacturer, greenhouse equipment provider and greenhouse erector.</v>
      </c>
      <c r="D10052" s="3" t="s">
        <v>29165</v>
      </c>
      <c r="E10052" s="3" t="s">
        <v>29166</v>
      </c>
      <c r="F10052" s="3" t="str">
        <f>"7659352111"</f>
        <v>7659352111</v>
      </c>
      <c r="G10052" s="3">
        <v>332311</v>
      </c>
      <c r="H10052" s="3" t="s">
        <v>199</v>
      </c>
    </row>
    <row r="10053" spans="1:8" ht="26.25" x14ac:dyDescent="0.25">
      <c r="A10053" s="3" t="s">
        <v>29167</v>
      </c>
      <c r="B10053" s="3"/>
      <c r="C10053" s="3" t="str">
        <f>"Transportation of Heavy Equipment &amp; Farming Equipment as well as Materials."</f>
        <v>Transportation of Heavy Equipment &amp; Farming Equipment as well as Materials.</v>
      </c>
      <c r="D10053" s="3" t="s">
        <v>9</v>
      </c>
      <c r="E10053" s="3" t="s">
        <v>29168</v>
      </c>
      <c r="F10053" s="3" t="str">
        <f>"(219) 474-6222"</f>
        <v>(219) 474-6222</v>
      </c>
      <c r="G10053" s="3">
        <v>484110</v>
      </c>
      <c r="H10053" s="3" t="s">
        <v>644</v>
      </c>
    </row>
    <row r="10054" spans="1:8" x14ac:dyDescent="0.25">
      <c r="A10054" s="3" t="s">
        <v>29169</v>
      </c>
      <c r="B10054" s="3"/>
      <c r="C10054" s="2"/>
      <c r="D10054" s="3" t="s">
        <v>9</v>
      </c>
      <c r="E10054" s="3" t="s">
        <v>46</v>
      </c>
      <c r="F10054" s="2"/>
      <c r="G10054" s="3">
        <v>31</v>
      </c>
      <c r="H10054" s="3" t="s">
        <v>999</v>
      </c>
    </row>
    <row r="10055" spans="1:8" ht="64.5" x14ac:dyDescent="0.25">
      <c r="A10055" s="3" t="s">
        <v>29170</v>
      </c>
      <c r="B10055" s="3"/>
      <c r="C10055" s="3" t="str">
        <f>"We sell and install Andersen, Peachtree, and Homeguard windows and screens, as well as Therma-Tru Storm doors and entry way systems. We are a certified Andersen Dealer with over 25 years of experience."</f>
        <v>We sell and install Andersen, Peachtree, and Homeguard windows and screens, as well as Therma-Tru Storm doors and entry way systems. We are a certified Andersen Dealer with over 25 years of experience.</v>
      </c>
      <c r="D10055" s="3" t="s">
        <v>9</v>
      </c>
      <c r="E10055" s="3" t="s">
        <v>29171</v>
      </c>
      <c r="F10055" s="3" t="str">
        <f>"317-272-2454"</f>
        <v>317-272-2454</v>
      </c>
      <c r="G10055" s="3">
        <v>444190</v>
      </c>
      <c r="H10055" s="3" t="s">
        <v>1188</v>
      </c>
    </row>
    <row r="10056" spans="1:8" ht="51.75" x14ac:dyDescent="0.25">
      <c r="A10056" s="3" t="s">
        <v>29172</v>
      </c>
      <c r="B10056" s="3"/>
      <c r="C10056" s="3" t="str">
        <f>"I provided custom window coverings, including draperies, valances, bedspreads, blinds,and shutters. I strive to offer high quallity products and customer service."</f>
        <v>I provided custom window coverings, including draperies, valances, bedspreads, blinds,and shutters. I strive to offer high quallity products and customer service.</v>
      </c>
      <c r="D10056" s="3" t="s">
        <v>9</v>
      </c>
      <c r="E10056" s="3" t="s">
        <v>29173</v>
      </c>
      <c r="F10056" s="3" t="str">
        <f>"317-826-7982"</f>
        <v>317-826-7982</v>
      </c>
      <c r="G10056" s="3">
        <v>314121</v>
      </c>
      <c r="H10056" s="3" t="s">
        <v>4530</v>
      </c>
    </row>
    <row r="10057" spans="1:8" ht="230.25" x14ac:dyDescent="0.25">
      <c r="A10057" s="3" t="s">
        <v>29174</v>
      </c>
      <c r="B10057" s="3"/>
      <c r="C10057" s="3" t="s">
        <v>29175</v>
      </c>
      <c r="D10057" s="3" t="s">
        <v>29176</v>
      </c>
      <c r="E10057" s="3" t="s">
        <v>46</v>
      </c>
      <c r="F10057" s="3" t="str">
        <f>"317-878-2301"</f>
        <v>317-878-2301</v>
      </c>
      <c r="G10057" s="3">
        <v>62111</v>
      </c>
      <c r="H10057" s="3" t="s">
        <v>9843</v>
      </c>
    </row>
    <row r="10058" spans="1:8" ht="102.75" x14ac:dyDescent="0.25">
      <c r="A10058" s="3" t="s">
        <v>29177</v>
      </c>
      <c r="B10058" s="3"/>
      <c r="C10058" s="3" t="s">
        <v>29178</v>
      </c>
      <c r="D10058" s="3" t="s">
        <v>29179</v>
      </c>
      <c r="E10058" s="3" t="s">
        <v>29180</v>
      </c>
      <c r="F10058" s="3" t="str">
        <f>"8129626277"</f>
        <v>8129626277</v>
      </c>
      <c r="G10058" s="3">
        <v>561510</v>
      </c>
      <c r="H10058" s="3" t="s">
        <v>288</v>
      </c>
    </row>
    <row r="10059" spans="1:8" ht="166.5" x14ac:dyDescent="0.25">
      <c r="A10059" s="3" t="s">
        <v>29181</v>
      </c>
      <c r="B10059" s="3"/>
      <c r="C10059" s="3" t="s">
        <v>29182</v>
      </c>
      <c r="D10059" s="3" t="s">
        <v>29183</v>
      </c>
      <c r="E10059" s="3" t="s">
        <v>29184</v>
      </c>
      <c r="F10059" s="3" t="str">
        <f>"260-452-4058"</f>
        <v>260-452-4058</v>
      </c>
      <c r="G10059" s="3">
        <v>541690</v>
      </c>
      <c r="H10059" s="3" t="s">
        <v>652</v>
      </c>
    </row>
    <row r="10060" spans="1:8" ht="26.25" x14ac:dyDescent="0.25">
      <c r="A10060" s="3" t="s">
        <v>29185</v>
      </c>
      <c r="B10060" s="3"/>
      <c r="C10060" s="3" t="str">
        <f>"Wholesale distributor fo plumbing and heating products."</f>
        <v>Wholesale distributor fo plumbing and heating products.</v>
      </c>
      <c r="D10060" s="3" t="s">
        <v>29186</v>
      </c>
      <c r="E10060" s="3" t="s">
        <v>29187</v>
      </c>
      <c r="F10060" s="3" t="str">
        <f>"317-926-5367"</f>
        <v>317-926-5367</v>
      </c>
      <c r="G10060" s="3">
        <v>423990</v>
      </c>
      <c r="H10060" s="3" t="s">
        <v>983</v>
      </c>
    </row>
    <row r="10061" spans="1:8" ht="90" x14ac:dyDescent="0.25">
      <c r="A10061" s="3" t="s">
        <v>29188</v>
      </c>
      <c r="B10061" s="3"/>
      <c r="C10061" s="3" t="s">
        <v>29189</v>
      </c>
      <c r="D10061" s="3" t="s">
        <v>29190</v>
      </c>
      <c r="E10061" s="3" t="s">
        <v>29191</v>
      </c>
      <c r="F10061" s="3" t="str">
        <f>"2604369595"</f>
        <v>2604369595</v>
      </c>
      <c r="G10061" s="3">
        <v>44</v>
      </c>
      <c r="H10061" s="3" t="s">
        <v>574</v>
      </c>
    </row>
    <row r="10062" spans="1:8" ht="141" x14ac:dyDescent="0.25">
      <c r="A10062" s="3" t="s">
        <v>29192</v>
      </c>
      <c r="B10062" s="3"/>
      <c r="C10062" s="3" t="s">
        <v>29193</v>
      </c>
      <c r="D10062" s="3" t="s">
        <v>29194</v>
      </c>
      <c r="E10062" s="3" t="s">
        <v>29195</v>
      </c>
      <c r="F10062" s="3" t="str">
        <f>"317-679-8005"</f>
        <v>317-679-8005</v>
      </c>
      <c r="G10062" s="3">
        <v>517310</v>
      </c>
      <c r="H10062" s="3" t="s">
        <v>540</v>
      </c>
    </row>
    <row r="10063" spans="1:8" ht="26.25" x14ac:dyDescent="0.25">
      <c r="A10063" s="3" t="s">
        <v>29196</v>
      </c>
      <c r="B10063" s="3"/>
      <c r="C10063" s="3" t="str">
        <f>"We are a value added reseller of Wireless WAN's, LAN's and mobile computer labs."</f>
        <v>We are a value added reseller of Wireless WAN's, LAN's and mobile computer labs.</v>
      </c>
      <c r="D10063" s="3" t="s">
        <v>29197</v>
      </c>
      <c r="E10063" s="3" t="s">
        <v>29198</v>
      </c>
      <c r="F10063" s="3" t="str">
        <f>"765-447-8000"</f>
        <v>765-447-8000</v>
      </c>
      <c r="G10063" s="3">
        <v>541512</v>
      </c>
      <c r="H10063" s="3" t="s">
        <v>19</v>
      </c>
    </row>
    <row r="10064" spans="1:8" ht="332.25" x14ac:dyDescent="0.25">
      <c r="A10064" s="3" t="s">
        <v>29199</v>
      </c>
      <c r="B10064" s="3"/>
      <c r="C10064" s="3" t="s">
        <v>29200</v>
      </c>
      <c r="D10064" s="3" t="s">
        <v>29201</v>
      </c>
      <c r="E10064" s="3" t="s">
        <v>29202</v>
      </c>
      <c r="F10064" s="3" t="str">
        <f>"812.856.4202"</f>
        <v>812.856.4202</v>
      </c>
      <c r="G10064" s="3">
        <v>541511</v>
      </c>
      <c r="H10064" s="3" t="s">
        <v>122</v>
      </c>
    </row>
    <row r="10065" spans="1:8" ht="115.5" x14ac:dyDescent="0.25">
      <c r="A10065" s="3" t="s">
        <v>29203</v>
      </c>
      <c r="B10065" s="3"/>
      <c r="C10065" s="3" t="s">
        <v>29204</v>
      </c>
      <c r="D10065" s="3" t="s">
        <v>9</v>
      </c>
      <c r="E10065" s="3" t="s">
        <v>29205</v>
      </c>
      <c r="F10065" s="3" t="str">
        <f>"3174739023"</f>
        <v>3174739023</v>
      </c>
      <c r="G10065" s="3">
        <v>561720</v>
      </c>
      <c r="H10065" s="3" t="s">
        <v>222</v>
      </c>
    </row>
    <row r="10066" spans="1:8" ht="77.25" x14ac:dyDescent="0.25">
      <c r="A10066" s="3" t="s">
        <v>29206</v>
      </c>
      <c r="B10066" s="3"/>
      <c r="C10066" s="3" t="str">
        <f>"Wise Energy primarily provides energy audit services for residential and commercial buildings. Depending on the types of measures reqired, Wise Energy may also install the measures needed to improve builing's energy efficiency."</f>
        <v>Wise Energy primarily provides energy audit services for residential and commercial buildings. Depending on the types of measures reqired, Wise Energy may also install the measures needed to improve builing's energy efficiency.</v>
      </c>
      <c r="D10066" s="3" t="s">
        <v>9</v>
      </c>
      <c r="E10066" s="3" t="s">
        <v>29207</v>
      </c>
      <c r="F10066" s="3" t="str">
        <f>"(317) 475-0305"</f>
        <v>(317) 475-0305</v>
      </c>
      <c r="G10066" s="3">
        <v>54135</v>
      </c>
      <c r="H10066" s="3" t="s">
        <v>1784</v>
      </c>
    </row>
    <row r="10067" spans="1:8" ht="51.75" x14ac:dyDescent="0.25">
      <c r="A10067" s="3" t="s">
        <v>29208</v>
      </c>
      <c r="B10067" s="3"/>
      <c r="C10067" s="3" t="str">
        <f>"We provide bulk scanning, large format scanning, cloud storage and collaboration solutions for todays fast paced business environment."</f>
        <v>We provide bulk scanning, large format scanning, cloud storage and collaboration solutions for todays fast paced business environment.</v>
      </c>
      <c r="D10067" s="3" t="s">
        <v>29209</v>
      </c>
      <c r="E10067" s="3" t="s">
        <v>29210</v>
      </c>
      <c r="F10067" s="3" t="str">
        <f>"1-888-623-3035"</f>
        <v>1-888-623-3035</v>
      </c>
      <c r="G10067" s="3">
        <v>56149</v>
      </c>
      <c r="H10067" s="3" t="s">
        <v>7754</v>
      </c>
    </row>
    <row r="10068" spans="1:8" ht="319.5" x14ac:dyDescent="0.25">
      <c r="A10068" s="3" t="s">
        <v>29211</v>
      </c>
      <c r="B10068" s="3"/>
      <c r="C10068" s="3" t="s">
        <v>29212</v>
      </c>
      <c r="D10068" s="3" t="s">
        <v>29213</v>
      </c>
      <c r="E10068" s="3" t="s">
        <v>29214</v>
      </c>
      <c r="F10068" s="3" t="str">
        <f>"317-630-6451"</f>
        <v>317-630-6451</v>
      </c>
      <c r="G10068" s="3">
        <v>11</v>
      </c>
      <c r="H10068" s="3" t="s">
        <v>175</v>
      </c>
    </row>
    <row r="10069" spans="1:8" ht="204.75" x14ac:dyDescent="0.25">
      <c r="A10069" s="3" t="s">
        <v>29215</v>
      </c>
      <c r="B10069" s="3"/>
      <c r="C10069" s="3" t="s">
        <v>29216</v>
      </c>
      <c r="D10069" s="3" t="s">
        <v>29217</v>
      </c>
      <c r="E10069" s="3" t="s">
        <v>29218</v>
      </c>
      <c r="F10069" s="3" t="str">
        <f>"317-587-1621"</f>
        <v>317-587-1621</v>
      </c>
      <c r="G10069" s="3">
        <v>541511</v>
      </c>
      <c r="H10069" s="3" t="s">
        <v>122</v>
      </c>
    </row>
    <row r="10070" spans="1:8" ht="90" x14ac:dyDescent="0.25">
      <c r="A10070" s="3" t="s">
        <v>29219</v>
      </c>
      <c r="B10070" s="3"/>
      <c r="C10070" s="3" t="s">
        <v>29220</v>
      </c>
      <c r="D10070" s="3" t="s">
        <v>29221</v>
      </c>
      <c r="E10070" s="3" t="s">
        <v>29222</v>
      </c>
      <c r="F10070" s="3" t="str">
        <f>"765-836-5311"</f>
        <v>765-836-5311</v>
      </c>
      <c r="G10070" s="3">
        <v>454390</v>
      </c>
      <c r="H10070" s="3" t="s">
        <v>1348</v>
      </c>
    </row>
    <row r="10071" spans="1:8" ht="51.75" x14ac:dyDescent="0.25">
      <c r="A10071" s="3" t="s">
        <v>29223</v>
      </c>
      <c r="B10071" s="3"/>
      <c r="C10071" s="3" t="str">
        <f>"family owned, founded 1911 manufacture wood school casework, (science,library,home-ec) church furniture, custom millwork and custom cabinets"</f>
        <v>family owned, founded 1911 manufacture wood school casework, (science,library,home-ec) church furniture, custom millwork and custom cabinets</v>
      </c>
      <c r="D10071" s="3" t="s">
        <v>29224</v>
      </c>
      <c r="E10071" s="3" t="s">
        <v>29225</v>
      </c>
      <c r="F10071" s="3" t="str">
        <f>"3176376122"</f>
        <v>3176376122</v>
      </c>
      <c r="G10071" s="3">
        <v>23331</v>
      </c>
      <c r="H10071" s="3" t="s">
        <v>5828</v>
      </c>
    </row>
    <row r="10072" spans="1:8" ht="26.25" x14ac:dyDescent="0.25">
      <c r="A10072" s="3" t="s">
        <v>29226</v>
      </c>
      <c r="B10072" s="3"/>
      <c r="C10072" s="3" t="str">
        <f>"Real Estate Services - Right of Way Services / Relocation and Negotiation"</f>
        <v>Real Estate Services - Right of Way Services / Relocation and Negotiation</v>
      </c>
      <c r="D10072" s="3" t="s">
        <v>9</v>
      </c>
      <c r="E10072" s="3" t="s">
        <v>29227</v>
      </c>
      <c r="F10072" s="3" t="str">
        <f>"3178589462"</f>
        <v>3178589462</v>
      </c>
      <c r="G10072" s="3">
        <v>531</v>
      </c>
      <c r="H10072" s="3" t="s">
        <v>74</v>
      </c>
    </row>
    <row r="10073" spans="1:8" ht="39" x14ac:dyDescent="0.25">
      <c r="A10073" s="3" t="s">
        <v>29228</v>
      </c>
      <c r="B10073" s="3"/>
      <c r="C10073" s="3" t="str">
        <f>"Local Trucking Business that works within a 500 mile radius of Indianapolis. Hauling mostly reefer frieght."</f>
        <v>Local Trucking Business that works within a 500 mile radius of Indianapolis. Hauling mostly reefer frieght.</v>
      </c>
      <c r="D10073" s="3" t="s">
        <v>9</v>
      </c>
      <c r="E10073" s="3" t="s">
        <v>46</v>
      </c>
      <c r="F10073" s="3" t="str">
        <f>"317-882-9307"</f>
        <v>317-882-9307</v>
      </c>
      <c r="G10073" s="3">
        <v>484110</v>
      </c>
      <c r="H10073" s="3" t="s">
        <v>644</v>
      </c>
    </row>
    <row r="10074" spans="1:8" ht="179.25" x14ac:dyDescent="0.25">
      <c r="A10074" s="3" t="s">
        <v>29229</v>
      </c>
      <c r="B10074" s="3"/>
      <c r="C10074" s="3" t="s">
        <v>29230</v>
      </c>
      <c r="D10074" s="3" t="s">
        <v>29231</v>
      </c>
      <c r="E10074" s="3" t="s">
        <v>29232</v>
      </c>
      <c r="F10074" s="3" t="str">
        <f>"5133798306"</f>
        <v>5133798306</v>
      </c>
      <c r="G10074" s="3">
        <v>238990</v>
      </c>
      <c r="H10074" s="3" t="s">
        <v>481</v>
      </c>
    </row>
    <row r="10075" spans="1:8" ht="51.75" x14ac:dyDescent="0.25">
      <c r="A10075" s="3" t="s">
        <v>29233</v>
      </c>
      <c r="B10075" s="3"/>
      <c r="C10075" s="3" t="str">
        <f>"Envelope manufacturer of standard, custom designed, window and printed envelopes. Styles include commercial, booklet, and catalog."</f>
        <v>Envelope manufacturer of standard, custom designed, window and printed envelopes. Styles include commercial, booklet, and catalog.</v>
      </c>
      <c r="D10075" s="3" t="s">
        <v>29234</v>
      </c>
      <c r="E10075" s="3" t="s">
        <v>29235</v>
      </c>
      <c r="F10075" s="3" t="str">
        <f>"800-466-9653"</f>
        <v>800-466-9653</v>
      </c>
      <c r="G10075" s="3">
        <v>322232</v>
      </c>
      <c r="H10075" s="3" t="s">
        <v>3207</v>
      </c>
    </row>
    <row r="10076" spans="1:8" ht="64.5" x14ac:dyDescent="0.25">
      <c r="A10076" s="3" t="s">
        <v>29236</v>
      </c>
      <c r="B10076" s="3"/>
      <c r="C10076" s="3" t="str">
        <f>"High quality corporate apparel along with a wide range of promotional products offering corporate identity meeting any budget. Embroidery and screen printing available. Your corporate identity partner"</f>
        <v>High quality corporate apparel along with a wide range of promotional products offering corporate identity meeting any budget. Embroidery and screen printing available. Your corporate identity partner</v>
      </c>
      <c r="D10076" s="3" t="s">
        <v>29237</v>
      </c>
      <c r="E10076" s="3" t="s">
        <v>29238</v>
      </c>
      <c r="F10076" s="3" t="str">
        <f>"317-445-5180"</f>
        <v>317-445-5180</v>
      </c>
      <c r="G10076" s="3">
        <v>541890</v>
      </c>
      <c r="H10076" s="3" t="s">
        <v>401</v>
      </c>
    </row>
    <row r="10077" spans="1:8" ht="51.75" x14ac:dyDescent="0.25">
      <c r="A10077" s="3" t="s">
        <v>29239</v>
      </c>
      <c r="B10077" s="3"/>
      <c r="C10077" s="3" t="str">
        <f>"Forensic engineering, accident reconstruction, demonstrative evidence, and research and development experts with over 30 years of experience."</f>
        <v>Forensic engineering, accident reconstruction, demonstrative evidence, and research and development experts with over 30 years of experience.</v>
      </c>
      <c r="D10077" s="3" t="s">
        <v>29240</v>
      </c>
      <c r="E10077" s="3" t="s">
        <v>29241</v>
      </c>
      <c r="F10077" s="3" t="str">
        <f>"317-842-6075"</f>
        <v>317-842-6075</v>
      </c>
      <c r="G10077" s="3">
        <v>5416</v>
      </c>
      <c r="H10077" s="3" t="s">
        <v>194</v>
      </c>
    </row>
    <row r="10078" spans="1:8" ht="26.25" x14ac:dyDescent="0.25">
      <c r="A10078" s="3" t="s">
        <v>29242</v>
      </c>
      <c r="B10078" s="3"/>
      <c r="C10078" s="3" t="str">
        <f>"General construction contracting of all facets"</f>
        <v>General construction contracting of all facets</v>
      </c>
      <c r="D10078" s="3" t="s">
        <v>9</v>
      </c>
      <c r="E10078" s="3" t="s">
        <v>46</v>
      </c>
      <c r="F10078" s="2"/>
      <c r="G10078" s="3">
        <v>236220</v>
      </c>
      <c r="H10078" s="3" t="s">
        <v>598</v>
      </c>
    </row>
    <row r="10079" spans="1:8" ht="51.75" x14ac:dyDescent="0.25">
      <c r="A10079" s="3" t="s">
        <v>29243</v>
      </c>
      <c r="B10079" s="3"/>
      <c r="C10079" s="3" t="str">
        <f>"Distributor of romotional products / advertising specialties including business gifts, apparel and logoed products. (i.s. caps, mugs, t-shirts etc.)"</f>
        <v>Distributor of romotional products / advertising specialties including business gifts, apparel and logoed products. (i.s. caps, mugs, t-shirts etc.)</v>
      </c>
      <c r="D10079" s="3" t="s">
        <v>29244</v>
      </c>
      <c r="E10079" s="3" t="s">
        <v>29245</v>
      </c>
      <c r="F10079" s="3" t="str">
        <f>"317-569-0761"</f>
        <v>317-569-0761</v>
      </c>
      <c r="G10079" s="3">
        <v>541890</v>
      </c>
      <c r="H10079" s="3" t="s">
        <v>401</v>
      </c>
    </row>
    <row r="10080" spans="1:8" ht="90" x14ac:dyDescent="0.25">
      <c r="A10080" s="3" t="s">
        <v>29246</v>
      </c>
      <c r="B10080" s="3"/>
      <c r="C10080" s="3" t="str">
        <f>"Wolfpack Security, Inc. is an Indiana based security consulting company that specializes in investigative services, executive protection, private/industrial security and electronic surveillance. Wolfpack Security is a veteran/minority owned."</f>
        <v>Wolfpack Security, Inc. is an Indiana based security consulting company that specializes in investigative services, executive protection, private/industrial security and electronic surveillance. Wolfpack Security is a veteran/minority owned.</v>
      </c>
      <c r="D10080" s="3" t="s">
        <v>29247</v>
      </c>
      <c r="E10080" s="3" t="s">
        <v>29248</v>
      </c>
      <c r="F10080" s="3" t="str">
        <f>"317-809-9798"</f>
        <v>317-809-9798</v>
      </c>
      <c r="G10080" s="3">
        <v>561612</v>
      </c>
      <c r="H10080" s="3" t="s">
        <v>362</v>
      </c>
    </row>
    <row r="10081" spans="1:8" ht="64.5" x14ac:dyDescent="0.25">
      <c r="A10081" s="3" t="s">
        <v>29249</v>
      </c>
      <c r="B10081" s="3"/>
      <c r="C10081" s="3" t="str">
        <f>"Wolftalk, Inc. provides wireless phones and accessories to individuals and businesses. Our focus is outstanding customer service and training to provide a positive end user experience."</f>
        <v>Wolftalk, Inc. provides wireless phones and accessories to individuals and businesses. Our focus is outstanding customer service and training to provide a positive end user experience.</v>
      </c>
      <c r="D10081" s="3" t="s">
        <v>9</v>
      </c>
      <c r="E10081" s="3" t="s">
        <v>29250</v>
      </c>
      <c r="F10081" s="3" t="str">
        <f>"317-590-0549"</f>
        <v>317-590-0549</v>
      </c>
      <c r="G10081" s="3">
        <v>517212</v>
      </c>
      <c r="H10081" s="3" t="s">
        <v>6947</v>
      </c>
    </row>
    <row r="10082" spans="1:8" ht="51.75" x14ac:dyDescent="0.25">
      <c r="A10082" s="3" t="s">
        <v>29251</v>
      </c>
      <c r="B10082" s="3"/>
      <c r="C10082" s="3" t="str">
        <f>"Assistance to benefit small businesses concerns controlled and owned by women. Training, workshops and education on starting businesses."</f>
        <v>Assistance to benefit small businesses concerns controlled and owned by women. Training, workshops and education on starting businesses.</v>
      </c>
      <c r="D10082" s="3" t="s">
        <v>29252</v>
      </c>
      <c r="E10082" s="3" t="s">
        <v>29253</v>
      </c>
      <c r="F10082" s="3" t="str">
        <f>"317-615-9392"</f>
        <v>317-615-9392</v>
      </c>
      <c r="G10082" s="3">
        <v>813920</v>
      </c>
      <c r="H10082" s="3" t="s">
        <v>8755</v>
      </c>
    </row>
    <row r="10083" spans="1:8" ht="51.75" x14ac:dyDescent="0.25">
      <c r="A10083" s="3" t="s">
        <v>29254</v>
      </c>
      <c r="B10083" s="3"/>
      <c r="C10083" s="3" t="str">
        <f>"Not-for-profit service agency to help young women deliver healthier babies and become better parents. Pregnancy testing and other services are free."</f>
        <v>Not-for-profit service agency to help young women deliver healthier babies and become better parents. Pregnancy testing and other services are free.</v>
      </c>
      <c r="D10083" s="3" t="s">
        <v>29255</v>
      </c>
      <c r="E10083" s="3" t="s">
        <v>29256</v>
      </c>
      <c r="F10083" s="3" t="str">
        <f>"(574) 252-3680"</f>
        <v>(574) 252-3680</v>
      </c>
      <c r="G10083" s="3">
        <v>11</v>
      </c>
      <c r="H10083" s="3" t="s">
        <v>175</v>
      </c>
    </row>
    <row r="10084" spans="1:8" ht="51.75" x14ac:dyDescent="0.25">
      <c r="A10084" s="3" t="s">
        <v>29257</v>
      </c>
      <c r="B10084" s="3"/>
      <c r="C10084" s="3" t="str">
        <f>"Wonder Moments is a full service photography studio located in Brownsburg, Indiana. Wonder Moments provides fine portraiture and event coverage,"</f>
        <v>Wonder Moments is a full service photography studio located in Brownsburg, Indiana. Wonder Moments provides fine portraiture and event coverage,</v>
      </c>
      <c r="D10084" s="3" t="s">
        <v>29258</v>
      </c>
      <c r="E10084" s="3" t="s">
        <v>29259</v>
      </c>
      <c r="F10084" s="3" t="str">
        <f>"317-858-3584"</f>
        <v>317-858-3584</v>
      </c>
      <c r="G10084" s="3">
        <v>541921</v>
      </c>
      <c r="H10084" s="3" t="s">
        <v>1325</v>
      </c>
    </row>
    <row r="10085" spans="1:8" ht="102.75" x14ac:dyDescent="0.25">
      <c r="A10085" s="3" t="s">
        <v>29260</v>
      </c>
      <c r="B10085" s="3"/>
      <c r="C10085" s="3" t="s">
        <v>29261</v>
      </c>
      <c r="D10085" s="3" t="s">
        <v>29262</v>
      </c>
      <c r="E10085" s="3" t="s">
        <v>46</v>
      </c>
      <c r="F10085" s="3" t="str">
        <f>"765-653-6774"</f>
        <v>765-653-6774</v>
      </c>
      <c r="G10085" s="3">
        <v>2332</v>
      </c>
      <c r="H10085" s="3" t="s">
        <v>3466</v>
      </c>
    </row>
    <row r="10086" spans="1:8" ht="90" x14ac:dyDescent="0.25">
      <c r="A10086" s="3" t="s">
        <v>29263</v>
      </c>
      <c r="B10086" s="3"/>
      <c r="C10086" s="3" t="s">
        <v>29264</v>
      </c>
      <c r="D10086" s="3" t="s">
        <v>9</v>
      </c>
      <c r="E10086" s="3" t="s">
        <v>29265</v>
      </c>
      <c r="F10086" s="3" t="str">
        <f>"317-271-8807"</f>
        <v>317-271-8807</v>
      </c>
      <c r="G10086" s="3">
        <v>561730</v>
      </c>
      <c r="H10086" s="3" t="s">
        <v>65</v>
      </c>
    </row>
    <row r="10087" spans="1:8" ht="115.5" x14ac:dyDescent="0.25">
      <c r="A10087" s="3" t="s">
        <v>29266</v>
      </c>
      <c r="B10087" s="3"/>
      <c r="C10087" s="3" t="s">
        <v>29267</v>
      </c>
      <c r="D10087" s="3" t="s">
        <v>29268</v>
      </c>
      <c r="E10087" s="3" t="s">
        <v>29269</v>
      </c>
      <c r="F10087" s="3" t="str">
        <f>"2606278858"</f>
        <v>2606278858</v>
      </c>
      <c r="G10087" s="3">
        <v>337212</v>
      </c>
      <c r="H10087" s="3" t="s">
        <v>2359</v>
      </c>
    </row>
    <row r="10088" spans="1:8" ht="26.25" x14ac:dyDescent="0.25">
      <c r="A10088" s="3" t="s">
        <v>29270</v>
      </c>
      <c r="B10088" s="3"/>
      <c r="C10088" s="3" t="str">
        <f>"Book Publishing"</f>
        <v>Book Publishing</v>
      </c>
      <c r="D10088" s="3" t="s">
        <v>9</v>
      </c>
      <c r="E10088" s="3" t="s">
        <v>29271</v>
      </c>
      <c r="F10088" s="3" t="str">
        <f>"260-403-8399"</f>
        <v>260-403-8399</v>
      </c>
      <c r="G10088" s="3">
        <v>511</v>
      </c>
      <c r="H10088" s="3" t="s">
        <v>13595</v>
      </c>
    </row>
    <row r="10089" spans="1:8" ht="39" x14ac:dyDescent="0.25">
      <c r="A10089" s="3" t="s">
        <v>29272</v>
      </c>
      <c r="B10089" s="3"/>
      <c r="C10089" s="3" t="str">
        <f>"Land Acquisition Abstracting and Title Research for State and local government agencies."</f>
        <v>Land Acquisition Abstracting and Title Research for State and local government agencies.</v>
      </c>
      <c r="D10089" s="3" t="s">
        <v>9</v>
      </c>
      <c r="E10089" s="3" t="s">
        <v>29273</v>
      </c>
      <c r="F10089" s="3" t="str">
        <f>"317-241-0696"</f>
        <v>317-241-0696</v>
      </c>
      <c r="G10089" s="3">
        <v>541370</v>
      </c>
      <c r="H10089" s="3" t="s">
        <v>160</v>
      </c>
    </row>
    <row r="10090" spans="1:8" ht="192" x14ac:dyDescent="0.25">
      <c r="A10090" s="3" t="s">
        <v>29274</v>
      </c>
      <c r="B10090" s="3"/>
      <c r="C10090" s="3" t="s">
        <v>29275</v>
      </c>
      <c r="D10090" s="3" t="s">
        <v>29276</v>
      </c>
      <c r="E10090" s="3" t="s">
        <v>29277</v>
      </c>
      <c r="F10090" s="3" t="str">
        <f>"812-294-3770"</f>
        <v>812-294-3770</v>
      </c>
      <c r="G10090" s="3">
        <v>72</v>
      </c>
      <c r="H10090" s="3" t="s">
        <v>24740</v>
      </c>
    </row>
    <row r="10091" spans="1:8" ht="26.25" x14ac:dyDescent="0.25">
      <c r="A10091" s="3" t="s">
        <v>29278</v>
      </c>
      <c r="B10091" s="3"/>
      <c r="C10091" s="3" t="str">
        <f>"Your Full Service Electrical Contractor."</f>
        <v>Your Full Service Electrical Contractor.</v>
      </c>
      <c r="D10091" s="3" t="s">
        <v>29279</v>
      </c>
      <c r="E10091" s="3" t="s">
        <v>29280</v>
      </c>
      <c r="F10091" s="3" t="str">
        <f>"812-876-7977"</f>
        <v>812-876-7977</v>
      </c>
      <c r="G10091" s="3">
        <v>238210</v>
      </c>
      <c r="H10091" s="3" t="s">
        <v>306</v>
      </c>
    </row>
    <row r="10092" spans="1:8" ht="115.5" x14ac:dyDescent="0.25">
      <c r="A10092" s="3" t="s">
        <v>29281</v>
      </c>
      <c r="B10092" s="3"/>
      <c r="C10092" s="3" t="s">
        <v>29282</v>
      </c>
      <c r="D10092" s="3" t="s">
        <v>29283</v>
      </c>
      <c r="E10092" s="3" t="s">
        <v>29284</v>
      </c>
      <c r="F10092" s="3" t="str">
        <f>"317-733-3483"</f>
        <v>317-733-3483</v>
      </c>
      <c r="G10092" s="3">
        <v>541511</v>
      </c>
      <c r="H10092" s="3" t="s">
        <v>122</v>
      </c>
    </row>
    <row r="10093" spans="1:8" ht="64.5" x14ac:dyDescent="0.25">
      <c r="A10093" s="3" t="s">
        <v>29285</v>
      </c>
      <c r="B10093" s="3"/>
      <c r="C10093" s="3" t="str">
        <f>"Commercial Printer in Southern Indiana providing full range of business printing products and services. Single to full color print capabilities plus full bindery and finishing, as well as mailing services."</f>
        <v>Commercial Printer in Southern Indiana providing full range of business printing products and services. Single to full color print capabilities plus full bindery and finishing, as well as mailing services.</v>
      </c>
      <c r="D10093" s="3" t="s">
        <v>9</v>
      </c>
      <c r="E10093" s="3" t="s">
        <v>29286</v>
      </c>
      <c r="F10093" s="3" t="str">
        <f>"800-796-1523"</f>
        <v>800-796-1523</v>
      </c>
      <c r="G10093" s="3">
        <v>32311</v>
      </c>
      <c r="H10093" s="3" t="s">
        <v>531</v>
      </c>
    </row>
    <row r="10094" spans="1:8" ht="64.5" x14ac:dyDescent="0.25">
      <c r="A10094" s="3" t="s">
        <v>29287</v>
      </c>
      <c r="B10094" s="3"/>
      <c r="C10094" s="3" t="str">
        <f>"Distributor of water treatment equipment and products including water softeners, filter, and salt. Repair electric fence chargers. Supply salt for snow and ice removal and salt-filtered swimming pools."</f>
        <v>Distributor of water treatment equipment and products including water softeners, filter, and salt. Repair electric fence chargers. Supply salt for snow and ice removal and salt-filtered swimming pools.</v>
      </c>
      <c r="D10094" s="3" t="s">
        <v>29288</v>
      </c>
      <c r="E10094" s="3" t="s">
        <v>29289</v>
      </c>
      <c r="F10094" s="3" t="str">
        <f>"812-438-9800"</f>
        <v>812-438-9800</v>
      </c>
      <c r="G10094" s="3">
        <v>424690</v>
      </c>
      <c r="H10094" s="3" t="s">
        <v>2494</v>
      </c>
    </row>
    <row r="10095" spans="1:8" ht="51.75" x14ac:dyDescent="0.25">
      <c r="A10095" s="3" t="s">
        <v>29290</v>
      </c>
      <c r="B10095" s="3"/>
      <c r="C10095" s="3" t="str">
        <f>"Woodsmen G.C.,LLC is a construction company that does both residential and commercial construction including new construction and remodeling."</f>
        <v>Woodsmen G.C.,LLC is a construction company that does both residential and commercial construction including new construction and remodeling.</v>
      </c>
      <c r="D10095" s="3" t="s">
        <v>9</v>
      </c>
      <c r="E10095" s="3" t="s">
        <v>29291</v>
      </c>
      <c r="F10095" s="3" t="str">
        <f>"317-803-3104"</f>
        <v>317-803-3104</v>
      </c>
      <c r="G10095" s="3">
        <v>23</v>
      </c>
      <c r="H10095" s="3" t="s">
        <v>133</v>
      </c>
    </row>
    <row r="10096" spans="1:8" ht="51.75" x14ac:dyDescent="0.25">
      <c r="A10096" s="3" t="s">
        <v>29292</v>
      </c>
      <c r="B10096" s="3"/>
      <c r="C10096" s="3" t="str">
        <f>"Sell miscellaneous construction products such as wall &amp; corner guards, floor mats, projection screens, fire extinguishers and cabinets."</f>
        <v>Sell miscellaneous construction products such as wall &amp; corner guards, floor mats, projection screens, fire extinguishers and cabinets.</v>
      </c>
      <c r="D10096" s="3" t="s">
        <v>9</v>
      </c>
      <c r="E10096" s="3" t="s">
        <v>29293</v>
      </c>
      <c r="F10096" s="3" t="str">
        <f>"317-781-8143"</f>
        <v>317-781-8143</v>
      </c>
      <c r="G10096" s="3">
        <v>42</v>
      </c>
      <c r="H10096" s="3" t="s">
        <v>674</v>
      </c>
    </row>
    <row r="10097" spans="1:8" ht="141" x14ac:dyDescent="0.25">
      <c r="A10097" s="3" t="s">
        <v>29294</v>
      </c>
      <c r="B10097" s="3"/>
      <c r="C10097" s="3" t="s">
        <v>29295</v>
      </c>
      <c r="D10097" s="3" t="s">
        <v>29296</v>
      </c>
      <c r="E10097" s="3" t="s">
        <v>29297</v>
      </c>
      <c r="F10097" s="3" t="str">
        <f>"812-474-1900"</f>
        <v>812-474-1900</v>
      </c>
      <c r="G10097" s="3">
        <v>531390</v>
      </c>
      <c r="H10097" s="3" t="s">
        <v>623</v>
      </c>
    </row>
    <row r="10098" spans="1:8" ht="128.25" x14ac:dyDescent="0.25">
      <c r="A10098" s="3" t="s">
        <v>29298</v>
      </c>
      <c r="B10098" s="3"/>
      <c r="C10098" s="3" t="s">
        <v>29299</v>
      </c>
      <c r="D10098" s="3" t="s">
        <v>29300</v>
      </c>
      <c r="E10098" s="3" t="s">
        <v>29301</v>
      </c>
      <c r="F10098" s="3" t="str">
        <f>"317-632-7484"</f>
        <v>317-632-7484</v>
      </c>
      <c r="G10098" s="3">
        <v>541310</v>
      </c>
      <c r="H10098" s="3" t="s">
        <v>446</v>
      </c>
    </row>
    <row r="10099" spans="1:8" ht="115.5" x14ac:dyDescent="0.25">
      <c r="A10099" s="3" t="s">
        <v>29302</v>
      </c>
      <c r="B10099" s="3"/>
      <c r="C10099" s="3" t="s">
        <v>29303</v>
      </c>
      <c r="D10099" s="3" t="s">
        <v>29304</v>
      </c>
      <c r="E10099" s="3" t="s">
        <v>29305</v>
      </c>
      <c r="F10099" s="3" t="str">
        <f>"574-282-2806"</f>
        <v>574-282-2806</v>
      </c>
      <c r="G10099" s="3">
        <v>811113</v>
      </c>
      <c r="H10099" s="3" t="s">
        <v>4727</v>
      </c>
    </row>
    <row r="10100" spans="1:8" ht="64.5" x14ac:dyDescent="0.25">
      <c r="A10100" s="3" t="s">
        <v>29306</v>
      </c>
      <c r="B10100" s="3"/>
      <c r="C10100" s="3" t="str">
        <f>"Provides strategic advertising consulting, corporate identity, branding, public relation tools, graphic design, creative marketing products, promotional products, event planning, photography to include arial."</f>
        <v>Provides strategic advertising consulting, corporate identity, branding, public relation tools, graphic design, creative marketing products, promotional products, event planning, photography to include arial.</v>
      </c>
      <c r="D10100" s="3" t="s">
        <v>29307</v>
      </c>
      <c r="E10100" s="3" t="s">
        <v>29308</v>
      </c>
      <c r="F10100" s="3" t="str">
        <f>"317-685-1200"</f>
        <v>317-685-1200</v>
      </c>
      <c r="G10100" s="3">
        <v>541613</v>
      </c>
      <c r="H10100" s="3" t="s">
        <v>558</v>
      </c>
    </row>
    <row r="10101" spans="1:8" x14ac:dyDescent="0.25">
      <c r="A10101" s="3" t="s">
        <v>29309</v>
      </c>
      <c r="B10101" s="3"/>
      <c r="C10101" s="2"/>
      <c r="D10101" s="3" t="s">
        <v>9</v>
      </c>
      <c r="E10101" s="3" t="s">
        <v>46</v>
      </c>
      <c r="F10101" s="2"/>
      <c r="G10101" s="3">
        <v>624190</v>
      </c>
      <c r="H10101" s="3" t="s">
        <v>54</v>
      </c>
    </row>
    <row r="10102" spans="1:8" x14ac:dyDescent="0.25">
      <c r="A10102" s="3" t="s">
        <v>29309</v>
      </c>
      <c r="B10102" s="3"/>
      <c r="C10102" s="2"/>
      <c r="D10102" s="3" t="s">
        <v>9</v>
      </c>
      <c r="E10102" s="3" t="s">
        <v>46</v>
      </c>
      <c r="F10102" s="2"/>
      <c r="G10102" s="3">
        <v>61</v>
      </c>
      <c r="H10102" s="3" t="s">
        <v>140</v>
      </c>
    </row>
    <row r="10103" spans="1:8" ht="26.25" x14ac:dyDescent="0.25">
      <c r="A10103" s="3" t="s">
        <v>29310</v>
      </c>
      <c r="B10103" s="3"/>
      <c r="C10103" s="3" t="str">
        <f>"Publishing Training Marketing Advertising Specialties"</f>
        <v>Publishing Training Marketing Advertising Specialties</v>
      </c>
      <c r="D10103" s="3" t="s">
        <v>29311</v>
      </c>
      <c r="E10103" s="3" t="s">
        <v>29312</v>
      </c>
      <c r="F10103" s="3" t="str">
        <f>"317-413-9057"</f>
        <v>317-413-9057</v>
      </c>
      <c r="G10103" s="3">
        <v>51</v>
      </c>
      <c r="H10103" s="3" t="s">
        <v>252</v>
      </c>
    </row>
    <row r="10104" spans="1:8" ht="153.75" x14ac:dyDescent="0.25">
      <c r="A10104" s="3" t="s">
        <v>29313</v>
      </c>
      <c r="B10104" s="3"/>
      <c r="C10104" s="3" t="s">
        <v>29314</v>
      </c>
      <c r="D10104" s="3" t="s">
        <v>29315</v>
      </c>
      <c r="E10104" s="3" t="s">
        <v>29316</v>
      </c>
      <c r="F10104" s="3" t="str">
        <f>"765-447-7473"</f>
        <v>765-447-7473</v>
      </c>
      <c r="G10104" s="3">
        <v>621399</v>
      </c>
      <c r="H10104" s="3" t="s">
        <v>2306</v>
      </c>
    </row>
    <row r="10105" spans="1:8" ht="64.5" x14ac:dyDescent="0.25">
      <c r="A10105" s="3" t="s">
        <v>29317</v>
      </c>
      <c r="B10105" s="3"/>
      <c r="C10105" s="3" t="str">
        <f>"Consult with Managers and Businesses to review current processing and workflow systems and provide training and new systems that will increase production and increase efficiency."</f>
        <v>Consult with Managers and Businesses to review current processing and workflow systems and provide training and new systems that will increase production and increase efficiency.</v>
      </c>
      <c r="D10105" s="3" t="s">
        <v>9</v>
      </c>
      <c r="E10105" s="3" t="s">
        <v>29318</v>
      </c>
      <c r="F10105" s="3" t="str">
        <f>"317-475-0196"</f>
        <v>317-475-0196</v>
      </c>
      <c r="G10105" s="3">
        <v>54161</v>
      </c>
      <c r="H10105" s="3" t="s">
        <v>1221</v>
      </c>
    </row>
    <row r="10106" spans="1:8" ht="39" x14ac:dyDescent="0.25">
      <c r="A10106" s="3" t="s">
        <v>29319</v>
      </c>
      <c r="B10106" s="3"/>
      <c r="C10106" s="3" t="str">
        <f>"Workforce Associates, Inc. is a consulting firm specializing in workforce and economic development."</f>
        <v>Workforce Associates, Inc. is a consulting firm specializing in workforce and economic development.</v>
      </c>
      <c r="D10106" s="3" t="s">
        <v>29320</v>
      </c>
      <c r="E10106" s="3" t="s">
        <v>29321</v>
      </c>
      <c r="F10106" s="3" t="str">
        <f>"317-841-0133"</f>
        <v>317-841-0133</v>
      </c>
      <c r="G10106" s="3">
        <v>5416</v>
      </c>
      <c r="H10106" s="3" t="s">
        <v>194</v>
      </c>
    </row>
    <row r="10107" spans="1:8" ht="51.75" x14ac:dyDescent="0.25">
      <c r="A10107" s="3" t="s">
        <v>29322</v>
      </c>
      <c r="B10107" s="3"/>
      <c r="C10107" s="3" t="str">
        <f>"Not-for-profit 501(c)3 educational organization providing services in employment, training and eductional development."</f>
        <v>Not-for-profit 501(c)3 educational organization providing services in employment, training and eductional development.</v>
      </c>
      <c r="D10107" s="3" t="s">
        <v>29323</v>
      </c>
      <c r="E10107" s="3" t="s">
        <v>29324</v>
      </c>
      <c r="F10107" s="3" t="str">
        <f>"219-882-0033"</f>
        <v>219-882-0033</v>
      </c>
      <c r="G10107" s="3">
        <v>5613</v>
      </c>
      <c r="H10107" s="3" t="s">
        <v>1882</v>
      </c>
    </row>
    <row r="10108" spans="1:8" ht="255.75" x14ac:dyDescent="0.25">
      <c r="A10108" s="3" t="s">
        <v>29325</v>
      </c>
      <c r="B10108" s="3"/>
      <c r="C10108" s="3" t="s">
        <v>29326</v>
      </c>
      <c r="D10108" s="3" t="s">
        <v>29327</v>
      </c>
      <c r="E10108" s="3" t="s">
        <v>29328</v>
      </c>
      <c r="F10108" s="3" t="str">
        <f>"765-689-9950"</f>
        <v>765-689-9950</v>
      </c>
      <c r="G10108" s="3">
        <v>624310</v>
      </c>
      <c r="H10108" s="3" t="s">
        <v>488</v>
      </c>
    </row>
    <row r="10109" spans="1:8" ht="179.25" x14ac:dyDescent="0.25">
      <c r="A10109" s="3" t="s">
        <v>29329</v>
      </c>
      <c r="B10109" s="3"/>
      <c r="C10109" s="3" t="s">
        <v>29330</v>
      </c>
      <c r="D10109" s="3" t="s">
        <v>29331</v>
      </c>
      <c r="E10109" s="3" t="s">
        <v>29332</v>
      </c>
      <c r="F10109" s="3" t="str">
        <f>"812-378-4511"</f>
        <v>812-378-4511</v>
      </c>
      <c r="G10109" s="3">
        <v>621399</v>
      </c>
      <c r="H10109" s="3" t="s">
        <v>2306</v>
      </c>
    </row>
    <row r="10110" spans="1:8" ht="26.25" x14ac:dyDescent="0.25">
      <c r="A10110" s="3" t="s">
        <v>29333</v>
      </c>
      <c r="B10110" s="3"/>
      <c r="C10110" s="3" t="str">
        <f>"World Language Arts provides online and classroom foreign language courses."</f>
        <v>World Language Arts provides online and classroom foreign language courses.</v>
      </c>
      <c r="D10110" s="3" t="s">
        <v>9</v>
      </c>
      <c r="E10110" s="3" t="s">
        <v>29334</v>
      </c>
      <c r="F10110" s="3" t="str">
        <f>"3173138242"</f>
        <v>3173138242</v>
      </c>
      <c r="G10110" s="3">
        <v>611630</v>
      </c>
      <c r="H10110" s="3" t="s">
        <v>17121</v>
      </c>
    </row>
    <row r="10111" spans="1:8" ht="26.25" x14ac:dyDescent="0.25">
      <c r="A10111" s="3" t="s">
        <v>29335</v>
      </c>
      <c r="B10111" s="3"/>
      <c r="C10111" s="3" t="str">
        <f>"Automotive/ Commercial/ Deep Cycle battery wholesaler/ Battery Specialist"</f>
        <v>Automotive/ Commercial/ Deep Cycle battery wholesaler/ Battery Specialist</v>
      </c>
      <c r="D10111" s="3" t="s">
        <v>29336</v>
      </c>
      <c r="E10111" s="3" t="s">
        <v>29337</v>
      </c>
      <c r="F10111" s="3" t="str">
        <f>"317-845-1330"</f>
        <v>317-845-1330</v>
      </c>
      <c r="G10111" s="3">
        <v>454390</v>
      </c>
      <c r="H10111" s="3" t="s">
        <v>1348</v>
      </c>
    </row>
    <row r="10112" spans="1:8" ht="77.25" x14ac:dyDescent="0.25">
      <c r="A10112" s="3" t="s">
        <v>29338</v>
      </c>
      <c r="B10112" s="3"/>
      <c r="C10112" s="3" t="str">
        <f>"We are an Indianapolis-based, minority- and service disabled vereran-owned integrator of filters covering a huge variety of applications. We distribute Filtration, Safety (PPE), Janitorial and FLeet Maintenance products and Services."</f>
        <v>We are an Indianapolis-based, minority- and service disabled vereran-owned integrator of filters covering a huge variety of applications. We distribute Filtration, Safety (PPE), Janitorial and FLeet Maintenance products and Services.</v>
      </c>
      <c r="D10112" s="3" t="s">
        <v>29339</v>
      </c>
      <c r="E10112" s="3" t="s">
        <v>29340</v>
      </c>
      <c r="F10112" s="3" t="str">
        <f>"317 808-3719"</f>
        <v>317 808-3719</v>
      </c>
      <c r="G10112" s="3">
        <v>423990</v>
      </c>
      <c r="H10112" s="3" t="s">
        <v>983</v>
      </c>
    </row>
    <row r="10113" spans="1:8" ht="51.75" x14ac:dyDescent="0.25">
      <c r="A10113" s="3" t="s">
        <v>29341</v>
      </c>
      <c r="B10113" s="3"/>
      <c r="C10113" s="3" t="str">
        <f>"Distributor of business forms, office supplies, computer supplies, and promotional products. Provide design work for direct mail and marketing."</f>
        <v>Distributor of business forms, office supplies, computer supplies, and promotional products. Provide design work for direct mail and marketing.</v>
      </c>
      <c r="D10113" s="3" t="s">
        <v>29342</v>
      </c>
      <c r="E10113" s="3" t="s">
        <v>29343</v>
      </c>
      <c r="F10113" s="3" t="str">
        <f>"317-895-9708"</f>
        <v>317-895-9708</v>
      </c>
      <c r="G10113" s="3">
        <v>561990</v>
      </c>
      <c r="H10113" s="3" t="s">
        <v>219</v>
      </c>
    </row>
    <row r="10114" spans="1:8" ht="26.25" x14ac:dyDescent="0.25">
      <c r="A10114" s="3" t="s">
        <v>29344</v>
      </c>
      <c r="B10114" s="3"/>
      <c r="C10114" s="3" t="str">
        <f>"General machining, Tools, Dies, Fixtures"</f>
        <v>General machining, Tools, Dies, Fixtures</v>
      </c>
      <c r="D10114" s="3" t="s">
        <v>9</v>
      </c>
      <c r="E10114" s="3" t="s">
        <v>29345</v>
      </c>
      <c r="F10114" s="3" t="str">
        <f>"219-325-3949"</f>
        <v>219-325-3949</v>
      </c>
      <c r="G10114" s="3">
        <v>332710</v>
      </c>
      <c r="H10114" s="3" t="s">
        <v>387</v>
      </c>
    </row>
    <row r="10115" spans="1:8" ht="26.25" x14ac:dyDescent="0.25">
      <c r="A10115" s="3" t="s">
        <v>29346</v>
      </c>
      <c r="B10115" s="3"/>
      <c r="C10115" s="3" t="str">
        <f>"Automotive Body Shop specializing in Automotive Collision Repair."</f>
        <v>Automotive Body Shop specializing in Automotive Collision Repair.</v>
      </c>
      <c r="D10115" s="3" t="s">
        <v>9</v>
      </c>
      <c r="E10115" s="3" t="s">
        <v>29347</v>
      </c>
      <c r="F10115" s="3" t="str">
        <f>"(812) 883-2277"</f>
        <v>(812) 883-2277</v>
      </c>
      <c r="G10115" s="3">
        <v>441120</v>
      </c>
      <c r="H10115" s="3" t="s">
        <v>17020</v>
      </c>
    </row>
    <row r="10116" spans="1:8" ht="26.25" x14ac:dyDescent="0.25">
      <c r="A10116" s="3" t="s">
        <v>29348</v>
      </c>
      <c r="B10116" s="3"/>
      <c r="C10116" s="3" t="str">
        <f>"Wrecker sales, parts sales and service"</f>
        <v>Wrecker sales, parts sales and service</v>
      </c>
      <c r="D10116" s="3" t="s">
        <v>29349</v>
      </c>
      <c r="E10116" s="3" t="s">
        <v>29350</v>
      </c>
      <c r="F10116" s="3" t="str">
        <f>"317-240-6920"</f>
        <v>317-240-6920</v>
      </c>
      <c r="G10116" s="3">
        <v>423110</v>
      </c>
      <c r="H10116" s="3" t="s">
        <v>3324</v>
      </c>
    </row>
    <row r="10117" spans="1:8" ht="26.25" x14ac:dyDescent="0.25">
      <c r="A10117" s="3" t="s">
        <v>29351</v>
      </c>
      <c r="B10117" s="3"/>
      <c r="C10117" s="3" t="str">
        <f>"Painting and wallcovering contractor"</f>
        <v>Painting and wallcovering contractor</v>
      </c>
      <c r="D10117" s="3" t="s">
        <v>9</v>
      </c>
      <c r="E10117" s="3" t="s">
        <v>29352</v>
      </c>
      <c r="F10117" s="3" t="str">
        <f>"219-440-7482"</f>
        <v>219-440-7482</v>
      </c>
      <c r="G10117" s="3">
        <v>238320</v>
      </c>
      <c r="H10117" s="3" t="s">
        <v>462</v>
      </c>
    </row>
    <row r="10118" spans="1:8" ht="26.25" x14ac:dyDescent="0.25">
      <c r="A10118" s="3" t="s">
        <v>29353</v>
      </c>
      <c r="B10118" s="3"/>
      <c r="C10118" s="3" t="str">
        <f>"Temp. Health Care staffing"</f>
        <v>Temp. Health Care staffing</v>
      </c>
      <c r="D10118" s="3" t="s">
        <v>9</v>
      </c>
      <c r="E10118" s="3" t="s">
        <v>29354</v>
      </c>
      <c r="F10118" s="3" t="str">
        <f>"765-447-2200"</f>
        <v>765-447-2200</v>
      </c>
      <c r="G10118" s="3">
        <v>812990</v>
      </c>
      <c r="H10118" s="3" t="s">
        <v>294</v>
      </c>
    </row>
    <row r="10119" spans="1:8" ht="26.25" x14ac:dyDescent="0.25">
      <c r="A10119" s="3" t="s">
        <v>29355</v>
      </c>
      <c r="B10119" s="3"/>
      <c r="C10119" s="3" t="str">
        <f>"Nursing"</f>
        <v>Nursing</v>
      </c>
      <c r="D10119" s="3" t="s">
        <v>29356</v>
      </c>
      <c r="E10119" s="3" t="s">
        <v>29357</v>
      </c>
      <c r="F10119" s="3" t="str">
        <f>"765-447-2200"</f>
        <v>765-447-2200</v>
      </c>
      <c r="G10119" s="3">
        <v>812990</v>
      </c>
      <c r="H10119" s="3" t="s">
        <v>294</v>
      </c>
    </row>
    <row r="10120" spans="1:8" ht="268.5" x14ac:dyDescent="0.25">
      <c r="A10120" s="3" t="s">
        <v>29358</v>
      </c>
      <c r="B10120" s="3"/>
      <c r="C10120" s="3" t="s">
        <v>29359</v>
      </c>
      <c r="D10120" s="3" t="s">
        <v>29360</v>
      </c>
      <c r="E10120" s="3" t="s">
        <v>29361</v>
      </c>
      <c r="F10120" s="3" t="str">
        <f>"317-385-4613"</f>
        <v>317-385-4613</v>
      </c>
      <c r="G10120" s="3">
        <v>541611</v>
      </c>
      <c r="H10120" s="3" t="s">
        <v>278</v>
      </c>
    </row>
    <row r="10121" spans="1:8" ht="90" x14ac:dyDescent="0.25">
      <c r="A10121" s="3" t="s">
        <v>29362</v>
      </c>
      <c r="B10121" s="3"/>
      <c r="C10121" s="3" t="str">
        <f>"Locally-owned manufacturer of checks and business forms. We manufacturer multiple-part forms, do perforating and numbering. We use MICR encoding and extreme security features on checks. We do business cards, stationery, medical forms and filing systems."</f>
        <v>Locally-owned manufacturer of checks and business forms. We manufacturer multiple-part forms, do perforating and numbering. We use MICR encoding and extreme security features on checks. We do business cards, stationery, medical forms and filing systems.</v>
      </c>
      <c r="D10121" s="3" t="s">
        <v>29363</v>
      </c>
      <c r="E10121" s="3" t="s">
        <v>29364</v>
      </c>
      <c r="F10121" s="3" t="str">
        <f>"317-849-7292"</f>
        <v>317-849-7292</v>
      </c>
      <c r="G10121" s="3">
        <v>323119</v>
      </c>
      <c r="H10121" s="3" t="s">
        <v>6229</v>
      </c>
    </row>
    <row r="10122" spans="1:8" ht="26.25" x14ac:dyDescent="0.25">
      <c r="A10122" s="3" t="s">
        <v>29365</v>
      </c>
      <c r="B10122" s="3"/>
      <c r="C10122" s="3" t="str">
        <f>"Sales. parts. and servive of farm and lawn &amp; garden equipment"</f>
        <v>Sales. parts. and servive of farm and lawn &amp; garden equipment</v>
      </c>
      <c r="D10122" s="3" t="s">
        <v>29366</v>
      </c>
      <c r="E10122" s="3" t="s">
        <v>29367</v>
      </c>
      <c r="F10122" s="3" t="str">
        <f>"800-447-4141"</f>
        <v>800-447-4141</v>
      </c>
      <c r="G10122" s="3">
        <v>441229</v>
      </c>
      <c r="H10122" s="3" t="s">
        <v>3721</v>
      </c>
    </row>
    <row r="10123" spans="1:8" ht="268.5" x14ac:dyDescent="0.25">
      <c r="A10123" s="3" t="s">
        <v>29368</v>
      </c>
      <c r="B10123" s="3"/>
      <c r="C10123" s="3" t="s">
        <v>29369</v>
      </c>
      <c r="D10123" s="3" t="s">
        <v>29370</v>
      </c>
      <c r="E10123" s="3" t="s">
        <v>29371</v>
      </c>
      <c r="F10123" s="3" t="str">
        <f>"574.266.0964"</f>
        <v>574.266.0964</v>
      </c>
      <c r="G10123" s="3">
        <v>5112</v>
      </c>
      <c r="H10123" s="3" t="s">
        <v>315</v>
      </c>
    </row>
    <row r="10124" spans="1:8" ht="90" x14ac:dyDescent="0.25">
      <c r="A10124" s="3" t="s">
        <v>29372</v>
      </c>
      <c r="B10124" s="3"/>
      <c r="C10124" s="3" t="s">
        <v>29373</v>
      </c>
      <c r="D10124" s="3" t="s">
        <v>29374</v>
      </c>
      <c r="E10124" s="3" t="s">
        <v>29375</v>
      </c>
      <c r="F10124" s="3" t="str">
        <f>"812-249-4853"</f>
        <v>812-249-4853</v>
      </c>
      <c r="G10124" s="3">
        <v>42472</v>
      </c>
      <c r="H10124" s="3" t="s">
        <v>6992</v>
      </c>
    </row>
    <row r="10125" spans="1:8" ht="77.25" x14ac:dyDescent="0.25">
      <c r="A10125" s="3" t="s">
        <v>29376</v>
      </c>
      <c r="B10125" s="3"/>
      <c r="C10125" s="3" t="str">
        <f>"Marketing Services: Discounted Printing and Promotional Products Strategy Development Material Review and Recommendations Marketing and Branding Design Website Design, Hosting and Management Social Media Management"</f>
        <v>Marketing Services: Discounted Printing and Promotional Products Strategy Development Material Review and Recommendations Marketing and Branding Design Website Design, Hosting and Management Social Media Management</v>
      </c>
      <c r="D10125" s="3" t="s">
        <v>29377</v>
      </c>
      <c r="E10125" s="3" t="s">
        <v>29378</v>
      </c>
      <c r="F10125" s="3" t="str">
        <f>"765-490-2272"</f>
        <v>765-490-2272</v>
      </c>
      <c r="G10125" s="3">
        <v>54189</v>
      </c>
      <c r="H10125" s="3" t="s">
        <v>401</v>
      </c>
    </row>
    <row r="10126" spans="1:8" ht="77.25" x14ac:dyDescent="0.25">
      <c r="A10126" s="3" t="s">
        <v>29379</v>
      </c>
      <c r="B10126" s="3"/>
      <c r="C10126" s="3" t="str">
        <f>"Protection againts rust and corrosion, moisture barrier for all materials such as Fiberglass, Brick , Concrete , Metal , Foam, Plastic, Wood , Automotive , Ext. Can be color code matched. If you can dream it we can seal it."</f>
        <v>Protection againts rust and corrosion, moisture barrier for all materials such as Fiberglass, Brick , Concrete , Metal , Foam, Plastic, Wood , Automotive , Ext. Can be color code matched. If you can dream it we can seal it.</v>
      </c>
      <c r="D10126" s="3" t="s">
        <v>29380</v>
      </c>
      <c r="E10126" s="3" t="s">
        <v>29381</v>
      </c>
      <c r="F10126" s="3" t="str">
        <f>"317-585-0123"</f>
        <v>317-585-0123</v>
      </c>
      <c r="G10126" s="3">
        <v>332812</v>
      </c>
      <c r="H10126" s="3" t="s">
        <v>6980</v>
      </c>
    </row>
    <row r="10127" spans="1:8" ht="77.25" x14ac:dyDescent="0.25">
      <c r="A10127" s="3" t="s">
        <v>29382</v>
      </c>
      <c r="B10127" s="3"/>
      <c r="C10127" s="3" t="str">
        <f>"Services We Offer: 1. Fiber Optic Installation 2. Complete Cabling Services 3. Telecommunications 4. Data Networks 5. Computer/Server Support 6. Hardware/Software Support 7. Audio/Visual Systems 8. Consulting"</f>
        <v>Services We Offer: 1. Fiber Optic Installation 2. Complete Cabling Services 3. Telecommunications 4. Data Networks 5. Computer/Server Support 6. Hardware/Software Support 7. Audio/Visual Systems 8. Consulting</v>
      </c>
      <c r="D10127" s="3" t="s">
        <v>29383</v>
      </c>
      <c r="E10127" s="3" t="s">
        <v>29384</v>
      </c>
      <c r="F10127" s="3" t="str">
        <f>"765-203-6153"</f>
        <v>765-203-6153</v>
      </c>
      <c r="G10127" s="3">
        <v>519190</v>
      </c>
      <c r="H10127" s="3" t="s">
        <v>13512</v>
      </c>
    </row>
    <row r="10128" spans="1:8" ht="26.25" x14ac:dyDescent="0.25">
      <c r="A10128" s="3" t="s">
        <v>29385</v>
      </c>
      <c r="B10128" s="3"/>
      <c r="C10128" s="3" t="str">
        <f>"We provide event management, marketing and public relations services."</f>
        <v>We provide event management, marketing and public relations services.</v>
      </c>
      <c r="D10128" s="3" t="s">
        <v>29386</v>
      </c>
      <c r="E10128" s="3" t="s">
        <v>29387</v>
      </c>
      <c r="F10128" s="3" t="str">
        <f>"317-344-9121"</f>
        <v>317-344-9121</v>
      </c>
      <c r="G10128" s="3">
        <v>541613</v>
      </c>
      <c r="H10128" s="3" t="s">
        <v>558</v>
      </c>
    </row>
    <row r="10129" spans="1:8" ht="90" x14ac:dyDescent="0.25">
      <c r="A10129" s="3" t="s">
        <v>29388</v>
      </c>
      <c r="B10129" s="3"/>
      <c r="C10129" s="3" t="s">
        <v>29389</v>
      </c>
      <c r="D10129" s="3" t="s">
        <v>29390</v>
      </c>
      <c r="E10129" s="3" t="s">
        <v>29391</v>
      </c>
      <c r="F10129" s="3" t="str">
        <f>"317-738-3434"</f>
        <v>317-738-3434</v>
      </c>
      <c r="G10129" s="3">
        <v>32311</v>
      </c>
      <c r="H10129" s="3" t="s">
        <v>531</v>
      </c>
    </row>
    <row r="10130" spans="1:8" ht="39" x14ac:dyDescent="0.25">
      <c r="A10130" s="3" t="s">
        <v>29392</v>
      </c>
      <c r="B10130" s="3"/>
      <c r="C10130" s="3" t="str">
        <f>"APHALT PAVING - SEALCOAT - STRIPING - CONCRETE - EXCAVATING - CRANE RENTAL - TRUCKING"</f>
        <v>APHALT PAVING - SEALCOAT - STRIPING - CONCRETE - EXCAVATING - CRANE RENTAL - TRUCKING</v>
      </c>
      <c r="D10130" s="3" t="s">
        <v>9</v>
      </c>
      <c r="E10130" s="3" t="s">
        <v>29393</v>
      </c>
      <c r="F10130" s="3" t="str">
        <f>"219-984-5144"</f>
        <v>219-984-5144</v>
      </c>
      <c r="G10130" s="3">
        <v>324121</v>
      </c>
      <c r="H10130" s="3" t="s">
        <v>3290</v>
      </c>
    </row>
    <row r="10131" spans="1:8" ht="204.75" x14ac:dyDescent="0.25">
      <c r="A10131" s="3" t="s">
        <v>29394</v>
      </c>
      <c r="B10131" s="3"/>
      <c r="C10131" s="3" t="s">
        <v>29395</v>
      </c>
      <c r="D10131" s="3" t="s">
        <v>5103</v>
      </c>
      <c r="E10131" s="3" t="s">
        <v>29396</v>
      </c>
      <c r="F10131" s="3" t="str">
        <f>"317-632-6501"</f>
        <v>317-632-6501</v>
      </c>
      <c r="G10131" s="3">
        <v>5418</v>
      </c>
      <c r="H10131" s="3" t="s">
        <v>1337</v>
      </c>
    </row>
    <row r="10132" spans="1:8" ht="115.5" x14ac:dyDescent="0.25">
      <c r="A10132" s="3" t="s">
        <v>29397</v>
      </c>
      <c r="B10132" s="3"/>
      <c r="C10132" s="3" t="s">
        <v>29398</v>
      </c>
      <c r="D10132" s="3" t="s">
        <v>29399</v>
      </c>
      <c r="E10132" s="3" t="s">
        <v>29400</v>
      </c>
      <c r="F10132" s="2"/>
      <c r="G10132" s="3">
        <v>44812</v>
      </c>
      <c r="H10132" s="3" t="s">
        <v>29401</v>
      </c>
    </row>
    <row r="10133" spans="1:8" ht="306.75" x14ac:dyDescent="0.25">
      <c r="A10133" s="3" t="s">
        <v>29402</v>
      </c>
      <c r="B10133" s="3"/>
      <c r="C10133" s="3" t="s">
        <v>29403</v>
      </c>
      <c r="D10133" s="3" t="s">
        <v>29404</v>
      </c>
      <c r="E10133" s="3" t="s">
        <v>29405</v>
      </c>
      <c r="F10133" s="3" t="str">
        <f>"317.214.2158"</f>
        <v>317.214.2158</v>
      </c>
      <c r="G10133" s="3">
        <v>238320</v>
      </c>
      <c r="H10133" s="3" t="s">
        <v>462</v>
      </c>
    </row>
    <row r="10134" spans="1:8" ht="51.75" x14ac:dyDescent="0.25">
      <c r="A10134" s="3" t="s">
        <v>29406</v>
      </c>
      <c r="B10134" s="3"/>
      <c r="C10134" s="3" t="str">
        <f>"Xcel is an minority owned staffing agency in Indiana. Placing our clients with administrative, engineers, drafters, laborers and warehousemen."</f>
        <v>Xcel is an minority owned staffing agency in Indiana. Placing our clients with administrative, engineers, drafters, laborers and warehousemen.</v>
      </c>
      <c r="D10134" s="3" t="s">
        <v>9</v>
      </c>
      <c r="E10134" s="3" t="s">
        <v>29407</v>
      </c>
      <c r="F10134" s="3" t="str">
        <f>"317-809-2193"</f>
        <v>317-809-2193</v>
      </c>
      <c r="G10134" s="3">
        <v>561310</v>
      </c>
      <c r="H10134" s="3" t="s">
        <v>1720</v>
      </c>
    </row>
    <row r="10135" spans="1:8" ht="26.25" x14ac:dyDescent="0.25">
      <c r="A10135" s="3" t="s">
        <v>29408</v>
      </c>
      <c r="B10135" s="3"/>
      <c r="C10135" s="3" t="str">
        <f>"Software sales and solutions development"</f>
        <v>Software sales and solutions development</v>
      </c>
      <c r="D10135" s="3" t="s">
        <v>29409</v>
      </c>
      <c r="E10135" s="3" t="s">
        <v>29410</v>
      </c>
      <c r="F10135" s="3" t="str">
        <f>"317-770-5776"</f>
        <v>317-770-5776</v>
      </c>
      <c r="G10135" s="3">
        <v>511210</v>
      </c>
      <c r="H10135" s="3" t="s">
        <v>315</v>
      </c>
    </row>
    <row r="10136" spans="1:8" ht="51.75" x14ac:dyDescent="0.25">
      <c r="A10136" s="3" t="s">
        <v>29411</v>
      </c>
      <c r="B10136" s="3"/>
      <c r="C10136" s="3" t="str">
        <f>"Xpress Cargo Inc. is a trucking company with 20 years of experience. Our company hauls produce and dry freight for companies from coast to coast."</f>
        <v>Xpress Cargo Inc. is a trucking company with 20 years of experience. Our company hauls produce and dry freight for companies from coast to coast.</v>
      </c>
      <c r="D10136" s="3" t="s">
        <v>29412</v>
      </c>
      <c r="E10136" s="3" t="s">
        <v>29413</v>
      </c>
      <c r="F10136" s="3" t="str">
        <f>"317-472-6411"</f>
        <v>317-472-6411</v>
      </c>
      <c r="G10136" s="3">
        <v>484121</v>
      </c>
      <c r="H10136" s="3" t="s">
        <v>342</v>
      </c>
    </row>
    <row r="10137" spans="1:8" ht="128.25" x14ac:dyDescent="0.25">
      <c r="A10137" s="3" t="s">
        <v>29414</v>
      </c>
      <c r="B10137" s="3"/>
      <c r="C10137" s="3" t="s">
        <v>29415</v>
      </c>
      <c r="D10137" s="3" t="s">
        <v>29416</v>
      </c>
      <c r="E10137" s="3" t="s">
        <v>29417</v>
      </c>
      <c r="F10137" s="3" t="str">
        <f>"219 477 4816"</f>
        <v>219 477 4816</v>
      </c>
      <c r="G10137" s="3">
        <v>511210</v>
      </c>
      <c r="H10137" s="3" t="s">
        <v>315</v>
      </c>
    </row>
    <row r="10138" spans="1:8" ht="39" x14ac:dyDescent="0.25">
      <c r="A10138" s="3" t="s">
        <v>29418</v>
      </c>
      <c r="B10138" s="3"/>
      <c r="C10138" s="3" t="str">
        <f>"custom home builders serving southern indiana. fully insured. also, installing windows, doors, vynil siding"</f>
        <v>custom home builders serving southern indiana. fully insured. also, installing windows, doors, vynil siding</v>
      </c>
      <c r="D10138" s="3" t="s">
        <v>3461</v>
      </c>
      <c r="E10138" s="3" t="s">
        <v>29419</v>
      </c>
      <c r="F10138" s="3" t="str">
        <f>"8122734580"</f>
        <v>8122734580</v>
      </c>
      <c r="G10138" s="3">
        <v>236115</v>
      </c>
      <c r="H10138" s="3" t="s">
        <v>1822</v>
      </c>
    </row>
    <row r="10139" spans="1:8" ht="115.5" x14ac:dyDescent="0.25">
      <c r="A10139" s="3" t="s">
        <v>29420</v>
      </c>
      <c r="B10139" s="3"/>
      <c r="C10139" s="3" t="s">
        <v>29421</v>
      </c>
      <c r="D10139" s="3" t="s">
        <v>29422</v>
      </c>
      <c r="E10139" s="3" t="s">
        <v>29423</v>
      </c>
      <c r="F10139" s="3" t="str">
        <f>"219-984-5144"</f>
        <v>219-984-5144</v>
      </c>
      <c r="G10139" s="3">
        <v>238990</v>
      </c>
      <c r="H10139" s="3" t="s">
        <v>481</v>
      </c>
    </row>
    <row r="10140" spans="1:8" ht="51.75" x14ac:dyDescent="0.25">
      <c r="A10140" s="3" t="s">
        <v>29424</v>
      </c>
      <c r="B10140" s="3"/>
      <c r="C10140" s="3" t="str">
        <f>"we are a residential and commercial carpet cleaning company. We also provide house and apartment cleaning services, as well as interior painting."</f>
        <v>we are a residential and commercial carpet cleaning company. We also provide house and apartment cleaning services, as well as interior painting.</v>
      </c>
      <c r="D10140" s="3" t="s">
        <v>9</v>
      </c>
      <c r="E10140" s="3" t="s">
        <v>29425</v>
      </c>
      <c r="F10140" s="3" t="str">
        <f>"317-607-0515"</f>
        <v>317-607-0515</v>
      </c>
      <c r="G10140" s="3">
        <v>2359</v>
      </c>
      <c r="H10140" s="3" t="s">
        <v>631</v>
      </c>
    </row>
    <row r="10141" spans="1:8" ht="39" x14ac:dyDescent="0.25">
      <c r="A10141" s="3" t="s">
        <v>29426</v>
      </c>
      <c r="B10141" s="3"/>
      <c r="C10141" s="3" t="str">
        <f>"Xtreme Kleen LLC is a maintenance company that specializes in the cleaning of homes, offices, apartments and construction sites."</f>
        <v>Xtreme Kleen LLC is a maintenance company that specializes in the cleaning of homes, offices, apartments and construction sites.</v>
      </c>
      <c r="D10141" s="3" t="s">
        <v>29427</v>
      </c>
      <c r="E10141" s="3" t="s">
        <v>29428</v>
      </c>
      <c r="F10141" s="3" t="str">
        <f>"317.640.5622"</f>
        <v>317.640.5622</v>
      </c>
      <c r="G10141" s="3">
        <v>561720</v>
      </c>
      <c r="H10141" s="3" t="s">
        <v>222</v>
      </c>
    </row>
    <row r="10142" spans="1:8" ht="102.75" x14ac:dyDescent="0.25">
      <c r="A10142" s="3" t="s">
        <v>29429</v>
      </c>
      <c r="B10142" s="3"/>
      <c r="C10142" s="3" t="s">
        <v>29430</v>
      </c>
      <c r="D10142" s="3" t="s">
        <v>29431</v>
      </c>
      <c r="E10142" s="3" t="s">
        <v>29432</v>
      </c>
      <c r="F10142" s="3" t="str">
        <f>"3176461108"</f>
        <v>3176461108</v>
      </c>
      <c r="G10142" s="3">
        <v>23551</v>
      </c>
      <c r="H10142" s="3" t="s">
        <v>3583</v>
      </c>
    </row>
    <row r="10143" spans="1:8" ht="204.75" x14ac:dyDescent="0.25">
      <c r="A10143" s="3" t="s">
        <v>29433</v>
      </c>
      <c r="B10143" s="3"/>
      <c r="C10143" s="3" t="s">
        <v>29434</v>
      </c>
      <c r="D10143" s="3" t="s">
        <v>9</v>
      </c>
      <c r="E10143" s="3" t="s">
        <v>29435</v>
      </c>
      <c r="F10143" s="3" t="str">
        <f>"317-514-9746/317445-5861"</f>
        <v>317-514-9746/317445-5861</v>
      </c>
      <c r="G10143" s="3">
        <v>484121</v>
      </c>
      <c r="H10143" s="3" t="s">
        <v>342</v>
      </c>
    </row>
    <row r="10144" spans="1:8" ht="64.5" x14ac:dyDescent="0.25">
      <c r="A10144" s="3" t="s">
        <v>29436</v>
      </c>
      <c r="B10144" s="3"/>
      <c r="C10144" s="3" t="str">
        <f>"Interior Design Services of project management, space planning, design under ADA and Code compliancy, furniture bid packages, finish and material specifications."</f>
        <v>Interior Design Services of project management, space planning, design under ADA and Code compliancy, furniture bid packages, finish and material specifications.</v>
      </c>
      <c r="D10144" s="3" t="s">
        <v>29437</v>
      </c>
      <c r="E10144" s="3" t="s">
        <v>29438</v>
      </c>
      <c r="F10144" s="3" t="str">
        <f>"8128420670"</f>
        <v>8128420670</v>
      </c>
      <c r="G10144" s="3">
        <v>54141</v>
      </c>
      <c r="H10144" s="3" t="s">
        <v>687</v>
      </c>
    </row>
    <row r="10145" spans="1:8" ht="90" x14ac:dyDescent="0.25">
      <c r="A10145" s="3" t="s">
        <v>29439</v>
      </c>
      <c r="B10145" s="3"/>
      <c r="C10145" s="3" t="str">
        <f>"Y's Shuttle Service is a transportation Company designed with youth in mind. Whether its to school, grandma's house, an after school sport, summer camp or somewhere in between. Y's Shuttle Service will get your children there Safely and on Time."</f>
        <v>Y's Shuttle Service is a transportation Company designed with youth in mind. Whether its to school, grandma's house, an after school sport, summer camp or somewhere in between. Y's Shuttle Service will get your children there Safely and on Time.</v>
      </c>
      <c r="D10145" s="3" t="s">
        <v>9</v>
      </c>
      <c r="E10145" s="3" t="s">
        <v>29440</v>
      </c>
      <c r="F10145" s="3" t="str">
        <f>"574-335-9787"</f>
        <v>574-335-9787</v>
      </c>
      <c r="G10145" s="3">
        <v>485</v>
      </c>
      <c r="H10145" s="3" t="s">
        <v>18553</v>
      </c>
    </row>
    <row r="10146" spans="1:8" ht="128.25" x14ac:dyDescent="0.25">
      <c r="A10146" s="3" t="s">
        <v>29441</v>
      </c>
      <c r="B10146" s="3"/>
      <c r="C10146" s="3" t="s">
        <v>29442</v>
      </c>
      <c r="D10146" s="3" t="s">
        <v>29443</v>
      </c>
      <c r="E10146" s="3" t="s">
        <v>29444</v>
      </c>
      <c r="F10146" s="3" t="str">
        <f>"31783947599"</f>
        <v>31783947599</v>
      </c>
      <c r="G10146" s="3">
        <v>541511</v>
      </c>
      <c r="H10146" s="3" t="s">
        <v>122</v>
      </c>
    </row>
    <row r="10147" spans="1:8" ht="26.25" x14ac:dyDescent="0.25">
      <c r="A10147" s="3" t="s">
        <v>29445</v>
      </c>
      <c r="B10147" s="3"/>
      <c r="C10147" s="3" t="str">
        <f>"CREATE YOUR OWN ASIAN STIR-FRIED , DINE IN , CARRY OUT, CATERING RESTAURANT ."</f>
        <v>CREATE YOUR OWN ASIAN STIR-FRIED , DINE IN , CARRY OUT, CATERING RESTAURANT .</v>
      </c>
      <c r="D10147" s="3" t="s">
        <v>29446</v>
      </c>
      <c r="E10147" s="3" t="s">
        <v>46</v>
      </c>
      <c r="F10147" s="3" t="str">
        <f>"2198645888"</f>
        <v>2198645888</v>
      </c>
      <c r="G10147" s="3">
        <v>722110</v>
      </c>
      <c r="H10147" s="3" t="s">
        <v>1307</v>
      </c>
    </row>
    <row r="10148" spans="1:8" ht="306.75" x14ac:dyDescent="0.25">
      <c r="A10148" s="3" t="s">
        <v>29447</v>
      </c>
      <c r="B10148" s="3"/>
      <c r="C10148" s="3" t="s">
        <v>29448</v>
      </c>
      <c r="D10148" s="3" t="s">
        <v>29449</v>
      </c>
      <c r="E10148" s="3" t="s">
        <v>29450</v>
      </c>
      <c r="F10148" s="3" t="str">
        <f>"(800)558-6684"</f>
        <v>(800)558-6684</v>
      </c>
      <c r="G10148" s="3">
        <v>339114</v>
      </c>
      <c r="H10148" s="3" t="s">
        <v>20830</v>
      </c>
    </row>
    <row r="10149" spans="1:8" ht="141" x14ac:dyDescent="0.25">
      <c r="A10149" s="3" t="s">
        <v>29451</v>
      </c>
      <c r="B10149" s="3"/>
      <c r="C10149" s="3" t="s">
        <v>29452</v>
      </c>
      <c r="D10149" s="3" t="s">
        <v>29453</v>
      </c>
      <c r="E10149" s="3" t="s">
        <v>29454</v>
      </c>
      <c r="F10149" s="3" t="str">
        <f>"317 502 9419"</f>
        <v>317 502 9419</v>
      </c>
      <c r="G10149" s="3">
        <v>711320</v>
      </c>
      <c r="H10149" s="3" t="s">
        <v>22809</v>
      </c>
    </row>
    <row r="10150" spans="1:8" ht="128.25" x14ac:dyDescent="0.25">
      <c r="A10150" s="3" t="s">
        <v>29455</v>
      </c>
      <c r="B10150" s="3"/>
      <c r="C10150" s="3" t="s">
        <v>29456</v>
      </c>
      <c r="D10150" s="3" t="s">
        <v>29457</v>
      </c>
      <c r="E10150" s="3" t="s">
        <v>29458</v>
      </c>
      <c r="F10150" s="3" t="str">
        <f>"765-378-6756"</f>
        <v>765-378-6756</v>
      </c>
      <c r="G10150" s="3">
        <v>5415</v>
      </c>
      <c r="H10150" s="3" t="s">
        <v>188</v>
      </c>
    </row>
    <row r="10151" spans="1:8" ht="39" x14ac:dyDescent="0.25">
      <c r="A10151" s="3" t="s">
        <v>29459</v>
      </c>
      <c r="B10151" s="3"/>
      <c r="C10151" s="3" t="str">
        <f>"We provide talent and production services in all areas of modeling, acting, dancing, hosting, etc."</f>
        <v>We provide talent and production services in all areas of modeling, acting, dancing, hosting, etc.</v>
      </c>
      <c r="D10151" s="3" t="s">
        <v>29460</v>
      </c>
      <c r="E10151" s="3" t="s">
        <v>29461</v>
      </c>
      <c r="F10151" s="3" t="str">
        <f>"317 502 9419"</f>
        <v>317 502 9419</v>
      </c>
      <c r="G10151" s="3">
        <v>711410</v>
      </c>
      <c r="H10151" s="3" t="s">
        <v>16096</v>
      </c>
    </row>
    <row r="10152" spans="1:8" ht="179.25" x14ac:dyDescent="0.25">
      <c r="A10152" s="3" t="s">
        <v>29462</v>
      </c>
      <c r="B10152" s="3"/>
      <c r="C10152" s="3" t="s">
        <v>29463</v>
      </c>
      <c r="D10152" s="3" t="s">
        <v>29464</v>
      </c>
      <c r="E10152" s="3" t="s">
        <v>29465</v>
      </c>
      <c r="F10152" s="3" t="str">
        <f>"765-289-5437"</f>
        <v>765-289-5437</v>
      </c>
      <c r="G10152" s="3">
        <v>62411</v>
      </c>
      <c r="H10152" s="3" t="s">
        <v>628</v>
      </c>
    </row>
    <row r="10153" spans="1:8" ht="26.25" x14ac:dyDescent="0.25">
      <c r="A10153" s="3" t="s">
        <v>29466</v>
      </c>
      <c r="B10153" s="3"/>
      <c r="C10153" s="3" t="str">
        <f>"Baked goods: in PARTICULAR, Mexican Wedding Cakes (cookie), Cakes and Pies."</f>
        <v>Baked goods: in PARTICULAR, Mexican Wedding Cakes (cookie), Cakes and Pies.</v>
      </c>
      <c r="D10153" s="3" t="s">
        <v>9</v>
      </c>
      <c r="E10153" s="3" t="s">
        <v>29467</v>
      </c>
      <c r="F10153" s="3" t="str">
        <f>"3176536446"</f>
        <v>3176536446</v>
      </c>
      <c r="G10153" s="3">
        <v>445291</v>
      </c>
      <c r="H10153" s="3" t="s">
        <v>26728</v>
      </c>
    </row>
    <row r="10154" spans="1:8" ht="102.75" x14ac:dyDescent="0.25">
      <c r="A10154" s="3" t="s">
        <v>29468</v>
      </c>
      <c r="B10154" s="3"/>
      <c r="C10154" s="3" t="s">
        <v>29469</v>
      </c>
      <c r="D10154" s="3" t="s">
        <v>29470</v>
      </c>
      <c r="E10154" s="3" t="s">
        <v>29471</v>
      </c>
      <c r="F10154" s="3" t="str">
        <f>"574-233-9491"</f>
        <v>574-233-9491</v>
      </c>
      <c r="G10154" s="3">
        <v>624221</v>
      </c>
      <c r="H10154" s="3" t="s">
        <v>14848</v>
      </c>
    </row>
    <row r="10155" spans="1:8" ht="192" x14ac:dyDescent="0.25">
      <c r="A10155" s="3" t="s">
        <v>29472</v>
      </c>
      <c r="B10155" s="3"/>
      <c r="C10155" s="3" t="s">
        <v>29473</v>
      </c>
      <c r="D10155" s="3" t="s">
        <v>29474</v>
      </c>
      <c r="E10155" s="3" t="s">
        <v>29475</v>
      </c>
      <c r="F10155" s="3" t="str">
        <f>"773-418-2549"</f>
        <v>773-418-2549</v>
      </c>
      <c r="G10155" s="3">
        <v>325998</v>
      </c>
      <c r="H10155" s="3" t="s">
        <v>7066</v>
      </c>
    </row>
    <row r="10156" spans="1:8" ht="26.25" x14ac:dyDescent="0.25">
      <c r="A10156" s="3" t="s">
        <v>29476</v>
      </c>
      <c r="B10156" s="3"/>
      <c r="C10156" s="3" t="str">
        <f>"Lawn Maintenance, Landscaping, Snow removal, plowing and ice management."</f>
        <v>Lawn Maintenance, Landscaping, Snow removal, plowing and ice management.</v>
      </c>
      <c r="D10156" s="3" t="s">
        <v>9</v>
      </c>
      <c r="E10156" s="3" t="s">
        <v>29477</v>
      </c>
      <c r="F10156" s="3" t="str">
        <f>"2607972779"</f>
        <v>2607972779</v>
      </c>
      <c r="G10156" s="3">
        <v>56173</v>
      </c>
      <c r="H10156" s="3" t="s">
        <v>65</v>
      </c>
    </row>
    <row r="10157" spans="1:8" ht="39" x14ac:dyDescent="0.25">
      <c r="A10157" s="3" t="s">
        <v>29478</v>
      </c>
      <c r="B10157" s="3"/>
      <c r="C10157" s="3" t="str">
        <f>"Law firm with statewide practice in real estate litigation, transactions &amp; acquisitions; &amp; eminent domain."</f>
        <v>Law firm with statewide practice in real estate litigation, transactions &amp; acquisitions; &amp; eminent domain.</v>
      </c>
      <c r="D10157" s="3" t="s">
        <v>29479</v>
      </c>
      <c r="E10157" s="3" t="s">
        <v>46</v>
      </c>
      <c r="F10157" s="3" t="str">
        <f>"3177050707"</f>
        <v>3177050707</v>
      </c>
      <c r="G10157" s="3">
        <v>541110</v>
      </c>
      <c r="H10157" s="3" t="s">
        <v>2978</v>
      </c>
    </row>
    <row r="10158" spans="1:8" ht="115.5" x14ac:dyDescent="0.25">
      <c r="A10158" s="3" t="s">
        <v>29480</v>
      </c>
      <c r="B10158" s="3"/>
      <c r="C10158" s="3" t="s">
        <v>29481</v>
      </c>
      <c r="D10158" s="3" t="s">
        <v>29482</v>
      </c>
      <c r="E10158" s="3" t="s">
        <v>29483</v>
      </c>
      <c r="F10158" s="3" t="str">
        <f>"1-855-489-2680"</f>
        <v>1-855-489-2680</v>
      </c>
      <c r="G10158" s="3">
        <v>541330</v>
      </c>
      <c r="H10158" s="3" t="s">
        <v>82</v>
      </c>
    </row>
    <row r="10159" spans="1:8" ht="64.5" x14ac:dyDescent="0.25">
      <c r="A10159" s="3" t="s">
        <v>29484</v>
      </c>
      <c r="B10159" s="3"/>
      <c r="C10159" s="3" t="str">
        <f>"Event management for corporate buisness meetings, Graphic design and production, Logo Design, Electronic presentations, Stage and Set Design, Video animation and editing."</f>
        <v>Event management for corporate buisness meetings, Graphic design and production, Logo Design, Electronic presentations, Stage and Set Design, Video animation and editing.</v>
      </c>
      <c r="D10159" s="3" t="s">
        <v>29485</v>
      </c>
      <c r="E10159" s="3" t="s">
        <v>29486</v>
      </c>
      <c r="F10159" s="3" t="str">
        <f>"317-823-1200"</f>
        <v>317-823-1200</v>
      </c>
      <c r="G10159" s="3">
        <v>541850</v>
      </c>
      <c r="H10159" s="3" t="s">
        <v>9509</v>
      </c>
    </row>
    <row r="10160" spans="1:8" ht="77.25" x14ac:dyDescent="0.25">
      <c r="A10160" s="3" t="s">
        <v>29487</v>
      </c>
      <c r="B10160" s="3"/>
      <c r="C10160" s="3" t="str">
        <f>"A professional business service designed to accommodate the needs of any professional. Among the many services we provide are: Editing, Graphic Presentations, Typing, Transcription, Document Imaging and more...!"</f>
        <v>A professional business service designed to accommodate the needs of any professional. Among the many services we provide are: Editing, Graphic Presentations, Typing, Transcription, Document Imaging and more...!</v>
      </c>
      <c r="D10160" s="3" t="s">
        <v>9</v>
      </c>
      <c r="E10160" s="3" t="s">
        <v>46</v>
      </c>
      <c r="F10160" s="3" t="str">
        <f>"219-776-0484"</f>
        <v>219-776-0484</v>
      </c>
      <c r="G10160" s="3">
        <v>56143</v>
      </c>
      <c r="H10160" s="3" t="s">
        <v>19623</v>
      </c>
    </row>
    <row r="10161" spans="1:8" ht="77.25" x14ac:dyDescent="0.25">
      <c r="A10161" s="3" t="s">
        <v>29488</v>
      </c>
      <c r="B10161" s="3"/>
      <c r="C10161" s="3" t="str">
        <f>"Chinese restaurant specializing in authentic Sichuan and Mandarin cuisine. Family-friendly; open for lunch and dinner M-Th 11am-10pm; F-Sat 11am-10:30pm; Sun buffet 11:30am-9pm. Dine-in and carry-out. Full banquet on request. Full line of liquors."</f>
        <v>Chinese restaurant specializing in authentic Sichuan and Mandarin cuisine. Family-friendly; open for lunch and dinner M-Th 11am-10pm; F-Sat 11am-10:30pm; Sun buffet 11:30am-9pm. Dine-in and carry-out. Full banquet on request. Full line of liquors.</v>
      </c>
      <c r="D10161" s="3" t="s">
        <v>9</v>
      </c>
      <c r="E10161" s="3" t="s">
        <v>29489</v>
      </c>
      <c r="F10161" s="3" t="str">
        <f>"(317) 228-0868"</f>
        <v>(317) 228-0868</v>
      </c>
      <c r="G10161" s="3">
        <v>722</v>
      </c>
      <c r="H10161" s="3" t="s">
        <v>5711</v>
      </c>
    </row>
    <row r="10162" spans="1:8" x14ac:dyDescent="0.25">
      <c r="A10162" s="3" t="s">
        <v>29490</v>
      </c>
      <c r="B10162" s="3"/>
      <c r="C10162" s="3" t="str">
        <f>" "</f>
        <v xml:space="preserve"> </v>
      </c>
      <c r="D10162" s="3" t="s">
        <v>9</v>
      </c>
      <c r="E10162" s="3" t="s">
        <v>46</v>
      </c>
      <c r="F10162" s="2"/>
      <c r="G10162" s="3">
        <v>561720</v>
      </c>
      <c r="H10162" s="3" t="s">
        <v>222</v>
      </c>
    </row>
    <row r="10163" spans="1:8" ht="39" x14ac:dyDescent="0.25">
      <c r="A10163" s="3" t="s">
        <v>29491</v>
      </c>
      <c r="B10163" s="3"/>
      <c r="C10163" s="3" t="str">
        <f>"Reseller of Ink and Toner including office supplies, janitorial and breakroom supplies and furniture."</f>
        <v>Reseller of Ink and Toner including office supplies, janitorial and breakroom supplies and furniture.</v>
      </c>
      <c r="D10163" s="3" t="s">
        <v>29492</v>
      </c>
      <c r="E10163" s="3" t="s">
        <v>29493</v>
      </c>
      <c r="F10163" s="3" t="str">
        <f>"317-610-3433"</f>
        <v>317-610-3433</v>
      </c>
      <c r="G10163" s="3">
        <v>453210</v>
      </c>
      <c r="H10163" s="3" t="s">
        <v>431</v>
      </c>
    </row>
    <row r="10164" spans="1:8" ht="39" x14ac:dyDescent="0.25">
      <c r="A10164" s="3" t="s">
        <v>29494</v>
      </c>
      <c r="B10164" s="3"/>
      <c r="C10164" s="3" t="str">
        <f>"Event Planning: Weddings, Showers, Graduation or Office Parties, and Pet events."</f>
        <v>Event Planning: Weddings, Showers, Graduation or Office Parties, and Pet events.</v>
      </c>
      <c r="D10164" s="3" t="s">
        <v>9</v>
      </c>
      <c r="E10164" s="3" t="s">
        <v>46</v>
      </c>
      <c r="F10164" s="3" t="str">
        <f>"(317) 713-0177"</f>
        <v>(317) 713-0177</v>
      </c>
      <c r="G10164" s="3">
        <v>812990</v>
      </c>
      <c r="H10164" s="3" t="s">
        <v>294</v>
      </c>
    </row>
    <row r="10165" spans="1:8" ht="141" x14ac:dyDescent="0.25">
      <c r="A10165" s="3" t="s">
        <v>29495</v>
      </c>
      <c r="B10165" s="3"/>
      <c r="C10165" s="3" t="s">
        <v>29496</v>
      </c>
      <c r="D10165" s="3" t="s">
        <v>29497</v>
      </c>
      <c r="E10165" s="3" t="s">
        <v>29498</v>
      </c>
      <c r="F10165" s="3" t="str">
        <f>"219.241.5016"</f>
        <v>219.241.5016</v>
      </c>
      <c r="G10165" s="3">
        <v>484121</v>
      </c>
      <c r="H10165" s="3" t="s">
        <v>342</v>
      </c>
    </row>
    <row r="10166" spans="1:8" ht="90" x14ac:dyDescent="0.25">
      <c r="A10166" s="3" t="s">
        <v>29499</v>
      </c>
      <c r="B10166" s="3"/>
      <c r="C10166" s="3" t="s">
        <v>29500</v>
      </c>
      <c r="D10166" s="3" t="s">
        <v>9</v>
      </c>
      <c r="E10166" s="3" t="s">
        <v>29501</v>
      </c>
      <c r="F10166" s="3" t="str">
        <f>"812-944-5807"</f>
        <v>812-944-5807</v>
      </c>
      <c r="G10166" s="3">
        <v>332721</v>
      </c>
      <c r="H10166" s="3" t="s">
        <v>5626</v>
      </c>
    </row>
    <row r="10167" spans="1:8" ht="26.25" x14ac:dyDescent="0.25">
      <c r="A10167" s="3" t="s">
        <v>29502</v>
      </c>
      <c r="B10167" s="3"/>
      <c r="C10167" s="3" t="str">
        <f>"To provide telecommunication consulting business"</f>
        <v>To provide telecommunication consulting business</v>
      </c>
      <c r="D10167" s="3" t="s">
        <v>9</v>
      </c>
      <c r="E10167" s="3" t="s">
        <v>29503</v>
      </c>
      <c r="F10167" s="3" t="str">
        <f>"3175196786"</f>
        <v>3175196786</v>
      </c>
      <c r="G10167" s="3">
        <v>541618</v>
      </c>
      <c r="H10167" s="3" t="s">
        <v>3527</v>
      </c>
    </row>
    <row r="10168" spans="1:8" ht="102.75" x14ac:dyDescent="0.25">
      <c r="A10168" s="3" t="s">
        <v>29504</v>
      </c>
      <c r="B10168" s="3"/>
      <c r="C10168" s="3" t="s">
        <v>29505</v>
      </c>
      <c r="D10168" s="3" t="s">
        <v>29506</v>
      </c>
      <c r="E10168" s="3" t="s">
        <v>29507</v>
      </c>
      <c r="F10168" s="3" t="str">
        <f>"317 502 0670"</f>
        <v>317 502 0670</v>
      </c>
      <c r="G10168" s="3">
        <v>541430</v>
      </c>
      <c r="H10168" s="3" t="s">
        <v>78</v>
      </c>
    </row>
    <row r="10169" spans="1:8" ht="90" x14ac:dyDescent="0.25">
      <c r="A10169" s="3" t="s">
        <v>29508</v>
      </c>
      <c r="B10169" s="3"/>
      <c r="C10169" s="3" t="s">
        <v>29509</v>
      </c>
      <c r="D10169" s="3" t="s">
        <v>29510</v>
      </c>
      <c r="E10169" s="3" t="s">
        <v>29511</v>
      </c>
      <c r="F10169" s="2"/>
      <c r="G10169" s="3">
        <v>812990</v>
      </c>
      <c r="H10169" s="3" t="s">
        <v>294</v>
      </c>
    </row>
    <row r="10170" spans="1:8" ht="141" x14ac:dyDescent="0.25">
      <c r="A10170" s="3" t="s">
        <v>29512</v>
      </c>
      <c r="B10170" s="3"/>
      <c r="C10170" s="3" t="s">
        <v>29513</v>
      </c>
      <c r="D10170" s="3" t="s">
        <v>29514</v>
      </c>
      <c r="E10170" s="3" t="s">
        <v>29515</v>
      </c>
      <c r="F10170" s="3" t="str">
        <f>"317-396-2647"</f>
        <v>317-396-2647</v>
      </c>
      <c r="G10170" s="3">
        <v>541890</v>
      </c>
      <c r="H10170" s="3" t="s">
        <v>401</v>
      </c>
    </row>
    <row r="10171" spans="1:8" ht="306.75" x14ac:dyDescent="0.25">
      <c r="A10171" s="3" t="s">
        <v>29516</v>
      </c>
      <c r="B10171" s="3"/>
      <c r="C10171" s="3" t="s">
        <v>29517</v>
      </c>
      <c r="D10171" s="3" t="s">
        <v>9</v>
      </c>
      <c r="E10171" s="3" t="s">
        <v>29518</v>
      </c>
      <c r="F10171" s="3" t="str">
        <f>"317.294.9201"</f>
        <v>317.294.9201</v>
      </c>
      <c r="G10171" s="3">
        <v>425110</v>
      </c>
      <c r="H10171" s="3" t="s">
        <v>5014</v>
      </c>
    </row>
    <row r="10172" spans="1:8" ht="77.25" x14ac:dyDescent="0.25">
      <c r="A10172" s="3" t="s">
        <v>29519</v>
      </c>
      <c r="B10172" s="3"/>
      <c r="C10172" s="3" t="str">
        <f>"Your Logo Here provides clients with promotional goods such as, mugs, bag, apparel, pens, umbrellas, etc. I also specialize in safety and service programs and company stores. Most items have the logo either screened or embroidered."</f>
        <v>Your Logo Here provides clients with promotional goods such as, mugs, bag, apparel, pens, umbrellas, etc. I also specialize in safety and service programs and company stores. Most items have the logo either screened or embroidered.</v>
      </c>
      <c r="D10172" s="3" t="s">
        <v>9</v>
      </c>
      <c r="E10172" s="3" t="s">
        <v>29520</v>
      </c>
      <c r="F10172" s="3" t="str">
        <f>"812-437-1112"</f>
        <v>812-437-1112</v>
      </c>
      <c r="G10172" s="3">
        <v>541890</v>
      </c>
      <c r="H10172" s="3" t="s">
        <v>401</v>
      </c>
    </row>
    <row r="10173" spans="1:8" ht="230.25" x14ac:dyDescent="0.25">
      <c r="A10173" s="3" t="s">
        <v>29521</v>
      </c>
      <c r="B10173" s="3"/>
      <c r="C10173" s="3" t="s">
        <v>29522</v>
      </c>
      <c r="D10173" s="3" t="s">
        <v>29523</v>
      </c>
      <c r="E10173" s="3" t="s">
        <v>46</v>
      </c>
      <c r="F10173" s="3" t="str">
        <f>"317-733-1124"</f>
        <v>317-733-1124</v>
      </c>
      <c r="G10173" s="3">
        <v>541690</v>
      </c>
      <c r="H10173" s="3" t="s">
        <v>652</v>
      </c>
    </row>
    <row r="10174" spans="1:8" ht="243" x14ac:dyDescent="0.25">
      <c r="A10174" s="3" t="s">
        <v>29524</v>
      </c>
      <c r="B10174" s="3"/>
      <c r="C10174" s="3" t="s">
        <v>29525</v>
      </c>
      <c r="D10174" s="3" t="s">
        <v>29526</v>
      </c>
      <c r="E10174" s="3" t="s">
        <v>29527</v>
      </c>
      <c r="F10174" s="3" t="str">
        <f>"3176573981"</f>
        <v>3176573981</v>
      </c>
      <c r="G10174" s="3">
        <v>561720</v>
      </c>
      <c r="H10174" s="3" t="s">
        <v>222</v>
      </c>
    </row>
    <row r="10175" spans="1:8" ht="77.25" x14ac:dyDescent="0.25">
      <c r="A10175" s="3" t="s">
        <v>29528</v>
      </c>
      <c r="B10175" s="3"/>
      <c r="C10175" s="3" t="str">
        <f>"Youth Hope is a non for profit faith based group home for girls located in Columbus, Indiana. We also offered Home Based counseling services to families in Bartholomew County and surrounding areas."</f>
        <v>Youth Hope is a non for profit faith based group home for girls located in Columbus, Indiana. We also offered Home Based counseling services to families in Bartholomew County and surrounding areas.</v>
      </c>
      <c r="D10175" s="3" t="s">
        <v>29529</v>
      </c>
      <c r="E10175" s="3" t="s">
        <v>29530</v>
      </c>
      <c r="F10175" s="3" t="str">
        <f>"(812)342-2615"</f>
        <v>(812)342-2615</v>
      </c>
      <c r="G10175" s="3">
        <v>624110</v>
      </c>
      <c r="H10175" s="3" t="s">
        <v>628</v>
      </c>
    </row>
    <row r="10176" spans="1:8" ht="281.25" x14ac:dyDescent="0.25">
      <c r="A10176" s="3" t="s">
        <v>29531</v>
      </c>
      <c r="B10176" s="3"/>
      <c r="C10176" s="3" t="s">
        <v>29532</v>
      </c>
      <c r="D10176" s="3" t="s">
        <v>9</v>
      </c>
      <c r="E10176" s="3" t="s">
        <v>29533</v>
      </c>
      <c r="F10176" s="3" t="str">
        <f>"765.610.2009"</f>
        <v>765.610.2009</v>
      </c>
      <c r="G10176" s="3">
        <v>813319</v>
      </c>
      <c r="H10176" s="3" t="s">
        <v>6313</v>
      </c>
    </row>
    <row r="10177" spans="1:8" ht="179.25" x14ac:dyDescent="0.25">
      <c r="A10177" s="3" t="s">
        <v>29534</v>
      </c>
      <c r="B10177" s="3"/>
      <c r="C10177" s="3" t="s">
        <v>29463</v>
      </c>
      <c r="D10177" s="3" t="s">
        <v>29464</v>
      </c>
      <c r="E10177" s="3" t="s">
        <v>29465</v>
      </c>
      <c r="F10177" s="3" t="str">
        <f>"(765) 289-5437"</f>
        <v>(765) 289-5437</v>
      </c>
      <c r="G10177" s="3">
        <v>62411</v>
      </c>
      <c r="H10177" s="3" t="s">
        <v>628</v>
      </c>
    </row>
    <row r="10178" spans="1:8" ht="102.75" x14ac:dyDescent="0.25">
      <c r="A10178" s="3" t="s">
        <v>29535</v>
      </c>
      <c r="B10178" s="3"/>
      <c r="C10178" s="3" t="s">
        <v>29536</v>
      </c>
      <c r="D10178" s="3" t="s">
        <v>29537</v>
      </c>
      <c r="E10178" s="3" t="s">
        <v>29538</v>
      </c>
      <c r="F10178" s="3" t="str">
        <f>"317.587.8880"</f>
        <v>317.587.8880</v>
      </c>
      <c r="G10178" s="3">
        <v>624110</v>
      </c>
      <c r="H10178" s="3" t="s">
        <v>628</v>
      </c>
    </row>
    <row r="10179" spans="1:8" ht="77.25" x14ac:dyDescent="0.25">
      <c r="A10179" s="3" t="s">
        <v>29539</v>
      </c>
      <c r="B10179" s="3"/>
      <c r="C10179" s="3" t="str">
        <f>"Social service agency that provides programs and services addressing the needs of youth and their families. The four core areas addresses are delinquency diversion, community education, youth advocacy and information &amp; referral."</f>
        <v>Social service agency that provides programs and services addressing the needs of youth and their families. The four core areas addresses are delinquency diversion, community education, youth advocacy and information &amp; referral.</v>
      </c>
      <c r="D10179" s="3" t="s">
        <v>29540</v>
      </c>
      <c r="E10179" s="3" t="s">
        <v>29541</v>
      </c>
      <c r="F10179" s="3" t="str">
        <f>"260-356-9681"</f>
        <v>260-356-9681</v>
      </c>
      <c r="G10179" s="3">
        <v>624110</v>
      </c>
      <c r="H10179" s="3" t="s">
        <v>628</v>
      </c>
    </row>
    <row r="10180" spans="1:8" ht="115.5" x14ac:dyDescent="0.25">
      <c r="A10180" s="3" t="s">
        <v>29542</v>
      </c>
      <c r="B10180" s="3"/>
      <c r="C10180" s="3" t="s">
        <v>29543</v>
      </c>
      <c r="D10180" s="3" t="s">
        <v>29544</v>
      </c>
      <c r="E10180" s="3" t="s">
        <v>29545</v>
      </c>
      <c r="F10180" s="3" t="str">
        <f>"260-225-0046"</f>
        <v>260-225-0046</v>
      </c>
      <c r="G10180" s="3">
        <v>339999</v>
      </c>
      <c r="H10180" s="3" t="s">
        <v>2044</v>
      </c>
    </row>
    <row r="10181" spans="1:8" ht="39" x14ac:dyDescent="0.25">
      <c r="A10181" s="3" t="s">
        <v>29546</v>
      </c>
      <c r="B10181" s="3"/>
      <c r="C10181" s="3" t="str">
        <f>"Z Trucking LLC Recieves contracts from the state and hires dump trucks (tri-axle dump trucks)."</f>
        <v>Z Trucking LLC Recieves contracts from the state and hires dump trucks (tri-axle dump trucks).</v>
      </c>
      <c r="D10181" s="3" t="s">
        <v>9</v>
      </c>
      <c r="E10181" s="3" t="s">
        <v>29547</v>
      </c>
      <c r="F10181" s="2"/>
      <c r="G10181" s="3">
        <v>484220</v>
      </c>
      <c r="H10181" s="3" t="s">
        <v>11</v>
      </c>
    </row>
    <row r="10182" spans="1:8" ht="77.25" x14ac:dyDescent="0.25">
      <c r="A10182" s="3" t="s">
        <v>29548</v>
      </c>
      <c r="B10182" s="3"/>
      <c r="C10182" s="3" t="str">
        <f>"ZECK FARMS, INC. COMPLETES CUSTOM MOWING AND GENERAL OUTSIDE SERVICES, INCLUDING TRIMMING, RIDE-ON MOWING, AND PRUNING. IN ADDITION, ZECK FARMS, INC. ALSO CONTRACT FEEDS NURSERY PIGS IN OUR SWINE NURSERY."</f>
        <v>ZECK FARMS, INC. COMPLETES CUSTOM MOWING AND GENERAL OUTSIDE SERVICES, INCLUDING TRIMMING, RIDE-ON MOWING, AND PRUNING. IN ADDITION, ZECK FARMS, INC. ALSO CONTRACT FEEDS NURSERY PIGS IN OUR SWINE NURSERY.</v>
      </c>
      <c r="D10182" s="3" t="s">
        <v>9</v>
      </c>
      <c r="E10182" s="3" t="s">
        <v>46</v>
      </c>
      <c r="F10182" s="3" t="str">
        <f>"574-699-6568"</f>
        <v>574-699-6568</v>
      </c>
      <c r="G10182" s="3">
        <v>1122</v>
      </c>
      <c r="H10182" s="3" t="s">
        <v>29042</v>
      </c>
    </row>
    <row r="10183" spans="1:8" ht="51.75" x14ac:dyDescent="0.25">
      <c r="A10183" s="3" t="s">
        <v>29549</v>
      </c>
      <c r="B10183" s="3"/>
      <c r="C10183" s="3" t="str">
        <f>"TRANSPORTATION PLANNING, GRANT WRITING, TRANSIT STUDIES, PUBLIC RELATIONS AND GENERAL ADMINISTRATION OF FHWA AND FTA PROGRAMS."</f>
        <v>TRANSPORTATION PLANNING, GRANT WRITING, TRANSIT STUDIES, PUBLIC RELATIONS AND GENERAL ADMINISTRATION OF FHWA AND FTA PROGRAMS.</v>
      </c>
      <c r="D10183" s="3" t="s">
        <v>9</v>
      </c>
      <c r="E10183" s="3" t="s">
        <v>46</v>
      </c>
      <c r="F10183" s="2"/>
      <c r="G10183" s="3">
        <v>926120</v>
      </c>
      <c r="H10183" s="3" t="s">
        <v>29550</v>
      </c>
    </row>
    <row r="10184" spans="1:8" ht="319.5" x14ac:dyDescent="0.25">
      <c r="A10184" s="3" t="s">
        <v>29551</v>
      </c>
      <c r="B10184" s="3"/>
      <c r="C10184" s="3" t="s">
        <v>29552</v>
      </c>
      <c r="D10184" s="3" t="s">
        <v>29553</v>
      </c>
      <c r="E10184" s="3" t="s">
        <v>29554</v>
      </c>
      <c r="F10184" s="3" t="str">
        <f>"260-312-7191"</f>
        <v>260-312-7191</v>
      </c>
      <c r="G10184" s="3">
        <v>42145</v>
      </c>
      <c r="H10184" s="3" t="s">
        <v>4608</v>
      </c>
    </row>
    <row r="10185" spans="1:8" ht="39" x14ac:dyDescent="0.25">
      <c r="A10185" s="3" t="s">
        <v>29555</v>
      </c>
      <c r="B10185" s="3"/>
      <c r="C10185" s="3" t="str">
        <f>"ZOI Incorporated primarily provides educational services, such as training, instructional design and development."</f>
        <v>ZOI Incorporated primarily provides educational services, such as training, instructional design and development.</v>
      </c>
      <c r="D10185" s="3" t="s">
        <v>9</v>
      </c>
      <c r="E10185" s="3" t="s">
        <v>46</v>
      </c>
      <c r="F10185" s="3" t="str">
        <f>"630/824-7397"</f>
        <v>630/824-7397</v>
      </c>
      <c r="G10185" s="3">
        <v>611430</v>
      </c>
      <c r="H10185" s="3" t="s">
        <v>1224</v>
      </c>
    </row>
    <row r="10186" spans="1:8" ht="90" x14ac:dyDescent="0.25">
      <c r="A10186" s="3" t="s">
        <v>29556</v>
      </c>
      <c r="B10186" s="3"/>
      <c r="C10186" s="3" t="str">
        <f>"Cleaning and Restoration company specializing in clean up of fire and water damage, carpet &amp; upholstery cleaning, mold remediation, moving services. Servicing residential and commercial customers and all insurance claims. We can handle any size loss."</f>
        <v>Cleaning and Restoration company specializing in clean up of fire and water damage, carpet &amp; upholstery cleaning, mold remediation, moving services. Servicing residential and commercial customers and all insurance claims. We can handle any size loss.</v>
      </c>
      <c r="D10186" s="3" t="s">
        <v>29557</v>
      </c>
      <c r="E10186" s="3" t="s">
        <v>2405</v>
      </c>
      <c r="F10186" s="3" t="str">
        <f>"812-471-3132"</f>
        <v>812-471-3132</v>
      </c>
      <c r="G10186" s="3">
        <v>56174</v>
      </c>
      <c r="H10186" s="3" t="s">
        <v>241</v>
      </c>
    </row>
    <row r="10187" spans="1:8" ht="51.75" x14ac:dyDescent="0.25">
      <c r="A10187" s="3" t="s">
        <v>29558</v>
      </c>
      <c r="B10187" s="3"/>
      <c r="C10187" s="3" t="str">
        <f>"We are a small minority owned business located in Fort Wayne, IN that specializes in selling quality dog food at a fraction of the cost of the mainstream brands."</f>
        <v>We are a small minority owned business located in Fort Wayne, IN that specializes in selling quality dog food at a fraction of the cost of the mainstream brands.</v>
      </c>
      <c r="D10187" s="3" t="s">
        <v>9</v>
      </c>
      <c r="E10187" s="3" t="s">
        <v>29559</v>
      </c>
      <c r="F10187" s="3" t="str">
        <f>"260-745-5300"</f>
        <v>260-745-5300</v>
      </c>
      <c r="G10187" s="3">
        <v>311111</v>
      </c>
      <c r="H10187" s="3" t="s">
        <v>29560</v>
      </c>
    </row>
    <row r="10188" spans="1:8" ht="115.5" x14ac:dyDescent="0.25">
      <c r="A10188" s="3" t="s">
        <v>29561</v>
      </c>
      <c r="B10188" s="3"/>
      <c r="C10188" s="3" t="s">
        <v>29562</v>
      </c>
      <c r="D10188" s="3" t="s">
        <v>29563</v>
      </c>
      <c r="E10188" s="3" t="s">
        <v>29564</v>
      </c>
      <c r="F10188" s="3" t="str">
        <f>"260-356-8322"</f>
        <v>260-356-8322</v>
      </c>
      <c r="G10188" s="3">
        <v>441229</v>
      </c>
      <c r="H10188" s="3" t="s">
        <v>3721</v>
      </c>
    </row>
    <row r="10189" spans="1:8" ht="39" x14ac:dyDescent="0.25">
      <c r="A10189" s="3" t="s">
        <v>29565</v>
      </c>
      <c r="B10189" s="3"/>
      <c r="C10189" s="3" t="str">
        <f>"Property clean outs and rehabs and grass mowing and grass trimming. New construction hauling."</f>
        <v>Property clean outs and rehabs and grass mowing and grass trimming. New construction hauling.</v>
      </c>
      <c r="D10189" s="3" t="s">
        <v>9</v>
      </c>
      <c r="E10189" s="3" t="s">
        <v>29566</v>
      </c>
      <c r="F10189" s="3" t="str">
        <f>"3176520305"</f>
        <v>3176520305</v>
      </c>
      <c r="G10189" s="3">
        <v>236118</v>
      </c>
      <c r="H10189" s="3" t="s">
        <v>465</v>
      </c>
    </row>
    <row r="10190" spans="1:8" ht="26.25" x14ac:dyDescent="0.25">
      <c r="A10190" s="3" t="s">
        <v>29567</v>
      </c>
      <c r="B10190" s="3"/>
      <c r="C10190" s="3" t="str">
        <f>" "</f>
        <v xml:space="preserve"> </v>
      </c>
      <c r="D10190" s="3" t="s">
        <v>29568</v>
      </c>
      <c r="E10190" s="3" t="s">
        <v>46</v>
      </c>
      <c r="F10190" s="3" t="str">
        <f>"888-225-5933"</f>
        <v>888-225-5933</v>
      </c>
      <c r="G10190" s="3">
        <v>423450</v>
      </c>
      <c r="H10190" s="3" t="s">
        <v>1406</v>
      </c>
    </row>
    <row r="10191" spans="1:8" ht="51.75" x14ac:dyDescent="0.25">
      <c r="A10191" s="3" t="s">
        <v>29569</v>
      </c>
      <c r="B10191" s="3"/>
      <c r="C10191" s="3" t="str">
        <f>"Zelenak Carey is a small software business based in Indianapolis. We specialize in mobile development (iphone, primarily) and web development."</f>
        <v>Zelenak Carey is a small software business based in Indianapolis. We specialize in mobile development (iphone, primarily) and web development.</v>
      </c>
      <c r="D10191" s="3" t="s">
        <v>29570</v>
      </c>
      <c r="E10191" s="3" t="s">
        <v>29571</v>
      </c>
      <c r="F10191" s="2"/>
      <c r="G10191" s="3">
        <v>541511</v>
      </c>
      <c r="H10191" s="3" t="s">
        <v>122</v>
      </c>
    </row>
    <row r="10192" spans="1:8" ht="39" x14ac:dyDescent="0.25">
      <c r="A10192" s="3" t="s">
        <v>29572</v>
      </c>
      <c r="B10192" s="3"/>
      <c r="C10192" s="3" t="str">
        <f>"16 year old Company focused on 2 areas: 1. Residental construction and 2. Commercial Building construction and renovation"</f>
        <v>16 year old Company focused on 2 areas: 1. Residental construction and 2. Commercial Building construction and renovation</v>
      </c>
      <c r="D10192" s="3" t="s">
        <v>9</v>
      </c>
      <c r="E10192" s="3" t="s">
        <v>29573</v>
      </c>
      <c r="F10192" s="3" t="str">
        <f>"(317) 843-9394"</f>
        <v>(317) 843-9394</v>
      </c>
      <c r="G10192" s="3">
        <v>23321</v>
      </c>
      <c r="H10192" s="3" t="s">
        <v>152</v>
      </c>
    </row>
    <row r="10193" spans="1:8" ht="77.25" x14ac:dyDescent="0.25">
      <c r="A10193" s="3" t="s">
        <v>29574</v>
      </c>
      <c r="B10193" s="3"/>
      <c r="C10193" s="3" t="str">
        <f>"Zent Consulting is an internet marketing firm. Our focus is strategy, copywriting and design for digiltal media. Our services include website development, e-mail campaign management, search engine optimization, and pay-per-click campaigns."</f>
        <v>Zent Consulting is an internet marketing firm. Our focus is strategy, copywriting and design for digiltal media. Our services include website development, e-mail campaign management, search engine optimization, and pay-per-click campaigns.</v>
      </c>
      <c r="D10193" s="3" t="s">
        <v>29575</v>
      </c>
      <c r="E10193" s="3" t="s">
        <v>29576</v>
      </c>
      <c r="F10193" s="3" t="str">
        <f>"317-624-9510"</f>
        <v>317-624-9510</v>
      </c>
      <c r="G10193" s="3">
        <v>541511</v>
      </c>
      <c r="H10193" s="3" t="s">
        <v>122</v>
      </c>
    </row>
    <row r="10194" spans="1:8" ht="26.25" x14ac:dyDescent="0.25">
      <c r="A10194" s="3" t="s">
        <v>29577</v>
      </c>
      <c r="B10194" s="3"/>
      <c r="C10194" s="3" t="str">
        <f>"Distributor of foodservice equipment"</f>
        <v>Distributor of foodservice equipment</v>
      </c>
      <c r="D10194" s="3" t="s">
        <v>29578</v>
      </c>
      <c r="E10194" s="3" t="s">
        <v>29579</v>
      </c>
      <c r="F10194" s="3" t="str">
        <f>"317 269 9300"</f>
        <v>317 269 9300</v>
      </c>
      <c r="G10194" s="3">
        <v>423990</v>
      </c>
      <c r="H10194" s="3" t="s">
        <v>983</v>
      </c>
    </row>
    <row r="10195" spans="1:8" ht="51.75" x14ac:dyDescent="0.25">
      <c r="A10195" s="3" t="s">
        <v>29580</v>
      </c>
      <c r="B10195" s="3"/>
      <c r="C10195" s="3" t="str">
        <f>"Lamp &amp; lighting repair, custom lamps, replacement lampshades, custom lampshades, recover and reline lampshades."</f>
        <v>Lamp &amp; lighting repair, custom lamps, replacement lampshades, custom lampshades, recover and reline lampshades.</v>
      </c>
      <c r="D10195" s="3" t="s">
        <v>29581</v>
      </c>
      <c r="E10195" s="3" t="s">
        <v>29582</v>
      </c>
      <c r="F10195" s="3" t="str">
        <f>"317-733-0233"</f>
        <v>317-733-0233</v>
      </c>
      <c r="G10195" s="3">
        <v>442299</v>
      </c>
      <c r="H10195" s="3" t="s">
        <v>951</v>
      </c>
    </row>
    <row r="10196" spans="1:8" ht="166.5" x14ac:dyDescent="0.25">
      <c r="A10196" s="3" t="s">
        <v>29583</v>
      </c>
      <c r="B10196" s="3"/>
      <c r="C10196" s="3" t="s">
        <v>29584</v>
      </c>
      <c r="D10196" s="3" t="s">
        <v>29585</v>
      </c>
      <c r="E10196" s="3" t="s">
        <v>29586</v>
      </c>
      <c r="F10196" s="3" t="str">
        <f>"317-705-5050"</f>
        <v>317-705-5050</v>
      </c>
      <c r="G10196" s="3">
        <v>541519</v>
      </c>
      <c r="H10196" s="3" t="s">
        <v>898</v>
      </c>
    </row>
    <row r="10197" spans="1:8" ht="77.25" x14ac:dyDescent="0.25">
      <c r="A10197" s="3" t="s">
        <v>29587</v>
      </c>
      <c r="B10197" s="3"/>
      <c r="C10197" s="3" t="str">
        <f>"We sell metal roofing systems to cover any roof from sloped to flat. We also sell metal siding and all building components to complete the construction project. We can recommend the right system for our customers at the right price."</f>
        <v>We sell metal roofing systems to cover any roof from sloped to flat. We also sell metal siding and all building components to complete the construction project. We can recommend the right system for our customers at the right price.</v>
      </c>
      <c r="D10197" s="3" t="s">
        <v>29588</v>
      </c>
      <c r="E10197" s="3" t="s">
        <v>29589</v>
      </c>
      <c r="F10197" s="3" t="str">
        <f>"574-498-6042"</f>
        <v>574-498-6042</v>
      </c>
      <c r="G10197" s="3">
        <v>423330</v>
      </c>
      <c r="H10197" s="3" t="s">
        <v>8531</v>
      </c>
    </row>
    <row r="10198" spans="1:8" ht="306.75" x14ac:dyDescent="0.25">
      <c r="A10198" s="3" t="s">
        <v>29590</v>
      </c>
      <c r="B10198" s="3"/>
      <c r="C10198" s="3" t="s">
        <v>29591</v>
      </c>
      <c r="D10198" s="3" t="s">
        <v>29592</v>
      </c>
      <c r="E10198" s="3" t="s">
        <v>29593</v>
      </c>
      <c r="F10198" s="3" t="str">
        <f>"(765) 252-4274"</f>
        <v>(765) 252-4274</v>
      </c>
      <c r="G10198" s="3">
        <v>541511</v>
      </c>
      <c r="H10198" s="3" t="s">
        <v>122</v>
      </c>
    </row>
    <row r="10199" spans="1:8" ht="217.5" x14ac:dyDescent="0.25">
      <c r="A10199" s="3" t="s">
        <v>29594</v>
      </c>
      <c r="B10199" s="3"/>
      <c r="C10199" s="3" t="s">
        <v>29595</v>
      </c>
      <c r="D10199" s="3" t="s">
        <v>29596</v>
      </c>
      <c r="E10199" s="3" t="s">
        <v>29597</v>
      </c>
      <c r="F10199" s="3" t="str">
        <f>"317-775-9158"</f>
        <v>317-775-9158</v>
      </c>
      <c r="G10199" s="3">
        <v>54</v>
      </c>
      <c r="H10199" s="3" t="s">
        <v>179</v>
      </c>
    </row>
    <row r="10200" spans="1:8" ht="128.25" x14ac:dyDescent="0.25">
      <c r="A10200" s="3" t="s">
        <v>29598</v>
      </c>
      <c r="B10200" s="3"/>
      <c r="C10200" s="3" t="s">
        <v>29599</v>
      </c>
      <c r="D10200" s="3" t="s">
        <v>29600</v>
      </c>
      <c r="E10200" s="3" t="s">
        <v>29601</v>
      </c>
      <c r="F10200" s="3" t="str">
        <f>"877-882-5122"</f>
        <v>877-882-5122</v>
      </c>
      <c r="G10200" s="3">
        <v>621420</v>
      </c>
      <c r="H10200" s="3" t="s">
        <v>990</v>
      </c>
    </row>
    <row r="10201" spans="1:8" ht="26.25" x14ac:dyDescent="0.25">
      <c r="A10201" s="3" t="s">
        <v>29602</v>
      </c>
      <c r="B10201" s="3"/>
      <c r="C10201" s="3" t="str">
        <f>"Promotional products distributor"</f>
        <v>Promotional products distributor</v>
      </c>
      <c r="D10201" s="3" t="s">
        <v>29603</v>
      </c>
      <c r="E10201" s="3" t="s">
        <v>29604</v>
      </c>
      <c r="F10201" s="3" t="str">
        <f>"317-770-1518"</f>
        <v>317-770-1518</v>
      </c>
      <c r="G10201" s="3">
        <v>5418</v>
      </c>
      <c r="H10201" s="3" t="s">
        <v>1337</v>
      </c>
    </row>
    <row r="10202" spans="1:8" ht="281.25" x14ac:dyDescent="0.25">
      <c r="A10202" s="3" t="s">
        <v>29605</v>
      </c>
      <c r="B10202" s="3"/>
      <c r="C10202" s="3" t="s">
        <v>29606</v>
      </c>
      <c r="D10202" s="3" t="s">
        <v>29607</v>
      </c>
      <c r="E10202" s="3" t="s">
        <v>46</v>
      </c>
      <c r="F10202" s="3" t="str">
        <f>"317-926-1660"</f>
        <v>317-926-1660</v>
      </c>
      <c r="G10202" s="3">
        <v>624120</v>
      </c>
      <c r="H10202" s="3" t="s">
        <v>22</v>
      </c>
    </row>
    <row r="10203" spans="1:8" ht="26.25" x14ac:dyDescent="0.25">
      <c r="A10203" s="3" t="s">
        <v>29608</v>
      </c>
      <c r="B10203" s="3"/>
      <c r="C10203" s="3" t="str">
        <f>"General Industrial Painting"</f>
        <v>General Industrial Painting</v>
      </c>
      <c r="D10203" s="3" t="s">
        <v>9</v>
      </c>
      <c r="E10203" s="3" t="s">
        <v>29609</v>
      </c>
      <c r="F10203" s="3" t="str">
        <f>"574-320-4636"</f>
        <v>574-320-4636</v>
      </c>
      <c r="G10203" s="3">
        <v>2352</v>
      </c>
      <c r="H10203" s="3" t="s">
        <v>462</v>
      </c>
    </row>
    <row r="10204" spans="1:8" ht="230.25" x14ac:dyDescent="0.25">
      <c r="A10204" s="3" t="s">
        <v>29610</v>
      </c>
      <c r="B10204" s="3"/>
      <c r="C10204" s="3" t="s">
        <v>29611</v>
      </c>
      <c r="D10204" s="3" t="s">
        <v>29612</v>
      </c>
      <c r="E10204" s="3" t="s">
        <v>29613</v>
      </c>
      <c r="F10204" s="3" t="str">
        <f>"317-536-4299"</f>
        <v>317-536-4299</v>
      </c>
      <c r="G10204" s="3">
        <v>541860</v>
      </c>
      <c r="H10204" s="3" t="s">
        <v>566</v>
      </c>
    </row>
    <row r="10205" spans="1:8" ht="90" x14ac:dyDescent="0.25">
      <c r="A10205" s="3" t="s">
        <v>29614</v>
      </c>
      <c r="B10205" s="3"/>
      <c r="C10205" s="3" t="str">
        <f>"we install dump bodies, and utilities beds, and are a distributor and installer of adrian steel van shelving and van packages,western &amp; myer snow plows,tommy,theilmen,eagle,anthony and maxon liftgates and have a parts &amp; accessories department"</f>
        <v>we install dump bodies, and utilities beds, and are a distributor and installer of adrian steel van shelving and van packages,western &amp; myer snow plows,tommy,theilmen,eagle,anthony and maxon liftgates and have a parts &amp; accessories department</v>
      </c>
      <c r="D10205" s="3" t="s">
        <v>29615</v>
      </c>
      <c r="E10205" s="3" t="s">
        <v>46</v>
      </c>
      <c r="F10205" s="3" t="str">
        <f>"317-545-1227"</f>
        <v>317-545-1227</v>
      </c>
      <c r="G10205" s="3">
        <v>336211</v>
      </c>
      <c r="H10205" s="3" t="s">
        <v>6061</v>
      </c>
    </row>
    <row r="10206" spans="1:8" ht="115.5" x14ac:dyDescent="0.25">
      <c r="A10206" s="3" t="s">
        <v>29616</v>
      </c>
      <c r="B10206" s="3"/>
      <c r="C10206" s="3" t="s">
        <v>29617</v>
      </c>
      <c r="D10206" s="3" t="s">
        <v>29618</v>
      </c>
      <c r="E10206" s="3" t="s">
        <v>29619</v>
      </c>
      <c r="F10206" s="3" t="str">
        <f>"(317) 831-3788"</f>
        <v>(317) 831-3788</v>
      </c>
      <c r="G10206" s="3">
        <v>333512</v>
      </c>
      <c r="H10206" s="3" t="s">
        <v>10487</v>
      </c>
    </row>
    <row r="10207" spans="1:8" ht="64.5" x14ac:dyDescent="0.25">
      <c r="A10207" s="3" t="s">
        <v>29620</v>
      </c>
      <c r="B10207" s="3"/>
      <c r="C10207" s="3" t="str">
        <f>"Complete Locksmith services. Keys made,lock repaired,rekeyed,panic harware instalations,auto,residential,and commercial. Transponder and high security locks."</f>
        <v>Complete Locksmith services. Keys made,lock repaired,rekeyed,panic harware instalations,auto,residential,and commercial. Transponder and high security locks.</v>
      </c>
      <c r="D10207" s="3" t="s">
        <v>9</v>
      </c>
      <c r="E10207" s="3" t="s">
        <v>46</v>
      </c>
      <c r="F10207" s="2"/>
      <c r="G10207" s="3">
        <v>561622</v>
      </c>
      <c r="H10207" s="3" t="s">
        <v>43</v>
      </c>
    </row>
    <row r="10208" spans="1:8" ht="39" x14ac:dyDescent="0.25">
      <c r="A10208" s="3" t="s">
        <v>29621</v>
      </c>
      <c r="B10208" s="3"/>
      <c r="C10208" s="3" t="str">
        <f>"Buying and selling of electrical,plumbing,heating, and air conditioning parts wholesale"</f>
        <v>Buying and selling of electrical,plumbing,heating, and air conditioning parts wholesale</v>
      </c>
      <c r="D10208" s="3" t="s">
        <v>9</v>
      </c>
      <c r="E10208" s="3" t="s">
        <v>29622</v>
      </c>
      <c r="F10208" s="3" t="str">
        <f>"317-432-7958"</f>
        <v>317-432-7958</v>
      </c>
      <c r="G10208" s="3">
        <v>23331</v>
      </c>
      <c r="H10208" s="3" t="s">
        <v>5828</v>
      </c>
    </row>
    <row r="10209" spans="1:8" ht="26.25" x14ac:dyDescent="0.25">
      <c r="A10209" s="3" t="s">
        <v>29623</v>
      </c>
      <c r="B10209" s="3"/>
      <c r="C10209" s="2"/>
      <c r="D10209" s="3" t="s">
        <v>9</v>
      </c>
      <c r="E10209" s="3" t="s">
        <v>29624</v>
      </c>
      <c r="F10209" s="3" t="str">
        <f>"317-849-8799"</f>
        <v>317-849-8799</v>
      </c>
      <c r="G10209" s="3">
        <v>561990</v>
      </c>
      <c r="H10209" s="3" t="s">
        <v>219</v>
      </c>
    </row>
    <row r="10210" spans="1:8" ht="39" x14ac:dyDescent="0.25">
      <c r="A10210" s="3" t="s">
        <v>29625</v>
      </c>
      <c r="B10210" s="3"/>
      <c r="C10210" s="3" t="str">
        <f>"electrical contractor who does mainly commercial and industrial construction.we are licensed,insured and bonded."</f>
        <v>electrical contractor who does mainly commercial and industrial construction.we are licensed,insured and bonded.</v>
      </c>
      <c r="D10210" s="3" t="s">
        <v>9</v>
      </c>
      <c r="E10210" s="3" t="s">
        <v>29626</v>
      </c>
      <c r="F10210" s="3" t="str">
        <f>"812-336-4992"</f>
        <v>812-336-4992</v>
      </c>
      <c r="G10210" s="3">
        <v>23821</v>
      </c>
      <c r="H10210" s="3" t="s">
        <v>306</v>
      </c>
    </row>
    <row r="10211" spans="1:8" ht="26.25" x14ac:dyDescent="0.25">
      <c r="A10211" s="3" t="s">
        <v>29627</v>
      </c>
      <c r="B10211" s="3"/>
      <c r="C10211" s="3" t="str">
        <f>"we sell vehicles"</f>
        <v>we sell vehicles</v>
      </c>
      <c r="D10211" s="3" t="s">
        <v>29628</v>
      </c>
      <c r="E10211" s="3" t="s">
        <v>29629</v>
      </c>
      <c r="F10211" s="3" t="str">
        <f>"317-839-6551"</f>
        <v>317-839-6551</v>
      </c>
      <c r="G10211" s="3">
        <v>441110</v>
      </c>
      <c r="H10211" s="3" t="s">
        <v>2588</v>
      </c>
    </row>
    <row r="10212" spans="1:8" ht="64.5" x14ac:dyDescent="0.25">
      <c r="A10212" s="3" t="s">
        <v>29630</v>
      </c>
      <c r="B10212" s="3"/>
      <c r="C10212" s="3" t="str">
        <f>"Concrete Creations is a minority owned company that specializes in slabs, patios or any type of specialty or decorative concrete ,concrete polishing, or industrial flooring, industrial cleaning"</f>
        <v>Concrete Creations is a minority owned company that specializes in slabs, patios or any type of specialty or decorative concrete ,concrete polishing, or industrial flooring, industrial cleaning</v>
      </c>
      <c r="D10212" s="3" t="s">
        <v>29631</v>
      </c>
      <c r="E10212" s="3" t="s">
        <v>29632</v>
      </c>
      <c r="F10212" s="3" t="str">
        <f>"574-936-6203"</f>
        <v>574-936-6203</v>
      </c>
      <c r="G10212" s="3">
        <v>23571</v>
      </c>
      <c r="H10212" s="3" t="s">
        <v>576</v>
      </c>
    </row>
    <row r="10213" spans="1:8" ht="26.25" x14ac:dyDescent="0.25">
      <c r="A10213" s="3" t="s">
        <v>29633</v>
      </c>
      <c r="B10213" s="3"/>
      <c r="C10213" s="3" t="str">
        <f>"Appliance parts/ Appliance Repair/ Appliance Tools"</f>
        <v>Appliance parts/ Appliance Repair/ Appliance Tools</v>
      </c>
      <c r="D10213" s="3" t="s">
        <v>29634</v>
      </c>
      <c r="E10213" s="3" t="s">
        <v>29635</v>
      </c>
      <c r="F10213" s="3" t="str">
        <f>"219-785-4321"</f>
        <v>219-785-4321</v>
      </c>
      <c r="G10213" s="3">
        <v>811412</v>
      </c>
      <c r="H10213" s="3" t="s">
        <v>28284</v>
      </c>
    </row>
    <row r="10214" spans="1:8" ht="26.25" x14ac:dyDescent="0.25">
      <c r="A10214" s="3" t="s">
        <v>29636</v>
      </c>
      <c r="B10214" s="3"/>
      <c r="C10214" s="3" t="str">
        <f>"architectural design and planning"</f>
        <v>architectural design and planning</v>
      </c>
      <c r="D10214" s="3" t="s">
        <v>29637</v>
      </c>
      <c r="E10214" s="3" t="s">
        <v>29638</v>
      </c>
      <c r="F10214" s="3" t="str">
        <f>"317.951.9192"</f>
        <v>317.951.9192</v>
      </c>
      <c r="G10214" s="3">
        <v>541310</v>
      </c>
      <c r="H10214" s="3" t="s">
        <v>446</v>
      </c>
    </row>
    <row r="10215" spans="1:8" ht="26.25" x14ac:dyDescent="0.25">
      <c r="A10215" s="3" t="s">
        <v>29639</v>
      </c>
      <c r="B10215" s="3"/>
      <c r="C10215" s="3" t="str">
        <f>"HAVC"</f>
        <v>HAVC</v>
      </c>
      <c r="D10215" s="3" t="s">
        <v>29640</v>
      </c>
      <c r="E10215" s="3" t="s">
        <v>46</v>
      </c>
      <c r="F10215" s="3" t="str">
        <f>"317-243-3581"</f>
        <v>317-243-3581</v>
      </c>
      <c r="G10215" s="3">
        <v>238220</v>
      </c>
      <c r="H10215" s="3" t="s">
        <v>348</v>
      </c>
    </row>
    <row r="10216" spans="1:8" ht="39" x14ac:dyDescent="0.25">
      <c r="A10216" s="3" t="s">
        <v>29641</v>
      </c>
      <c r="B10216" s="3"/>
      <c r="C10216" s="3" t="str">
        <f>"We are a mbe certified construction company that can provide service in every field of construction and electrical"</f>
        <v>We are a mbe certified construction company that can provide service in every field of construction and electrical</v>
      </c>
      <c r="D10216" s="3" t="s">
        <v>9</v>
      </c>
      <c r="E10216" s="3" t="s">
        <v>29642</v>
      </c>
      <c r="F10216" s="2"/>
      <c r="G10216" s="3">
        <v>236</v>
      </c>
      <c r="H10216" s="3" t="s">
        <v>291</v>
      </c>
    </row>
    <row r="10217" spans="1:8" ht="77.25" x14ac:dyDescent="0.25">
      <c r="A10217" s="3" t="s">
        <v>29643</v>
      </c>
      <c r="B10217" s="3"/>
      <c r="C10217" s="3" t="str">
        <f>"I am a sales rep for southwestern petroleum corporation, they have been in business for over 70 years and are ISO9000 Certified. They make the best lubricants in the world and their products will reduce your total maintenance cost."</f>
        <v>I am a sales rep for southwestern petroleum corporation, they have been in business for over 70 years and are ISO9000 Certified. They make the best lubricants in the world and their products will reduce your total maintenance cost.</v>
      </c>
      <c r="D10217" s="3" t="s">
        <v>9</v>
      </c>
      <c r="E10217" s="3" t="s">
        <v>29644</v>
      </c>
      <c r="F10217" s="3" t="str">
        <f>"219-956-4899"</f>
        <v>219-956-4899</v>
      </c>
      <c r="G10217" s="3">
        <v>324191</v>
      </c>
      <c r="H10217" s="3" t="s">
        <v>2388</v>
      </c>
    </row>
    <row r="10218" spans="1:8" ht="51.75" x14ac:dyDescent="0.25">
      <c r="A10218" s="3" t="s">
        <v>29645</v>
      </c>
      <c r="B10218" s="3"/>
      <c r="C10218" s="3" t="str">
        <f>"graphic design, solvent banners, trade show displays, posters, mounting, laminating, vehicle wraps, indoor and outdoor signs, printing services"</f>
        <v>graphic design, solvent banners, trade show displays, posters, mounting, laminating, vehicle wraps, indoor and outdoor signs, printing services</v>
      </c>
      <c r="D10218" s="3" t="s">
        <v>29646</v>
      </c>
      <c r="E10218" s="3" t="s">
        <v>46</v>
      </c>
      <c r="F10218" s="3" t="str">
        <f>"765-620-5900"</f>
        <v>765-620-5900</v>
      </c>
      <c r="G10218" s="3">
        <v>54143</v>
      </c>
      <c r="H10218" s="3" t="s">
        <v>78</v>
      </c>
    </row>
    <row r="10219" spans="1:8" ht="26.25" x14ac:dyDescent="0.25">
      <c r="A10219" s="3" t="s">
        <v>29647</v>
      </c>
      <c r="B10219" s="3"/>
      <c r="C10219" s="2"/>
      <c r="D10219" s="3" t="s">
        <v>9</v>
      </c>
      <c r="E10219" s="3" t="s">
        <v>29648</v>
      </c>
      <c r="F10219" s="3" t="str">
        <f>"812-882-3314"</f>
        <v>812-882-3314</v>
      </c>
      <c r="G10219" s="3">
        <v>441320</v>
      </c>
      <c r="H10219" s="3" t="s">
        <v>190</v>
      </c>
    </row>
    <row r="10220" spans="1:8" ht="26.25" x14ac:dyDescent="0.25">
      <c r="A10220" s="3" t="s">
        <v>29649</v>
      </c>
      <c r="B10220" s="3"/>
      <c r="C10220" s="3" t="str">
        <f>"Manufacturer representative of commercial furniture"</f>
        <v>Manufacturer representative of commercial furniture</v>
      </c>
      <c r="D10220" s="3" t="s">
        <v>9</v>
      </c>
      <c r="E10220" s="3" t="s">
        <v>46</v>
      </c>
      <c r="F10220" s="3" t="str">
        <f>"317-770-7300"</f>
        <v>317-770-7300</v>
      </c>
      <c r="G10220" s="3">
        <v>52222</v>
      </c>
      <c r="H10220" s="3" t="s">
        <v>4071</v>
      </c>
    </row>
    <row r="10221" spans="1:8" ht="26.25" x14ac:dyDescent="0.25">
      <c r="A10221" s="3" t="s">
        <v>29650</v>
      </c>
      <c r="B10221" s="3"/>
      <c r="C10221" s="3" t="str">
        <f>" "</f>
        <v xml:space="preserve"> </v>
      </c>
      <c r="D10221" s="3" t="s">
        <v>9</v>
      </c>
      <c r="E10221" s="3" t="s">
        <v>29651</v>
      </c>
      <c r="F10221" s="3" t="str">
        <f>"1-800-860-8826"</f>
        <v>1-800-860-8826</v>
      </c>
      <c r="G10221" s="3">
        <v>541519</v>
      </c>
      <c r="H10221" s="3" t="s">
        <v>898</v>
      </c>
    </row>
    <row r="10222" spans="1:8" ht="51.75" x14ac:dyDescent="0.25">
      <c r="A10222" s="3" t="s">
        <v>29652</v>
      </c>
      <c r="B10222" s="3"/>
      <c r="C10222" s="3" t="str">
        <f>"Quik Internt of Indianapolis provides internt connections, web hosting and design. We have over 2000 access numbers for our customers."</f>
        <v>Quik Internt of Indianapolis provides internt connections, web hosting and design. We have over 2000 access numbers for our customers.</v>
      </c>
      <c r="D10222" s="3" t="s">
        <v>29653</v>
      </c>
      <c r="E10222" s="3" t="s">
        <v>29654</v>
      </c>
      <c r="F10222" s="3" t="str">
        <f>"765-659-0773"</f>
        <v>765-659-0773</v>
      </c>
      <c r="G10222" s="3">
        <v>518111</v>
      </c>
      <c r="H10222" s="3" t="s">
        <v>2656</v>
      </c>
    </row>
    <row r="10223" spans="1:8" ht="128.25" x14ac:dyDescent="0.25">
      <c r="A10223" s="3" t="s">
        <v>29655</v>
      </c>
      <c r="B10223" s="3"/>
      <c r="C10223" s="3" t="s">
        <v>29656</v>
      </c>
      <c r="D10223" s="3" t="s">
        <v>9</v>
      </c>
      <c r="E10223" s="3" t="s">
        <v>29657</v>
      </c>
      <c r="F10223" s="3" t="str">
        <f>"317-407-3105"</f>
        <v>317-407-3105</v>
      </c>
      <c r="G10223" s="3">
        <v>54141</v>
      </c>
      <c r="H10223" s="3" t="s">
        <v>687</v>
      </c>
    </row>
    <row r="10224" spans="1:8" x14ac:dyDescent="0.25">
      <c r="A10224" s="3" t="s">
        <v>29658</v>
      </c>
      <c r="B10224" s="3"/>
      <c r="C10224" s="3" t="str">
        <f>"CLEANING SERVICE"</f>
        <v>CLEANING SERVICE</v>
      </c>
      <c r="D10224" s="3" t="s">
        <v>9</v>
      </c>
      <c r="E10224" s="3" t="s">
        <v>46</v>
      </c>
      <c r="F10224" s="2"/>
      <c r="G10224" s="3">
        <v>561740</v>
      </c>
      <c r="H10224" s="3" t="s">
        <v>241</v>
      </c>
    </row>
    <row r="10225" spans="1:8" ht="128.25" x14ac:dyDescent="0.25">
      <c r="A10225" s="3" t="s">
        <v>29659</v>
      </c>
      <c r="B10225" s="3"/>
      <c r="C10225" s="3" t="s">
        <v>29660</v>
      </c>
      <c r="D10225" s="3" t="s">
        <v>9</v>
      </c>
      <c r="E10225" s="3" t="s">
        <v>29661</v>
      </c>
      <c r="F10225" s="3" t="str">
        <f>"317-475-1777"</f>
        <v>317-475-1777</v>
      </c>
      <c r="G10225" s="3">
        <v>811212</v>
      </c>
      <c r="H10225" s="3" t="s">
        <v>1632</v>
      </c>
    </row>
    <row r="10226" spans="1:8" ht="26.25" x14ac:dyDescent="0.25">
      <c r="A10226" s="3" t="s">
        <v>29662</v>
      </c>
      <c r="B10226" s="3"/>
      <c r="C10226" s="3" t="str">
        <f>"flooring sales and install"</f>
        <v>flooring sales and install</v>
      </c>
      <c r="D10226" s="3" t="s">
        <v>9</v>
      </c>
      <c r="E10226" s="3" t="s">
        <v>46</v>
      </c>
      <c r="F10226" s="3" t="str">
        <f>"812-856-5351"</f>
        <v>812-856-5351</v>
      </c>
      <c r="G10226" s="3">
        <v>238330</v>
      </c>
      <c r="H10226" s="3" t="s">
        <v>2995</v>
      </c>
    </row>
    <row r="10227" spans="1:8" ht="26.25" x14ac:dyDescent="0.25">
      <c r="A10227" s="3" t="s">
        <v>29663</v>
      </c>
      <c r="B10227" s="3"/>
      <c r="C10227" s="3" t="str">
        <f>"We do excavating work, water and sewer mains and site development"</f>
        <v>We do excavating work, water and sewer mains and site development</v>
      </c>
      <c r="D10227" s="3" t="s">
        <v>11220</v>
      </c>
      <c r="E10227" s="3" t="s">
        <v>29664</v>
      </c>
      <c r="F10227" s="3" t="str">
        <f>"812-361-2923"</f>
        <v>812-361-2923</v>
      </c>
      <c r="G10227" s="3">
        <v>237110</v>
      </c>
      <c r="H10227" s="3" t="s">
        <v>901</v>
      </c>
    </row>
    <row r="10228" spans="1:8" ht="26.25" x14ac:dyDescent="0.25">
      <c r="A10228" s="3" t="s">
        <v>29665</v>
      </c>
      <c r="B10228" s="3"/>
      <c r="C10228" s="3" t="str">
        <f>"I provide notary service 24 hours a day at the customer's location."</f>
        <v>I provide notary service 24 hours a day at the customer's location.</v>
      </c>
      <c r="D10228" s="3" t="s">
        <v>9</v>
      </c>
      <c r="E10228" s="3" t="s">
        <v>29666</v>
      </c>
      <c r="F10228" s="3" t="str">
        <f>"317-357-3490"</f>
        <v>317-357-3490</v>
      </c>
      <c r="G10228" s="3">
        <v>541199</v>
      </c>
      <c r="H10228" s="3" t="s">
        <v>1371</v>
      </c>
    </row>
    <row r="10229" spans="1:8" ht="39" x14ac:dyDescent="0.25">
      <c r="A10229" s="3" t="s">
        <v>29667</v>
      </c>
      <c r="B10229" s="3"/>
      <c r="C10229" s="3" t="str">
        <f>"heating air conditioning repair installation and service Refrigeration services Cooking Equipment Repair Services"</f>
        <v>heating air conditioning repair installation and service Refrigeration services Cooking Equipment Repair Services</v>
      </c>
      <c r="D10229" s="3" t="s">
        <v>9</v>
      </c>
      <c r="E10229" s="3" t="s">
        <v>29668</v>
      </c>
      <c r="F10229" s="3" t="str">
        <f>"317-788-6636"</f>
        <v>317-788-6636</v>
      </c>
      <c r="G10229" s="3">
        <v>2351</v>
      </c>
      <c r="H10229" s="3" t="s">
        <v>892</v>
      </c>
    </row>
    <row r="10230" spans="1:8" ht="51.75" x14ac:dyDescent="0.25">
      <c r="A10230" s="3" t="s">
        <v>29669</v>
      </c>
      <c r="B10230" s="3"/>
      <c r="C10230" s="3" t="str">
        <f>"a small masonry repair company including concrete replacement chimney repair rebuild specialist brick facade and morter repair"</f>
        <v>a small masonry repair company including concrete replacement chimney repair rebuild specialist brick facade and morter repair</v>
      </c>
      <c r="D10230" s="3" t="s">
        <v>29670</v>
      </c>
      <c r="E10230" s="3" t="s">
        <v>29671</v>
      </c>
      <c r="F10230" s="2"/>
      <c r="G10230" s="3">
        <v>238140</v>
      </c>
      <c r="H10230" s="3" t="s">
        <v>1830</v>
      </c>
    </row>
    <row r="10231" spans="1:8" ht="26.25" x14ac:dyDescent="0.25">
      <c r="A10231" s="3" t="s">
        <v>29672</v>
      </c>
      <c r="B10231" s="3"/>
      <c r="C10231" s="3" t="str">
        <f>"SHIP is free counseling service by the Indiana Department of Insurance and CMS."</f>
        <v>SHIP is free counseling service by the Indiana Department of Insurance and CMS.</v>
      </c>
      <c r="D10231" s="3" t="s">
        <v>29673</v>
      </c>
      <c r="E10231" s="3" t="s">
        <v>29674</v>
      </c>
      <c r="F10231" s="3" t="str">
        <f>"800-452-4800"</f>
        <v>800-452-4800</v>
      </c>
      <c r="G10231" s="3">
        <v>624</v>
      </c>
      <c r="H10231" s="3" t="s">
        <v>6524</v>
      </c>
    </row>
    <row r="10232" spans="1:8" ht="26.25" x14ac:dyDescent="0.25">
      <c r="A10232" s="3" t="s">
        <v>29675</v>
      </c>
      <c r="B10232" s="3"/>
      <c r="C10232" s="3" t="str">
        <f>"contruction equipment sales ,service, and rental"</f>
        <v>contruction equipment sales ,service, and rental</v>
      </c>
      <c r="D10232" s="3" t="s">
        <v>9</v>
      </c>
      <c r="E10232" s="3" t="s">
        <v>46</v>
      </c>
      <c r="F10232" s="3" t="str">
        <f>"260-483-8141"</f>
        <v>260-483-8141</v>
      </c>
      <c r="G10232" s="3">
        <v>4238</v>
      </c>
      <c r="H10232" s="3" t="s">
        <v>1565</v>
      </c>
    </row>
    <row r="10233" spans="1:8" ht="90" x14ac:dyDescent="0.25">
      <c r="A10233" s="3" t="s">
        <v>29676</v>
      </c>
      <c r="B10233" s="3"/>
      <c r="C10233" s="3" t="s">
        <v>29677</v>
      </c>
      <c r="D10233" s="3" t="s">
        <v>29678</v>
      </c>
      <c r="E10233" s="3" t="s">
        <v>29679</v>
      </c>
      <c r="F10233" s="3" t="str">
        <f>"812-391-2908"</f>
        <v>812-391-2908</v>
      </c>
      <c r="G10233" s="3">
        <v>5415</v>
      </c>
      <c r="H10233" s="3" t="s">
        <v>188</v>
      </c>
    </row>
    <row r="10234" spans="1:8" ht="230.25" x14ac:dyDescent="0.25">
      <c r="A10234" s="3" t="s">
        <v>29680</v>
      </c>
      <c r="B10234" s="3"/>
      <c r="C10234" s="3" t="s">
        <v>29681</v>
      </c>
      <c r="D10234" s="3" t="s">
        <v>29631</v>
      </c>
      <c r="E10234" s="3" t="s">
        <v>29632</v>
      </c>
      <c r="F10234" s="3" t="str">
        <f>"574-936-6203"</f>
        <v>574-936-6203</v>
      </c>
      <c r="G10234" s="3">
        <v>23571</v>
      </c>
      <c r="H10234" s="3" t="s">
        <v>576</v>
      </c>
    </row>
    <row r="10235" spans="1:8" x14ac:dyDescent="0.25">
      <c r="A10235" s="3" t="s">
        <v>29682</v>
      </c>
      <c r="B10235" s="3"/>
      <c r="C10235" s="2"/>
      <c r="D10235" s="3" t="s">
        <v>9</v>
      </c>
      <c r="E10235" s="3" t="s">
        <v>46</v>
      </c>
      <c r="F10235" s="2"/>
      <c r="G10235" s="3">
        <v>8111</v>
      </c>
      <c r="H10235" s="3" t="s">
        <v>3587</v>
      </c>
    </row>
    <row r="10236" spans="1:8" ht="51.75" x14ac:dyDescent="0.25">
      <c r="A10236" s="3" t="s">
        <v>29683</v>
      </c>
      <c r="B10236" s="3"/>
      <c r="C10236" s="3" t="str">
        <f>"We provide wall covering, wall protection, expansion joint covers, entrance maps, doors, curtains and curtain track, louvers, explosion releif vents and sunshades"</f>
        <v>We provide wall covering, wall protection, expansion joint covers, entrance maps, doors, curtains and curtain track, louvers, explosion releif vents and sunshades</v>
      </c>
      <c r="D10236" s="3" t="s">
        <v>29684</v>
      </c>
      <c r="E10236" s="3" t="s">
        <v>29685</v>
      </c>
      <c r="F10236" s="3" t="str">
        <f>"800.233.8493"</f>
        <v>800.233.8493</v>
      </c>
      <c r="G10236" s="3">
        <v>332323</v>
      </c>
      <c r="H10236" s="3" t="s">
        <v>3854</v>
      </c>
    </row>
    <row r="10237" spans="1:8" ht="64.5" x14ac:dyDescent="0.25">
      <c r="A10237" s="3" t="s">
        <v>29686</v>
      </c>
      <c r="B10237" s="3"/>
      <c r="C10237" s="3" t="str">
        <f>"Cooks tree service is owned and operated by a us marine corps veteran. We are a full service tree care company with an ISA certified Municipal Arborist and a staff biologist."</f>
        <v>Cooks tree service is owned and operated by a us marine corps veteran. We are a full service tree care company with an ISA certified Municipal Arborist and a staff biologist.</v>
      </c>
      <c r="D10237" s="3" t="s">
        <v>29687</v>
      </c>
      <c r="E10237" s="3" t="s">
        <v>29688</v>
      </c>
      <c r="F10237" s="3" t="str">
        <f>"2606656170"</f>
        <v>2606656170</v>
      </c>
      <c r="G10237" s="3">
        <v>11</v>
      </c>
      <c r="H10237" s="3" t="s">
        <v>175</v>
      </c>
    </row>
    <row r="10238" spans="1:8" ht="26.25" x14ac:dyDescent="0.25">
      <c r="A10238" s="3" t="s">
        <v>29689</v>
      </c>
      <c r="B10238" s="3"/>
      <c r="C10238" s="3" t="str">
        <f>"dumpsters. backhoe ,excavating work"</f>
        <v>dumpsters. backhoe ,excavating work</v>
      </c>
      <c r="D10238" s="3" t="s">
        <v>9</v>
      </c>
      <c r="E10238" s="3" t="s">
        <v>29690</v>
      </c>
      <c r="F10238" s="3" t="str">
        <f>"812 8892386"</f>
        <v>812 8892386</v>
      </c>
      <c r="G10238" s="3">
        <v>11</v>
      </c>
      <c r="H10238" s="3" t="s">
        <v>175</v>
      </c>
    </row>
    <row r="10239" spans="1:8" ht="64.5" x14ac:dyDescent="0.25">
      <c r="A10239" s="3" t="s">
        <v>29691</v>
      </c>
      <c r="B10239" s="3"/>
      <c r="C10239" s="3" t="str">
        <f>"we are specialist in concrete flatwork ,such as floors,driveways,roads,and we also do smaller jobs such as sidewalks,pool decks,or basiclly anything to do with concrete"</f>
        <v>we are specialist in concrete flatwork ,such as floors,driveways,roads,and we also do smaller jobs such as sidewalks,pool decks,or basiclly anything to do with concrete</v>
      </c>
      <c r="D10239" s="3" t="s">
        <v>9</v>
      </c>
      <c r="E10239" s="3" t="s">
        <v>29692</v>
      </c>
      <c r="F10239" s="3" t="str">
        <f>"812/346/7243"</f>
        <v>812/346/7243</v>
      </c>
      <c r="G10239" s="3">
        <v>23571</v>
      </c>
      <c r="H10239" s="3" t="s">
        <v>576</v>
      </c>
    </row>
    <row r="10240" spans="1:8" ht="294" x14ac:dyDescent="0.25">
      <c r="A10240" s="3" t="s">
        <v>29693</v>
      </c>
      <c r="B10240" s="3"/>
      <c r="C10240" s="3" t="s">
        <v>29694</v>
      </c>
      <c r="D10240" s="3" t="s">
        <v>29695</v>
      </c>
      <c r="E10240" s="3" t="s">
        <v>29696</v>
      </c>
      <c r="F10240" s="3" t="str">
        <f>"317-802-9497"</f>
        <v>317-802-9497</v>
      </c>
      <c r="G10240" s="3">
        <v>611710</v>
      </c>
      <c r="H10240" s="3" t="s">
        <v>508</v>
      </c>
    </row>
    <row r="10241" spans="1:8" x14ac:dyDescent="0.25">
      <c r="A10241" s="3" t="s">
        <v>29697</v>
      </c>
      <c r="B10241" s="3"/>
      <c r="C10241" s="2"/>
      <c r="D10241" s="3" t="s">
        <v>9</v>
      </c>
      <c r="E10241" s="3" t="s">
        <v>46</v>
      </c>
      <c r="F10241" s="2"/>
      <c r="G10241" s="3">
        <v>238210</v>
      </c>
      <c r="H10241" s="3" t="s">
        <v>306</v>
      </c>
    </row>
    <row r="10242" spans="1:8" ht="64.5" x14ac:dyDescent="0.25">
      <c r="A10242" s="3" t="s">
        <v>29698</v>
      </c>
      <c r="B10242" s="3"/>
      <c r="C10242" s="3" t="str">
        <f>"Publisher of children school bus safety program. Mainly the book"" Kids On Board"" Motivational Speaking. Publishing Safety Material for Transportation industry. Am also contract bus driver."</f>
        <v>Publisher of children school bus safety program. Mainly the book" Kids On Board" Motivational Speaking. Publishing Safety Material for Transportation industry. Am also contract bus driver.</v>
      </c>
      <c r="D10242" s="3" t="s">
        <v>29699</v>
      </c>
      <c r="E10242" s="3" t="s">
        <v>29700</v>
      </c>
      <c r="F10242" s="3" t="str">
        <f>"574-296-6737"</f>
        <v>574-296-6737</v>
      </c>
      <c r="G10242" s="3">
        <v>485410</v>
      </c>
      <c r="H10242" s="3" t="s">
        <v>4014</v>
      </c>
    </row>
    <row r="10243" spans="1:8" ht="77.25" x14ac:dyDescent="0.25">
      <c r="A10243" s="3" t="s">
        <v>29701</v>
      </c>
      <c r="B10243" s="3"/>
      <c r="C10243" s="3" t="str">
        <f>"Providing office furniture leading with Kimball Office an Indiana base manufacurer. Also provide design service, flooring, space planning, furniture specification, and standardizations. MWBE certified."</f>
        <v>Providing office furniture leading with Kimball Office an Indiana base manufacurer. Also provide design service, flooring, space planning, furniture specification, and standardizations. MWBE certified.</v>
      </c>
      <c r="D10243" s="3" t="s">
        <v>29702</v>
      </c>
      <c r="E10243" s="3" t="s">
        <v>29703</v>
      </c>
      <c r="F10243" s="3" t="str">
        <f>"317-572.9103"</f>
        <v>317-572.9103</v>
      </c>
      <c r="G10243" s="3">
        <v>423210</v>
      </c>
      <c r="H10243" s="3" t="s">
        <v>3508</v>
      </c>
    </row>
    <row r="10244" spans="1:8" ht="39" x14ac:dyDescent="0.25">
      <c r="A10244" s="3" t="s">
        <v>29704</v>
      </c>
      <c r="B10244" s="3"/>
      <c r="C10244" s="3" t="str">
        <f>"Private practice as a psychologist. Myself and my wife are the only two psychologists that work here."</f>
        <v>Private practice as a psychologist. Myself and my wife are the only two psychologists that work here.</v>
      </c>
      <c r="D10244" s="3" t="s">
        <v>29705</v>
      </c>
      <c r="E10244" s="3" t="s">
        <v>29706</v>
      </c>
      <c r="F10244" s="3" t="str">
        <f>"2604592900"</f>
        <v>2604592900</v>
      </c>
      <c r="G10244" s="3">
        <v>621330</v>
      </c>
      <c r="H10244" s="3" t="s">
        <v>2643</v>
      </c>
    </row>
    <row r="10245" spans="1:8" ht="102.75" x14ac:dyDescent="0.25">
      <c r="A10245" s="3" t="s">
        <v>29707</v>
      </c>
      <c r="B10245" s="3"/>
      <c r="C10245" s="3" t="s">
        <v>29708</v>
      </c>
      <c r="D10245" s="3" t="s">
        <v>9</v>
      </c>
      <c r="E10245" s="3" t="s">
        <v>29709</v>
      </c>
      <c r="F10245" s="3" t="str">
        <f>"3176150701"</f>
        <v>3176150701</v>
      </c>
      <c r="G10245" s="3">
        <v>561611</v>
      </c>
      <c r="H10245" s="3" t="s">
        <v>581</v>
      </c>
    </row>
    <row r="10246" spans="1:8" ht="26.25" x14ac:dyDescent="0.25">
      <c r="A10246" s="3" t="s">
        <v>29710</v>
      </c>
      <c r="B10246" s="3"/>
      <c r="C10246" s="3" t="str">
        <f>"Material handling and storage equipment sales"</f>
        <v>Material handling and storage equipment sales</v>
      </c>
      <c r="D10246" s="3" t="s">
        <v>29711</v>
      </c>
      <c r="E10246" s="3" t="s">
        <v>29712</v>
      </c>
      <c r="F10246" s="3" t="str">
        <f>"317-240-3611"</f>
        <v>317-240-3611</v>
      </c>
      <c r="G10246" s="3">
        <v>33392</v>
      </c>
      <c r="H10246" s="3" t="s">
        <v>3530</v>
      </c>
    </row>
    <row r="10247" spans="1:8" ht="166.5" x14ac:dyDescent="0.25">
      <c r="A10247" s="3" t="s">
        <v>29713</v>
      </c>
      <c r="B10247" s="3"/>
      <c r="C10247" s="3" t="s">
        <v>29714</v>
      </c>
      <c r="D10247" s="3" t="s">
        <v>29715</v>
      </c>
      <c r="E10247" s="3" t="s">
        <v>29716</v>
      </c>
      <c r="F10247" s="3" t="str">
        <f>"(317) 472-2822"</f>
        <v>(317) 472-2822</v>
      </c>
      <c r="G10247" s="3">
        <v>541990</v>
      </c>
      <c r="H10247" s="3" t="s">
        <v>378</v>
      </c>
    </row>
    <row r="10248" spans="1:8" ht="26.25" x14ac:dyDescent="0.25">
      <c r="A10248" s="3" t="s">
        <v>29717</v>
      </c>
      <c r="B10248" s="3"/>
      <c r="C10248" s="3" t="str">
        <f>"Selling Promotional Products and imprinted wearables with your business logo"</f>
        <v>Selling Promotional Products and imprinted wearables with your business logo</v>
      </c>
      <c r="D10248" s="3" t="s">
        <v>29718</v>
      </c>
      <c r="E10248" s="3" t="s">
        <v>29719</v>
      </c>
      <c r="F10248" s="3" t="str">
        <f>"812-944-8322"</f>
        <v>812-944-8322</v>
      </c>
      <c r="G10248" s="3">
        <v>541890</v>
      </c>
      <c r="H10248" s="3" t="s">
        <v>401</v>
      </c>
    </row>
    <row r="10249" spans="1:8" ht="51.75" x14ac:dyDescent="0.25">
      <c r="A10249" s="3" t="s">
        <v>29717</v>
      </c>
      <c r="B10249" s="3"/>
      <c r="C10249" s="3" t="str">
        <f>"We are a WBE Certified distributor of promotional products, specialties, and wearables. Anything and Everything you put your logo on, we can do!"</f>
        <v>We are a WBE Certified distributor of promotional products, specialties, and wearables. Anything and Everything you put your logo on, we can do!</v>
      </c>
      <c r="D10249" s="3" t="s">
        <v>29718</v>
      </c>
      <c r="E10249" s="3" t="s">
        <v>29720</v>
      </c>
      <c r="F10249" s="3" t="str">
        <f>"812-944-8322"</f>
        <v>812-944-8322</v>
      </c>
      <c r="G10249" s="3">
        <v>541890</v>
      </c>
      <c r="H10249" s="3" t="s">
        <v>401</v>
      </c>
    </row>
    <row r="10250" spans="1:8" ht="128.25" x14ac:dyDescent="0.25">
      <c r="A10250" s="3" t="s">
        <v>29721</v>
      </c>
      <c r="B10250" s="3"/>
      <c r="C10250" s="3" t="s">
        <v>29722</v>
      </c>
      <c r="D10250" s="3" t="s">
        <v>29723</v>
      </c>
      <c r="E10250" s="3" t="s">
        <v>29724</v>
      </c>
      <c r="F10250" s="3" t="str">
        <f>"7652860690"</f>
        <v>7652860690</v>
      </c>
      <c r="G10250" s="3">
        <v>512110</v>
      </c>
      <c r="H10250" s="3" t="s">
        <v>406</v>
      </c>
    </row>
    <row r="10251" spans="1:8" ht="90" x14ac:dyDescent="0.25">
      <c r="A10251" s="3" t="s">
        <v>29725</v>
      </c>
      <c r="B10251" s="3"/>
      <c r="C10251" s="3" t="s">
        <v>29726</v>
      </c>
      <c r="D10251" s="3" t="s">
        <v>9</v>
      </c>
      <c r="E10251" s="3" t="s">
        <v>29727</v>
      </c>
      <c r="F10251" s="3" t="str">
        <f>"317-945-2049"</f>
        <v>317-945-2049</v>
      </c>
      <c r="G10251" s="3">
        <v>811</v>
      </c>
      <c r="H10251" s="3" t="s">
        <v>816</v>
      </c>
    </row>
    <row r="10252" spans="1:8" ht="26.25" x14ac:dyDescent="0.25">
      <c r="A10252" s="3" t="s">
        <v>29728</v>
      </c>
      <c r="B10252" s="3"/>
      <c r="C10252" s="3" t="str">
        <f>"bookkeeping, administrative, editing, proof reading"</f>
        <v>bookkeeping, administrative, editing, proof reading</v>
      </c>
      <c r="D10252" s="3" t="s">
        <v>9</v>
      </c>
      <c r="E10252" s="3" t="s">
        <v>29729</v>
      </c>
      <c r="F10252" s="3" t="str">
        <f>"317-293-7855"</f>
        <v>317-293-7855</v>
      </c>
      <c r="G10252" s="3">
        <v>561110</v>
      </c>
      <c r="H10252" s="3" t="s">
        <v>4383</v>
      </c>
    </row>
    <row r="10253" spans="1:8" ht="102.75" x14ac:dyDescent="0.25">
      <c r="A10253" s="3" t="s">
        <v>29730</v>
      </c>
      <c r="B10253" s="3"/>
      <c r="C10253" s="3" t="s">
        <v>29731</v>
      </c>
      <c r="D10253" s="3" t="s">
        <v>29732</v>
      </c>
      <c r="E10253" s="3" t="s">
        <v>29733</v>
      </c>
      <c r="F10253" s="3" t="str">
        <f>"317-286-4000"</f>
        <v>317-286-4000</v>
      </c>
      <c r="G10253" s="3">
        <v>541512</v>
      </c>
      <c r="H10253" s="3" t="s">
        <v>19</v>
      </c>
    </row>
    <row r="10254" spans="1:8" ht="153.75" x14ac:dyDescent="0.25">
      <c r="A10254" s="3" t="s">
        <v>29734</v>
      </c>
      <c r="B10254" s="3"/>
      <c r="C10254" s="3" t="s">
        <v>29735</v>
      </c>
      <c r="D10254" s="3" t="s">
        <v>29736</v>
      </c>
      <c r="E10254" s="3" t="s">
        <v>46</v>
      </c>
      <c r="F10254" s="3" t="str">
        <f>"317-752-1276"</f>
        <v>317-752-1276</v>
      </c>
      <c r="G10254" s="3">
        <v>5411</v>
      </c>
      <c r="H10254" s="3" t="s">
        <v>87</v>
      </c>
    </row>
    <row r="10255" spans="1:8" ht="26.25" x14ac:dyDescent="0.25">
      <c r="A10255" s="3" t="s">
        <v>29737</v>
      </c>
      <c r="B10255" s="3"/>
      <c r="C10255" s="3" t="str">
        <f>"eGov partners specializes in business consulting and management services."</f>
        <v>eGov partners specializes in business consulting and management services.</v>
      </c>
      <c r="D10255" s="3" t="s">
        <v>9</v>
      </c>
      <c r="E10255" s="3" t="s">
        <v>29738</v>
      </c>
      <c r="F10255" s="3" t="str">
        <f>"317-752-5356"</f>
        <v>317-752-5356</v>
      </c>
      <c r="G10255" s="3">
        <v>541990</v>
      </c>
      <c r="H10255" s="3" t="s">
        <v>378</v>
      </c>
    </row>
    <row r="10256" spans="1:8" ht="64.5" x14ac:dyDescent="0.25">
      <c r="A10256" s="3" t="s">
        <v>29739</v>
      </c>
      <c r="B10256" s="3"/>
      <c r="C10256" s="3" t="str">
        <f>"eHealthcare Consulting is a Healthcare IT services organization focused on helping our clients succeed with HIT initiatives. We provide contract and full time resources to supplement current abilities for our clients."</f>
        <v>eHealthcare Consulting is a Healthcare IT services organization focused on helping our clients succeed with HIT initiatives. We provide contract and full time resources to supplement current abilities for our clients.</v>
      </c>
      <c r="D10256" s="3" t="s">
        <v>29740</v>
      </c>
      <c r="E10256" s="3" t="s">
        <v>29741</v>
      </c>
      <c r="F10256" s="3" t="str">
        <f>"3177306613"</f>
        <v>3177306613</v>
      </c>
      <c r="G10256" s="3">
        <v>541611</v>
      </c>
      <c r="H10256" s="3" t="s">
        <v>278</v>
      </c>
    </row>
    <row r="10257" spans="1:8" ht="128.25" x14ac:dyDescent="0.25">
      <c r="A10257" s="3" t="s">
        <v>29742</v>
      </c>
      <c r="B10257" s="3"/>
      <c r="C10257" s="3" t="s">
        <v>29743</v>
      </c>
      <c r="D10257" s="3" t="s">
        <v>29744</v>
      </c>
      <c r="E10257" s="3" t="s">
        <v>29745</v>
      </c>
      <c r="F10257" s="3" t="str">
        <f>"317-577-9958"</f>
        <v>317-577-9958</v>
      </c>
      <c r="G10257" s="3">
        <v>541512</v>
      </c>
      <c r="H10257" s="3" t="s">
        <v>19</v>
      </c>
    </row>
    <row r="10258" spans="1:8" ht="319.5" x14ac:dyDescent="0.25">
      <c r="A10258" s="3" t="s">
        <v>29746</v>
      </c>
      <c r="B10258" s="3"/>
      <c r="C10258" s="3" t="s">
        <v>29747</v>
      </c>
      <c r="D10258" s="3" t="s">
        <v>29748</v>
      </c>
      <c r="E10258" s="3" t="s">
        <v>29749</v>
      </c>
      <c r="F10258" s="3" t="str">
        <f>"765-759-0165"</f>
        <v>765-759-0165</v>
      </c>
      <c r="G10258" s="3">
        <v>5415</v>
      </c>
      <c r="H10258" s="3" t="s">
        <v>188</v>
      </c>
    </row>
    <row r="10259" spans="1:8" ht="281.25" x14ac:dyDescent="0.25">
      <c r="A10259" s="3" t="s">
        <v>29750</v>
      </c>
      <c r="B10259" s="3"/>
      <c r="C10259" s="3" t="s">
        <v>29751</v>
      </c>
      <c r="D10259" s="3" t="s">
        <v>29752</v>
      </c>
      <c r="E10259" s="3" t="s">
        <v>29753</v>
      </c>
      <c r="F10259" s="3" t="str">
        <f>"3174902570"</f>
        <v>3174902570</v>
      </c>
      <c r="G10259" s="3">
        <v>541512</v>
      </c>
      <c r="H10259" s="3" t="s">
        <v>19</v>
      </c>
    </row>
    <row r="10260" spans="1:8" ht="64.5" x14ac:dyDescent="0.25">
      <c r="A10260" s="3" t="s">
        <v>29754</v>
      </c>
      <c r="B10260" s="3"/>
      <c r="C10260" s="3" t="str">
        <f>"We offer plumbing and hvac services for commercial properities. Eagle Mechanical has been in business since the mid 90's and has grown steadily based on our exemplary business ethics and workmanship."</f>
        <v>We offer plumbing and hvac services for commercial properities. Eagle Mechanical has been in business since the mid 90's and has grown steadily based on our exemplary business ethics and workmanship.</v>
      </c>
      <c r="D10260" s="3" t="s">
        <v>9</v>
      </c>
      <c r="E10260" s="3" t="s">
        <v>46</v>
      </c>
      <c r="F10260" s="3" t="str">
        <f>"317-787-9225"</f>
        <v>317-787-9225</v>
      </c>
      <c r="G10260" s="3">
        <v>2351</v>
      </c>
      <c r="H10260" s="3" t="s">
        <v>892</v>
      </c>
    </row>
    <row r="10261" spans="1:8" ht="294" x14ac:dyDescent="0.25">
      <c r="A10261" s="3" t="s">
        <v>29755</v>
      </c>
      <c r="B10261" s="3"/>
      <c r="C10261" s="3" t="s">
        <v>29756</v>
      </c>
      <c r="D10261" s="3" t="s">
        <v>29757</v>
      </c>
      <c r="E10261" s="3" t="s">
        <v>29758</v>
      </c>
      <c r="F10261" s="3" t="str">
        <f>"317 298 3167"</f>
        <v>317 298 3167</v>
      </c>
      <c r="G10261" s="3">
        <v>541890</v>
      </c>
      <c r="H10261" s="3" t="s">
        <v>401</v>
      </c>
    </row>
    <row r="10262" spans="1:8" ht="115.5" x14ac:dyDescent="0.25">
      <c r="A10262" s="3" t="s">
        <v>29759</v>
      </c>
      <c r="B10262" s="3"/>
      <c r="C10262" s="3" t="s">
        <v>29760</v>
      </c>
      <c r="D10262" s="3" t="s">
        <v>29761</v>
      </c>
      <c r="E10262" s="3" t="s">
        <v>29762</v>
      </c>
      <c r="F10262" s="3" t="str">
        <f>"317-835-9820"</f>
        <v>317-835-9820</v>
      </c>
      <c r="G10262" s="3">
        <v>54151</v>
      </c>
      <c r="H10262" s="3" t="s">
        <v>188</v>
      </c>
    </row>
    <row r="10263" spans="1:8" ht="153.75" x14ac:dyDescent="0.25">
      <c r="A10263" s="3" t="s">
        <v>29763</v>
      </c>
      <c r="B10263" s="3"/>
      <c r="C10263" s="3" t="s">
        <v>29764</v>
      </c>
      <c r="D10263" s="3" t="s">
        <v>29765</v>
      </c>
      <c r="E10263" s="3" t="s">
        <v>29766</v>
      </c>
      <c r="F10263" s="3" t="str">
        <f>"317-872-3112"</f>
        <v>317-872-3112</v>
      </c>
      <c r="G10263" s="3">
        <v>23592</v>
      </c>
      <c r="H10263" s="3" t="s">
        <v>2530</v>
      </c>
    </row>
    <row r="10264" spans="1:8" ht="26.25" x14ac:dyDescent="0.25">
      <c r="A10264" s="3" t="s">
        <v>29767</v>
      </c>
      <c r="B10264" s="3"/>
      <c r="C10264" s="3" t="str">
        <f>"HOME MEDICAL EQUIPMENT SERVICES, RESPIRATORY, HOME INFUSION, PHARMACY"</f>
        <v>HOME MEDICAL EQUIPMENT SERVICES, RESPIRATORY, HOME INFUSION, PHARMACY</v>
      </c>
      <c r="D10264" s="3" t="s">
        <v>9</v>
      </c>
      <c r="E10264" s="3" t="s">
        <v>46</v>
      </c>
      <c r="F10264" s="2"/>
      <c r="G10264" s="3">
        <v>446199</v>
      </c>
      <c r="H10264" s="3" t="s">
        <v>1760</v>
      </c>
    </row>
    <row r="10265" spans="1:8" ht="64.5" x14ac:dyDescent="0.25">
      <c r="A10265" s="3" t="s">
        <v>29768</v>
      </c>
      <c r="B10265" s="3"/>
      <c r="C10265" s="3" t="str">
        <f>"fasconnect is a distributor of fastening and connecting systems, which include hydraulic hose, fittings and adapters, nuts, bolts, electrical connectors, brass fittings, cutting tools and abrasives, and rivets."</f>
        <v>fasconnect is a distributor of fastening and connecting systems, which include hydraulic hose, fittings and adapters, nuts, bolts, electrical connectors, brass fittings, cutting tools and abrasives, and rivets.</v>
      </c>
      <c r="D10265" s="3" t="s">
        <v>9</v>
      </c>
      <c r="E10265" s="3" t="s">
        <v>46</v>
      </c>
      <c r="F10265" s="2"/>
      <c r="G10265" s="3">
        <v>444190</v>
      </c>
      <c r="H10265" s="3" t="s">
        <v>1188</v>
      </c>
    </row>
    <row r="10266" spans="1:8" ht="39" x14ac:dyDescent="0.25">
      <c r="A10266" s="3" t="s">
        <v>29769</v>
      </c>
      <c r="B10266" s="3"/>
      <c r="C10266" s="3" t="str">
        <f>"fashions by annette is a all occasion gift basket boutique which also specailizes in other unique gifts."</f>
        <v>fashions by annette is a all occasion gift basket boutique which also specailizes in other unique gifts.</v>
      </c>
      <c r="D10266" s="3" t="s">
        <v>9</v>
      </c>
      <c r="E10266" s="3" t="s">
        <v>29770</v>
      </c>
      <c r="F10266" s="3" t="str">
        <f>"317-243-3631"</f>
        <v>317-243-3631</v>
      </c>
      <c r="G10266" s="3">
        <v>453220</v>
      </c>
      <c r="H10266" s="3" t="s">
        <v>274</v>
      </c>
    </row>
    <row r="10267" spans="1:8" ht="51.75" x14ac:dyDescent="0.25">
      <c r="A10267" s="3" t="s">
        <v>29771</v>
      </c>
      <c r="B10267" s="3"/>
      <c r="C10267" s="3" t="str">
        <f>"We provide building maintenance services. janitorial Lawn maintenance landscaping mechanical &amp; electrical maintenance snow removal"</f>
        <v>We provide building maintenance services. janitorial Lawn maintenance landscaping mechanical &amp; electrical maintenance snow removal</v>
      </c>
      <c r="D10267" s="3" t="s">
        <v>29772</v>
      </c>
      <c r="E10267" s="3" t="s">
        <v>29773</v>
      </c>
      <c r="F10267" s="3" t="str">
        <f>"317-514-4903"</f>
        <v>317-514-4903</v>
      </c>
      <c r="G10267" s="3">
        <v>561730</v>
      </c>
      <c r="H10267" s="3" t="s">
        <v>65</v>
      </c>
    </row>
    <row r="10268" spans="1:8" ht="192" x14ac:dyDescent="0.25">
      <c r="A10268" s="3" t="s">
        <v>29774</v>
      </c>
      <c r="B10268" s="3"/>
      <c r="C10268" s="3" t="s">
        <v>29775</v>
      </c>
      <c r="D10268" s="3" t="s">
        <v>29776</v>
      </c>
      <c r="E10268" s="3" t="s">
        <v>29777</v>
      </c>
      <c r="F10268" s="3" t="str">
        <f>"765-775-3776"</f>
        <v>765-775-3776</v>
      </c>
      <c r="G10268" s="3">
        <v>541511</v>
      </c>
      <c r="H10268" s="3" t="s">
        <v>122</v>
      </c>
    </row>
    <row r="10269" spans="1:8" ht="51.75" x14ac:dyDescent="0.25">
      <c r="A10269" s="3" t="s">
        <v>29778</v>
      </c>
      <c r="B10269" s="3"/>
      <c r="C10269" s="3" t="str">
        <f>"Since 1971 Green has been a leader in award winning sign design, awnings, electronic LED message centers, sign and lighting maintenance."</f>
        <v>Since 1971 Green has been a leader in award winning sign design, awnings, electronic LED message centers, sign and lighting maintenance.</v>
      </c>
      <c r="D10269" s="3" t="s">
        <v>29779</v>
      </c>
      <c r="E10269" s="3" t="s">
        <v>29780</v>
      </c>
      <c r="F10269" s="3" t="str">
        <f>"800-900-2100"</f>
        <v>800-900-2100</v>
      </c>
      <c r="G10269" s="3">
        <v>23599</v>
      </c>
      <c r="H10269" s="3" t="s">
        <v>248</v>
      </c>
    </row>
    <row r="10270" spans="1:8" ht="90" x14ac:dyDescent="0.25">
      <c r="A10270" s="3" t="s">
        <v>29781</v>
      </c>
      <c r="B10270" s="3"/>
      <c r="C10270" s="3" t="s">
        <v>29782</v>
      </c>
      <c r="D10270" s="3" t="s">
        <v>29783</v>
      </c>
      <c r="E10270" s="3" t="s">
        <v>29784</v>
      </c>
      <c r="F10270" s="3" t="str">
        <f>"317-542-0662"</f>
        <v>317-542-0662</v>
      </c>
      <c r="G10270" s="3">
        <v>333921</v>
      </c>
      <c r="H10270" s="3" t="s">
        <v>8365</v>
      </c>
    </row>
    <row r="10271" spans="1:8" ht="26.25" x14ac:dyDescent="0.25">
      <c r="A10271" s="3" t="s">
        <v>29785</v>
      </c>
      <c r="B10271" s="3"/>
      <c r="C10271" s="3" t="str">
        <f>"plumbing hvac"</f>
        <v>plumbing hvac</v>
      </c>
      <c r="D10271" s="3" t="s">
        <v>9</v>
      </c>
      <c r="E10271" s="3" t="s">
        <v>29786</v>
      </c>
      <c r="F10271" s="2"/>
      <c r="G10271" s="3">
        <v>2351</v>
      </c>
      <c r="H10271" s="3" t="s">
        <v>892</v>
      </c>
    </row>
    <row r="10272" spans="1:8" ht="51.75" x14ac:dyDescent="0.25">
      <c r="A10272" s="3" t="s">
        <v>29787</v>
      </c>
      <c r="B10272" s="3"/>
      <c r="C10272" s="3" t="str">
        <f>"residential, commercial and automotive glass repair and replacement, including storm windows, screens, mirrors, doors, and replacement windows."</f>
        <v>residential, commercial and automotive glass repair and replacement, including storm windows, screens, mirrors, doors, and replacement windows.</v>
      </c>
      <c r="D10272" s="3" t="s">
        <v>9</v>
      </c>
      <c r="E10272" s="3" t="s">
        <v>29788</v>
      </c>
      <c r="F10272" s="3" t="str">
        <f>"765-529-8455"</f>
        <v>765-529-8455</v>
      </c>
      <c r="G10272" s="3">
        <v>238150</v>
      </c>
      <c r="H10272" s="3" t="s">
        <v>2530</v>
      </c>
    </row>
    <row r="10273" spans="1:8" ht="26.25" x14ac:dyDescent="0.25">
      <c r="A10273" s="3" t="s">
        <v>29789</v>
      </c>
      <c r="B10273" s="3"/>
      <c r="C10273" s="3" t="str">
        <f>"Full service Interior Design Firm with specialized Move Coordination"</f>
        <v>Full service Interior Design Firm with specialized Move Coordination</v>
      </c>
      <c r="D10273" s="3" t="s">
        <v>29790</v>
      </c>
      <c r="E10273" s="3" t="s">
        <v>29791</v>
      </c>
      <c r="F10273" s="3" t="str">
        <f>"317-784-6044"</f>
        <v>317-784-6044</v>
      </c>
      <c r="G10273" s="3">
        <v>541410</v>
      </c>
      <c r="H10273" s="3" t="s">
        <v>687</v>
      </c>
    </row>
    <row r="10274" spans="1:8" ht="217.5" x14ac:dyDescent="0.25">
      <c r="A10274" s="3" t="s">
        <v>29792</v>
      </c>
      <c r="B10274" s="3"/>
      <c r="C10274" s="3" t="s">
        <v>29793</v>
      </c>
      <c r="D10274" s="3" t="s">
        <v>29794</v>
      </c>
      <c r="E10274" s="3" t="s">
        <v>29795</v>
      </c>
      <c r="F10274" s="3" t="str">
        <f>"888.561.9722"</f>
        <v>888.561.9722</v>
      </c>
      <c r="G10274" s="3">
        <v>23599</v>
      </c>
      <c r="H10274" s="3" t="s">
        <v>248</v>
      </c>
    </row>
    <row r="10275" spans="1:8" ht="217.5" x14ac:dyDescent="0.25">
      <c r="A10275" s="3" t="s">
        <v>29796</v>
      </c>
      <c r="B10275" s="3"/>
      <c r="C10275" s="3" t="s">
        <v>29797</v>
      </c>
      <c r="D10275" s="3" t="s">
        <v>29798</v>
      </c>
      <c r="E10275" s="3" t="s">
        <v>29799</v>
      </c>
      <c r="F10275" s="3" t="str">
        <f>"317-218-3258"</f>
        <v>317-218-3258</v>
      </c>
      <c r="G10275" s="3">
        <v>541511</v>
      </c>
      <c r="H10275" s="3" t="s">
        <v>122</v>
      </c>
    </row>
    <row r="10276" spans="1:8" ht="115.5" x14ac:dyDescent="0.25">
      <c r="A10276" s="3" t="s">
        <v>29800</v>
      </c>
      <c r="B10276" s="3"/>
      <c r="C10276" s="3" t="s">
        <v>29801</v>
      </c>
      <c r="D10276" s="3" t="s">
        <v>29802</v>
      </c>
      <c r="E10276" s="3" t="s">
        <v>29803</v>
      </c>
      <c r="F10276" s="3" t="str">
        <f>"317-750-6205"</f>
        <v>317-750-6205</v>
      </c>
      <c r="G10276" s="3">
        <v>541512</v>
      </c>
      <c r="H10276" s="3" t="s">
        <v>19</v>
      </c>
    </row>
    <row r="10277" spans="1:8" ht="77.25" x14ac:dyDescent="0.25">
      <c r="A10277" s="3" t="s">
        <v>29804</v>
      </c>
      <c r="B10277" s="3"/>
      <c r="C10277" s="3" t="str">
        <f>"iSight, LLC provides large-scale event consulting, management and planning services for companies and individuals. We also provide technology driven solutions and activation to uniquely brand a special event or product launch."</f>
        <v>iSight, LLC provides large-scale event consulting, management and planning services for companies and individuals. We also provide technology driven solutions and activation to uniquely brand a special event or product launch.</v>
      </c>
      <c r="D10277" s="3" t="s">
        <v>29805</v>
      </c>
      <c r="E10277" s="3" t="s">
        <v>29806</v>
      </c>
      <c r="F10277" s="3" t="str">
        <f>"317 251 2788"</f>
        <v>317 251 2788</v>
      </c>
      <c r="G10277" s="3">
        <v>711310</v>
      </c>
      <c r="H10277" s="3" t="s">
        <v>19788</v>
      </c>
    </row>
    <row r="10278" spans="1:8" ht="39" x14ac:dyDescent="0.25">
      <c r="A10278" s="3" t="s">
        <v>29807</v>
      </c>
      <c r="B10278" s="3"/>
      <c r="C10278" s="3" t="str">
        <f>"distribution of containers and raw materials to paint, industrial maintanence, plastic and ink manufacturers."</f>
        <v>distribution of containers and raw materials to paint, industrial maintanence, plastic and ink manufacturers.</v>
      </c>
      <c r="D10278" s="3" t="s">
        <v>9</v>
      </c>
      <c r="E10278" s="3" t="s">
        <v>29808</v>
      </c>
      <c r="F10278" s="3" t="str">
        <f>"317-925-1447"</f>
        <v>317-925-1447</v>
      </c>
      <c r="G10278" s="3">
        <v>424990</v>
      </c>
      <c r="H10278" s="3" t="s">
        <v>1019</v>
      </c>
    </row>
    <row r="10279" spans="1:8" ht="51.75" x14ac:dyDescent="0.25">
      <c r="A10279" s="3" t="s">
        <v>29809</v>
      </c>
      <c r="B10279" s="3"/>
      <c r="C10279" s="3" t="str">
        <f>"Importer and wholesaler of toys, novelties, candy, gift items, party supplies, promotional products, and more. Open to the public."</f>
        <v>Importer and wholesaler of toys, novelties, candy, gift items, party supplies, promotional products, and more. Open to the public.</v>
      </c>
      <c r="D10279" s="3" t="s">
        <v>29810</v>
      </c>
      <c r="E10279" s="3" t="s">
        <v>29811</v>
      </c>
      <c r="F10279" s="3" t="str">
        <f>"800-428-1153"</f>
        <v>800-428-1153</v>
      </c>
      <c r="G10279" s="3">
        <v>423920</v>
      </c>
      <c r="H10279" s="3" t="s">
        <v>29812</v>
      </c>
    </row>
    <row r="10280" spans="1:8" ht="39" x14ac:dyDescent="0.25">
      <c r="A10280" s="3" t="s">
        <v>29813</v>
      </c>
      <c r="B10280" s="3"/>
      <c r="C10280" s="3" t="str">
        <f>"Wholesale solid surface fabricator. Serving both residential and commercial applications."</f>
        <v>Wholesale solid surface fabricator. Serving both residential and commercial applications.</v>
      </c>
      <c r="D10280" s="3" t="s">
        <v>9</v>
      </c>
      <c r="E10280" s="3" t="s">
        <v>29814</v>
      </c>
      <c r="F10280" s="3" t="str">
        <f>"(317) 536-1188"</f>
        <v>(317) 536-1188</v>
      </c>
      <c r="G10280" s="3">
        <v>326199</v>
      </c>
      <c r="H10280" s="3" t="s">
        <v>2129</v>
      </c>
    </row>
    <row r="10281" spans="1:8" ht="102.75" x14ac:dyDescent="0.25">
      <c r="A10281" s="3" t="s">
        <v>29815</v>
      </c>
      <c r="B10281" s="3"/>
      <c r="C10281" s="3" t="s">
        <v>29816</v>
      </c>
      <c r="D10281" s="3" t="s">
        <v>29817</v>
      </c>
      <c r="E10281" s="3" t="s">
        <v>29818</v>
      </c>
      <c r="F10281" s="3" t="str">
        <f>"(219) 738-9932"</f>
        <v>(219) 738-9932</v>
      </c>
      <c r="G10281" s="3">
        <v>541613</v>
      </c>
      <c r="H10281" s="3" t="s">
        <v>558</v>
      </c>
    </row>
    <row r="10282" spans="1:8" ht="153.75" x14ac:dyDescent="0.25">
      <c r="A10282" s="3" t="s">
        <v>29819</v>
      </c>
      <c r="B10282" s="3"/>
      <c r="C10282" s="3" t="s">
        <v>29820</v>
      </c>
      <c r="D10282" s="3" t="s">
        <v>9</v>
      </c>
      <c r="E10282" s="3" t="s">
        <v>29821</v>
      </c>
      <c r="F10282" s="3" t="str">
        <f>"812-604-6444"</f>
        <v>812-604-6444</v>
      </c>
      <c r="G10282" s="3">
        <v>238910</v>
      </c>
      <c r="H10282" s="3" t="s">
        <v>886</v>
      </c>
    </row>
    <row r="10283" spans="1:8" ht="26.25" x14ac:dyDescent="0.25">
      <c r="A10283" s="3" t="s">
        <v>29822</v>
      </c>
      <c r="B10283" s="3"/>
      <c r="C10283" s="3" t="str">
        <f>"union masonry sub contractor"</f>
        <v>union masonry sub contractor</v>
      </c>
      <c r="D10283" s="3" t="s">
        <v>29823</v>
      </c>
      <c r="E10283" s="3" t="s">
        <v>29824</v>
      </c>
      <c r="F10283" s="3" t="str">
        <f>"3176527592"</f>
        <v>3176527592</v>
      </c>
      <c r="G10283" s="3">
        <v>236</v>
      </c>
      <c r="H10283" s="3" t="s">
        <v>291</v>
      </c>
    </row>
    <row r="10284" spans="1:8" ht="26.25" x14ac:dyDescent="0.25">
      <c r="A10284" s="3" t="s">
        <v>29825</v>
      </c>
      <c r="B10284" s="3"/>
      <c r="C10284" s="3" t="str">
        <f>"Manufacturer/convertor of corrugated shipping boxex"</f>
        <v>Manufacturer/convertor of corrugated shipping boxex</v>
      </c>
      <c r="D10284" s="3" t="s">
        <v>29826</v>
      </c>
      <c r="E10284" s="3" t="s">
        <v>46</v>
      </c>
      <c r="F10284" s="3" t="str">
        <f>"(574) 256-2600"</f>
        <v>(574) 256-2600</v>
      </c>
      <c r="G10284" s="3">
        <v>32221</v>
      </c>
      <c r="H10284" s="3" t="s">
        <v>20062</v>
      </c>
    </row>
    <row r="10285" spans="1:8" ht="294" x14ac:dyDescent="0.25">
      <c r="A10285" s="3" t="s">
        <v>29827</v>
      </c>
      <c r="B10285" s="3"/>
      <c r="C10285" s="3" t="s">
        <v>29828</v>
      </c>
      <c r="D10285" s="3" t="s">
        <v>29829</v>
      </c>
      <c r="E10285" s="3" t="s">
        <v>29830</v>
      </c>
      <c r="F10285" s="3" t="str">
        <f>"812-689-5995"</f>
        <v>812-689-5995</v>
      </c>
      <c r="G10285" s="3">
        <v>541370</v>
      </c>
      <c r="H10285" s="3" t="s">
        <v>160</v>
      </c>
    </row>
    <row r="10286" spans="1:8" ht="39" x14ac:dyDescent="0.25">
      <c r="A10286" s="3" t="s">
        <v>29831</v>
      </c>
      <c r="B10286" s="3"/>
      <c r="C10286" s="3" t="str">
        <f>"service and warranty of all mercury products service of all major marine products"</f>
        <v>service and warranty of all mercury products service of all major marine products</v>
      </c>
      <c r="D10286" s="3" t="s">
        <v>9</v>
      </c>
      <c r="E10286" s="3" t="s">
        <v>29832</v>
      </c>
      <c r="F10286" s="3" t="str">
        <f>"812-466-3000"</f>
        <v>812-466-3000</v>
      </c>
      <c r="G10286" s="3">
        <v>811490</v>
      </c>
      <c r="H10286" s="3" t="s">
        <v>1539</v>
      </c>
    </row>
    <row r="10287" spans="1:8" ht="51.75" x14ac:dyDescent="0.25">
      <c r="A10287" s="3" t="s">
        <v>29833</v>
      </c>
      <c r="B10287" s="3"/>
      <c r="C10287" s="3" t="str">
        <f>"Providing consulting services to the not-for-profit and governmental sectors in governance, management, operations and financial reporting."</f>
        <v>Providing consulting services to the not-for-profit and governmental sectors in governance, management, operations and financial reporting.</v>
      </c>
      <c r="D10287" s="3" t="s">
        <v>9</v>
      </c>
      <c r="E10287" s="3" t="s">
        <v>29834</v>
      </c>
      <c r="F10287" s="3" t="str">
        <f>"317-695-3778"</f>
        <v>317-695-3778</v>
      </c>
      <c r="G10287" s="3">
        <v>541611</v>
      </c>
      <c r="H10287" s="3" t="s">
        <v>278</v>
      </c>
    </row>
    <row r="10288" spans="1:8" ht="26.25" x14ac:dyDescent="0.25">
      <c r="A10288" s="3" t="s">
        <v>29835</v>
      </c>
      <c r="B10288" s="3"/>
      <c r="C10288" s="3" t="str">
        <f>"New and used chrysler, jeep, dodge vehicles."</f>
        <v>New and used chrysler, jeep, dodge vehicles.</v>
      </c>
      <c r="D10288" s="3" t="s">
        <v>29836</v>
      </c>
      <c r="E10288" s="3" t="s">
        <v>29837</v>
      </c>
      <c r="F10288" s="3" t="str">
        <f>"317-773-6363"</f>
        <v>317-773-6363</v>
      </c>
      <c r="G10288" s="3">
        <v>4411</v>
      </c>
      <c r="H10288" s="3" t="s">
        <v>1015</v>
      </c>
    </row>
    <row r="10289" spans="1:8" ht="39" x14ac:dyDescent="0.25">
      <c r="A10289" s="3" t="s">
        <v>29838</v>
      </c>
      <c r="B10289" s="3"/>
      <c r="C10289" s="3" t="str">
        <f>"We deliver anything,anytime, anywhere. Same day delivery service available. Ask about our 1 hour delivery rate."</f>
        <v>We deliver anything,anytime, anywhere. Same day delivery service available. Ask about our 1 hour delivery rate.</v>
      </c>
      <c r="D10289" s="3" t="s">
        <v>29839</v>
      </c>
      <c r="E10289" s="3" t="s">
        <v>29840</v>
      </c>
      <c r="F10289" s="3" t="str">
        <f>"317 920 1165"</f>
        <v>317 920 1165</v>
      </c>
      <c r="G10289" s="3">
        <v>492110</v>
      </c>
      <c r="H10289" s="3" t="s">
        <v>11632</v>
      </c>
    </row>
    <row r="10290" spans="1:8" ht="90" x14ac:dyDescent="0.25">
      <c r="A10290" s="3" t="s">
        <v>29841</v>
      </c>
      <c r="B10290" s="3"/>
      <c r="C10290" s="3" t="s">
        <v>29842</v>
      </c>
      <c r="D10290" s="3" t="s">
        <v>29843</v>
      </c>
      <c r="E10290" s="3" t="s">
        <v>29844</v>
      </c>
      <c r="F10290" s="3" t="str">
        <f>"8124822566"</f>
        <v>8124822566</v>
      </c>
      <c r="G10290" s="3">
        <v>238150</v>
      </c>
      <c r="H10290" s="3" t="s">
        <v>2530</v>
      </c>
    </row>
    <row r="10291" spans="1:8" ht="51.75" x14ac:dyDescent="0.25">
      <c r="A10291" s="3" t="s">
        <v>29845</v>
      </c>
      <c r="B10291" s="3"/>
      <c r="C10291" s="3" t="str">
        <f>"provides 9 positive words of the human spirit and translates them into over 24 languages and symbols to empower individually &amp; embolden collectively."</f>
        <v>provides 9 positive words of the human spirit and translates them into over 24 languages and symbols to empower individually &amp; embolden collectively.</v>
      </c>
      <c r="D10291" s="3" t="s">
        <v>9</v>
      </c>
      <c r="E10291" s="3" t="s">
        <v>46</v>
      </c>
      <c r="F10291" s="2"/>
      <c r="G10291" s="3">
        <v>315</v>
      </c>
      <c r="H10291" s="3" t="s">
        <v>3603</v>
      </c>
    </row>
    <row r="10292" spans="1:8" ht="26.25" x14ac:dyDescent="0.25">
      <c r="A10292" s="3" t="s">
        <v>29846</v>
      </c>
      <c r="B10292" s="3"/>
      <c r="C10292" s="3" t="str">
        <f>"lawn mowing, bush trimming, fertiliziing, snow removal, commercial and residential"</f>
        <v>lawn mowing, bush trimming, fertiliziing, snow removal, commercial and residential</v>
      </c>
      <c r="D10292" s="3" t="s">
        <v>9</v>
      </c>
      <c r="E10292" s="3" t="s">
        <v>46</v>
      </c>
      <c r="F10292" s="2"/>
      <c r="G10292" s="3">
        <v>561730</v>
      </c>
      <c r="H10292" s="3" t="s">
        <v>65</v>
      </c>
    </row>
    <row r="10293" spans="1:8" ht="39" x14ac:dyDescent="0.25">
      <c r="A10293" s="3" t="s">
        <v>29847</v>
      </c>
      <c r="B10293" s="3"/>
      <c r="C10293" s="3" t="str">
        <f>"Koetter Woodworking is located in Borden IN only. We are an Indiana company since 1959"</f>
        <v>Koetter Woodworking is located in Borden IN only. We are an Indiana company since 1959</v>
      </c>
      <c r="D10293" s="3" t="s">
        <v>29848</v>
      </c>
      <c r="E10293" s="3" t="s">
        <v>29849</v>
      </c>
      <c r="F10293" s="3" t="str">
        <f>"812 923 8875"</f>
        <v>812 923 8875</v>
      </c>
      <c r="G10293" s="3">
        <v>32191</v>
      </c>
      <c r="H10293" s="3" t="s">
        <v>14986</v>
      </c>
    </row>
    <row r="10294" spans="1:8" ht="39" x14ac:dyDescent="0.25">
      <c r="A10294" s="3" t="s">
        <v>29850</v>
      </c>
      <c r="B10294" s="3"/>
      <c r="C10294" s="3" t="str">
        <f>"hvac contractor since 1921. specialize in heating, air conditioning and air quality for retrofit residential and commercial."</f>
        <v>hvac contractor since 1921. specialize in heating, air conditioning and air quality for retrofit residential and commercial.</v>
      </c>
      <c r="D10294" s="3" t="s">
        <v>9</v>
      </c>
      <c r="E10294" s="3" t="s">
        <v>29851</v>
      </c>
      <c r="F10294" s="3" t="str">
        <f>"765-447-1137"</f>
        <v>765-447-1137</v>
      </c>
      <c r="G10294" s="3">
        <v>333414</v>
      </c>
      <c r="H10294" s="3" t="s">
        <v>24748</v>
      </c>
    </row>
    <row r="10295" spans="1:8" ht="64.5" x14ac:dyDescent="0.25">
      <c r="A10295" s="3" t="s">
        <v>29852</v>
      </c>
      <c r="B10295" s="3"/>
      <c r="C10295" s="3" t="str">
        <f>"IN Licensed &amp; insured private investigator and security firm specialising in criminal and civil investigation and providing construction site security using off duty police officers"</f>
        <v>IN Licensed &amp; insured private investigator and security firm specialising in criminal and civil investigation and providing construction site security using off duty police officers</v>
      </c>
      <c r="D10295" s="3" t="s">
        <v>29853</v>
      </c>
      <c r="E10295" s="3" t="s">
        <v>29854</v>
      </c>
      <c r="F10295" s="3" t="str">
        <f>"219-616-0595"</f>
        <v>219-616-0595</v>
      </c>
      <c r="G10295" s="3">
        <v>541990</v>
      </c>
      <c r="H10295" s="3" t="s">
        <v>378</v>
      </c>
    </row>
    <row r="10296" spans="1:8" ht="26.25" x14ac:dyDescent="0.25">
      <c r="A10296" s="3" t="s">
        <v>29855</v>
      </c>
      <c r="B10296" s="3"/>
      <c r="C10296" s="3" t="str">
        <f>"Copiers printer sales and service. Office Supplies. Furniture. Shipping."</f>
        <v>Copiers printer sales and service. Office Supplies. Furniture. Shipping.</v>
      </c>
      <c r="D10296" s="3" t="s">
        <v>29856</v>
      </c>
      <c r="E10296" s="3" t="s">
        <v>29857</v>
      </c>
      <c r="F10296" s="3" t="str">
        <f>"317-584-5236"</f>
        <v>317-584-5236</v>
      </c>
      <c r="G10296" s="3">
        <v>453210</v>
      </c>
      <c r="H10296" s="3" t="s">
        <v>431</v>
      </c>
    </row>
    <row r="10297" spans="1:8" ht="26.25" x14ac:dyDescent="0.25">
      <c r="A10297" s="3" t="s">
        <v>29858</v>
      </c>
      <c r="B10297" s="3"/>
      <c r="C10297" s="2"/>
      <c r="D10297" s="3" t="s">
        <v>9</v>
      </c>
      <c r="E10297" s="3" t="s">
        <v>46</v>
      </c>
      <c r="F10297" s="3" t="str">
        <f>"812-934-5190"</f>
        <v>812-934-5190</v>
      </c>
      <c r="G10297" s="3">
        <v>2389</v>
      </c>
      <c r="H10297" s="3" t="s">
        <v>1236</v>
      </c>
    </row>
    <row r="10298" spans="1:8" ht="26.25" x14ac:dyDescent="0.25">
      <c r="A10298" s="3" t="s">
        <v>29859</v>
      </c>
      <c r="B10298" s="3"/>
      <c r="C10298" s="3" t="str">
        <f>"motorcycle,atv and utv sales service and parts"</f>
        <v>motorcycle,atv and utv sales service and parts</v>
      </c>
      <c r="D10298" s="3" t="s">
        <v>29860</v>
      </c>
      <c r="E10298" s="3" t="s">
        <v>29861</v>
      </c>
      <c r="F10298" s="3" t="str">
        <f>"812-847-2043"</f>
        <v>812-847-2043</v>
      </c>
      <c r="G10298" s="3">
        <v>44</v>
      </c>
      <c r="H10298" s="3" t="s">
        <v>574</v>
      </c>
    </row>
    <row r="10299" spans="1:8" ht="51.75" x14ac:dyDescent="0.25">
      <c r="A10299" s="3" t="s">
        <v>29862</v>
      </c>
      <c r="B10299" s="3"/>
      <c r="C10299" s="3" t="str">
        <f>"We help assist in the movement of freight. Full/LTL, Expedited, ocean,air or rail. If our clients aren't happy we're not happy. We are brokers/agents that care."</f>
        <v>We help assist in the movement of freight. Full/LTL, Expedited, ocean,air or rail. If our clients aren't happy we're not happy. We are brokers/agents that care.</v>
      </c>
      <c r="D10299" s="3" t="s">
        <v>9</v>
      </c>
      <c r="E10299" s="3" t="s">
        <v>29863</v>
      </c>
      <c r="F10299" s="3" t="str">
        <f>"765-659-1774"</f>
        <v>765-659-1774</v>
      </c>
      <c r="G10299" s="3">
        <v>48851</v>
      </c>
      <c r="H10299" s="3" t="s">
        <v>562</v>
      </c>
    </row>
    <row r="10300" spans="1:8" ht="51.75" x14ac:dyDescent="0.25">
      <c r="A10300" s="3" t="s">
        <v>29864</v>
      </c>
      <c r="B10300" s="3"/>
      <c r="C10300" s="3" t="str">
        <f>"we specialize in painting new construction also we offer interior and exterior commerical and residentail bridges tanks ect"</f>
        <v>we specialize in painting new construction also we offer interior and exterior commerical and residentail bridges tanks ect</v>
      </c>
      <c r="D10300" s="3" t="s">
        <v>9</v>
      </c>
      <c r="E10300" s="3" t="s">
        <v>29865</v>
      </c>
      <c r="F10300" s="3" t="str">
        <f>"317-442-1276"</f>
        <v>317-442-1276</v>
      </c>
      <c r="G10300" s="3">
        <v>2352</v>
      </c>
      <c r="H10300" s="3" t="s">
        <v>462</v>
      </c>
    </row>
    <row r="10301" spans="1:8" ht="115.5" x14ac:dyDescent="0.25">
      <c r="A10301" s="3" t="s">
        <v>29866</v>
      </c>
      <c r="B10301" s="3"/>
      <c r="C10301" s="3" t="s">
        <v>29867</v>
      </c>
      <c r="D10301" s="3" t="s">
        <v>29868</v>
      </c>
      <c r="E10301" s="3" t="s">
        <v>29869</v>
      </c>
      <c r="F10301" s="3" t="str">
        <f>"317-532-7827"</f>
        <v>317-532-7827</v>
      </c>
      <c r="G10301" s="3">
        <v>541611</v>
      </c>
      <c r="H10301" s="3" t="s">
        <v>278</v>
      </c>
    </row>
    <row r="10302" spans="1:8" ht="115.5" x14ac:dyDescent="0.25">
      <c r="A10302" s="3" t="s">
        <v>29870</v>
      </c>
      <c r="B10302" s="3"/>
      <c r="C10302" s="3" t="s">
        <v>29871</v>
      </c>
      <c r="D10302" s="3" t="s">
        <v>29872</v>
      </c>
      <c r="E10302" s="3" t="s">
        <v>29873</v>
      </c>
      <c r="F10302" s="3" t="str">
        <f>"317-462-2814"</f>
        <v>317-462-2814</v>
      </c>
      <c r="G10302" s="3">
        <v>111422</v>
      </c>
      <c r="H10302" s="3" t="s">
        <v>9610</v>
      </c>
    </row>
    <row r="10303" spans="1:8" ht="102.75" x14ac:dyDescent="0.25">
      <c r="A10303" s="3" t="s">
        <v>29874</v>
      </c>
      <c r="B10303" s="3"/>
      <c r="C10303" s="3" t="s">
        <v>29875</v>
      </c>
      <c r="D10303" s="3" t="s">
        <v>9</v>
      </c>
      <c r="E10303" s="3" t="s">
        <v>29876</v>
      </c>
      <c r="F10303" s="3" t="str">
        <f>"317-506-5838"</f>
        <v>317-506-5838</v>
      </c>
      <c r="G10303" s="3">
        <v>236118</v>
      </c>
      <c r="H10303" s="3" t="s">
        <v>465</v>
      </c>
    </row>
    <row r="10304" spans="1:8" ht="26.25" x14ac:dyDescent="0.25">
      <c r="A10304" s="3" t="s">
        <v>29877</v>
      </c>
      <c r="B10304" s="3"/>
      <c r="C10304" s="3" t="str">
        <f>"Lawn and garden equipment sales and service"</f>
        <v>Lawn and garden equipment sales and service</v>
      </c>
      <c r="D10304" s="3" t="s">
        <v>9</v>
      </c>
      <c r="E10304" s="3" t="s">
        <v>46</v>
      </c>
      <c r="F10304" s="3" t="str">
        <f>"260-356-4947"</f>
        <v>260-356-4947</v>
      </c>
      <c r="G10304" s="3">
        <v>115</v>
      </c>
      <c r="H10304" s="3" t="s">
        <v>714</v>
      </c>
    </row>
    <row r="10305" spans="1:8" ht="26.25" x14ac:dyDescent="0.25">
      <c r="A10305" s="3" t="s">
        <v>29878</v>
      </c>
      <c r="B10305" s="3"/>
      <c r="C10305" s="3" t="str">
        <f>"food service, gift shop"</f>
        <v>food service, gift shop</v>
      </c>
      <c r="D10305" s="3" t="s">
        <v>9</v>
      </c>
      <c r="E10305" s="3" t="s">
        <v>46</v>
      </c>
      <c r="F10305" s="3" t="str">
        <f>"8124231113"</f>
        <v>8124231113</v>
      </c>
      <c r="G10305" s="3">
        <v>44</v>
      </c>
      <c r="H10305" s="3" t="s">
        <v>574</v>
      </c>
    </row>
    <row r="10306" spans="1:8" ht="39" x14ac:dyDescent="0.25">
      <c r="A10306" s="3" t="s">
        <v>29879</v>
      </c>
      <c r="B10306" s="3"/>
      <c r="C10306" s="3" t="str">
        <f>"Purchasing for Indiana State agencies"</f>
        <v>Purchasing for Indiana State agencies</v>
      </c>
      <c r="D10306" s="3" t="s">
        <v>29880</v>
      </c>
      <c r="E10306" s="3" t="s">
        <v>29881</v>
      </c>
      <c r="F10306" s="3" t="str">
        <f>"3175256942"</f>
        <v>3175256942</v>
      </c>
      <c r="G10306" s="3">
        <v>423430</v>
      </c>
      <c r="H10306" s="3" t="s">
        <v>127</v>
      </c>
    </row>
    <row r="10307" spans="1:8" ht="51.75" x14ac:dyDescent="0.25">
      <c r="A10307" s="3" t="s">
        <v>29882</v>
      </c>
      <c r="B10307" s="3"/>
      <c r="C10307" s="3" t="str">
        <f>"The owner of this business is an Indiana resident, and one of 2 of my employees live in Indiana. I have several Indiana customers."</f>
        <v>The owner of this business is an Indiana resident, and one of 2 of my employees live in Indiana. I have several Indiana customers.</v>
      </c>
      <c r="D10307" s="3" t="s">
        <v>29883</v>
      </c>
      <c r="E10307" s="3" t="s">
        <v>46</v>
      </c>
      <c r="F10307" s="3" t="str">
        <f>"708-895-0505"</f>
        <v>708-895-0505</v>
      </c>
      <c r="G10307" s="3">
        <v>323110</v>
      </c>
      <c r="H10307" s="3" t="s">
        <v>1900</v>
      </c>
    </row>
    <row r="10308" spans="1:8" ht="26.25" x14ac:dyDescent="0.25">
      <c r="A10308" s="3" t="s">
        <v>29884</v>
      </c>
      <c r="B10308" s="3"/>
      <c r="C10308" s="3" t="str">
        <f>"Book, catalog, directory printing, saddle stitching &amp; perfect binding services"</f>
        <v>Book, catalog, directory printing, saddle stitching &amp; perfect binding services</v>
      </c>
      <c r="D10308" s="3" t="s">
        <v>29885</v>
      </c>
      <c r="E10308" s="3" t="s">
        <v>29886</v>
      </c>
      <c r="F10308" s="3" t="str">
        <f>"317 462-5467"</f>
        <v>317 462-5467</v>
      </c>
      <c r="G10308" s="3">
        <v>323117</v>
      </c>
      <c r="H10308" s="3" t="s">
        <v>15065</v>
      </c>
    </row>
    <row r="10309" spans="1:8" ht="243" x14ac:dyDescent="0.25">
      <c r="A10309" s="3" t="s">
        <v>29887</v>
      </c>
      <c r="B10309" s="3"/>
      <c r="C10309" s="3" t="s">
        <v>29888</v>
      </c>
      <c r="D10309" s="3" t="s">
        <v>29889</v>
      </c>
      <c r="E10309" s="3" t="s">
        <v>29890</v>
      </c>
      <c r="F10309" s="3" t="str">
        <f>"317.299.6000"</f>
        <v>317.299.6000</v>
      </c>
      <c r="G10309" s="3">
        <v>337</v>
      </c>
      <c r="H10309" s="3" t="s">
        <v>6695</v>
      </c>
    </row>
    <row r="10310" spans="1:8" ht="64.5" x14ac:dyDescent="0.25">
      <c r="A10310" s="3" t="s">
        <v>29891</v>
      </c>
      <c r="B10310" s="3"/>
      <c r="C10310" s="3" t="str">
        <f>"janitorial and jansan supplier manufacturing soaps waxes and janitorial cleaners gym floor resurfacing and refinshing janitorial equipment sales and repair depot"</f>
        <v>janitorial and jansan supplier manufacturing soaps waxes and janitorial cleaners gym floor resurfacing and refinshing janitorial equipment sales and repair depot</v>
      </c>
      <c r="D10310" s="3" t="s">
        <v>9</v>
      </c>
      <c r="E10310" s="3" t="s">
        <v>29892</v>
      </c>
      <c r="F10310" s="3" t="str">
        <f>"2198380308"</f>
        <v>2198380308</v>
      </c>
      <c r="G10310" s="3">
        <v>423850</v>
      </c>
      <c r="H10310" s="3" t="s">
        <v>419</v>
      </c>
    </row>
    <row r="10311" spans="1:8" ht="268.5" x14ac:dyDescent="0.25">
      <c r="A10311" s="3" t="s">
        <v>29893</v>
      </c>
      <c r="B10311" s="3"/>
      <c r="C10311" s="3" t="s">
        <v>29894</v>
      </c>
      <c r="D10311" s="3" t="s">
        <v>29895</v>
      </c>
      <c r="E10311" s="3" t="s">
        <v>29896</v>
      </c>
      <c r="F10311" s="3" t="str">
        <f>"317-839-8083"</f>
        <v>317-839-8083</v>
      </c>
      <c r="G10311" s="3">
        <v>484110</v>
      </c>
      <c r="H10311" s="3" t="s">
        <v>644</v>
      </c>
    </row>
    <row r="10312" spans="1:8" ht="153.75" x14ac:dyDescent="0.25">
      <c r="A10312" s="3" t="s">
        <v>29897</v>
      </c>
      <c r="B10312" s="3"/>
      <c r="C10312" s="3" t="s">
        <v>29898</v>
      </c>
      <c r="D10312" s="3" t="s">
        <v>9</v>
      </c>
      <c r="E10312" s="3" t="s">
        <v>46</v>
      </c>
      <c r="F10312" s="2"/>
      <c r="G10312" s="3">
        <v>541870</v>
      </c>
      <c r="H10312" s="3" t="s">
        <v>657</v>
      </c>
    </row>
    <row r="10313" spans="1:8" ht="102.75" x14ac:dyDescent="0.25">
      <c r="A10313" s="3" t="s">
        <v>29899</v>
      </c>
      <c r="B10313" s="3"/>
      <c r="C10313" s="3" t="s">
        <v>29900</v>
      </c>
      <c r="D10313" s="3" t="s">
        <v>29901</v>
      </c>
      <c r="E10313" s="3" t="s">
        <v>29902</v>
      </c>
      <c r="F10313" s="3" t="str">
        <f>"3178053759"</f>
        <v>3178053759</v>
      </c>
      <c r="G10313" s="3">
        <v>514</v>
      </c>
      <c r="H10313" s="3" t="s">
        <v>322</v>
      </c>
    </row>
    <row r="10314" spans="1:8" ht="192" x14ac:dyDescent="0.25">
      <c r="A10314" s="3" t="s">
        <v>29903</v>
      </c>
      <c r="B10314" s="3"/>
      <c r="C10314" s="3" t="s">
        <v>29904</v>
      </c>
      <c r="D10314" s="3" t="s">
        <v>29905</v>
      </c>
      <c r="E10314" s="3" t="s">
        <v>29906</v>
      </c>
      <c r="F10314" s="3" t="str">
        <f>"765-285-1390"</f>
        <v>765-285-1390</v>
      </c>
      <c r="G10314" s="3">
        <v>518210</v>
      </c>
      <c r="H10314" s="3" t="s">
        <v>3133</v>
      </c>
    </row>
    <row r="10315" spans="1:8" ht="128.25" x14ac:dyDescent="0.25">
      <c r="A10315" s="3" t="s">
        <v>29907</v>
      </c>
      <c r="B10315" s="3"/>
      <c r="C10315" s="3" t="s">
        <v>29908</v>
      </c>
      <c r="D10315" s="3" t="s">
        <v>29909</v>
      </c>
      <c r="E10315" s="3" t="s">
        <v>29910</v>
      </c>
      <c r="F10315" s="3" t="str">
        <f>"317 536 6046"</f>
        <v>317 536 6046</v>
      </c>
      <c r="G10315" s="3">
        <v>541511</v>
      </c>
      <c r="H10315" s="3" t="s">
        <v>122</v>
      </c>
    </row>
    <row r="10316" spans="1:8" ht="51.75" x14ac:dyDescent="0.25">
      <c r="A10316" s="3" t="s">
        <v>29911</v>
      </c>
      <c r="B10316" s="3"/>
      <c r="C10316" s="3" t="str">
        <f>"Application, sales and service of pumping equipment in the Municipal, Industrial, Fire Protection and Building Trades markets in the State of Indiana."</f>
        <v>Application, sales and service of pumping equipment in the Municipal, Industrial, Fire Protection and Building Trades markets in the State of Indiana.</v>
      </c>
      <c r="D10316" s="3" t="s">
        <v>3018</v>
      </c>
      <c r="E10316" s="3" t="s">
        <v>29912</v>
      </c>
      <c r="F10316" s="3" t="str">
        <f>"317-636-1111"</f>
        <v>317-636-1111</v>
      </c>
      <c r="G10316" s="3">
        <v>423830</v>
      </c>
      <c r="H10316" s="3" t="s">
        <v>172</v>
      </c>
    </row>
    <row r="10317" spans="1:8" ht="90" x14ac:dyDescent="0.25">
      <c r="A10317" s="3" t="s">
        <v>29913</v>
      </c>
      <c r="B10317" s="3"/>
      <c r="C10317" s="3" t="str">
        <f>"openBook Technologies is a provider of website development, application development and hosting services, specifically focusing on creation and implementation of content management solutions for both government agencies and private enterprise."</f>
        <v>openBook Technologies is a provider of website development, application development and hosting services, specifically focusing on creation and implementation of content management solutions for both government agencies and private enterprise.</v>
      </c>
      <c r="D10317" s="3" t="s">
        <v>29914</v>
      </c>
      <c r="E10317" s="3" t="s">
        <v>29915</v>
      </c>
      <c r="F10317" s="3" t="str">
        <f>"765-742-2500"</f>
        <v>765-742-2500</v>
      </c>
      <c r="G10317" s="3">
        <v>518112</v>
      </c>
      <c r="H10317" s="3" t="s">
        <v>8145</v>
      </c>
    </row>
    <row r="10318" spans="1:8" ht="64.5" x14ac:dyDescent="0.25">
      <c r="A10318" s="3" t="s">
        <v>29916</v>
      </c>
      <c r="B10318" s="3"/>
      <c r="C10318" s="3" t="str">
        <f>"Retail sales and service for Polaris ATV's and Polaris Ranger offroad vehicles and Polaris Victory motorcycles. Retail sales and service for Harley-Davidson motorcycles. Retail sales of automobiles."</f>
        <v>Retail sales and service for Polaris ATV's and Polaris Ranger offroad vehicles and Polaris Victory motorcycles. Retail sales and service for Harley-Davidson motorcycles. Retail sales of automobiles.</v>
      </c>
      <c r="D10318" s="3" t="s">
        <v>29917</v>
      </c>
      <c r="E10318" s="3" t="s">
        <v>29918</v>
      </c>
      <c r="F10318" s="3" t="str">
        <f>"260-422-5942"</f>
        <v>260-422-5942</v>
      </c>
      <c r="G10318" s="3">
        <v>441221</v>
      </c>
      <c r="H10318" s="3" t="s">
        <v>3299</v>
      </c>
    </row>
    <row r="10319" spans="1:8" ht="26.25" x14ac:dyDescent="0.25">
      <c r="A10319" s="3" t="s">
        <v>29919</v>
      </c>
      <c r="B10319" s="3"/>
      <c r="C10319" s="3" t="str">
        <f>"Human Resources services, including online assessments and consulting."</f>
        <v>Human Resources services, including online assessments and consulting.</v>
      </c>
      <c r="D10319" s="3" t="s">
        <v>20981</v>
      </c>
      <c r="E10319" s="3" t="s">
        <v>29920</v>
      </c>
      <c r="F10319" s="3" t="str">
        <f>"317-814-8800"</f>
        <v>317-814-8800</v>
      </c>
      <c r="G10319" s="3">
        <v>541511</v>
      </c>
      <c r="H10319" s="3" t="s">
        <v>122</v>
      </c>
    </row>
    <row r="10320" spans="1:8" ht="26.25" x14ac:dyDescent="0.25">
      <c r="A10320" s="3" t="s">
        <v>29921</v>
      </c>
      <c r="B10320" s="3"/>
      <c r="C10320" s="3" t="str">
        <f>"AUTOMOTIVE SALES AND SERVICE, FORD AND MERCURY DEALERSHIP"</f>
        <v>AUTOMOTIVE SALES AND SERVICE, FORD AND MERCURY DEALERSHIP</v>
      </c>
      <c r="D10320" s="3" t="s">
        <v>29922</v>
      </c>
      <c r="E10320" s="3" t="s">
        <v>29923</v>
      </c>
      <c r="F10320" s="3" t="str">
        <f>"812-897-5838"</f>
        <v>812-897-5838</v>
      </c>
      <c r="G10320" s="3">
        <v>441</v>
      </c>
      <c r="H10320" s="3" t="s">
        <v>1556</v>
      </c>
    </row>
    <row r="10321" spans="1:8" ht="102.75" x14ac:dyDescent="0.25">
      <c r="A10321" s="3" t="s">
        <v>29924</v>
      </c>
      <c r="B10321" s="3"/>
      <c r="C10321" s="3" t="s">
        <v>29925</v>
      </c>
      <c r="D10321" s="3" t="s">
        <v>29926</v>
      </c>
      <c r="E10321" s="3" t="s">
        <v>29927</v>
      </c>
      <c r="F10321" s="3" t="str">
        <f>"(812) 599-6128"</f>
        <v>(812) 599-6128</v>
      </c>
      <c r="G10321" s="3">
        <v>113</v>
      </c>
      <c r="H10321" s="3" t="s">
        <v>4581</v>
      </c>
    </row>
    <row r="10322" spans="1:8" ht="26.25" x14ac:dyDescent="0.25">
      <c r="A10322" s="3" t="s">
        <v>29928</v>
      </c>
      <c r="B10322" s="3"/>
      <c r="C10322" s="3" t="str">
        <f>"Construction Cost Estimating and Project Management support"</f>
        <v>Construction Cost Estimating and Project Management support</v>
      </c>
      <c r="D10322" s="3" t="s">
        <v>9</v>
      </c>
      <c r="E10322" s="3" t="s">
        <v>29929</v>
      </c>
      <c r="F10322" s="3" t="str">
        <f>"317-590-0728"</f>
        <v>317-590-0728</v>
      </c>
      <c r="G10322" s="3">
        <v>236220</v>
      </c>
      <c r="H10322" s="3" t="s">
        <v>598</v>
      </c>
    </row>
    <row r="10323" spans="1:8" ht="192" x14ac:dyDescent="0.25">
      <c r="A10323" s="3" t="s">
        <v>29930</v>
      </c>
      <c r="B10323" s="3"/>
      <c r="C10323" s="3" t="s">
        <v>29931</v>
      </c>
      <c r="D10323" s="3" t="s">
        <v>29932</v>
      </c>
      <c r="E10323" s="3" t="s">
        <v>29933</v>
      </c>
      <c r="F10323" s="3" t="str">
        <f>"219-872-3000"</f>
        <v>219-872-3000</v>
      </c>
      <c r="G10323" s="3">
        <v>423840</v>
      </c>
      <c r="H10323" s="3" t="s">
        <v>553</v>
      </c>
    </row>
    <row r="10324" spans="1:8" ht="26.25" x14ac:dyDescent="0.25">
      <c r="A10324" s="3" t="s">
        <v>29934</v>
      </c>
      <c r="B10324" s="3"/>
      <c r="C10324" s="3" t="str">
        <f>"certificates, awards, calligraphy, plastic cards, photo identifcation,"</f>
        <v>certificates, awards, calligraphy, plastic cards, photo identifcation,</v>
      </c>
      <c r="D10324" s="3" t="s">
        <v>29935</v>
      </c>
      <c r="E10324" s="3" t="s">
        <v>29936</v>
      </c>
      <c r="F10324" s="3" t="str">
        <f>"317.257.3232"</f>
        <v>317.257.3232</v>
      </c>
      <c r="G10324" s="3">
        <v>32311</v>
      </c>
      <c r="H10324" s="3" t="s">
        <v>531</v>
      </c>
    </row>
    <row r="10325" spans="1:8" ht="102.75" x14ac:dyDescent="0.25">
      <c r="A10325" s="3" t="s">
        <v>29937</v>
      </c>
      <c r="B10325" s="3"/>
      <c r="C10325" s="3" t="s">
        <v>29938</v>
      </c>
      <c r="D10325" s="3" t="s">
        <v>9</v>
      </c>
      <c r="E10325" s="3" t="s">
        <v>29939</v>
      </c>
      <c r="F10325" s="3" t="str">
        <f>"260 447-2930"</f>
        <v>260 447-2930</v>
      </c>
      <c r="G10325" s="3">
        <v>562</v>
      </c>
      <c r="H10325" s="3" t="s">
        <v>2798</v>
      </c>
    </row>
    <row r="10326" spans="1:8" ht="26.25" x14ac:dyDescent="0.25">
      <c r="A10326" s="3" t="s">
        <v>29940</v>
      </c>
      <c r="B10326" s="3"/>
      <c r="C10326" s="3" t="str">
        <f>"custom plastic injection molder. press size, 50 ton to 500 ton. all types of resins"</f>
        <v>custom plastic injection molder. press size, 50 ton to 500 ton. all types of resins</v>
      </c>
      <c r="D10326" s="3" t="s">
        <v>29941</v>
      </c>
      <c r="E10326" s="3" t="s">
        <v>29942</v>
      </c>
      <c r="F10326" s="3" t="str">
        <f>"1-574-293-8660"</f>
        <v>1-574-293-8660</v>
      </c>
      <c r="G10326" s="3">
        <v>3261</v>
      </c>
      <c r="H10326" s="3" t="s">
        <v>2127</v>
      </c>
    </row>
    <row r="10327" spans="1:8" ht="115.5" x14ac:dyDescent="0.25">
      <c r="A10327" s="3" t="s">
        <v>29943</v>
      </c>
      <c r="B10327" s="3"/>
      <c r="C10327" s="3" t="s">
        <v>29944</v>
      </c>
      <c r="D10327" s="3" t="s">
        <v>29945</v>
      </c>
      <c r="E10327" s="3" t="s">
        <v>29946</v>
      </c>
      <c r="F10327" s="3" t="str">
        <f>"866-654-6911"</f>
        <v>866-654-6911</v>
      </c>
      <c r="G10327" s="3">
        <v>541511</v>
      </c>
      <c r="H10327" s="3" t="s">
        <v>122</v>
      </c>
    </row>
    <row r="10328" spans="1:8" ht="64.5" x14ac:dyDescent="0.25">
      <c r="A10328" s="3" t="s">
        <v>29947</v>
      </c>
      <c r="B10328" s="3"/>
      <c r="C10328" s="3" t="str">
        <f>"mission security services c.e.o. is a 21 year military veteran and a 21 years houston police officer , also a indiana resident who knows how the importance of being pro active concerning crime"</f>
        <v>mission security services c.e.o. is a 21 year military veteran and a 21 years houston police officer , also a indiana resident who knows how the importance of being pro active concerning crime</v>
      </c>
      <c r="D10328" s="3" t="s">
        <v>29948</v>
      </c>
      <c r="E10328" s="3" t="s">
        <v>29949</v>
      </c>
      <c r="F10328" s="3" t="str">
        <f>"3172525855"</f>
        <v>3172525855</v>
      </c>
      <c r="G10328" s="3">
        <v>561612</v>
      </c>
      <c r="H10328" s="3" t="s">
        <v>362</v>
      </c>
    </row>
    <row r="10329" spans="1:8" ht="51.75" x14ac:dyDescent="0.25">
      <c r="A10329" s="3" t="s">
        <v>29950</v>
      </c>
      <c r="B10329" s="3"/>
      <c r="C10329" s="3" t="str">
        <f>"me and my wife's business is a small excavating business that would like to get a little bit bigger and run some dumptrucks with a couple of employes"</f>
        <v>me and my wife's business is a small excavating business that would like to get a little bit bigger and run some dumptrucks with a couple of employes</v>
      </c>
      <c r="D10329" s="3" t="s">
        <v>9</v>
      </c>
      <c r="E10329" s="3" t="s">
        <v>29951</v>
      </c>
      <c r="F10329" s="3" t="str">
        <f>"812-825-2164"</f>
        <v>812-825-2164</v>
      </c>
      <c r="G10329" s="3">
        <v>23</v>
      </c>
      <c r="H10329" s="3" t="s">
        <v>133</v>
      </c>
    </row>
    <row r="10330" spans="1:8" ht="51.75" x14ac:dyDescent="0.25">
      <c r="A10330" s="3" t="s">
        <v>29952</v>
      </c>
      <c r="B10330" s="3"/>
      <c r="C10330" s="3" t="str">
        <f>"We provide roofing for shingle system roofs either residential or commercial. We specialize in exterior renovations such as siding, guttering and windows."</f>
        <v>We provide roofing for shingle system roofs either residential or commercial. We specialize in exterior renovations such as siding, guttering and windows.</v>
      </c>
      <c r="D10330" s="3" t="s">
        <v>9</v>
      </c>
      <c r="E10330" s="3" t="s">
        <v>29953</v>
      </c>
      <c r="F10330" s="3" t="str">
        <f>"317-784-9285"</f>
        <v>317-784-9285</v>
      </c>
      <c r="G10330" s="3">
        <v>23816</v>
      </c>
      <c r="H10330" s="3" t="s">
        <v>144</v>
      </c>
    </row>
    <row r="10331" spans="1:8" ht="64.5" x14ac:dyDescent="0.25">
      <c r="A10331" s="3" t="s">
        <v>29954</v>
      </c>
      <c r="B10331" s="3"/>
      <c r="C10331" s="3" t="str">
        <f>"Raspberry Building is a family owned licensed contractor in business for over 20 years specializing in windows/doors/roofing/deck/ramps/ADA bathrooms &amp; modifications"</f>
        <v>Raspberry Building is a family owned licensed contractor in business for over 20 years specializing in windows/doors/roofing/deck/ramps/ADA bathrooms &amp; modifications</v>
      </c>
      <c r="D10331" s="3" t="s">
        <v>29955</v>
      </c>
      <c r="E10331" s="3" t="s">
        <v>29956</v>
      </c>
      <c r="F10331" s="3" t="str">
        <f>"317-299-9220"</f>
        <v>317-299-9220</v>
      </c>
      <c r="G10331" s="3">
        <v>236118</v>
      </c>
      <c r="H10331" s="3" t="s">
        <v>465</v>
      </c>
    </row>
    <row r="10332" spans="1:8" ht="26.25" x14ac:dyDescent="0.25">
      <c r="A10332" s="3" t="s">
        <v>29957</v>
      </c>
      <c r="B10332" s="3"/>
      <c r="C10332" s="3" t="str">
        <f>"Diagnostic and evaluation services to the developmentally disabled"</f>
        <v>Diagnostic and evaluation services to the developmentally disabled</v>
      </c>
      <c r="D10332" s="3" t="s">
        <v>9</v>
      </c>
      <c r="E10332" s="3" t="s">
        <v>46</v>
      </c>
      <c r="F10332" s="2"/>
      <c r="G10332" s="3">
        <v>624120</v>
      </c>
      <c r="H10332" s="3" t="s">
        <v>22</v>
      </c>
    </row>
    <row r="10333" spans="1:8" ht="90" x14ac:dyDescent="0.25">
      <c r="A10333" s="3" t="s">
        <v>29958</v>
      </c>
      <c r="B10333" s="3"/>
      <c r="C10333" s="3" t="s">
        <v>29959</v>
      </c>
      <c r="D10333" s="3" t="s">
        <v>22265</v>
      </c>
      <c r="E10333" s="3" t="s">
        <v>22266</v>
      </c>
      <c r="F10333" s="3" t="str">
        <f>"219-473-1616"</f>
        <v>219-473-1616</v>
      </c>
      <c r="G10333" s="3">
        <v>339950</v>
      </c>
      <c r="H10333" s="3" t="s">
        <v>68</v>
      </c>
    </row>
    <row r="10334" spans="1:8" ht="26.25" x14ac:dyDescent="0.25">
      <c r="A10334" s="3" t="s">
        <v>29960</v>
      </c>
      <c r="B10334" s="3"/>
      <c r="C10334" s="3" t="str">
        <f>"commercial and industrial painting contractor."</f>
        <v>commercial and industrial painting contractor.</v>
      </c>
      <c r="D10334" s="3" t="s">
        <v>9</v>
      </c>
      <c r="E10334" s="3" t="s">
        <v>29961</v>
      </c>
      <c r="F10334" s="3" t="str">
        <f>"8126375928"</f>
        <v>8126375928</v>
      </c>
      <c r="G10334" s="3">
        <v>238320</v>
      </c>
      <c r="H10334" s="3" t="s">
        <v>462</v>
      </c>
    </row>
    <row r="10335" spans="1:8" ht="26.25" x14ac:dyDescent="0.25">
      <c r="A10335" s="3" t="s">
        <v>29962</v>
      </c>
      <c r="B10335" s="3"/>
      <c r="C10335" s="3" t="str">
        <f>" "</f>
        <v xml:space="preserve"> </v>
      </c>
      <c r="D10335" s="3" t="s">
        <v>29963</v>
      </c>
      <c r="E10335" s="3" t="s">
        <v>29964</v>
      </c>
      <c r="F10335" s="3" t="str">
        <f>"3174509865"</f>
        <v>3174509865</v>
      </c>
      <c r="G10335" s="3">
        <v>561730</v>
      </c>
      <c r="H10335" s="3" t="s">
        <v>65</v>
      </c>
    </row>
    <row r="10336" spans="1:8" ht="26.25" x14ac:dyDescent="0.25">
      <c r="A10336" s="3" t="s">
        <v>29965</v>
      </c>
      <c r="B10336" s="3"/>
      <c r="C10336" s="3" t="str">
        <f>" "</f>
        <v xml:space="preserve"> </v>
      </c>
      <c r="D10336" s="3" t="s">
        <v>9</v>
      </c>
      <c r="E10336" s="3" t="s">
        <v>46</v>
      </c>
      <c r="F10336" s="2"/>
      <c r="G10336" s="3">
        <v>233</v>
      </c>
      <c r="H10336" s="3" t="s">
        <v>131</v>
      </c>
    </row>
    <row r="10337" spans="1:8" ht="26.25" x14ac:dyDescent="0.25">
      <c r="A10337" s="3" t="s">
        <v>29966</v>
      </c>
      <c r="B10337" s="3"/>
      <c r="C10337" s="3" t="str">
        <f>"Personal training/wellness/fitness instruction"</f>
        <v>Personal training/wellness/fitness instruction</v>
      </c>
      <c r="D10337" s="3" t="s">
        <v>17697</v>
      </c>
      <c r="E10337" s="3" t="s">
        <v>29967</v>
      </c>
      <c r="F10337" s="3" t="str">
        <f>"317-430-0063"</f>
        <v>317-430-0063</v>
      </c>
      <c r="G10337" s="3">
        <v>713940</v>
      </c>
      <c r="H10337" s="3" t="s">
        <v>1471</v>
      </c>
    </row>
    <row r="10338" spans="1:8" ht="26.25" x14ac:dyDescent="0.25">
      <c r="A10338" s="3" t="s">
        <v>29968</v>
      </c>
      <c r="B10338" s="3"/>
      <c r="C10338" s="3" t="str">
        <f>"COMPLETE FLOOR COVERING AND INSTALLATION STORE"</f>
        <v>COMPLETE FLOOR COVERING AND INSTALLATION STORE</v>
      </c>
      <c r="D10338" s="3" t="s">
        <v>29969</v>
      </c>
      <c r="E10338" s="3" t="s">
        <v>29970</v>
      </c>
      <c r="F10338" s="3" t="str">
        <f>"3178883501"</f>
        <v>3178883501</v>
      </c>
      <c r="G10338" s="3">
        <v>442210</v>
      </c>
      <c r="H10338" s="3" t="s">
        <v>2301</v>
      </c>
    </row>
    <row r="10339" spans="1:8" ht="77.25" x14ac:dyDescent="0.25">
      <c r="A10339" s="3" t="s">
        <v>29971</v>
      </c>
      <c r="B10339" s="3"/>
      <c r="C10339" s="3" t="str">
        <f>"S&amp;P Construction is a light commercial and commercial subcontractor engaged in division 9 and interior specialties construction, which involves but not limited to metal stud and drywall, acoustics ceilings, casework and etc."</f>
        <v>S&amp;P Construction is a light commercial and commercial subcontractor engaged in division 9 and interior specialties construction, which involves but not limited to metal stud and drywall, acoustics ceilings, casework and etc.</v>
      </c>
      <c r="D10339" s="3" t="s">
        <v>29972</v>
      </c>
      <c r="E10339" s="3" t="s">
        <v>29973</v>
      </c>
      <c r="F10339" s="3" t="str">
        <f>"3176033160"</f>
        <v>3176033160</v>
      </c>
      <c r="G10339" s="3">
        <v>23622</v>
      </c>
      <c r="H10339" s="3" t="s">
        <v>598</v>
      </c>
    </row>
    <row r="10340" spans="1:8" ht="77.25" x14ac:dyDescent="0.25">
      <c r="A10340" s="3" t="s">
        <v>29974</v>
      </c>
      <c r="B10340" s="3"/>
      <c r="C10340" s="3" t="str">
        <f>"Integrates all functions across the supply chain, from sourcing raw materials through product manufacturing to distribuitng finish goods. s2f improves supply chain controls by reducing transporation, inventory, and fulfillment costs."</f>
        <v>Integrates all functions across the supply chain, from sourcing raw materials through product manufacturing to distribuitng finish goods. s2f improves supply chain controls by reducing transporation, inventory, and fulfillment costs.</v>
      </c>
      <c r="D10340" s="3" t="s">
        <v>29975</v>
      </c>
      <c r="E10340" s="3" t="s">
        <v>29976</v>
      </c>
      <c r="F10340" s="3" t="str">
        <f>"(317) 663-8162"</f>
        <v>(317) 663-8162</v>
      </c>
      <c r="G10340" s="3">
        <v>541614</v>
      </c>
      <c r="H10340" s="3" t="s">
        <v>107</v>
      </c>
    </row>
    <row r="10341" spans="1:8" ht="39" x14ac:dyDescent="0.25">
      <c r="A10341" s="3" t="s">
        <v>29977</v>
      </c>
      <c r="B10341" s="3"/>
      <c r="C10341" s="3" t="str">
        <f>"Real estate business invest and reconstruct old buildings and resale or rent to indiana residents"</f>
        <v>Real estate business invest and reconstruct old buildings and resale or rent to indiana residents</v>
      </c>
      <c r="D10341" s="3" t="s">
        <v>29978</v>
      </c>
      <c r="E10341" s="3" t="s">
        <v>29979</v>
      </c>
      <c r="F10341" s="3" t="str">
        <f>"5742042238"</f>
        <v>5742042238</v>
      </c>
      <c r="G10341" s="3">
        <v>53</v>
      </c>
      <c r="H10341" s="3" t="s">
        <v>2336</v>
      </c>
    </row>
    <row r="10342" spans="1:8" ht="39" x14ac:dyDescent="0.25">
      <c r="A10342" s="3" t="s">
        <v>29980</v>
      </c>
      <c r="B10342" s="3"/>
      <c r="C10342" s="3" t="str">
        <f>"Sam Swope Auto Group Fleet sales for Chrysler, Jeep, Dodge, Ram Trucks, Ford and GMC products."</f>
        <v>Sam Swope Auto Group Fleet sales for Chrysler, Jeep, Dodge, Ram Trucks, Ford and GMC products.</v>
      </c>
      <c r="D10342" s="3" t="s">
        <v>9</v>
      </c>
      <c r="E10342" s="3" t="s">
        <v>29981</v>
      </c>
      <c r="F10342" s="3" t="str">
        <f>"901-413-5086"</f>
        <v>901-413-5086</v>
      </c>
      <c r="G10342" s="3">
        <v>238</v>
      </c>
      <c r="H10342" s="3" t="s">
        <v>397</v>
      </c>
    </row>
    <row r="10343" spans="1:8" ht="26.25" x14ac:dyDescent="0.25">
      <c r="A10343" s="3" t="s">
        <v>29982</v>
      </c>
      <c r="B10343" s="3"/>
      <c r="C10343" s="3" t="str">
        <f>"1)window coverings specialty business"</f>
        <v>1)window coverings specialty business</v>
      </c>
      <c r="D10343" s="3" t="s">
        <v>9</v>
      </c>
      <c r="E10343" s="3" t="s">
        <v>29983</v>
      </c>
      <c r="F10343" s="3" t="str">
        <f>"219-926-6155"</f>
        <v>219-926-6155</v>
      </c>
      <c r="G10343" s="3">
        <v>442291</v>
      </c>
      <c r="H10343" s="3" t="s">
        <v>3812</v>
      </c>
    </row>
    <row r="10344" spans="1:8" ht="192" x14ac:dyDescent="0.25">
      <c r="A10344" s="3" t="s">
        <v>29984</v>
      </c>
      <c r="B10344" s="3"/>
      <c r="C10344" s="3" t="s">
        <v>29985</v>
      </c>
      <c r="D10344" s="3" t="s">
        <v>9</v>
      </c>
      <c r="E10344" s="3" t="s">
        <v>29986</v>
      </c>
      <c r="F10344" s="3" t="str">
        <f>"219-879-3276"</f>
        <v>219-879-3276</v>
      </c>
      <c r="G10344" s="3">
        <v>561613</v>
      </c>
      <c r="H10344" s="3" t="s">
        <v>29987</v>
      </c>
    </row>
    <row r="10345" spans="1:8" ht="128.25" x14ac:dyDescent="0.25">
      <c r="A10345" s="3" t="s">
        <v>29988</v>
      </c>
      <c r="B10345" s="3"/>
      <c r="C10345" s="3" t="s">
        <v>29989</v>
      </c>
      <c r="D10345" s="3" t="s">
        <v>9</v>
      </c>
      <c r="E10345" s="3" t="s">
        <v>29990</v>
      </c>
      <c r="F10345" s="3" t="str">
        <f>"3176641672"</f>
        <v>3176641672</v>
      </c>
      <c r="G10345" s="3">
        <v>541611</v>
      </c>
      <c r="H10345" s="3" t="s">
        <v>278</v>
      </c>
    </row>
    <row r="10346" spans="1:8" ht="26.25" x14ac:dyDescent="0.25">
      <c r="A10346" s="3" t="s">
        <v>29991</v>
      </c>
      <c r="B10346" s="3"/>
      <c r="C10346" s="2"/>
      <c r="D10346" s="3" t="s">
        <v>9</v>
      </c>
      <c r="E10346" s="3" t="s">
        <v>46</v>
      </c>
      <c r="F10346" s="3" t="str">
        <f>"8125221336"</f>
        <v>8125221336</v>
      </c>
      <c r="G10346" s="3">
        <v>4413</v>
      </c>
      <c r="H10346" s="3" t="s">
        <v>1210</v>
      </c>
    </row>
    <row r="10347" spans="1:8" ht="26.25" x14ac:dyDescent="0.25">
      <c r="A10347" s="3" t="s">
        <v>29992</v>
      </c>
      <c r="B10347" s="3"/>
      <c r="C10347" s="3" t="str">
        <f>"|Auto service repair and tire sales and service"</f>
        <v>|Auto service repair and tire sales and service</v>
      </c>
      <c r="D10347" s="3" t="s">
        <v>29993</v>
      </c>
      <c r="E10347" s="3" t="s">
        <v>29994</v>
      </c>
      <c r="F10347" s="3" t="str">
        <f>"574-935-5105"</f>
        <v>574-935-5105</v>
      </c>
      <c r="G10347" s="3">
        <v>4413</v>
      </c>
      <c r="H10347" s="3" t="s">
        <v>1210</v>
      </c>
    </row>
    <row r="10348" spans="1:8" ht="39" x14ac:dyDescent="0.25">
      <c r="A10348" s="3" t="s">
        <v>29995</v>
      </c>
      <c r="B10348" s="3"/>
      <c r="C10348" s="3" t="str">
        <f>"general excavation, bury utilities, parking lots, driveways, sewer and taps, septic, demolition, footers etc."</f>
        <v>general excavation, bury utilities, parking lots, driveways, sewer and taps, septic, demolition, footers etc.</v>
      </c>
      <c r="D10348" s="3" t="s">
        <v>29996</v>
      </c>
      <c r="E10348" s="3" t="s">
        <v>29997</v>
      </c>
      <c r="F10348" s="3" t="str">
        <f>"812-873-5676"</f>
        <v>812-873-5676</v>
      </c>
      <c r="G10348" s="3">
        <v>23593</v>
      </c>
      <c r="H10348" s="3" t="s">
        <v>71</v>
      </c>
    </row>
    <row r="10349" spans="1:8" ht="51.75" x14ac:dyDescent="0.25">
      <c r="A10349" s="3" t="s">
        <v>29998</v>
      </c>
      <c r="B10349" s="3"/>
      <c r="C10349" s="3" t="str">
        <f>"licensed real estate apprasier ( appraise real estate property) licensed real estate broker ( sale and manage residential property"</f>
        <v>licensed real estate apprasier ( appraise real estate property) licensed real estate broker ( sale and manage residential property</v>
      </c>
      <c r="D10349" s="3" t="s">
        <v>9</v>
      </c>
      <c r="E10349" s="3" t="s">
        <v>29999</v>
      </c>
      <c r="F10349" s="3" t="str">
        <f>"317 546 3009"</f>
        <v>317 546 3009</v>
      </c>
      <c r="G10349" s="3">
        <v>531320</v>
      </c>
      <c r="H10349" s="3" t="s">
        <v>34</v>
      </c>
    </row>
    <row r="10350" spans="1:8" ht="64.5" x14ac:dyDescent="0.25">
      <c r="A10350" s="3" t="s">
        <v>30000</v>
      </c>
      <c r="B10350" s="3"/>
      <c r="C10350" s="3" t="str">
        <f>"Install electrical services for new and existing homes, also internet, phone, tv mounting and other electrical devices for home. We also do commerical electrical services."</f>
        <v>Install electrical services for new and existing homes, also internet, phone, tv mounting and other electrical devices for home. We also do commerical electrical services.</v>
      </c>
      <c r="D10350" s="3" t="s">
        <v>30001</v>
      </c>
      <c r="E10350" s="3" t="s">
        <v>30002</v>
      </c>
      <c r="F10350" s="3" t="str">
        <f>"812-449-2396"</f>
        <v>812-449-2396</v>
      </c>
      <c r="G10350" s="3">
        <v>221122</v>
      </c>
      <c r="H10350" s="3" t="s">
        <v>912</v>
      </c>
    </row>
    <row r="10351" spans="1:8" x14ac:dyDescent="0.25">
      <c r="A10351" s="3" t="s">
        <v>30003</v>
      </c>
      <c r="B10351" s="3"/>
      <c r="C10351" s="3" t="str">
        <f>" "</f>
        <v xml:space="preserve"> </v>
      </c>
      <c r="D10351" s="3" t="s">
        <v>9</v>
      </c>
      <c r="E10351" s="3" t="s">
        <v>46</v>
      </c>
      <c r="F10351" s="2"/>
      <c r="G10351" s="3">
        <v>811111</v>
      </c>
      <c r="H10351" s="3" t="s">
        <v>2383</v>
      </c>
    </row>
    <row r="10352" spans="1:8" ht="77.25" x14ac:dyDescent="0.25">
      <c r="A10352" s="3" t="s">
        <v>30004</v>
      </c>
      <c r="B10352" s="3"/>
      <c r="C10352" s="3" t="str">
        <f>"automotive parts disributor. with heavy duty truck parts,welding gases and supplies,tools and equipment,small engine parts,paint and body supplies. also with machine shops, hydraulic hose and hydraulic tube bending."</f>
        <v>automotive parts disributor. with heavy duty truck parts,welding gases and supplies,tools and equipment,small engine parts,paint and body supplies. also with machine shops, hydraulic hose and hydraulic tube bending.</v>
      </c>
      <c r="D10352" s="3" t="s">
        <v>30005</v>
      </c>
      <c r="E10352" s="3" t="s">
        <v>30006</v>
      </c>
      <c r="F10352" s="3" t="str">
        <f>"812-522-2273"</f>
        <v>812-522-2273</v>
      </c>
      <c r="G10352" s="3">
        <v>423120</v>
      </c>
      <c r="H10352" s="3" t="s">
        <v>1033</v>
      </c>
    </row>
    <row r="10353" spans="1:8" ht="51.75" x14ac:dyDescent="0.25">
      <c r="A10353" s="3" t="s">
        <v>30007</v>
      </c>
      <c r="B10353" s="3"/>
      <c r="C10353" s="3" t="str">
        <f>"Teens In Action is a social service providing counseling individual, family and group. Substance abuse services counseling and drug screening."</f>
        <v>Teens In Action is a social service providing counseling individual, family and group. Substance abuse services counseling and drug screening.</v>
      </c>
      <c r="D10353" s="3" t="s">
        <v>9</v>
      </c>
      <c r="E10353" s="3" t="s">
        <v>30008</v>
      </c>
      <c r="F10353" s="3" t="str">
        <f>"2193975117"</f>
        <v>2193975117</v>
      </c>
      <c r="G10353" s="3">
        <v>62</v>
      </c>
      <c r="H10353" s="3" t="s">
        <v>1168</v>
      </c>
    </row>
    <row r="10354" spans="1:8" ht="26.25" x14ac:dyDescent="0.25">
      <c r="A10354" s="3" t="s">
        <v>30009</v>
      </c>
      <c r="B10354" s="3"/>
      <c r="C10354" s="3" t="str">
        <f>"leasing office space, non residential"</f>
        <v>leasing office space, non residential</v>
      </c>
      <c r="D10354" s="3" t="s">
        <v>9</v>
      </c>
      <c r="E10354" s="3" t="s">
        <v>30010</v>
      </c>
      <c r="F10354" s="3" t="str">
        <f>"812*346-2282"</f>
        <v>812*346-2282</v>
      </c>
      <c r="G10354" s="3">
        <v>531120</v>
      </c>
      <c r="H10354" s="3" t="s">
        <v>2926</v>
      </c>
    </row>
    <row r="10355" spans="1:8" ht="217.5" x14ac:dyDescent="0.25">
      <c r="A10355" s="3" t="s">
        <v>30011</v>
      </c>
      <c r="B10355" s="3"/>
      <c r="C10355" s="3" t="s">
        <v>30012</v>
      </c>
      <c r="D10355" s="3" t="s">
        <v>30013</v>
      </c>
      <c r="E10355" s="3" t="s">
        <v>30014</v>
      </c>
      <c r="F10355" s="3" t="str">
        <f>"574-247-9280"</f>
        <v>574-247-9280</v>
      </c>
      <c r="G10355" s="3">
        <v>541611</v>
      </c>
      <c r="H10355" s="3" t="s">
        <v>278</v>
      </c>
    </row>
    <row r="10356" spans="1:8" ht="51.75" x14ac:dyDescent="0.25">
      <c r="A10356" s="3" t="s">
        <v>30015</v>
      </c>
      <c r="B10356" s="3"/>
      <c r="C10356" s="3" t="str">
        <f>"Award winning marketing communications/advertising/graphic design services. specializing in brand development."</f>
        <v>Award winning marketing communications/advertising/graphic design services. specializing in brand development.</v>
      </c>
      <c r="D10356" s="3" t="s">
        <v>30016</v>
      </c>
      <c r="E10356" s="3" t="s">
        <v>30017</v>
      </c>
      <c r="F10356" s="3" t="str">
        <f>"765-446-9994"</f>
        <v>765-446-9994</v>
      </c>
      <c r="G10356" s="3">
        <v>541430</v>
      </c>
      <c r="H10356" s="3" t="s">
        <v>78</v>
      </c>
    </row>
    <row r="10357" spans="1:8" ht="51.75" x14ac:dyDescent="0.25">
      <c r="A10357" s="3" t="s">
        <v>30018</v>
      </c>
      <c r="B10357" s="3"/>
      <c r="C10357" s="3" t="str">
        <f>"Therapy, etc. provides Physical Therapy Services on a permanent/temporary or PRN basis. PT for all settings, including SNF, LTC, Workmans Comp, etc."</f>
        <v>Therapy, etc. provides Physical Therapy Services on a permanent/temporary or PRN basis. PT for all settings, including SNF, LTC, Workmans Comp, etc.</v>
      </c>
      <c r="D10357" s="3" t="s">
        <v>9</v>
      </c>
      <c r="E10357" s="3" t="s">
        <v>30019</v>
      </c>
      <c r="F10357" s="3" t="str">
        <f>"7655382230"</f>
        <v>7655382230</v>
      </c>
      <c r="G10357" s="3">
        <v>621340</v>
      </c>
      <c r="H10357" s="3" t="s">
        <v>987</v>
      </c>
    </row>
    <row r="10358" spans="1:8" ht="102.75" x14ac:dyDescent="0.25">
      <c r="A10358" s="3" t="s">
        <v>30020</v>
      </c>
      <c r="B10358" s="3"/>
      <c r="C10358" s="3" t="s">
        <v>30021</v>
      </c>
      <c r="D10358" s="3" t="s">
        <v>9</v>
      </c>
      <c r="E10358" s="3" t="s">
        <v>30022</v>
      </c>
      <c r="F10358" s="3" t="str">
        <f>"812.376.7856"</f>
        <v>812.376.7856</v>
      </c>
      <c r="G10358" s="3">
        <v>442110</v>
      </c>
      <c r="H10358" s="3" t="s">
        <v>117</v>
      </c>
    </row>
    <row r="10359" spans="1:8" ht="64.5" x14ac:dyDescent="0.25">
      <c r="A10359" s="3" t="s">
        <v>30023</v>
      </c>
      <c r="B10359" s="3"/>
      <c r="C10359" s="3" t="str">
        <f>"Your business is where we pick tires from small or large business. We transport these tires to are home base. Where we recycling, what ever we can use to lessen the amout that gets wastesed by haulin to the landfill."</f>
        <v>Your business is where we pick tires from small or large business. We transport these tires to are home base. Where we recycling, what ever we can use to lessen the amout that gets wastesed by haulin to the landfill.</v>
      </c>
      <c r="D10359" s="3" t="s">
        <v>9</v>
      </c>
      <c r="E10359" s="3" t="s">
        <v>30024</v>
      </c>
      <c r="F10359" s="3" t="str">
        <f>"(812) 789-2427"</f>
        <v>(812) 789-2427</v>
      </c>
      <c r="G10359" s="3">
        <v>562111</v>
      </c>
      <c r="H10359" s="3" t="s">
        <v>1818</v>
      </c>
    </row>
    <row r="10360" spans="1:8" ht="90" x14ac:dyDescent="0.25">
      <c r="A10360" s="3" t="s">
        <v>30025</v>
      </c>
      <c r="B10360" s="3"/>
      <c r="C10360" s="3" t="s">
        <v>30026</v>
      </c>
      <c r="D10360" s="3" t="s">
        <v>30027</v>
      </c>
      <c r="E10360" s="3" t="s">
        <v>30028</v>
      </c>
      <c r="F10360" s="3" t="str">
        <f>"877.834.4007"</f>
        <v>877.834.4007</v>
      </c>
      <c r="G10360" s="3">
        <v>5411</v>
      </c>
      <c r="H10360" s="3" t="s">
        <v>87</v>
      </c>
    </row>
    <row r="10361" spans="1:8" x14ac:dyDescent="0.25">
      <c r="A10361" s="3" t="s">
        <v>30029</v>
      </c>
      <c r="B10361" s="3"/>
      <c r="C10361" s="3" t="str">
        <f>" "</f>
        <v xml:space="preserve"> </v>
      </c>
      <c r="D10361" s="3" t="s">
        <v>9</v>
      </c>
      <c r="E10361" s="3" t="s">
        <v>46</v>
      </c>
      <c r="F10361" s="2"/>
      <c r="G10361" s="3">
        <v>23</v>
      </c>
      <c r="H10361" s="3" t="s">
        <v>133</v>
      </c>
    </row>
    <row r="10362" spans="1:8" ht="166.5" x14ac:dyDescent="0.25">
      <c r="A10362" s="3" t="s">
        <v>30030</v>
      </c>
      <c r="B10362" s="3"/>
      <c r="C10362" s="3" t="s">
        <v>30031</v>
      </c>
      <c r="D10362" s="3" t="s">
        <v>9</v>
      </c>
      <c r="E10362" s="3" t="s">
        <v>30032</v>
      </c>
      <c r="F10362" s="3" t="str">
        <f>"317 748-3164"</f>
        <v>317 748-3164</v>
      </c>
      <c r="G10362" s="3">
        <v>611699</v>
      </c>
      <c r="H10362" s="3" t="s">
        <v>2136</v>
      </c>
    </row>
    <row r="10363" spans="1:8" ht="51.75" x14ac:dyDescent="0.25">
      <c r="A10363" s="3" t="s">
        <v>30033</v>
      </c>
      <c r="B10363" s="3"/>
      <c r="C10363" s="3" t="str">
        <f>"tri-axle truking company, owned and operated by women. we have cdl licence training. we also have men and women driver posittions open."</f>
        <v>tri-axle truking company, owned and operated by women. we have cdl licence training. we also have men and women driver posittions open.</v>
      </c>
      <c r="D10363" s="3" t="s">
        <v>9</v>
      </c>
      <c r="E10363" s="3" t="s">
        <v>30034</v>
      </c>
      <c r="F10363" s="3" t="str">
        <f>"3177315126"</f>
        <v>3177315126</v>
      </c>
      <c r="G10363" s="3">
        <v>484220</v>
      </c>
      <c r="H10363" s="3" t="s">
        <v>11</v>
      </c>
    </row>
    <row r="10364" spans="1:8" ht="153.75" x14ac:dyDescent="0.25">
      <c r="A10364" s="3" t="s">
        <v>30035</v>
      </c>
      <c r="B10364" s="3"/>
      <c r="C10364" s="3" t="s">
        <v>30036</v>
      </c>
      <c r="D10364" s="3" t="s">
        <v>30037</v>
      </c>
      <c r="E10364" s="3" t="s">
        <v>30038</v>
      </c>
      <c r="F10364" s="3" t="str">
        <f>"812.537.2500"</f>
        <v>812.537.2500</v>
      </c>
      <c r="G10364" s="3">
        <v>44</v>
      </c>
      <c r="H10364" s="3" t="s">
        <v>574</v>
      </c>
    </row>
    <row r="10365" spans="1:8" ht="51.75" x14ac:dyDescent="0.25">
      <c r="A10365" s="3" t="s">
        <v>30039</v>
      </c>
      <c r="B10365" s="3"/>
      <c r="C10365" s="3" t="str">
        <f>"TLC is a frieght brokering buisness! Providing the movement of frieght throughout the world. It is a Indiana home base, DAV owned, minority owned buisness."</f>
        <v>TLC is a frieght brokering buisness! Providing the movement of frieght throughout the world. It is a Indiana home base, DAV owned, minority owned buisness.</v>
      </c>
      <c r="D10365" s="3" t="s">
        <v>30040</v>
      </c>
      <c r="E10365" s="3" t="s">
        <v>30041</v>
      </c>
      <c r="F10365" s="3" t="str">
        <f>"219-980-4440"</f>
        <v>219-980-4440</v>
      </c>
      <c r="G10365" s="3">
        <v>235</v>
      </c>
      <c r="H10365" s="3" t="s">
        <v>259</v>
      </c>
    </row>
    <row r="10366" spans="1:8" x14ac:dyDescent="0.25">
      <c r="A10366" s="3" t="s">
        <v>30042</v>
      </c>
      <c r="B10366" s="3"/>
      <c r="C10366" s="3" t="str">
        <f>" "</f>
        <v xml:space="preserve"> </v>
      </c>
      <c r="D10366" s="3" t="s">
        <v>9</v>
      </c>
      <c r="E10366" s="3" t="s">
        <v>46</v>
      </c>
      <c r="F10366" s="2"/>
      <c r="G10366" s="3">
        <v>332710</v>
      </c>
      <c r="H10366" s="3" t="s">
        <v>387</v>
      </c>
    </row>
    <row r="10367" spans="1:8" ht="39" x14ac:dyDescent="0.25">
      <c r="A10367" s="3" t="s">
        <v>30043</v>
      </c>
      <c r="B10367" s="3"/>
      <c r="C10367" s="3" t="str">
        <f>"Business and fulfillment solutions, specializing in fulfilling organizational membership packets."</f>
        <v>Business and fulfillment solutions, specializing in fulfilling organizational membership packets.</v>
      </c>
      <c r="D10367" s="3" t="s">
        <v>9</v>
      </c>
      <c r="E10367" s="3" t="s">
        <v>30044</v>
      </c>
      <c r="F10367" s="3" t="str">
        <f>"3177975022"</f>
        <v>3177975022</v>
      </c>
      <c r="G10367" s="3">
        <v>323</v>
      </c>
      <c r="H10367" s="3" t="s">
        <v>302</v>
      </c>
    </row>
    <row r="10368" spans="1:8" ht="26.25" x14ac:dyDescent="0.25">
      <c r="A10368" s="3" t="s">
        <v>30045</v>
      </c>
      <c r="B10368" s="3"/>
      <c r="C10368" s="3" t="str">
        <f>"AUTO ,TRUCK &amp; RV COLLISION REPAIR"</f>
        <v>AUTO ,TRUCK &amp; RV COLLISION REPAIR</v>
      </c>
      <c r="D10368" s="3" t="s">
        <v>9</v>
      </c>
      <c r="E10368" s="3" t="s">
        <v>30046</v>
      </c>
      <c r="F10368" s="3" t="str">
        <f>"317-996-2500"</f>
        <v>317-996-2500</v>
      </c>
      <c r="G10368" s="3">
        <v>81</v>
      </c>
      <c r="H10368" s="3" t="s">
        <v>751</v>
      </c>
    </row>
    <row r="10369" spans="1:8" ht="26.25" x14ac:dyDescent="0.25">
      <c r="A10369" s="3" t="s">
        <v>30047</v>
      </c>
      <c r="B10369" s="3"/>
      <c r="C10369" s="3" t="str">
        <f>"cleaning compound, rifle bore. qpl 372"</f>
        <v>cleaning compound, rifle bore. qpl 372</v>
      </c>
      <c r="D10369" s="3" t="s">
        <v>30048</v>
      </c>
      <c r="E10369" s="3" t="s">
        <v>30049</v>
      </c>
      <c r="F10369" s="3" t="str">
        <f>"317-831-1349"</f>
        <v>317-831-1349</v>
      </c>
      <c r="G10369" s="3">
        <v>454390</v>
      </c>
      <c r="H10369" s="3" t="s">
        <v>1348</v>
      </c>
    </row>
    <row r="10370" spans="1:8" ht="39" x14ac:dyDescent="0.25">
      <c r="A10370" s="3" t="s">
        <v>30050</v>
      </c>
      <c r="B10370" s="3"/>
      <c r="C10370" s="3" t="str">
        <f>"Asphalt construction of roads and parking lots including concrete curbs, earthwork, and utility work."</f>
        <v>Asphalt construction of roads and parking lots including concrete curbs, earthwork, and utility work.</v>
      </c>
      <c r="D10370" s="3" t="s">
        <v>30051</v>
      </c>
      <c r="E10370" s="3" t="s">
        <v>30052</v>
      </c>
      <c r="F10370" s="3" t="str">
        <f>"260-747-7531"</f>
        <v>260-747-7531</v>
      </c>
      <c r="G10370" s="3">
        <v>237310</v>
      </c>
      <c r="H10370" s="3" t="s">
        <v>768</v>
      </c>
    </row>
    <row r="10371" spans="1:8" ht="115.5" x14ac:dyDescent="0.25">
      <c r="A10371" s="3" t="s">
        <v>30053</v>
      </c>
      <c r="B10371" s="3"/>
      <c r="C10371" s="3" t="s">
        <v>30054</v>
      </c>
      <c r="D10371" s="3" t="s">
        <v>30055</v>
      </c>
      <c r="E10371" s="3" t="s">
        <v>30056</v>
      </c>
      <c r="F10371" s="3" t="str">
        <f>"219-728-1328"</f>
        <v>219-728-1328</v>
      </c>
      <c r="G10371" s="3">
        <v>488991</v>
      </c>
      <c r="H10371" s="3" t="s">
        <v>6811</v>
      </c>
    </row>
    <row r="10372" spans="1:8" ht="77.25" x14ac:dyDescent="0.25">
      <c r="A10372" s="3" t="s">
        <v>30057</v>
      </c>
      <c r="B10372" s="3"/>
      <c r="C10372" s="3" t="str">
        <f>"Weidner Chevrolet, Inc sells a complete line of chevy cars,trucks and have a service,parts department along with a collision center. Weidner also has a commercial,fleet and mobility division sales &amp; service"</f>
        <v>Weidner Chevrolet, Inc sells a complete line of chevy cars,trucks and have a service,parts department along with a collision center. Weidner also has a commercial,fleet and mobility division sales &amp; service</v>
      </c>
      <c r="D10372" s="3" t="s">
        <v>9</v>
      </c>
      <c r="E10372" s="3" t="s">
        <v>46</v>
      </c>
      <c r="F10372" s="2"/>
      <c r="G10372" s="3">
        <v>441110</v>
      </c>
      <c r="H10372" s="3" t="s">
        <v>2588</v>
      </c>
    </row>
    <row r="10373" spans="1:8" ht="115.5" x14ac:dyDescent="0.25">
      <c r="A10373" s="3" t="s">
        <v>30058</v>
      </c>
      <c r="B10373" s="3"/>
      <c r="C10373" s="3" t="s">
        <v>30059</v>
      </c>
      <c r="D10373" s="3" t="s">
        <v>30060</v>
      </c>
      <c r="E10373" s="3" t="s">
        <v>30061</v>
      </c>
      <c r="F10373" s="3" t="str">
        <f>"574-295-2460"</f>
        <v>574-295-2460</v>
      </c>
      <c r="G10373" s="3">
        <v>322212</v>
      </c>
      <c r="H10373" s="3" t="s">
        <v>30062</v>
      </c>
    </row>
    <row r="10374" spans="1:8" ht="51.75" x14ac:dyDescent="0.25">
      <c r="A10374" s="3" t="s">
        <v>30063</v>
      </c>
      <c r="B10374" s="3"/>
      <c r="C10374" s="3" t="str">
        <f>"Retail building material and supplies, windows, doors, lumber, plywood, paint, electrical, plumbing, tools, concrete products"</f>
        <v>Retail building material and supplies, windows, doors, lumber, plywood, paint, electrical, plumbing, tools, concrete products</v>
      </c>
      <c r="D10374" s="3" t="s">
        <v>9</v>
      </c>
      <c r="E10374" s="3" t="s">
        <v>30064</v>
      </c>
      <c r="F10374" s="3" t="str">
        <f>"219-778-2511"</f>
        <v>219-778-2511</v>
      </c>
      <c r="G10374" s="3">
        <v>42</v>
      </c>
      <c r="H10374" s="3" t="s">
        <v>674</v>
      </c>
    </row>
    <row r="10375" spans="1:8" ht="26.25" x14ac:dyDescent="0.25">
      <c r="A10375" s="3" t="s">
        <v>30065</v>
      </c>
      <c r="B10375" s="3"/>
      <c r="C10375" s="3" t="str">
        <f>"Wheelers' Service Center, Inc. is a automobile towing service"</f>
        <v>Wheelers' Service Center, Inc. is a automobile towing service</v>
      </c>
      <c r="D10375" s="3" t="s">
        <v>9</v>
      </c>
      <c r="E10375" s="3" t="s">
        <v>46</v>
      </c>
      <c r="F10375" s="2"/>
      <c r="G10375" s="3">
        <v>81</v>
      </c>
      <c r="H10375" s="3" t="s">
        <v>751</v>
      </c>
    </row>
    <row r="10376" spans="1:8" ht="26.25" x14ac:dyDescent="0.25">
      <c r="A10376" s="3" t="s">
        <v>30066</v>
      </c>
      <c r="B10376" s="3"/>
      <c r="C10376" s="3" t="str">
        <f>"full service logistics and transportation company"</f>
        <v>full service logistics and transportation company</v>
      </c>
      <c r="D10376" s="3" t="s">
        <v>30067</v>
      </c>
      <c r="E10376" s="3" t="s">
        <v>30068</v>
      </c>
      <c r="F10376" s="3" t="str">
        <f>"3173221919"</f>
        <v>3173221919</v>
      </c>
      <c r="G10376" s="3">
        <v>492110</v>
      </c>
      <c r="H10376" s="3" t="s">
        <v>11632</v>
      </c>
    </row>
    <row r="10377" spans="1:8" ht="26.25" x14ac:dyDescent="0.25">
      <c r="A10377" s="3" t="s">
        <v>30069</v>
      </c>
      <c r="B10377" s="3"/>
      <c r="C10377" s="3" t="str">
        <f>"Complete Interior Design and Construction Services"</f>
        <v>Complete Interior Design and Construction Services</v>
      </c>
      <c r="D10377" s="3" t="s">
        <v>30070</v>
      </c>
      <c r="E10377" s="3" t="s">
        <v>30071</v>
      </c>
      <c r="F10377" s="3" t="str">
        <f>"317-852-7041"</f>
        <v>317-852-7041</v>
      </c>
      <c r="G10377" s="3">
        <v>54141</v>
      </c>
      <c r="H10377" s="3" t="s">
        <v>687</v>
      </c>
    </row>
    <row r="10378" spans="1:8" ht="51.75" x14ac:dyDescent="0.25">
      <c r="A10378" s="3" t="s">
        <v>30072</v>
      </c>
      <c r="B10378" s="3"/>
      <c r="C10378" s="3" t="str">
        <f>"commercial printing: letterheads, envelopes, business cards, publications, mailers, pocket folders, color printing, digital printing, typesetting, layout, design"</f>
        <v>commercial printing: letterheads, envelopes, business cards, publications, mailers, pocket folders, color printing, digital printing, typesetting, layout, design</v>
      </c>
      <c r="D10378" s="3" t="s">
        <v>9</v>
      </c>
      <c r="E10378" s="3" t="s">
        <v>30073</v>
      </c>
      <c r="F10378" s="3" t="str">
        <f>"765-425-1052"</f>
        <v>765-425-1052</v>
      </c>
      <c r="G10378" s="3">
        <v>32311</v>
      </c>
      <c r="H10378" s="3" t="s">
        <v>531</v>
      </c>
    </row>
    <row r="10379" spans="1:8" ht="26.25" x14ac:dyDescent="0.25">
      <c r="A10379" s="3" t="s">
        <v>30074</v>
      </c>
      <c r="B10379" s="3"/>
      <c r="C10379" s="3" t="str">
        <f>"lawncare commecial &amp; residential"</f>
        <v>lawncare commecial &amp; residential</v>
      </c>
      <c r="D10379" s="3" t="s">
        <v>9</v>
      </c>
      <c r="E10379" s="3" t="s">
        <v>30075</v>
      </c>
      <c r="F10379" s="3" t="str">
        <f>"317-652-1789"</f>
        <v>317-652-1789</v>
      </c>
      <c r="G10379" s="3">
        <v>56173</v>
      </c>
      <c r="H10379" s="3" t="s">
        <v>65</v>
      </c>
    </row>
    <row r="10380" spans="1:8" ht="26.25" x14ac:dyDescent="0.25">
      <c r="A10380" s="3" t="s">
        <v>30076</v>
      </c>
      <c r="B10380" s="3"/>
      <c r="C10380" s="2"/>
      <c r="D10380" s="3" t="s">
        <v>30077</v>
      </c>
      <c r="E10380" s="3" t="s">
        <v>30078</v>
      </c>
      <c r="F10380" s="3" t="str">
        <f>"800-745-2218"</f>
        <v>800-745-2218</v>
      </c>
      <c r="G10380" s="3">
        <v>441</v>
      </c>
      <c r="H10380" s="3" t="s">
        <v>1556</v>
      </c>
    </row>
    <row r="10381" spans="1:8" ht="128.25" x14ac:dyDescent="0.25">
      <c r="A10381" s="3" t="s">
        <v>30079</v>
      </c>
      <c r="B10381" s="3"/>
      <c r="C10381" s="3" t="s">
        <v>30080</v>
      </c>
      <c r="D10381" s="3" t="s">
        <v>30081</v>
      </c>
      <c r="E10381" s="3" t="s">
        <v>30082</v>
      </c>
      <c r="F10381" s="3" t="str">
        <f>"765-285-4905"</f>
        <v>765-285-4905</v>
      </c>
      <c r="G10381" s="3">
        <v>518210</v>
      </c>
      <c r="H10381" s="3" t="s">
        <v>3133</v>
      </c>
    </row>
    <row r="10382" spans="1:8" ht="51.75" x14ac:dyDescent="0.25">
      <c r="A10382" s="3" t="s">
        <v>30083</v>
      </c>
      <c r="B10382" s="3"/>
      <c r="C10382" s="3" t="str">
        <f>"xiik has been a full-service marketing firm, serving Indiana businesses since 2001. The company provides web development, print design, marketing and advertising services."</f>
        <v>xiik has been a full-service marketing firm, serving Indiana businesses since 2001. The company provides web development, print design, marketing and advertising services.</v>
      </c>
      <c r="D10382" s="3" t="s">
        <v>30084</v>
      </c>
      <c r="E10382" s="3" t="s">
        <v>30085</v>
      </c>
      <c r="F10382" s="3" t="str">
        <f>"3176440569"</f>
        <v>3176440569</v>
      </c>
      <c r="G10382" s="3">
        <v>541613</v>
      </c>
      <c r="H10382" s="3" t="s">
        <v>558</v>
      </c>
    </row>
    <row r="10383" spans="1:8" ht="90" x14ac:dyDescent="0.25">
      <c r="A10383" s="3" t="s">
        <v>30086</v>
      </c>
      <c r="B10383" s="3"/>
      <c r="C10383" s="3" t="str">
        <f>"Ask Us is a Women owned Indiana Small Business in the Wholesale Trade. We are able to obtain about anything the state my need to operate on a daily basis at very competitive pricing. We specialize in one stop purchasing. ""Whatever you need - Ask US""."</f>
        <v>Ask Us is a Women owned Indiana Small Business in the Wholesale Trade. We are able to obtain about anything the state my need to operate on a daily basis at very competitive pricing. We specialize in one stop purchasing. "Whatever you need - Ask US".</v>
      </c>
      <c r="D10383" s="3" t="s">
        <v>9</v>
      </c>
      <c r="E10383" s="3" t="s">
        <v>982</v>
      </c>
      <c r="F10383" s="3" t="str">
        <f>"317-865-3506"</f>
        <v>317-865-3506</v>
      </c>
      <c r="G10383" s="3">
        <v>42</v>
      </c>
      <c r="H10383" s="3" t="s">
        <v>674</v>
      </c>
    </row>
    <row r="10384" spans="1:8" ht="26.25" x14ac:dyDescent="0.25">
      <c r="A10384" s="3" t="s">
        <v>30087</v>
      </c>
      <c r="B10384" s="3"/>
      <c r="C10384" s="3" t="str">
        <f>"Reseller to state and local government in Indiana"</f>
        <v>Reseller to state and local government in Indiana</v>
      </c>
      <c r="D10384" s="3" t="s">
        <v>9</v>
      </c>
      <c r="E10384" s="3" t="s">
        <v>982</v>
      </c>
      <c r="F10384" s="3" t="str">
        <f>"3178653506"</f>
        <v>3178653506</v>
      </c>
      <c r="G10384" s="3">
        <v>423990</v>
      </c>
      <c r="H10384" s="3" t="s">
        <v>983</v>
      </c>
    </row>
    <row r="10385" spans="1:8" ht="39" x14ac:dyDescent="0.25">
      <c r="A10385" s="3" t="s">
        <v>30088</v>
      </c>
      <c r="B10385" s="3"/>
      <c r="C10385" s="3" t="str">
        <f>"Lamp repair &amp; restoration replacement lampshades, recover, reline &amp; custom lampshades."</f>
        <v>Lamp repair &amp; restoration replacement lampshades, recover, reline &amp; custom lampshades.</v>
      </c>
      <c r="D10385" s="3" t="s">
        <v>29581</v>
      </c>
      <c r="E10385" s="3" t="s">
        <v>29582</v>
      </c>
      <c r="F10385" s="3" t="str">
        <f>"317-733-0233"</f>
        <v>317-733-0233</v>
      </c>
      <c r="G10385" s="3">
        <v>444190</v>
      </c>
      <c r="H10385" s="3" t="s">
        <v>1188</v>
      </c>
    </row>
    <row r="10386" spans="1:8" ht="128.25" x14ac:dyDescent="0.25">
      <c r="A10386" s="3" t="s">
        <v>30089</v>
      </c>
      <c r="B10386" s="3"/>
      <c r="C10386" s="3" t="s">
        <v>30090</v>
      </c>
      <c r="D10386" s="3" t="s">
        <v>30091</v>
      </c>
      <c r="E10386" s="3" t="s">
        <v>30092</v>
      </c>
      <c r="F10386" s="3" t="str">
        <f>"317-965-1069"</f>
        <v>317-965-1069</v>
      </c>
      <c r="G10386" s="3">
        <v>541511</v>
      </c>
      <c r="H10386" s="3" t="s">
        <v>122</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Cash Compton</dc:creator>
  <cp:lastModifiedBy>Cash Compton</cp:lastModifiedBy>
  <dcterms:created xsi:type="dcterms:W3CDTF">2015-09-18T15:43:38Z</dcterms:created>
  <dcterms:modified xsi:type="dcterms:W3CDTF">2015-09-18T15:43:39Z</dcterms:modified>
</cp:coreProperties>
</file>